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03010991\Desktop\"/>
    </mc:Choice>
  </mc:AlternateContent>
  <bookViews>
    <workbookView xWindow="0" yWindow="0" windowWidth="20490" windowHeight="7020" activeTab="3"/>
  </bookViews>
  <sheets>
    <sheet name="Luokittelut" sheetId="7" r:id="rId1"/>
    <sheet name="Perusaineisto" sheetId="2" r:id="rId2"/>
    <sheet name="Perusaineisto2" sheetId="6" r:id="rId3"/>
    <sheet name="KUNNAN VALINTA" sheetId="3" r:id="rId4"/>
    <sheet name="Info" sheetId="5" r:id="rId5"/>
    <sheet name="Laskelma" sheetId="4" r:id="rId6"/>
  </sheets>
  <calcPr calcId="162913"/>
</workbook>
</file>

<file path=xl/calcChain.xml><?xml version="1.0" encoding="utf-8"?>
<calcChain xmlns="http://schemas.openxmlformats.org/spreadsheetml/2006/main">
  <c r="CX64" i="4" l="1"/>
  <c r="CW64" i="4"/>
  <c r="CV64" i="4"/>
  <c r="CU64" i="4"/>
  <c r="CT64" i="4"/>
  <c r="CS64" i="4"/>
  <c r="CR64" i="4"/>
  <c r="CQ64" i="4"/>
  <c r="CP64" i="4"/>
  <c r="CO64" i="4"/>
  <c r="CN64" i="4"/>
  <c r="CM64" i="4"/>
  <c r="V64" i="4" l="1"/>
  <c r="V80" i="4" s="1"/>
  <c r="AR64" i="4" l="1"/>
  <c r="BA74" i="7" l="1"/>
  <c r="C49" i="7"/>
  <c r="D49"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AS49" i="7"/>
  <c r="AT49" i="7"/>
  <c r="AU49" i="7"/>
  <c r="AV49" i="7"/>
  <c r="AW49" i="7"/>
  <c r="AX49" i="7"/>
  <c r="AY49" i="7"/>
  <c r="AZ49" i="7"/>
  <c r="BA49" i="7"/>
  <c r="BB49" i="7"/>
  <c r="BC49" i="7"/>
  <c r="BD49" i="7"/>
  <c r="BE49" i="7"/>
  <c r="BF49" i="7"/>
  <c r="BG49" i="7"/>
  <c r="BH49" i="7"/>
  <c r="BI49" i="7"/>
  <c r="BJ49" i="7"/>
  <c r="BK49" i="7"/>
  <c r="BL49" i="7"/>
  <c r="BM49" i="7"/>
  <c r="BN49" i="7"/>
  <c r="BO49" i="7"/>
  <c r="BP49" i="7"/>
  <c r="BQ49" i="7"/>
  <c r="BR49" i="7"/>
  <c r="BS49" i="7"/>
  <c r="BT49" i="7"/>
  <c r="BU49" i="7"/>
  <c r="BV49" i="7"/>
  <c r="BW49" i="7"/>
  <c r="BX49" i="7"/>
  <c r="BY49" i="7"/>
  <c r="BZ49" i="7"/>
  <c r="CA49" i="7"/>
  <c r="CB49" i="7"/>
  <c r="CC49" i="7"/>
  <c r="CD49" i="7"/>
  <c r="CE49" i="7"/>
  <c r="CF49" i="7"/>
  <c r="CG49" i="7"/>
  <c r="CH49" i="7"/>
  <c r="CI49" i="7"/>
  <c r="CJ49" i="7"/>
  <c r="CK49" i="7"/>
  <c r="CL49" i="7"/>
  <c r="CM49" i="7"/>
  <c r="CN49" i="7"/>
  <c r="CO49" i="7"/>
  <c r="CP49" i="7"/>
  <c r="CQ49" i="7"/>
  <c r="CR49" i="7"/>
  <c r="CS49" i="7"/>
  <c r="CT49" i="7"/>
  <c r="CU49" i="7"/>
  <c r="CV49" i="7"/>
  <c r="CW49" i="7"/>
  <c r="CX49" i="7"/>
  <c r="CY49" i="7"/>
  <c r="CZ49" i="7"/>
  <c r="DA49" i="7"/>
  <c r="DB49" i="7"/>
  <c r="DC49" i="7"/>
  <c r="DD49" i="7"/>
  <c r="DE49" i="7"/>
  <c r="DF49" i="7"/>
  <c r="DG49" i="7"/>
  <c r="DH49" i="7"/>
  <c r="DI49" i="7"/>
  <c r="DJ49" i="7"/>
  <c r="DK49" i="7"/>
  <c r="DL49" i="7"/>
  <c r="DM49" i="7"/>
  <c r="DN49" i="7"/>
  <c r="DO49" i="7"/>
  <c r="DP49" i="7"/>
  <c r="DQ49" i="7"/>
  <c r="DR49" i="7"/>
  <c r="DS49" i="7"/>
  <c r="DT49" i="7"/>
  <c r="DU49" i="7"/>
  <c r="DV49" i="7"/>
  <c r="DW49" i="7"/>
  <c r="DX49" i="7"/>
  <c r="DY49" i="7"/>
  <c r="DZ49" i="7"/>
  <c r="EA49" i="7"/>
  <c r="EB49" i="7"/>
  <c r="EC49" i="7"/>
  <c r="ED49" i="7"/>
  <c r="EE49" i="7"/>
  <c r="EF49" i="7"/>
  <c r="EG49" i="7"/>
  <c r="EH49" i="7"/>
  <c r="EI49" i="7"/>
  <c r="EJ49" i="7"/>
  <c r="EK49" i="7"/>
  <c r="EL49" i="7"/>
  <c r="EM49" i="7"/>
  <c r="EN49" i="7"/>
  <c r="EO49" i="7"/>
  <c r="EP49" i="7"/>
  <c r="EQ49" i="7"/>
  <c r="ER49" i="7"/>
  <c r="ES49" i="7"/>
  <c r="ET49" i="7"/>
  <c r="EU49" i="7"/>
  <c r="EV49" i="7"/>
  <c r="EW49" i="7"/>
  <c r="EX49" i="7"/>
  <c r="EY49" i="7"/>
  <c r="EZ49" i="7"/>
  <c r="FA49" i="7"/>
  <c r="FB49" i="7"/>
  <c r="FC49" i="7"/>
  <c r="FD49" i="7"/>
  <c r="FE49" i="7"/>
  <c r="FF49" i="7"/>
  <c r="FG49" i="7"/>
  <c r="FH49" i="7"/>
  <c r="FI49" i="7"/>
  <c r="FJ49" i="7"/>
  <c r="FK49" i="7"/>
  <c r="FL49" i="7"/>
  <c r="FM49" i="7"/>
  <c r="FN49" i="7"/>
  <c r="FO49" i="7"/>
  <c r="FP49" i="7"/>
  <c r="FQ49" i="7"/>
  <c r="FR49" i="7"/>
  <c r="FS49" i="7"/>
  <c r="FT49" i="7"/>
  <c r="FU49" i="7"/>
  <c r="FV49" i="7"/>
  <c r="FW49" i="7"/>
  <c r="FX49" i="7"/>
  <c r="FY49" i="7"/>
  <c r="FZ49" i="7"/>
  <c r="GA49" i="7"/>
  <c r="GB49" i="7"/>
  <c r="GC49" i="7"/>
  <c r="GD49" i="7"/>
  <c r="GE49" i="7"/>
  <c r="GF49" i="7"/>
  <c r="GG49" i="7"/>
  <c r="GH49" i="7"/>
  <c r="GI49" i="7"/>
  <c r="GJ49" i="7"/>
  <c r="GK49" i="7"/>
  <c r="GL49" i="7"/>
  <c r="GM49" i="7"/>
  <c r="GN49" i="7"/>
  <c r="GO49" i="7"/>
  <c r="GP49" i="7"/>
  <c r="GQ49" i="7"/>
  <c r="GR49" i="7"/>
  <c r="GS49" i="7"/>
  <c r="GT49" i="7"/>
  <c r="GU49" i="7"/>
  <c r="GV49" i="7"/>
  <c r="GW49" i="7"/>
  <c r="GX49" i="7"/>
  <c r="GY49" i="7"/>
  <c r="GZ49" i="7"/>
  <c r="HA49" i="7"/>
  <c r="HB49" i="7"/>
  <c r="HC49" i="7"/>
  <c r="HD49" i="7"/>
  <c r="HE49" i="7"/>
  <c r="HF49" i="7"/>
  <c r="HG49" i="7"/>
  <c r="HH49" i="7"/>
  <c r="HI49" i="7"/>
  <c r="HJ49" i="7"/>
  <c r="HK49" i="7"/>
  <c r="HL49" i="7"/>
  <c r="B49"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B33"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B22" i="7"/>
  <c r="K300" i="2"/>
  <c r="K302" i="2" s="1"/>
  <c r="L300" i="2"/>
  <c r="M300" i="2"/>
  <c r="N300" i="2"/>
  <c r="O300" i="2"/>
  <c r="O302" i="2" s="1"/>
  <c r="P300" i="2"/>
  <c r="Q300" i="2"/>
  <c r="R300" i="2"/>
  <c r="S300" i="2"/>
  <c r="S302" i="2" s="1"/>
  <c r="T300" i="2"/>
  <c r="U300" i="2"/>
  <c r="V300" i="2"/>
  <c r="W300" i="2"/>
  <c r="W302" i="2" s="1"/>
  <c r="X300" i="2"/>
  <c r="Y300" i="2"/>
  <c r="Z300" i="2"/>
  <c r="AA300" i="2"/>
  <c r="AA302" i="2" s="1"/>
  <c r="AB300" i="2"/>
  <c r="AC300" i="2"/>
  <c r="AD300" i="2"/>
  <c r="AE300" i="2"/>
  <c r="AE302" i="2" s="1"/>
  <c r="AF300" i="2"/>
  <c r="AG300" i="2"/>
  <c r="AH300" i="2"/>
  <c r="AI300" i="2"/>
  <c r="AI302" i="2" s="1"/>
  <c r="AJ300" i="2"/>
  <c r="AK300" i="2"/>
  <c r="AL300" i="2"/>
  <c r="AM300" i="2"/>
  <c r="AM302" i="2" s="1"/>
  <c r="AN300" i="2"/>
  <c r="AO300" i="2"/>
  <c r="AP300" i="2"/>
  <c r="AQ300" i="2"/>
  <c r="AQ302" i="2" s="1"/>
  <c r="AR300" i="2"/>
  <c r="AS300" i="2"/>
  <c r="AT300" i="2"/>
  <c r="AU300" i="2"/>
  <c r="AV300" i="2"/>
  <c r="AW300" i="2"/>
  <c r="AX300" i="2"/>
  <c r="AY300" i="2"/>
  <c r="AY302" i="2" s="1"/>
  <c r="AZ300" i="2"/>
  <c r="BA300" i="2"/>
  <c r="BB300" i="2"/>
  <c r="BC300" i="2"/>
  <c r="BC302" i="2" s="1"/>
  <c r="BD300" i="2"/>
  <c r="BE300" i="2"/>
  <c r="BF300" i="2"/>
  <c r="BG300" i="2"/>
  <c r="BG302" i="2" s="1"/>
  <c r="BH300" i="2"/>
  <c r="BI300" i="2"/>
  <c r="BJ300" i="2"/>
  <c r="BK300" i="2"/>
  <c r="BK302" i="2" s="1"/>
  <c r="BL300" i="2"/>
  <c r="BM300" i="2"/>
  <c r="BN300" i="2"/>
  <c r="BO300" i="2"/>
  <c r="BO302" i="2" s="1"/>
  <c r="BP300" i="2"/>
  <c r="BQ300" i="2"/>
  <c r="BR300" i="2"/>
  <c r="BS300" i="2"/>
  <c r="BS302" i="2" s="1"/>
  <c r="BT300" i="2"/>
  <c r="BU300" i="2"/>
  <c r="BV300" i="2"/>
  <c r="BW300" i="2"/>
  <c r="BW302" i="2" s="1"/>
  <c r="BX300" i="2"/>
  <c r="BY300" i="2"/>
  <c r="BZ300" i="2"/>
  <c r="CA300" i="2"/>
  <c r="CB300" i="2"/>
  <c r="CC300" i="2"/>
  <c r="CD300" i="2"/>
  <c r="CE300" i="2"/>
  <c r="CE302" i="2" s="1"/>
  <c r="CF300" i="2"/>
  <c r="CG300" i="2"/>
  <c r="CH300" i="2"/>
  <c r="CI300" i="2"/>
  <c r="CI302" i="2" s="1"/>
  <c r="CJ300" i="2"/>
  <c r="CK300" i="2"/>
  <c r="CL300" i="2"/>
  <c r="CM300" i="2"/>
  <c r="CM302" i="2" s="1"/>
  <c r="CN300" i="2"/>
  <c r="CO300" i="2"/>
  <c r="CP300" i="2"/>
  <c r="CQ300" i="2"/>
  <c r="CQ302" i="2" s="1"/>
  <c r="CR300" i="2"/>
  <c r="CS300" i="2"/>
  <c r="CT300" i="2"/>
  <c r="CU300" i="2"/>
  <c r="CU302" i="2" s="1"/>
  <c r="CV300" i="2"/>
  <c r="CW300" i="2"/>
  <c r="CX300" i="2"/>
  <c r="CY300" i="2"/>
  <c r="CY302" i="2" s="1"/>
  <c r="CZ300" i="2"/>
  <c r="DA300" i="2"/>
  <c r="DB300" i="2"/>
  <c r="DC300" i="2"/>
  <c r="DC302" i="2" s="1"/>
  <c r="DD300" i="2"/>
  <c r="DE300" i="2"/>
  <c r="DF300" i="2"/>
  <c r="DG300" i="2"/>
  <c r="DH300" i="2"/>
  <c r="DI300" i="2"/>
  <c r="DJ300" i="2"/>
  <c r="DK300" i="2"/>
  <c r="DK302" i="2" s="1"/>
  <c r="DL300" i="2"/>
  <c r="DM300" i="2"/>
  <c r="DN300" i="2"/>
  <c r="DO300" i="2"/>
  <c r="DO302" i="2" s="1"/>
  <c r="DP300" i="2"/>
  <c r="DQ300" i="2"/>
  <c r="DR300" i="2"/>
  <c r="DS300" i="2"/>
  <c r="DS302" i="2" s="1"/>
  <c r="DT300" i="2"/>
  <c r="DU300" i="2"/>
  <c r="DV300" i="2"/>
  <c r="DW300" i="2"/>
  <c r="DW302" i="2" s="1"/>
  <c r="DX300" i="2"/>
  <c r="DY300" i="2"/>
  <c r="DZ300" i="2"/>
  <c r="EA300" i="2"/>
  <c r="EA302" i="2" s="1"/>
  <c r="EB300" i="2"/>
  <c r="EC300" i="2"/>
  <c r="ED300" i="2"/>
  <c r="EE300" i="2"/>
  <c r="EE302" i="2" s="1"/>
  <c r="EF300" i="2"/>
  <c r="EG300" i="2"/>
  <c r="EH300" i="2"/>
  <c r="EI300" i="2"/>
  <c r="EI302" i="2" s="1"/>
  <c r="EJ300" i="2"/>
  <c r="EK300" i="2"/>
  <c r="EL300" i="2"/>
  <c r="EM300" i="2"/>
  <c r="EN300" i="2"/>
  <c r="EO300" i="2"/>
  <c r="EP300" i="2"/>
  <c r="EQ300" i="2"/>
  <c r="EQ302" i="2" s="1"/>
  <c r="ER300" i="2"/>
  <c r="ES300" i="2"/>
  <c r="ET300" i="2"/>
  <c r="EU300" i="2"/>
  <c r="EU302" i="2" s="1"/>
  <c r="EV300" i="2"/>
  <c r="EW300" i="2"/>
  <c r="EX300" i="2"/>
  <c r="EY300" i="2"/>
  <c r="EY302" i="2" s="1"/>
  <c r="EZ300" i="2"/>
  <c r="FA300" i="2"/>
  <c r="FB300" i="2"/>
  <c r="FC300" i="2"/>
  <c r="FC302" i="2" s="1"/>
  <c r="FD300" i="2"/>
  <c r="FE300" i="2"/>
  <c r="FF300" i="2"/>
  <c r="FG300" i="2"/>
  <c r="FG302" i="2" s="1"/>
  <c r="FH300" i="2"/>
  <c r="FI300" i="2"/>
  <c r="FJ300" i="2"/>
  <c r="FK300" i="2"/>
  <c r="FK302" i="2" s="1"/>
  <c r="FL300" i="2"/>
  <c r="FM300" i="2"/>
  <c r="FN300" i="2"/>
  <c r="FO300" i="2"/>
  <c r="FO302" i="2" s="1"/>
  <c r="FP300" i="2"/>
  <c r="FQ300" i="2"/>
  <c r="FR300" i="2"/>
  <c r="FS300" i="2"/>
  <c r="FS302" i="2" s="1"/>
  <c r="FT300" i="2"/>
  <c r="FU300" i="2"/>
  <c r="FV300" i="2"/>
  <c r="FW300" i="2"/>
  <c r="FW302" i="2" s="1"/>
  <c r="FX300" i="2"/>
  <c r="FY300" i="2"/>
  <c r="FZ300" i="2"/>
  <c r="GA300" i="2"/>
  <c r="GA302" i="2" s="1"/>
  <c r="GB300" i="2"/>
  <c r="GC300" i="2"/>
  <c r="GD300" i="2"/>
  <c r="GE300" i="2"/>
  <c r="GE302" i="2" s="1"/>
  <c r="GF300" i="2"/>
  <c r="GG300" i="2"/>
  <c r="GH300" i="2"/>
  <c r="GI300" i="2"/>
  <c r="GI302" i="2" s="1"/>
  <c r="GJ300" i="2"/>
  <c r="GK300" i="2"/>
  <c r="GL300" i="2"/>
  <c r="GM300" i="2"/>
  <c r="GM302" i="2" s="1"/>
  <c r="GN300" i="2"/>
  <c r="GO300" i="2"/>
  <c r="GP300" i="2"/>
  <c r="GQ300" i="2"/>
  <c r="GR300" i="2"/>
  <c r="GS300" i="2"/>
  <c r="GT300" i="2"/>
  <c r="GT302" i="2" s="1"/>
  <c r="GU300" i="2"/>
  <c r="GU302" i="2" s="1"/>
  <c r="GV300" i="2"/>
  <c r="GW300" i="2"/>
  <c r="GX300" i="2"/>
  <c r="GY300" i="2"/>
  <c r="GY302" i="2" s="1"/>
  <c r="GZ300" i="2"/>
  <c r="HA300" i="2"/>
  <c r="HB300" i="2"/>
  <c r="HB302" i="2" s="1"/>
  <c r="HC300" i="2"/>
  <c r="HC302" i="2" s="1"/>
  <c r="HD300" i="2"/>
  <c r="HE300" i="2"/>
  <c r="HF300" i="2"/>
  <c r="HG300" i="2"/>
  <c r="HG302" i="2" s="1"/>
  <c r="HH300" i="2"/>
  <c r="HI300" i="2"/>
  <c r="HJ300" i="2"/>
  <c r="HK300" i="2"/>
  <c r="HL300" i="2"/>
  <c r="HM300" i="2"/>
  <c r="HN300" i="2"/>
  <c r="HO300" i="2"/>
  <c r="HO302" i="2" s="1"/>
  <c r="HP300" i="2"/>
  <c r="HQ300" i="2"/>
  <c r="HR300" i="2"/>
  <c r="HR302" i="2" s="1"/>
  <c r="HS300" i="2"/>
  <c r="HS302" i="2" s="1"/>
  <c r="HT300" i="2"/>
  <c r="HU300" i="2"/>
  <c r="K301" i="2"/>
  <c r="L301" i="2"/>
  <c r="L302" i="2" s="1"/>
  <c r="M301" i="2"/>
  <c r="N301" i="2"/>
  <c r="O301" i="2"/>
  <c r="P301" i="2"/>
  <c r="Q301" i="2"/>
  <c r="R301" i="2"/>
  <c r="S301" i="2"/>
  <c r="T301" i="2"/>
  <c r="U301" i="2"/>
  <c r="V301" i="2"/>
  <c r="W301" i="2"/>
  <c r="X301" i="2"/>
  <c r="Y301" i="2"/>
  <c r="Z301" i="2"/>
  <c r="AA301" i="2"/>
  <c r="AB301" i="2"/>
  <c r="AC301" i="2"/>
  <c r="AD301" i="2"/>
  <c r="AE301" i="2"/>
  <c r="AF301" i="2"/>
  <c r="AG301" i="2"/>
  <c r="AH301" i="2"/>
  <c r="AI301" i="2"/>
  <c r="AJ301" i="2"/>
  <c r="AK301" i="2"/>
  <c r="AL301" i="2"/>
  <c r="AM301" i="2"/>
  <c r="AN301" i="2"/>
  <c r="AO301" i="2"/>
  <c r="AP301" i="2"/>
  <c r="AQ301" i="2"/>
  <c r="AR301" i="2"/>
  <c r="AS301" i="2"/>
  <c r="AT301" i="2"/>
  <c r="AU301" i="2"/>
  <c r="AV301" i="2"/>
  <c r="AW301" i="2"/>
  <c r="AX301" i="2"/>
  <c r="AY301" i="2"/>
  <c r="AZ301" i="2"/>
  <c r="BA301" i="2"/>
  <c r="BB301" i="2"/>
  <c r="BC301" i="2"/>
  <c r="BD301" i="2"/>
  <c r="BE301" i="2"/>
  <c r="BF301" i="2"/>
  <c r="BG301" i="2"/>
  <c r="BH301" i="2"/>
  <c r="BI301" i="2"/>
  <c r="BJ301" i="2"/>
  <c r="BK301" i="2"/>
  <c r="BL301" i="2"/>
  <c r="BM301" i="2"/>
  <c r="BN301" i="2"/>
  <c r="BO301" i="2"/>
  <c r="BP301" i="2"/>
  <c r="BQ301" i="2"/>
  <c r="BR301" i="2"/>
  <c r="BS301" i="2"/>
  <c r="BT301" i="2"/>
  <c r="BU301" i="2"/>
  <c r="BV301" i="2"/>
  <c r="BW301" i="2"/>
  <c r="BX301" i="2"/>
  <c r="BY301" i="2"/>
  <c r="BZ301" i="2"/>
  <c r="CA301" i="2"/>
  <c r="CB301" i="2"/>
  <c r="CC301" i="2"/>
  <c r="CD301" i="2"/>
  <c r="CE301" i="2"/>
  <c r="CF301" i="2"/>
  <c r="CG301" i="2"/>
  <c r="CH301" i="2"/>
  <c r="CI301" i="2"/>
  <c r="CJ301" i="2"/>
  <c r="CK301" i="2"/>
  <c r="CL301" i="2"/>
  <c r="CM301" i="2"/>
  <c r="CN301" i="2"/>
  <c r="CO301" i="2"/>
  <c r="CP301" i="2"/>
  <c r="CQ301" i="2"/>
  <c r="CR301" i="2"/>
  <c r="CS301" i="2"/>
  <c r="CT301" i="2"/>
  <c r="CU301" i="2"/>
  <c r="CV301" i="2"/>
  <c r="CW301" i="2"/>
  <c r="CX301" i="2"/>
  <c r="CY301" i="2"/>
  <c r="CZ301" i="2"/>
  <c r="DA301" i="2"/>
  <c r="DB301" i="2"/>
  <c r="DC301" i="2"/>
  <c r="DD301" i="2"/>
  <c r="DE301" i="2"/>
  <c r="DF301" i="2"/>
  <c r="DG301" i="2"/>
  <c r="DH301" i="2"/>
  <c r="DI301" i="2"/>
  <c r="DJ301" i="2"/>
  <c r="DK301" i="2"/>
  <c r="DL301" i="2"/>
  <c r="DM301" i="2"/>
  <c r="DN301" i="2"/>
  <c r="DO301" i="2"/>
  <c r="DP301" i="2"/>
  <c r="DQ301" i="2"/>
  <c r="DR301" i="2"/>
  <c r="DS301" i="2"/>
  <c r="DT301" i="2"/>
  <c r="DU301" i="2"/>
  <c r="DV301" i="2"/>
  <c r="DW301" i="2"/>
  <c r="DX301" i="2"/>
  <c r="DY301" i="2"/>
  <c r="DZ301" i="2"/>
  <c r="EA301" i="2"/>
  <c r="EB301" i="2"/>
  <c r="EC301" i="2"/>
  <c r="ED301" i="2"/>
  <c r="EE301" i="2"/>
  <c r="EF301" i="2"/>
  <c r="EG301" i="2"/>
  <c r="EH301" i="2"/>
  <c r="EI301" i="2"/>
  <c r="EJ301" i="2"/>
  <c r="EK301" i="2"/>
  <c r="EL301" i="2"/>
  <c r="EM301" i="2"/>
  <c r="EN301" i="2"/>
  <c r="EO301" i="2"/>
  <c r="EP301" i="2"/>
  <c r="EQ301" i="2"/>
  <c r="ER301" i="2"/>
  <c r="ES301" i="2"/>
  <c r="ET301" i="2"/>
  <c r="EU301" i="2"/>
  <c r="EV301" i="2"/>
  <c r="EW301" i="2"/>
  <c r="EX301" i="2"/>
  <c r="EY301" i="2"/>
  <c r="EZ301" i="2"/>
  <c r="FA301" i="2"/>
  <c r="FB301" i="2"/>
  <c r="FC301" i="2"/>
  <c r="FD301" i="2"/>
  <c r="FE301" i="2"/>
  <c r="FF301" i="2"/>
  <c r="FG301" i="2"/>
  <c r="FH301" i="2"/>
  <c r="FI301" i="2"/>
  <c r="FJ301" i="2"/>
  <c r="FK301" i="2"/>
  <c r="FL301" i="2"/>
  <c r="FM301" i="2"/>
  <c r="FN301" i="2"/>
  <c r="FO301" i="2"/>
  <c r="FP301" i="2"/>
  <c r="FQ301" i="2"/>
  <c r="FR301" i="2"/>
  <c r="FS301" i="2"/>
  <c r="FT301" i="2"/>
  <c r="FU301" i="2"/>
  <c r="FV301" i="2"/>
  <c r="FW301" i="2"/>
  <c r="FX301" i="2"/>
  <c r="FY301" i="2"/>
  <c r="FZ301" i="2"/>
  <c r="GA301" i="2"/>
  <c r="GB301" i="2"/>
  <c r="GC301" i="2"/>
  <c r="GD301" i="2"/>
  <c r="GE301" i="2"/>
  <c r="GF301" i="2"/>
  <c r="GG301" i="2"/>
  <c r="GH301" i="2"/>
  <c r="GI301" i="2"/>
  <c r="GJ301" i="2"/>
  <c r="GK301" i="2"/>
  <c r="GL301" i="2"/>
  <c r="GM301" i="2"/>
  <c r="GN301" i="2"/>
  <c r="GO301" i="2"/>
  <c r="GP301" i="2"/>
  <c r="GQ301" i="2"/>
  <c r="GR301" i="2"/>
  <c r="GS301" i="2"/>
  <c r="GT301" i="2"/>
  <c r="GU301" i="2"/>
  <c r="GV301" i="2"/>
  <c r="GW301" i="2"/>
  <c r="GX301" i="2"/>
  <c r="GY301" i="2"/>
  <c r="GZ301" i="2"/>
  <c r="HA301" i="2"/>
  <c r="HB301" i="2"/>
  <c r="HC301" i="2"/>
  <c r="HD301" i="2"/>
  <c r="HE301" i="2"/>
  <c r="HF301" i="2"/>
  <c r="HG301" i="2"/>
  <c r="HH301" i="2"/>
  <c r="HI301" i="2"/>
  <c r="HJ301" i="2"/>
  <c r="HK301" i="2"/>
  <c r="HL301" i="2"/>
  <c r="HM301" i="2"/>
  <c r="HN301" i="2"/>
  <c r="HO301" i="2"/>
  <c r="HP301" i="2"/>
  <c r="HQ301" i="2"/>
  <c r="HR301" i="2"/>
  <c r="HS301" i="2"/>
  <c r="HT301" i="2"/>
  <c r="HU301" i="2"/>
  <c r="P302" i="2"/>
  <c r="AU302" i="2"/>
  <c r="CA302" i="2"/>
  <c r="DG302" i="2"/>
  <c r="EM302" i="2"/>
  <c r="GL302" i="2"/>
  <c r="GQ302" i="2"/>
  <c r="HK302" i="2"/>
  <c r="J301" i="2"/>
  <c r="J300" i="2"/>
  <c r="J1" i="2"/>
  <c r="HN302" i="2" l="1"/>
  <c r="HJ302" i="2"/>
  <c r="HF302" i="2"/>
  <c r="GX302" i="2"/>
  <c r="GP302" i="2"/>
  <c r="GH302" i="2"/>
  <c r="GD302" i="2"/>
  <c r="FZ302" i="2"/>
  <c r="FV302" i="2"/>
  <c r="FR302" i="2"/>
  <c r="FN302" i="2"/>
  <c r="FJ302" i="2"/>
  <c r="FF302" i="2"/>
  <c r="FB302" i="2"/>
  <c r="EX302" i="2"/>
  <c r="ET302" i="2"/>
  <c r="EP302" i="2"/>
  <c r="EL302" i="2"/>
  <c r="EH302" i="2"/>
  <c r="ED302" i="2"/>
  <c r="DZ302" i="2"/>
  <c r="DV302" i="2"/>
  <c r="DR302" i="2"/>
  <c r="DN302" i="2"/>
  <c r="DJ302" i="2"/>
  <c r="DF302" i="2"/>
  <c r="DB302" i="2"/>
  <c r="CX302" i="2"/>
  <c r="CT302" i="2"/>
  <c r="CP302" i="2"/>
  <c r="CL302" i="2"/>
  <c r="CH302" i="2"/>
  <c r="CD302" i="2"/>
  <c r="BZ302" i="2"/>
  <c r="BV302" i="2"/>
  <c r="BR302" i="2"/>
  <c r="BN302" i="2"/>
  <c r="BJ302" i="2"/>
  <c r="BF302" i="2"/>
  <c r="BB302" i="2"/>
  <c r="AX302" i="2"/>
  <c r="AT302" i="2"/>
  <c r="AP302" i="2"/>
  <c r="AL302" i="2"/>
  <c r="AH302" i="2"/>
  <c r="AD302" i="2"/>
  <c r="Z302" i="2"/>
  <c r="V302" i="2"/>
  <c r="R302" i="2"/>
  <c r="N302" i="2"/>
  <c r="HT302" i="2"/>
  <c r="HP302" i="2"/>
  <c r="HL302" i="2"/>
  <c r="HH302" i="2"/>
  <c r="HD302" i="2"/>
  <c r="GZ302" i="2"/>
  <c r="GV302" i="2"/>
  <c r="GR302" i="2"/>
  <c r="GN302" i="2"/>
  <c r="GJ302" i="2"/>
  <c r="GF302" i="2"/>
  <c r="GB302" i="2"/>
  <c r="FX302" i="2"/>
  <c r="FT302" i="2"/>
  <c r="FP302" i="2"/>
  <c r="FL302" i="2"/>
  <c r="FH302" i="2"/>
  <c r="FD302" i="2"/>
  <c r="EZ302" i="2"/>
  <c r="EV302" i="2"/>
  <c r="ER302" i="2"/>
  <c r="EN302" i="2"/>
  <c r="EJ302" i="2"/>
  <c r="EF302" i="2"/>
  <c r="EB302" i="2"/>
  <c r="DX302" i="2"/>
  <c r="DT302" i="2"/>
  <c r="DP302" i="2"/>
  <c r="DL302" i="2"/>
  <c r="DH302" i="2"/>
  <c r="DD302" i="2"/>
  <c r="CZ302" i="2"/>
  <c r="CV302" i="2"/>
  <c r="CR302" i="2"/>
  <c r="CN302" i="2"/>
  <c r="CJ302" i="2"/>
  <c r="CF302" i="2"/>
  <c r="CB302" i="2"/>
  <c r="BX302" i="2"/>
  <c r="BT302" i="2"/>
  <c r="BP302" i="2"/>
  <c r="BL302" i="2"/>
  <c r="BH302" i="2"/>
  <c r="BD302" i="2"/>
  <c r="J302" i="2"/>
  <c r="HU302" i="2"/>
  <c r="HQ302" i="2"/>
  <c r="HM302" i="2"/>
  <c r="HI302" i="2"/>
  <c r="HE302" i="2"/>
  <c r="HA302" i="2"/>
  <c r="GW302" i="2"/>
  <c r="GS302" i="2"/>
  <c r="GO302" i="2"/>
  <c r="GK302" i="2"/>
  <c r="GG302" i="2"/>
  <c r="GC302" i="2"/>
  <c r="FY302" i="2"/>
  <c r="FU302" i="2"/>
  <c r="FQ302" i="2"/>
  <c r="FM302" i="2"/>
  <c r="FI302" i="2"/>
  <c r="FE302" i="2"/>
  <c r="FA302" i="2"/>
  <c r="EW302" i="2"/>
  <c r="ES302" i="2"/>
  <c r="EO302" i="2"/>
  <c r="EK302" i="2"/>
  <c r="EG302" i="2"/>
  <c r="EC302" i="2"/>
  <c r="DY302" i="2"/>
  <c r="DU302" i="2"/>
  <c r="DQ302" i="2"/>
  <c r="DM302" i="2"/>
  <c r="DI302" i="2"/>
  <c r="DE302" i="2"/>
  <c r="DA302" i="2"/>
  <c r="CW302" i="2"/>
  <c r="CS302" i="2"/>
  <c r="CO302" i="2"/>
  <c r="CK302" i="2"/>
  <c r="CG302" i="2"/>
  <c r="CC302" i="2"/>
  <c r="BY302" i="2"/>
  <c r="BU302" i="2"/>
  <c r="BQ302" i="2"/>
  <c r="BM302" i="2"/>
  <c r="BI302" i="2"/>
  <c r="BE302" i="2"/>
  <c r="BA302" i="2"/>
  <c r="AW302" i="2"/>
  <c r="AS302" i="2"/>
  <c r="AO302" i="2"/>
  <c r="AK302" i="2"/>
  <c r="AG302" i="2"/>
  <c r="AC302" i="2"/>
  <c r="Y302" i="2"/>
  <c r="U302" i="2"/>
  <c r="Q302" i="2"/>
  <c r="M302" i="2"/>
  <c r="AZ302" i="2"/>
  <c r="AV302" i="2"/>
  <c r="AR302" i="2"/>
  <c r="AN302" i="2"/>
  <c r="AJ302" i="2"/>
  <c r="AF302" i="2"/>
  <c r="AB302" i="2"/>
  <c r="X302" i="2"/>
  <c r="T302" i="2"/>
  <c r="U64" i="4"/>
  <c r="U80" i="4" s="1"/>
  <c r="AQ64" i="4"/>
  <c r="AP64" i="4" l="1"/>
  <c r="T64" i="4"/>
  <c r="T80" i="4" s="1"/>
  <c r="X2" i="4" l="1"/>
  <c r="B2" i="4"/>
  <c r="B56" i="4" l="1"/>
  <c r="CL2" i="4" s="1"/>
  <c r="B57" i="4"/>
  <c r="AR46" i="4"/>
  <c r="AR25" i="4"/>
  <c r="AR74" i="4" s="1"/>
  <c r="V46" i="4"/>
  <c r="V25" i="4"/>
  <c r="AP46" i="4"/>
  <c r="AQ24" i="4"/>
  <c r="AQ74" i="4" s="1"/>
  <c r="AQ46" i="4"/>
  <c r="T46" i="4"/>
  <c r="U46" i="4"/>
  <c r="U24" i="4"/>
  <c r="U74" i="4" s="1"/>
  <c r="T23" i="4"/>
  <c r="AP23" i="4"/>
  <c r="CM63" i="4" l="1"/>
  <c r="CL1" i="4"/>
  <c r="CL5" i="4"/>
  <c r="CL34" i="4" s="1"/>
  <c r="DF46" i="4"/>
  <c r="DB46" i="4"/>
  <c r="CX46" i="4"/>
  <c r="CT46" i="4"/>
  <c r="CP46" i="4"/>
  <c r="CL46" i="4"/>
  <c r="DC46" i="4"/>
  <c r="CY46" i="4"/>
  <c r="CU46" i="4"/>
  <c r="CQ46" i="4"/>
  <c r="CM46" i="4"/>
  <c r="CL39" i="4"/>
  <c r="DD23" i="4"/>
  <c r="DD38" i="4" s="1"/>
  <c r="CZ19" i="4"/>
  <c r="CZ32" i="4" s="1"/>
  <c r="CV15" i="4"/>
  <c r="CV27" i="4" s="1"/>
  <c r="CR11" i="4"/>
  <c r="CR43" i="4" s="1"/>
  <c r="CN7" i="4"/>
  <c r="CN38" i="4" s="1"/>
  <c r="DD46" i="4"/>
  <c r="DD34" i="4"/>
  <c r="CZ46" i="4"/>
  <c r="CV46" i="4"/>
  <c r="CR46" i="4"/>
  <c r="CR29" i="4"/>
  <c r="CN46" i="4"/>
  <c r="CN34" i="4"/>
  <c r="CL38" i="4"/>
  <c r="DC22" i="4"/>
  <c r="DC36" i="4" s="1"/>
  <c r="DD39" i="4"/>
  <c r="DD33" i="4"/>
  <c r="DD28" i="4"/>
  <c r="DA46" i="4"/>
  <c r="CN28" i="4"/>
  <c r="DF25" i="4"/>
  <c r="DF40" i="4" s="1"/>
  <c r="DF37" i="4" s="1"/>
  <c r="CY18" i="4"/>
  <c r="CY30" i="4" s="1"/>
  <c r="CT13" i="4"/>
  <c r="CT39" i="4" s="1"/>
  <c r="CO8" i="4"/>
  <c r="CO39" i="4" s="1"/>
  <c r="DE46" i="4"/>
  <c r="CY38" i="4"/>
  <c r="CS46" i="4"/>
  <c r="CN33" i="4"/>
  <c r="CL42" i="4"/>
  <c r="DB21" i="4"/>
  <c r="DB34" i="4" s="1"/>
  <c r="CU14" i="4"/>
  <c r="CU40" i="4" s="1"/>
  <c r="CU37" i="4" s="1"/>
  <c r="CM6" i="4"/>
  <c r="CM36" i="4" s="1"/>
  <c r="DD45" i="4"/>
  <c r="CY32" i="4"/>
  <c r="CW46" i="4"/>
  <c r="CL36" i="4"/>
  <c r="DA20" i="4"/>
  <c r="DA33" i="4" s="1"/>
  <c r="CS12" i="4"/>
  <c r="CS45" i="4" s="1"/>
  <c r="CN45" i="4"/>
  <c r="CL30" i="4"/>
  <c r="CX17" i="4"/>
  <c r="CX29" i="4" s="1"/>
  <c r="CQ10" i="4"/>
  <c r="CQ42" i="4" s="1"/>
  <c r="CO46" i="4"/>
  <c r="CN39" i="4"/>
  <c r="DE24" i="4"/>
  <c r="DE39" i="4" s="1"/>
  <c r="CW16" i="4"/>
  <c r="CW28" i="4" s="1"/>
  <c r="CP9" i="4"/>
  <c r="CP40" i="4" s="1"/>
  <c r="CP37" i="4" s="1"/>
  <c r="V45" i="4"/>
  <c r="V74" i="4"/>
  <c r="V75" i="4" s="1"/>
  <c r="AR30" i="4"/>
  <c r="AR27" i="4"/>
  <c r="AR28" i="4"/>
  <c r="AR36" i="4"/>
  <c r="AR40" i="4"/>
  <c r="AR37" i="4" s="1"/>
  <c r="AR33" i="4"/>
  <c r="AR29" i="4"/>
  <c r="AR43" i="4"/>
  <c r="AR38" i="4"/>
  <c r="AR32" i="4"/>
  <c r="AR42" i="4"/>
  <c r="AR45" i="4"/>
  <c r="AR34" i="4"/>
  <c r="AR75" i="4"/>
  <c r="AR39" i="4"/>
  <c r="V28" i="4"/>
  <c r="V29" i="4"/>
  <c r="V30" i="4"/>
  <c r="V33" i="4"/>
  <c r="V36" i="4"/>
  <c r="V38" i="4"/>
  <c r="V39" i="4"/>
  <c r="V40" i="4"/>
  <c r="V37" i="4" s="1"/>
  <c r="V27" i="4"/>
  <c r="V32" i="4"/>
  <c r="V34" i="4"/>
  <c r="V42" i="4"/>
  <c r="V43" i="4"/>
  <c r="U34" i="4"/>
  <c r="U27" i="4"/>
  <c r="U28" i="4"/>
  <c r="AQ38" i="4"/>
  <c r="U29" i="4"/>
  <c r="U42" i="4"/>
  <c r="U43" i="4"/>
  <c r="U39" i="4"/>
  <c r="AQ40" i="4"/>
  <c r="AQ37" i="4" s="1"/>
  <c r="AQ30" i="4"/>
  <c r="AQ36" i="4"/>
  <c r="AQ39" i="4"/>
  <c r="AQ27" i="4"/>
  <c r="AQ34" i="4"/>
  <c r="AQ42" i="4"/>
  <c r="AQ45" i="4"/>
  <c r="AQ33" i="4"/>
  <c r="AQ43" i="4"/>
  <c r="AQ29" i="4"/>
  <c r="AR67" i="4" s="1"/>
  <c r="AQ32" i="4"/>
  <c r="AQ28" i="4"/>
  <c r="U32" i="4"/>
  <c r="U45" i="4"/>
  <c r="U33" i="4"/>
  <c r="U36" i="4"/>
  <c r="U40" i="4"/>
  <c r="U37" i="4" s="1"/>
  <c r="U30" i="4"/>
  <c r="U38" i="4"/>
  <c r="T39" i="4"/>
  <c r="T74" i="4"/>
  <c r="U75" i="4" s="1"/>
  <c r="AP28" i="4"/>
  <c r="AP74" i="4"/>
  <c r="AQ75" i="4" s="1"/>
  <c r="T43" i="4"/>
  <c r="AP42" i="4"/>
  <c r="T32" i="4"/>
  <c r="AP36" i="4"/>
  <c r="AP34" i="4"/>
  <c r="AP33" i="4"/>
  <c r="T30" i="4"/>
  <c r="T29" i="4"/>
  <c r="T28" i="4"/>
  <c r="AP38" i="4"/>
  <c r="AP43" i="4"/>
  <c r="T45" i="4"/>
  <c r="T42" i="4"/>
  <c r="AP32" i="4"/>
  <c r="AP40" i="4"/>
  <c r="AP37" i="4" s="1"/>
  <c r="AP39" i="4"/>
  <c r="T38" i="4"/>
  <c r="T40" i="4"/>
  <c r="T37" i="4" s="1"/>
  <c r="AP27" i="4"/>
  <c r="T36" i="4"/>
  <c r="T34" i="4"/>
  <c r="T33" i="4"/>
  <c r="T27" i="4"/>
  <c r="AP45" i="4"/>
  <c r="AP30" i="4"/>
  <c r="AP29" i="4"/>
  <c r="Z63" i="4"/>
  <c r="CZ33" i="4" l="1"/>
  <c r="CZ29" i="4"/>
  <c r="CL40" i="4"/>
  <c r="CL37" i="4" s="1"/>
  <c r="CL32" i="4"/>
  <c r="CL33" i="4"/>
  <c r="AR66" i="4"/>
  <c r="CN40" i="4"/>
  <c r="CN37" i="4" s="1"/>
  <c r="CN29" i="4"/>
  <c r="CY27" i="4"/>
  <c r="DC32" i="4"/>
  <c r="DC43" i="4"/>
  <c r="CZ30" i="4"/>
  <c r="CZ34" i="4"/>
  <c r="CZ28" i="4"/>
  <c r="CS42" i="4"/>
  <c r="CZ39" i="4"/>
  <c r="DC27" i="4"/>
  <c r="DC38" i="4"/>
  <c r="CV39" i="4"/>
  <c r="CO40" i="4"/>
  <c r="CO37" i="4" s="1"/>
  <c r="DB42" i="4"/>
  <c r="CO34" i="4"/>
  <c r="CZ45" i="4"/>
  <c r="CL43" i="4"/>
  <c r="CZ40" i="4"/>
  <c r="CZ37" i="4" s="1"/>
  <c r="CL45" i="4"/>
  <c r="CW27" i="4"/>
  <c r="CL29" i="4"/>
  <c r="CO45" i="4"/>
  <c r="DB40" i="4"/>
  <c r="DB37" i="4" s="1"/>
  <c r="CX36" i="4"/>
  <c r="CW29" i="4"/>
  <c r="CT42" i="4"/>
  <c r="CL27" i="4"/>
  <c r="CY28" i="4"/>
  <c r="CL28" i="4"/>
  <c r="CQ38" i="4"/>
  <c r="CW34" i="4"/>
  <c r="CR28" i="4"/>
  <c r="CR39" i="4"/>
  <c r="CR34" i="4"/>
  <c r="CU45" i="4"/>
  <c r="DA30" i="4"/>
  <c r="CN36" i="4"/>
  <c r="CR42" i="4"/>
  <c r="CX28" i="4"/>
  <c r="DA32" i="4"/>
  <c r="DD36" i="4"/>
  <c r="CU30" i="4"/>
  <c r="CY36" i="4"/>
  <c r="CR45" i="4"/>
  <c r="CU27" i="4"/>
  <c r="CR33" i="4"/>
  <c r="DA34" i="4"/>
  <c r="CO36" i="4"/>
  <c r="CR40" i="4"/>
  <c r="CR37" i="4" s="1"/>
  <c r="DB32" i="4"/>
  <c r="DF38" i="4"/>
  <c r="CO38" i="4"/>
  <c r="CS43" i="4"/>
  <c r="CY29" i="4"/>
  <c r="DB33" i="4"/>
  <c r="DF39" i="4"/>
  <c r="CR27" i="4"/>
  <c r="CW33" i="4"/>
  <c r="CZ38" i="4"/>
  <c r="DC42" i="4"/>
  <c r="CU43" i="4"/>
  <c r="CP38" i="4"/>
  <c r="CX27" i="4"/>
  <c r="DC33" i="4"/>
  <c r="CP39" i="4"/>
  <c r="DC34" i="4"/>
  <c r="CN43" i="4"/>
  <c r="CS28" i="4"/>
  <c r="CX34" i="4"/>
  <c r="DA39" i="4"/>
  <c r="DD43" i="4"/>
  <c r="CT43" i="4"/>
  <c r="DE45" i="4"/>
  <c r="CM32" i="4"/>
  <c r="CP36" i="4"/>
  <c r="CV28" i="4"/>
  <c r="CM43" i="4"/>
  <c r="CS40" i="4"/>
  <c r="CS37" i="4" s="1"/>
  <c r="CU32" i="4"/>
  <c r="DA40" i="4"/>
  <c r="DA37" i="4" s="1"/>
  <c r="CO29" i="4"/>
  <c r="CS34" i="4"/>
  <c r="CW40" i="4"/>
  <c r="CW37" i="4" s="1"/>
  <c r="DF30" i="4"/>
  <c r="DB36" i="4"/>
  <c r="DF42" i="4"/>
  <c r="CM39" i="4"/>
  <c r="CO42" i="4"/>
  <c r="CP43" i="4"/>
  <c r="CQ45" i="4"/>
  <c r="CT27" i="4"/>
  <c r="CU28" i="4"/>
  <c r="CV29" i="4"/>
  <c r="CW30" i="4"/>
  <c r="CX32" i="4"/>
  <c r="CY33" i="4"/>
  <c r="DA36" i="4"/>
  <c r="DB38" i="4"/>
  <c r="DC39" i="4"/>
  <c r="DD40" i="4"/>
  <c r="DD37" i="4" s="1"/>
  <c r="DE42" i="4"/>
  <c r="DF43" i="4"/>
  <c r="CM40" i="4"/>
  <c r="CM37" i="4" s="1"/>
  <c r="CN42" i="4"/>
  <c r="CO43" i="4"/>
  <c r="CP45" i="4"/>
  <c r="CS27" i="4"/>
  <c r="CT28" i="4"/>
  <c r="CU29" i="4"/>
  <c r="CV30" i="4"/>
  <c r="CW32" i="4"/>
  <c r="CX33" i="4"/>
  <c r="CY34" i="4"/>
  <c r="CZ36" i="4"/>
  <c r="DA38" i="4"/>
  <c r="DB39" i="4"/>
  <c r="DC40" i="4"/>
  <c r="DC37" i="4" s="1"/>
  <c r="DD42" i="4"/>
  <c r="DE43" i="4"/>
  <c r="DF45" i="4"/>
  <c r="CN27" i="4"/>
  <c r="CO28" i="4"/>
  <c r="CP29" i="4"/>
  <c r="CQ30" i="4"/>
  <c r="CR32" i="4"/>
  <c r="CS33" i="4"/>
  <c r="CT34" i="4"/>
  <c r="CU36" i="4"/>
  <c r="CV38" i="4"/>
  <c r="CW39" i="4"/>
  <c r="CX40" i="4"/>
  <c r="CX37" i="4" s="1"/>
  <c r="CY42" i="4"/>
  <c r="CZ43" i="4"/>
  <c r="DA45" i="4"/>
  <c r="DD27" i="4"/>
  <c r="DE28" i="4"/>
  <c r="DF29" i="4"/>
  <c r="CM33" i="4"/>
  <c r="CM34" i="4"/>
  <c r="CQ40" i="4"/>
  <c r="CQ37" i="4" s="1"/>
  <c r="CT45" i="4"/>
  <c r="DE38" i="4"/>
  <c r="CM42" i="4"/>
  <c r="CT29" i="4"/>
  <c r="CT30" i="4"/>
  <c r="CQ43" i="4"/>
  <c r="CQ27" i="4"/>
  <c r="CV45" i="4"/>
  <c r="CP30" i="4"/>
  <c r="CT36" i="4"/>
  <c r="CX42" i="4"/>
  <c r="DA29" i="4"/>
  <c r="DE34" i="4"/>
  <c r="CM45" i="4"/>
  <c r="CP27" i="4"/>
  <c r="CQ28" i="4"/>
  <c r="CS30" i="4"/>
  <c r="CT32" i="4"/>
  <c r="CU33" i="4"/>
  <c r="CV34" i="4"/>
  <c r="CW36" i="4"/>
  <c r="CX38" i="4"/>
  <c r="CY39" i="4"/>
  <c r="DA42" i="4"/>
  <c r="DB43" i="4"/>
  <c r="DC45" i="4"/>
  <c r="DF27" i="4"/>
  <c r="CO27" i="4"/>
  <c r="CP28" i="4"/>
  <c r="CQ29" i="4"/>
  <c r="CR30" i="4"/>
  <c r="CS32" i="4"/>
  <c r="CT33" i="4"/>
  <c r="CU34" i="4"/>
  <c r="CV36" i="4"/>
  <c r="CW38" i="4"/>
  <c r="CX39" i="4"/>
  <c r="CY40" i="4"/>
  <c r="CY37" i="4" s="1"/>
  <c r="CZ42" i="4"/>
  <c r="DA43" i="4"/>
  <c r="DB45" i="4"/>
  <c r="DE27" i="4"/>
  <c r="DF28" i="4"/>
  <c r="CM30" i="4"/>
  <c r="CN32" i="4"/>
  <c r="CO33" i="4"/>
  <c r="CP34" i="4"/>
  <c r="CQ36" i="4"/>
  <c r="CR38" i="4"/>
  <c r="CS39" i="4"/>
  <c r="CT40" i="4"/>
  <c r="CT37" i="4" s="1"/>
  <c r="CU42" i="4"/>
  <c r="CV43" i="4"/>
  <c r="CW45" i="4"/>
  <c r="CZ27" i="4"/>
  <c r="DA28" i="4"/>
  <c r="DB29" i="4"/>
  <c r="DC30" i="4"/>
  <c r="DD32" i="4"/>
  <c r="DE33" i="4"/>
  <c r="DF34" i="4"/>
  <c r="DE29" i="4"/>
  <c r="DE40" i="4"/>
  <c r="DE37" i="4" s="1"/>
  <c r="CQ39" i="4"/>
  <c r="DE36" i="4"/>
  <c r="CV32" i="4"/>
  <c r="CM38" i="4"/>
  <c r="CS29" i="4"/>
  <c r="CP42" i="4"/>
  <c r="CV33" i="4"/>
  <c r="CX30" i="4"/>
  <c r="CM27" i="4"/>
  <c r="CQ32" i="4"/>
  <c r="CU38" i="4"/>
  <c r="CY43" i="4"/>
  <c r="DB30" i="4"/>
  <c r="DF36" i="4"/>
  <c r="CM28" i="4"/>
  <c r="CO30" i="4"/>
  <c r="CP32" i="4"/>
  <c r="CQ33" i="4"/>
  <c r="CS36" i="4"/>
  <c r="CT38" i="4"/>
  <c r="CU39" i="4"/>
  <c r="CV40" i="4"/>
  <c r="CV37" i="4" s="1"/>
  <c r="CW42" i="4"/>
  <c r="CX43" i="4"/>
  <c r="CY45" i="4"/>
  <c r="DB27" i="4"/>
  <c r="DC28" i="4"/>
  <c r="DD29" i="4"/>
  <c r="DE30" i="4"/>
  <c r="DF32" i="4"/>
  <c r="CM29" i="4"/>
  <c r="CN30" i="4"/>
  <c r="CO32" i="4"/>
  <c r="CP33" i="4"/>
  <c r="CQ34" i="4"/>
  <c r="CR36" i="4"/>
  <c r="CS38" i="4"/>
  <c r="CV42" i="4"/>
  <c r="CW43" i="4"/>
  <c r="CX45" i="4"/>
  <c r="DA27" i="4"/>
  <c r="DB28" i="4"/>
  <c r="DC29" i="4"/>
  <c r="DD30" i="4"/>
  <c r="DE32" i="4"/>
  <c r="DF33" i="4"/>
  <c r="AR65" i="4"/>
  <c r="V81" i="4"/>
  <c r="V67" i="4"/>
  <c r="V65" i="4"/>
  <c r="V69" i="4"/>
  <c r="V66" i="4"/>
  <c r="U65" i="4"/>
  <c r="V68" i="4"/>
  <c r="AR69" i="4"/>
  <c r="AR68" i="4"/>
  <c r="U68" i="4"/>
  <c r="U67" i="4"/>
  <c r="U69" i="4"/>
  <c r="U66" i="4"/>
  <c r="AQ67" i="4"/>
  <c r="AQ68" i="4"/>
  <c r="AQ66" i="4"/>
  <c r="AQ65" i="4"/>
  <c r="AQ69" i="4"/>
  <c r="U81" i="4"/>
  <c r="T81" i="4"/>
  <c r="AM64" i="4"/>
  <c r="AN64" i="4"/>
  <c r="AO64" i="4"/>
  <c r="Q64" i="4" l="1"/>
  <c r="Q80" i="4" s="1"/>
  <c r="R64" i="4"/>
  <c r="R80" i="4" s="1"/>
  <c r="S64" i="4"/>
  <c r="S80" i="4" s="1"/>
  <c r="A85" i="4" l="1"/>
  <c r="A84" i="4"/>
  <c r="A83" i="4"/>
  <c r="AK64" i="4"/>
  <c r="AL64" i="4"/>
  <c r="O64" i="4"/>
  <c r="O80" i="4" s="1"/>
  <c r="P64" i="4"/>
  <c r="P80" i="4" s="1"/>
  <c r="N64" i="4"/>
  <c r="N80" i="4" s="1"/>
  <c r="CB64" i="4"/>
  <c r="BF64" i="4"/>
  <c r="AJ64" i="4"/>
  <c r="BE64" i="4"/>
  <c r="AI64" i="4"/>
  <c r="M64" i="4"/>
  <c r="M80" i="4" s="1"/>
  <c r="CA64" i="4"/>
  <c r="BZ64" i="4"/>
  <c r="BY64" i="4"/>
  <c r="BX64" i="4"/>
  <c r="BW64" i="4"/>
  <c r="BV64" i="4"/>
  <c r="BU64" i="4"/>
  <c r="BT64" i="4"/>
  <c r="BS64" i="4"/>
  <c r="BR64" i="4"/>
  <c r="BQ64" i="4"/>
  <c r="BD64" i="4"/>
  <c r="BC64" i="4"/>
  <c r="BB64" i="4"/>
  <c r="BA64" i="4"/>
  <c r="AZ64" i="4"/>
  <c r="AY64" i="4"/>
  <c r="AX64" i="4"/>
  <c r="AW64" i="4"/>
  <c r="AV64" i="4"/>
  <c r="AU64" i="4"/>
  <c r="AH64" i="4"/>
  <c r="AG64" i="4"/>
  <c r="AF64" i="4"/>
  <c r="AE64" i="4"/>
  <c r="AD64" i="4"/>
  <c r="AC64" i="4"/>
  <c r="AB64" i="4"/>
  <c r="AA64" i="4"/>
  <c r="Z64" i="4"/>
  <c r="Y64" i="4"/>
  <c r="D64" i="4"/>
  <c r="D80" i="4" s="1"/>
  <c r="E64" i="4"/>
  <c r="E80" i="4" s="1"/>
  <c r="F64" i="4"/>
  <c r="F80" i="4" s="1"/>
  <c r="G64" i="4"/>
  <c r="G80" i="4" s="1"/>
  <c r="H64" i="4"/>
  <c r="H80" i="4" s="1"/>
  <c r="I64" i="4"/>
  <c r="I80" i="4" s="1"/>
  <c r="J64" i="4"/>
  <c r="J80" i="4" s="1"/>
  <c r="K64" i="4"/>
  <c r="K80" i="4" s="1"/>
  <c r="L64" i="4"/>
  <c r="L80" i="4" s="1"/>
  <c r="C64" i="4"/>
  <c r="C80" i="4" s="1"/>
  <c r="X46" i="4" l="1"/>
  <c r="AB46" i="4"/>
  <c r="AF46" i="4"/>
  <c r="AJ46" i="4"/>
  <c r="AN46" i="4"/>
  <c r="Y46" i="4"/>
  <c r="AD46" i="4"/>
  <c r="AI46" i="4"/>
  <c r="AO46" i="4"/>
  <c r="AC46" i="4"/>
  <c r="AM46" i="4"/>
  <c r="Z46" i="4"/>
  <c r="AE46" i="4"/>
  <c r="AK46" i="4"/>
  <c r="AA46" i="4"/>
  <c r="AG46" i="4"/>
  <c r="AL46" i="4"/>
  <c r="AH46" i="4"/>
  <c r="G10" i="4"/>
  <c r="G74" i="4" s="1"/>
  <c r="P46" i="4"/>
  <c r="P85" i="4" s="1"/>
  <c r="L46" i="4"/>
  <c r="H46" i="4"/>
  <c r="D46" i="4"/>
  <c r="S46" i="4"/>
  <c r="O46" i="4"/>
  <c r="K46" i="4"/>
  <c r="G46" i="4"/>
  <c r="C46" i="4"/>
  <c r="M46" i="4"/>
  <c r="E46" i="4"/>
  <c r="R46" i="4"/>
  <c r="J46" i="4"/>
  <c r="B46" i="4"/>
  <c r="Q46" i="4"/>
  <c r="I46" i="4"/>
  <c r="N46" i="4"/>
  <c r="N85" i="4" s="1"/>
  <c r="F46" i="4"/>
  <c r="Z7" i="4"/>
  <c r="Z74" i="4" s="1"/>
  <c r="AO22" i="4"/>
  <c r="AO74" i="4" s="1"/>
  <c r="AP75" i="4" s="1"/>
  <c r="R21" i="4"/>
  <c r="R74" i="4" s="1"/>
  <c r="S22" i="4"/>
  <c r="S74" i="4" s="1"/>
  <c r="T75" i="4" s="1"/>
  <c r="AM20" i="4"/>
  <c r="AM74" i="4" s="1"/>
  <c r="AN21" i="4"/>
  <c r="AN74" i="4" s="1"/>
  <c r="Q20" i="4"/>
  <c r="Q74" i="4" s="1"/>
  <c r="B5" i="4"/>
  <c r="B27" i="4" s="1"/>
  <c r="B55" i="4"/>
  <c r="Y6" i="4"/>
  <c r="Y38" i="4" s="1"/>
  <c r="X72" i="4"/>
  <c r="AC10" i="4"/>
  <c r="AC74" i="4" s="1"/>
  <c r="AE12" i="4"/>
  <c r="AE27" i="4" s="1"/>
  <c r="AG14" i="4"/>
  <c r="AG36" i="4" s="1"/>
  <c r="AF13" i="4"/>
  <c r="AF33" i="4" s="1"/>
  <c r="AB9" i="4"/>
  <c r="AB36" i="4" s="1"/>
  <c r="B72" i="4"/>
  <c r="AL19" i="4"/>
  <c r="AL74" i="4" s="1"/>
  <c r="F9" i="4"/>
  <c r="F74" i="4" s="1"/>
  <c r="B50" i="4"/>
  <c r="AJ17" i="4"/>
  <c r="AJ30" i="4" s="1"/>
  <c r="AA8" i="4"/>
  <c r="AA29" i="4" s="1"/>
  <c r="AK18" i="4"/>
  <c r="AK40" i="4" s="1"/>
  <c r="AK37" i="4" s="1"/>
  <c r="AH15" i="4"/>
  <c r="AH32" i="4" s="1"/>
  <c r="AD11" i="4"/>
  <c r="AD34" i="4" s="1"/>
  <c r="P19" i="4"/>
  <c r="P34" i="4" s="1"/>
  <c r="C63" i="4"/>
  <c r="L79" i="4" s="1"/>
  <c r="B51" i="4"/>
  <c r="BP2" i="4" s="1"/>
  <c r="B52" i="4"/>
  <c r="X5" i="4"/>
  <c r="X28" i="4" s="1"/>
  <c r="AI16" i="4"/>
  <c r="AI74" i="4" s="1"/>
  <c r="Y63" i="4"/>
  <c r="J13" i="4"/>
  <c r="J38" i="4" s="1"/>
  <c r="I12" i="4"/>
  <c r="I74" i="4" s="1"/>
  <c r="B54" i="4"/>
  <c r="B53" i="4"/>
  <c r="AT2" i="4" s="1"/>
  <c r="E8" i="4"/>
  <c r="E38" i="4" s="1"/>
  <c r="M16" i="4"/>
  <c r="M40" i="4" s="1"/>
  <c r="H11" i="4"/>
  <c r="H30" i="4" s="1"/>
  <c r="N17" i="4"/>
  <c r="N45" i="4" s="1"/>
  <c r="C6" i="4"/>
  <c r="C45" i="4" s="1"/>
  <c r="K14" i="4"/>
  <c r="K36" i="4" s="1"/>
  <c r="D7" i="4"/>
  <c r="D45" i="4" s="1"/>
  <c r="L15" i="4"/>
  <c r="L33" i="4" s="1"/>
  <c r="O18" i="4"/>
  <c r="O39" i="4" s="1"/>
  <c r="O82" i="4" s="1"/>
  <c r="CJ46" i="4" l="1"/>
  <c r="CG46" i="4"/>
  <c r="CC46" i="4"/>
  <c r="BY46" i="4"/>
  <c r="BU46" i="4"/>
  <c r="CH46" i="4"/>
  <c r="CB46" i="4"/>
  <c r="BW46" i="4"/>
  <c r="BP46" i="4"/>
  <c r="CI24" i="4"/>
  <c r="CI27" i="4" s="1"/>
  <c r="CE20" i="4"/>
  <c r="CE43" i="4" s="1"/>
  <c r="CA16" i="4"/>
  <c r="CA38" i="4" s="1"/>
  <c r="BW12" i="4"/>
  <c r="BW32" i="4" s="1"/>
  <c r="CI46" i="4"/>
  <c r="CI30" i="4"/>
  <c r="CD46" i="4"/>
  <c r="BX46" i="4"/>
  <c r="BW45" i="4"/>
  <c r="BW36" i="4"/>
  <c r="BQ46" i="4"/>
  <c r="CH23" i="4"/>
  <c r="CH45" i="4" s="1"/>
  <c r="CD19" i="4"/>
  <c r="CD42" i="4" s="1"/>
  <c r="BZ15" i="4"/>
  <c r="BZ36" i="4" s="1"/>
  <c r="BV11" i="4"/>
  <c r="BV30" i="4" s="1"/>
  <c r="BR7" i="4"/>
  <c r="BR38" i="4" s="1"/>
  <c r="CI45" i="4"/>
  <c r="CI36" i="4"/>
  <c r="CI29" i="4"/>
  <c r="CI42" i="4"/>
  <c r="CI34" i="4"/>
  <c r="CI28" i="4"/>
  <c r="CF46" i="4"/>
  <c r="CA46" i="4"/>
  <c r="BW40" i="4"/>
  <c r="BW37" i="4" s="1"/>
  <c r="BW33" i="4"/>
  <c r="BV46" i="4"/>
  <c r="BS46" i="4"/>
  <c r="CJ25" i="4"/>
  <c r="CJ28" i="4" s="1"/>
  <c r="CF21" i="4"/>
  <c r="CF45" i="4" s="1"/>
  <c r="CB17" i="4"/>
  <c r="CB39" i="4" s="1"/>
  <c r="BX13" i="4"/>
  <c r="BX33" i="4" s="1"/>
  <c r="BT9" i="4"/>
  <c r="BT42" i="4" s="1"/>
  <c r="BP5" i="4"/>
  <c r="BP34" i="4" s="1"/>
  <c r="BS8" i="4"/>
  <c r="BS39" i="4" s="1"/>
  <c r="CE46" i="4"/>
  <c r="BW34" i="4"/>
  <c r="BY14" i="4"/>
  <c r="BY34" i="4" s="1"/>
  <c r="BW28" i="4"/>
  <c r="BQ6" i="4"/>
  <c r="BQ36" i="4" s="1"/>
  <c r="BT46" i="4"/>
  <c r="BU10" i="4"/>
  <c r="BU29" i="4" s="1"/>
  <c r="BZ46" i="4"/>
  <c r="BR46" i="4"/>
  <c r="CG22" i="4"/>
  <c r="CG38" i="4" s="1"/>
  <c r="BW42" i="4"/>
  <c r="CC18" i="4"/>
  <c r="CC40" i="4" s="1"/>
  <c r="CC37" i="4" s="1"/>
  <c r="BN46" i="4"/>
  <c r="BJ46" i="4"/>
  <c r="BB46" i="4"/>
  <c r="AT46" i="4"/>
  <c r="BA46" i="4"/>
  <c r="BM46" i="4"/>
  <c r="BL46" i="4"/>
  <c r="BH46" i="4"/>
  <c r="BD46" i="4"/>
  <c r="AZ46" i="4"/>
  <c r="AV46" i="4"/>
  <c r="BG46" i="4"/>
  <c r="BC46" i="4"/>
  <c r="AY46" i="4"/>
  <c r="AU46" i="4"/>
  <c r="BF46" i="4"/>
  <c r="AX46" i="4"/>
  <c r="BI46" i="4"/>
  <c r="AW46" i="4"/>
  <c r="BK46" i="4"/>
  <c r="BE46" i="4"/>
  <c r="BK22" i="4"/>
  <c r="BK27" i="4" s="1"/>
  <c r="BG18" i="4"/>
  <c r="BG29" i="4" s="1"/>
  <c r="BC14" i="4"/>
  <c r="BC42" i="4" s="1"/>
  <c r="AY10" i="4"/>
  <c r="AY33" i="4" s="1"/>
  <c r="AU6" i="4"/>
  <c r="AU33" i="4" s="1"/>
  <c r="BH19" i="4"/>
  <c r="BH43" i="4" s="1"/>
  <c r="AV7" i="4"/>
  <c r="AV39" i="4" s="1"/>
  <c r="BN25" i="4"/>
  <c r="BJ21" i="4"/>
  <c r="BJ45" i="4" s="1"/>
  <c r="BF17" i="4"/>
  <c r="BF38" i="4" s="1"/>
  <c r="BB13" i="4"/>
  <c r="BB45" i="4" s="1"/>
  <c r="AX9" i="4"/>
  <c r="AT5" i="4"/>
  <c r="AT32" i="4" s="1"/>
  <c r="BL23" i="4"/>
  <c r="BL39" i="4" s="1"/>
  <c r="BD15" i="4"/>
  <c r="BD45" i="4" s="1"/>
  <c r="CS68" i="4"/>
  <c r="AV27" i="4"/>
  <c r="BM24" i="4"/>
  <c r="BM34" i="4" s="1"/>
  <c r="BI20" i="4"/>
  <c r="BI36" i="4" s="1"/>
  <c r="BE16" i="4"/>
  <c r="BE36" i="4" s="1"/>
  <c r="BA12" i="4"/>
  <c r="BA39" i="4" s="1"/>
  <c r="AW8" i="4"/>
  <c r="AW45" i="4" s="1"/>
  <c r="AZ11" i="4"/>
  <c r="CT68" i="4"/>
  <c r="CW66" i="4"/>
  <c r="CO65" i="4"/>
  <c r="CP66" i="4"/>
  <c r="CN67" i="4"/>
  <c r="CS65" i="4"/>
  <c r="CW65" i="4"/>
  <c r="CP68" i="4"/>
  <c r="CX66" i="4"/>
  <c r="CU68" i="4"/>
  <c r="CT66" i="4"/>
  <c r="CX67" i="4"/>
  <c r="CM66" i="4"/>
  <c r="CM65" i="4"/>
  <c r="CP65" i="4"/>
  <c r="CS67" i="4"/>
  <c r="CO67" i="4"/>
  <c r="CU67" i="4"/>
  <c r="CU65" i="4"/>
  <c r="CR66" i="4"/>
  <c r="AN75" i="4"/>
  <c r="AO75" i="4"/>
  <c r="AM75" i="4"/>
  <c r="R75" i="4"/>
  <c r="G75" i="4"/>
  <c r="S75" i="4"/>
  <c r="X32" i="4"/>
  <c r="AG45" i="4"/>
  <c r="AO45" i="4"/>
  <c r="AL28" i="4"/>
  <c r="AN43" i="4"/>
  <c r="AN27" i="4"/>
  <c r="AN45" i="4"/>
  <c r="X27" i="4"/>
  <c r="AL36" i="4"/>
  <c r="AL33" i="4"/>
  <c r="AK39" i="4"/>
  <c r="AA45" i="4"/>
  <c r="AO42" i="4"/>
  <c r="AP68" i="4" s="1"/>
  <c r="AG39" i="4"/>
  <c r="X34" i="4"/>
  <c r="AF34" i="4"/>
  <c r="AA40" i="4"/>
  <c r="AA37" i="4" s="1"/>
  <c r="AO39" i="4"/>
  <c r="AA38" i="4"/>
  <c r="AE43" i="4"/>
  <c r="AD39" i="4"/>
  <c r="Y32" i="4"/>
  <c r="AN40" i="4"/>
  <c r="AN37" i="4" s="1"/>
  <c r="AO34" i="4"/>
  <c r="AE30" i="4"/>
  <c r="AL40" i="4"/>
  <c r="AL37" i="4" s="1"/>
  <c r="AG33" i="4"/>
  <c r="AG40" i="4"/>
  <c r="AG37" i="4" s="1"/>
  <c r="AJ32" i="4"/>
  <c r="AG42" i="4"/>
  <c r="X38" i="4"/>
  <c r="AK29" i="4"/>
  <c r="Z39" i="4"/>
  <c r="AI33" i="4"/>
  <c r="Y29" i="4"/>
  <c r="AN39" i="4"/>
  <c r="AO28" i="4"/>
  <c r="AP66" i="4" s="1"/>
  <c r="AN36" i="4"/>
  <c r="AJ45" i="4"/>
  <c r="AM42" i="4"/>
  <c r="Z28" i="4"/>
  <c r="BQ63" i="4"/>
  <c r="AJ27" i="4"/>
  <c r="AD45" i="4"/>
  <c r="AM43" i="4"/>
  <c r="AE38" i="4"/>
  <c r="AK45" i="4"/>
  <c r="AJ34" i="4"/>
  <c r="AJ29" i="4"/>
  <c r="Y42" i="4"/>
  <c r="Z45" i="4"/>
  <c r="Z36" i="4"/>
  <c r="AE45" i="4"/>
  <c r="AD28" i="4"/>
  <c r="AN34" i="4"/>
  <c r="AN29" i="4"/>
  <c r="AL45" i="4"/>
  <c r="Z42" i="4"/>
  <c r="Z68" i="4" s="1"/>
  <c r="AM33" i="4"/>
  <c r="AO27" i="4"/>
  <c r="AJ38" i="4"/>
  <c r="AA33" i="4"/>
  <c r="AL43" i="4"/>
  <c r="X39" i="4"/>
  <c r="Y28" i="4"/>
  <c r="Y66" i="4" s="1"/>
  <c r="X36" i="4"/>
  <c r="AJ43" i="4"/>
  <c r="AL39" i="4"/>
  <c r="AG32" i="4"/>
  <c r="AG27" i="4"/>
  <c r="AE36" i="4"/>
  <c r="AM30" i="4"/>
  <c r="AJ42" i="4"/>
  <c r="Z38" i="4"/>
  <c r="AA27" i="4"/>
  <c r="AL27" i="4"/>
  <c r="AF43" i="4"/>
  <c r="AB32" i="4"/>
  <c r="AH45" i="4"/>
  <c r="AI36" i="4"/>
  <c r="AI28" i="4"/>
  <c r="AH43" i="4"/>
  <c r="AC36" i="4"/>
  <c r="AE34" i="4"/>
  <c r="AI32" i="4"/>
  <c r="AK30" i="4"/>
  <c r="AM29" i="4"/>
  <c r="AI39" i="4"/>
  <c r="AK38" i="4"/>
  <c r="Z34" i="4"/>
  <c r="AB33" i="4"/>
  <c r="AD32" i="4"/>
  <c r="AF30" i="4"/>
  <c r="AH29" i="4"/>
  <c r="AJ28" i="4"/>
  <c r="AG43" i="4"/>
  <c r="AB34" i="4"/>
  <c r="AI45" i="4"/>
  <c r="X43" i="4"/>
  <c r="AM38" i="4"/>
  <c r="AB29" i="4"/>
  <c r="AB67" i="4" s="1"/>
  <c r="AK43" i="4"/>
  <c r="AM40" i="4"/>
  <c r="AM37" i="4" s="1"/>
  <c r="AD33" i="4"/>
  <c r="AA43" i="4"/>
  <c r="Y45" i="4"/>
  <c r="AE42" i="4"/>
  <c r="AN32" i="4"/>
  <c r="Y39" i="4"/>
  <c r="AD36" i="4"/>
  <c r="AH33" i="4"/>
  <c r="AL30" i="4"/>
  <c r="X29" i="4"/>
  <c r="AB27" i="4"/>
  <c r="AC45" i="4"/>
  <c r="Y43" i="4"/>
  <c r="AJ40" i="4"/>
  <c r="AJ37" i="4" s="1"/>
  <c r="AN38" i="4"/>
  <c r="AA36" i="4"/>
  <c r="AE33" i="4"/>
  <c r="AI30" i="4"/>
  <c r="AM28" i="4"/>
  <c r="Y27" i="4"/>
  <c r="X40" i="4"/>
  <c r="X37" i="4" s="1"/>
  <c r="AB38" i="4"/>
  <c r="AG34" i="4"/>
  <c r="AK32" i="4"/>
  <c r="AO29" i="4"/>
  <c r="AP67" i="4" s="1"/>
  <c r="AA28" i="4"/>
  <c r="AB45" i="4"/>
  <c r="AD43" i="4"/>
  <c r="AF42" i="4"/>
  <c r="AH40" i="4"/>
  <c r="AH37" i="4" s="1"/>
  <c r="AJ39" i="4"/>
  <c r="AL38" i="4"/>
  <c r="AO36" i="4"/>
  <c r="Y36" i="4"/>
  <c r="AA34" i="4"/>
  <c r="AC33" i="4"/>
  <c r="AE32" i="4"/>
  <c r="AG30" i="4"/>
  <c r="AI29" i="4"/>
  <c r="AI67" i="4" s="1"/>
  <c r="AK28" i="4"/>
  <c r="AK66" i="4" s="1"/>
  <c r="AM27" i="4"/>
  <c r="AA42" i="4"/>
  <c r="AC40" i="4"/>
  <c r="AC37" i="4" s="1"/>
  <c r="AE39" i="4"/>
  <c r="AG38" i="4"/>
  <c r="AJ36" i="4"/>
  <c r="AL34" i="4"/>
  <c r="AN33" i="4"/>
  <c r="X33" i="4"/>
  <c r="Z32" i="4"/>
  <c r="AB30" i="4"/>
  <c r="AD29" i="4"/>
  <c r="AF28" i="4"/>
  <c r="AH27" i="4"/>
  <c r="AC42" i="4"/>
  <c r="AB43" i="4"/>
  <c r="AC34" i="4"/>
  <c r="AC27" i="4"/>
  <c r="AC39" i="4"/>
  <c r="AH42" i="4"/>
  <c r="AF29" i="4"/>
  <c r="AC29" i="4"/>
  <c r="AC67" i="4" s="1"/>
  <c r="AF40" i="4"/>
  <c r="AF37" i="4" s="1"/>
  <c r="AF45" i="4"/>
  <c r="AK42" i="4"/>
  <c r="AF32" i="4"/>
  <c r="AI42" i="4"/>
  <c r="AH36" i="4"/>
  <c r="AF27" i="4"/>
  <c r="AM45" i="4"/>
  <c r="AC43" i="4"/>
  <c r="AH30" i="4"/>
  <c r="AE40" i="4"/>
  <c r="AE37" i="4" s="1"/>
  <c r="AI43" i="4"/>
  <c r="AI40" i="4"/>
  <c r="AI37" i="4" s="1"/>
  <c r="Z30" i="4"/>
  <c r="AI38" i="4"/>
  <c r="Z33" i="4"/>
  <c r="AD30" i="4"/>
  <c r="AH28" i="4"/>
  <c r="AO43" i="4"/>
  <c r="AL42" i="4"/>
  <c r="AB40" i="4"/>
  <c r="AB37" i="4" s="1"/>
  <c r="AF38" i="4"/>
  <c r="AK34" i="4"/>
  <c r="AO32" i="4"/>
  <c r="AA30" i="4"/>
  <c r="AE28" i="4"/>
  <c r="AD42" i="4"/>
  <c r="AH39" i="4"/>
  <c r="AM36" i="4"/>
  <c r="Y34" i="4"/>
  <c r="AC32" i="4"/>
  <c r="AG29" i="4"/>
  <c r="AK27" i="4"/>
  <c r="X45" i="4"/>
  <c r="Z43" i="4"/>
  <c r="AB42" i="4"/>
  <c r="AB68" i="4" s="1"/>
  <c r="AD40" i="4"/>
  <c r="AD37" i="4" s="1"/>
  <c r="AF39" i="4"/>
  <c r="AH38" i="4"/>
  <c r="AK36" i="4"/>
  <c r="AM34" i="4"/>
  <c r="AO33" i="4"/>
  <c r="Y33" i="4"/>
  <c r="AA32" i="4"/>
  <c r="AC30" i="4"/>
  <c r="AE29" i="4"/>
  <c r="AG28" i="4"/>
  <c r="AI27" i="4"/>
  <c r="AO40" i="4"/>
  <c r="AO37" i="4" s="1"/>
  <c r="Y40" i="4"/>
  <c r="Y37" i="4" s="1"/>
  <c r="AA39" i="4"/>
  <c r="AC38" i="4"/>
  <c r="AF36" i="4"/>
  <c r="AH34" i="4"/>
  <c r="AJ33" i="4"/>
  <c r="AL32" i="4"/>
  <c r="AN30" i="4"/>
  <c r="X30" i="4"/>
  <c r="Z29" i="4"/>
  <c r="AB28" i="4"/>
  <c r="AD27" i="4"/>
  <c r="AN42" i="4"/>
  <c r="X42" i="4"/>
  <c r="Z40" i="4"/>
  <c r="Z37" i="4" s="1"/>
  <c r="AB39" i="4"/>
  <c r="AD38" i="4"/>
  <c r="AI34" i="4"/>
  <c r="AK33" i="4"/>
  <c r="AM32" i="4"/>
  <c r="AO30" i="4"/>
  <c r="Y30" i="4"/>
  <c r="AC28" i="4"/>
  <c r="AC66" i="4" s="1"/>
  <c r="AM39" i="4"/>
  <c r="AO38" i="4"/>
  <c r="AL29" i="4"/>
  <c r="AN28" i="4"/>
  <c r="Z27" i="4"/>
  <c r="Q36" i="4"/>
  <c r="Q38" i="4"/>
  <c r="Q43" i="4"/>
  <c r="Q32" i="4"/>
  <c r="R43" i="4"/>
  <c r="R36" i="4"/>
  <c r="R27" i="4"/>
  <c r="Q40" i="4"/>
  <c r="Q37" i="4" s="1"/>
  <c r="Q33" i="4"/>
  <c r="G29" i="4"/>
  <c r="R28" i="4"/>
  <c r="Q42" i="4"/>
  <c r="Q30" i="4"/>
  <c r="Q28" i="4"/>
  <c r="Q45" i="4"/>
  <c r="Q39" i="4"/>
  <c r="S33" i="4"/>
  <c r="R30" i="4"/>
  <c r="S45" i="4"/>
  <c r="R38" i="4"/>
  <c r="Q34" i="4"/>
  <c r="Q27" i="4"/>
  <c r="R33" i="4"/>
  <c r="S43" i="4"/>
  <c r="R29" i="4"/>
  <c r="R40" i="4"/>
  <c r="R37" i="4" s="1"/>
  <c r="F45" i="4"/>
  <c r="S39" i="4"/>
  <c r="S32" i="4"/>
  <c r="L45" i="4"/>
  <c r="S27" i="4"/>
  <c r="S30" i="4"/>
  <c r="S38" i="4"/>
  <c r="R34" i="4"/>
  <c r="P45" i="4"/>
  <c r="P84" i="4" s="1"/>
  <c r="K45" i="4"/>
  <c r="G39" i="4"/>
  <c r="G40" i="4"/>
  <c r="G37" i="4" s="1"/>
  <c r="G30" i="4"/>
  <c r="G45" i="4"/>
  <c r="E45" i="4"/>
  <c r="J45" i="4"/>
  <c r="G43" i="4"/>
  <c r="G42" i="4"/>
  <c r="G33" i="4"/>
  <c r="G34" i="4"/>
  <c r="G36" i="4"/>
  <c r="S40" i="4"/>
  <c r="S37" i="4" s="1"/>
  <c r="O45" i="4"/>
  <c r="I45" i="4"/>
  <c r="S42" i="4"/>
  <c r="T68" i="4" s="1"/>
  <c r="G28" i="4"/>
  <c r="G32" i="4"/>
  <c r="G27" i="4"/>
  <c r="G38" i="4"/>
  <c r="R32" i="4"/>
  <c r="H45" i="4"/>
  <c r="S29" i="4"/>
  <c r="T67" i="4" s="1"/>
  <c r="R39" i="4"/>
  <c r="Q29" i="4"/>
  <c r="S34" i="4"/>
  <c r="R42" i="4"/>
  <c r="M45" i="4"/>
  <c r="S28" i="4"/>
  <c r="T66" i="4" s="1"/>
  <c r="S36" i="4"/>
  <c r="B45" i="4"/>
  <c r="R45" i="4"/>
  <c r="H42" i="4"/>
  <c r="B32" i="4"/>
  <c r="B30" i="4"/>
  <c r="B38" i="4"/>
  <c r="B36" i="4"/>
  <c r="B74" i="4"/>
  <c r="B34" i="4"/>
  <c r="B29" i="4"/>
  <c r="B33" i="4"/>
  <c r="B40" i="4"/>
  <c r="B37" i="4" s="1"/>
  <c r="B39" i="4"/>
  <c r="B42" i="4"/>
  <c r="B28" i="4"/>
  <c r="B43" i="4"/>
  <c r="Y74" i="4"/>
  <c r="Z75" i="4" s="1"/>
  <c r="F42" i="4"/>
  <c r="F32" i="4"/>
  <c r="I32" i="4"/>
  <c r="AD74" i="4"/>
  <c r="AD75" i="4" s="1"/>
  <c r="I29" i="4"/>
  <c r="I43" i="4"/>
  <c r="F27" i="4"/>
  <c r="F36" i="4"/>
  <c r="I39" i="4"/>
  <c r="F39" i="4"/>
  <c r="F29" i="4"/>
  <c r="F40" i="4"/>
  <c r="F37" i="4" s="1"/>
  <c r="E43" i="4"/>
  <c r="F43" i="4"/>
  <c r="AE74" i="4"/>
  <c r="J28" i="4"/>
  <c r="F28" i="4"/>
  <c r="F33" i="4"/>
  <c r="F34" i="4"/>
  <c r="I38" i="4"/>
  <c r="I40" i="4"/>
  <c r="I37" i="4" s="1"/>
  <c r="AF74" i="4"/>
  <c r="J34" i="4"/>
  <c r="I36" i="4"/>
  <c r="I33" i="4"/>
  <c r="J43" i="4"/>
  <c r="X74" i="4"/>
  <c r="J42" i="4"/>
  <c r="I30" i="4"/>
  <c r="I28" i="4"/>
  <c r="I42" i="4"/>
  <c r="I34" i="4"/>
  <c r="I27" i="4"/>
  <c r="J30" i="4"/>
  <c r="M39" i="4"/>
  <c r="M82" i="4" s="1"/>
  <c r="J33" i="4"/>
  <c r="J32" i="4"/>
  <c r="J36" i="4"/>
  <c r="AJ74" i="4"/>
  <c r="AJ75" i="4" s="1"/>
  <c r="P42" i="4"/>
  <c r="L42" i="4"/>
  <c r="H36" i="4"/>
  <c r="J74" i="4"/>
  <c r="J75" i="4" s="1"/>
  <c r="J39" i="4"/>
  <c r="J40" i="4"/>
  <c r="J37" i="4" s="1"/>
  <c r="P28" i="4"/>
  <c r="J27" i="4"/>
  <c r="J29" i="4"/>
  <c r="P39" i="4"/>
  <c r="P82" i="4" s="1"/>
  <c r="P40" i="4"/>
  <c r="P33" i="4"/>
  <c r="AB74" i="4"/>
  <c r="AC75" i="4" s="1"/>
  <c r="AK74" i="4"/>
  <c r="AL75" i="4" s="1"/>
  <c r="AG74" i="4"/>
  <c r="AG75" i="4" s="1"/>
  <c r="M27" i="4"/>
  <c r="H34" i="4"/>
  <c r="P30" i="4"/>
  <c r="P36" i="4"/>
  <c r="P37" i="4"/>
  <c r="F38" i="4"/>
  <c r="E27" i="4"/>
  <c r="AH74" i="4"/>
  <c r="AH75" i="4" s="1"/>
  <c r="AA74" i="4"/>
  <c r="AA75" i="4" s="1"/>
  <c r="P74" i="4"/>
  <c r="Q75" i="4" s="1"/>
  <c r="P29" i="4"/>
  <c r="P32" i="4"/>
  <c r="P43" i="4"/>
  <c r="P83" i="4" s="1"/>
  <c r="P27" i="4"/>
  <c r="P38" i="4"/>
  <c r="F30" i="4"/>
  <c r="O43" i="4"/>
  <c r="O83" i="4" s="1"/>
  <c r="H33" i="4"/>
  <c r="K40" i="4"/>
  <c r="K37" i="4" s="1"/>
  <c r="K43" i="4"/>
  <c r="K27" i="4"/>
  <c r="H40" i="4"/>
  <c r="H37" i="4" s="1"/>
  <c r="O27" i="4"/>
  <c r="L34" i="4"/>
  <c r="L30" i="4"/>
  <c r="L29" i="4"/>
  <c r="L32" i="4"/>
  <c r="L28" i="4"/>
  <c r="L36" i="4"/>
  <c r="L43" i="4"/>
  <c r="L83" i="4" s="1"/>
  <c r="L74" i="4"/>
  <c r="L27" i="4"/>
  <c r="C39" i="4"/>
  <c r="C42" i="4"/>
  <c r="C32" i="4"/>
  <c r="C74" i="4"/>
  <c r="C28" i="4"/>
  <c r="C29" i="4"/>
  <c r="C27" i="4"/>
  <c r="C30" i="4"/>
  <c r="C33" i="4"/>
  <c r="C36" i="4"/>
  <c r="C40" i="4"/>
  <c r="C37" i="4" s="1"/>
  <c r="C43" i="4"/>
  <c r="C38" i="4"/>
  <c r="M74" i="4"/>
  <c r="M33" i="4"/>
  <c r="M32" i="4"/>
  <c r="M30" i="4"/>
  <c r="M42" i="4"/>
  <c r="M29" i="4"/>
  <c r="M36" i="4"/>
  <c r="M38" i="4"/>
  <c r="M34" i="4"/>
  <c r="M28" i="4"/>
  <c r="M37" i="4"/>
  <c r="H32" i="4"/>
  <c r="D42" i="4"/>
  <c r="D74" i="4"/>
  <c r="D40" i="4"/>
  <c r="D37" i="4" s="1"/>
  <c r="D30" i="4"/>
  <c r="D38" i="4"/>
  <c r="D36" i="4"/>
  <c r="D39" i="4"/>
  <c r="D27" i="4"/>
  <c r="D29" i="4"/>
  <c r="D43" i="4"/>
  <c r="D33" i="4"/>
  <c r="D28" i="4"/>
  <c r="D34" i="4"/>
  <c r="D32" i="4"/>
  <c r="N36" i="4"/>
  <c r="N28" i="4"/>
  <c r="N39" i="4"/>
  <c r="N82" i="4" s="1"/>
  <c r="N33" i="4"/>
  <c r="N29" i="4"/>
  <c r="N34" i="4"/>
  <c r="N42" i="4"/>
  <c r="N43" i="4"/>
  <c r="N83" i="4" s="1"/>
  <c r="N27" i="4"/>
  <c r="N38" i="4"/>
  <c r="N30" i="4"/>
  <c r="N37" i="4"/>
  <c r="N40" i="4"/>
  <c r="N74" i="4"/>
  <c r="N32" i="4"/>
  <c r="E40" i="4"/>
  <c r="E37" i="4" s="1"/>
  <c r="E30" i="4"/>
  <c r="E74" i="4"/>
  <c r="F75" i="4" s="1"/>
  <c r="E32" i="4"/>
  <c r="E36" i="4"/>
  <c r="E33" i="4"/>
  <c r="E34" i="4"/>
  <c r="E39" i="4"/>
  <c r="E29" i="4"/>
  <c r="E42" i="4"/>
  <c r="E28" i="4"/>
  <c r="C34" i="4"/>
  <c r="L38" i="4"/>
  <c r="O38" i="4"/>
  <c r="L40" i="4"/>
  <c r="L37" i="4" s="1"/>
  <c r="L39" i="4"/>
  <c r="L82" i="4" s="1"/>
  <c r="K29" i="4"/>
  <c r="M43" i="4"/>
  <c r="M83" i="4" s="1"/>
  <c r="K28" i="4"/>
  <c r="AU63" i="4"/>
  <c r="O74" i="4"/>
  <c r="O37" i="4"/>
  <c r="O36" i="4"/>
  <c r="O28" i="4"/>
  <c r="O34" i="4"/>
  <c r="O42" i="4"/>
  <c r="O30" i="4"/>
  <c r="O32" i="4"/>
  <c r="O40" i="4"/>
  <c r="O33" i="4"/>
  <c r="K33" i="4"/>
  <c r="K42" i="4"/>
  <c r="K74" i="4"/>
  <c r="K39" i="4"/>
  <c r="K38" i="4"/>
  <c r="K30" i="4"/>
  <c r="K32" i="4"/>
  <c r="K34" i="4"/>
  <c r="H28" i="4"/>
  <c r="H43" i="4"/>
  <c r="H29" i="4"/>
  <c r="H74" i="4"/>
  <c r="H75" i="4" s="1"/>
  <c r="H27" i="4"/>
  <c r="H39" i="4"/>
  <c r="H38" i="4"/>
  <c r="O29" i="4"/>
  <c r="BQ45" i="4" l="1"/>
  <c r="CI39" i="4"/>
  <c r="AU27" i="4"/>
  <c r="BZ39" i="4"/>
  <c r="BP27" i="4"/>
  <c r="BP38" i="4"/>
  <c r="BZ45" i="4"/>
  <c r="BD27" i="4"/>
  <c r="AY27" i="4"/>
  <c r="BT27" i="4"/>
  <c r="CF32" i="4"/>
  <c r="BZ32" i="4"/>
  <c r="BZ29" i="4"/>
  <c r="CD43" i="4"/>
  <c r="CF40" i="4"/>
  <c r="CF37" i="4" s="1"/>
  <c r="CD29" i="4"/>
  <c r="BP43" i="4"/>
  <c r="BP32" i="4"/>
  <c r="BZ38" i="4"/>
  <c r="BU32" i="4"/>
  <c r="BT32" i="4"/>
  <c r="BY30" i="4"/>
  <c r="BR29" i="4"/>
  <c r="CA39" i="4"/>
  <c r="CH40" i="4"/>
  <c r="CH37" i="4" s="1"/>
  <c r="BX29" i="4"/>
  <c r="BV32" i="4"/>
  <c r="BW29" i="4"/>
  <c r="CA34" i="4"/>
  <c r="BY38" i="4"/>
  <c r="BX36" i="4"/>
  <c r="BX43" i="4"/>
  <c r="BV40" i="4"/>
  <c r="BV37" i="4" s="1"/>
  <c r="BV39" i="4"/>
  <c r="BV33" i="4"/>
  <c r="BU34" i="4"/>
  <c r="AY40" i="4"/>
  <c r="AY37" i="4" s="1"/>
  <c r="CB27" i="4"/>
  <c r="BV27" i="4"/>
  <c r="CJ36" i="4"/>
  <c r="CA43" i="4"/>
  <c r="CJ38" i="4"/>
  <c r="BR28" i="4"/>
  <c r="CA42" i="4"/>
  <c r="BT38" i="4"/>
  <c r="BU27" i="4"/>
  <c r="CG45" i="4"/>
  <c r="BX39" i="4"/>
  <c r="AV33" i="4"/>
  <c r="CH28" i="4"/>
  <c r="CA33" i="4"/>
  <c r="CA40" i="4"/>
  <c r="CA37" i="4" s="1"/>
  <c r="CA30" i="4"/>
  <c r="CA28" i="4"/>
  <c r="CF34" i="4"/>
  <c r="BR43" i="4"/>
  <c r="BY33" i="4"/>
  <c r="CH30" i="4"/>
  <c r="BG27" i="4"/>
  <c r="BR40" i="4"/>
  <c r="BR37" i="4" s="1"/>
  <c r="CH34" i="4"/>
  <c r="BR33" i="4"/>
  <c r="BT43" i="4"/>
  <c r="CG39" i="4"/>
  <c r="BP39" i="4"/>
  <c r="BV34" i="4"/>
  <c r="CG43" i="4"/>
  <c r="CJ40" i="4"/>
  <c r="CJ37" i="4" s="1"/>
  <c r="BU28" i="4"/>
  <c r="BZ43" i="4"/>
  <c r="BY40" i="4"/>
  <c r="BY37" i="4" s="1"/>
  <c r="CI32" i="4"/>
  <c r="CB34" i="4"/>
  <c r="BR34" i="4"/>
  <c r="CH43" i="4"/>
  <c r="BR39" i="4"/>
  <c r="CH27" i="4"/>
  <c r="BY32" i="4"/>
  <c r="BP40" i="4"/>
  <c r="BP37" i="4" s="1"/>
  <c r="BV38" i="4"/>
  <c r="CI33" i="4"/>
  <c r="BV36" i="4"/>
  <c r="CF28" i="4"/>
  <c r="CJ33" i="4"/>
  <c r="AY36" i="4"/>
  <c r="BY45" i="4"/>
  <c r="BP36" i="4"/>
  <c r="BR45" i="4"/>
  <c r="BY28" i="4"/>
  <c r="CF30" i="4"/>
  <c r="CH33" i="4"/>
  <c r="BR42" i="4"/>
  <c r="BZ40" i="4"/>
  <c r="BZ37" i="4" s="1"/>
  <c r="CF36" i="4"/>
  <c r="CJ42" i="4"/>
  <c r="BW38" i="4"/>
  <c r="BZ42" i="4"/>
  <c r="BM36" i="4"/>
  <c r="BC38" i="4"/>
  <c r="AW43" i="4"/>
  <c r="BC39" i="4"/>
  <c r="AT30" i="4"/>
  <c r="BM28" i="4"/>
  <c r="AT43" i="4"/>
  <c r="BH30" i="4"/>
  <c r="AW32" i="4"/>
  <c r="AW42" i="4"/>
  <c r="BQ38" i="4"/>
  <c r="BS40" i="4"/>
  <c r="BS37" i="4" s="1"/>
  <c r="CC33" i="4"/>
  <c r="BQ40" i="4"/>
  <c r="BQ37" i="4" s="1"/>
  <c r="BS43" i="4"/>
  <c r="CB29" i="4"/>
  <c r="CC38" i="4"/>
  <c r="BQ42" i="4"/>
  <c r="BS45" i="4"/>
  <c r="CB30" i="4"/>
  <c r="CC39" i="4"/>
  <c r="CE28" i="4"/>
  <c r="CB45" i="4"/>
  <c r="CE27" i="4"/>
  <c r="CG29" i="4"/>
  <c r="BC27" i="4"/>
  <c r="BB29" i="4"/>
  <c r="AY45" i="4"/>
  <c r="BA33" i="4"/>
  <c r="BJ36" i="4"/>
  <c r="AV42" i="4"/>
  <c r="BL30" i="4"/>
  <c r="BA29" i="4"/>
  <c r="AT40" i="4"/>
  <c r="AT37" i="4" s="1"/>
  <c r="BB43" i="4"/>
  <c r="BE34" i="4"/>
  <c r="BB33" i="4"/>
  <c r="AT38" i="4"/>
  <c r="BE42" i="4"/>
  <c r="BQ39" i="4"/>
  <c r="CC36" i="4"/>
  <c r="CC43" i="4"/>
  <c r="CE39" i="4"/>
  <c r="BS30" i="4"/>
  <c r="BQ33" i="4"/>
  <c r="CG33" i="4"/>
  <c r="BP42" i="4"/>
  <c r="BQ43" i="4"/>
  <c r="BU30" i="4"/>
  <c r="BX27" i="4"/>
  <c r="BY36" i="4"/>
  <c r="CB32" i="4"/>
  <c r="CC42" i="4"/>
  <c r="CE29" i="4"/>
  <c r="CF38" i="4"/>
  <c r="CJ43" i="4"/>
  <c r="BP45" i="4"/>
  <c r="BS27" i="4"/>
  <c r="BT28" i="4"/>
  <c r="BU33" i="4"/>
  <c r="BV43" i="4"/>
  <c r="BX30" i="4"/>
  <c r="BY39" i="4"/>
  <c r="CB36" i="4"/>
  <c r="CC45" i="4"/>
  <c r="CE33" i="4"/>
  <c r="CF42" i="4"/>
  <c r="CH29" i="4"/>
  <c r="CJ30" i="4"/>
  <c r="BR27" i="4"/>
  <c r="BS28" i="4"/>
  <c r="BT29" i="4"/>
  <c r="BU36" i="4"/>
  <c r="BV45" i="4"/>
  <c r="BX32" i="4"/>
  <c r="BY42" i="4"/>
  <c r="CA29" i="4"/>
  <c r="CB38" i="4"/>
  <c r="CD27" i="4"/>
  <c r="CE34" i="4"/>
  <c r="CF43" i="4"/>
  <c r="CH32" i="4"/>
  <c r="CI40" i="4"/>
  <c r="CI37" i="4" s="1"/>
  <c r="BT39" i="4"/>
  <c r="BU40" i="4"/>
  <c r="BU37" i="4" s="1"/>
  <c r="BV42" i="4"/>
  <c r="BW43" i="4"/>
  <c r="BX45" i="4"/>
  <c r="CA27" i="4"/>
  <c r="CB28" i="4"/>
  <c r="CC29" i="4"/>
  <c r="CD30" i="4"/>
  <c r="CE32" i="4"/>
  <c r="CF33" i="4"/>
  <c r="CG34" i="4"/>
  <c r="CH36" i="4"/>
  <c r="CI38" i="4"/>
  <c r="CJ39" i="4"/>
  <c r="BL27" i="4"/>
  <c r="BC43" i="4"/>
  <c r="BG38" i="4"/>
  <c r="BG28" i="4"/>
  <c r="BM40" i="4"/>
  <c r="BM37" i="4" s="1"/>
  <c r="BL42" i="4"/>
  <c r="BB36" i="4"/>
  <c r="BF32" i="4"/>
  <c r="BJ40" i="4"/>
  <c r="BJ43" i="4"/>
  <c r="BB28" i="4"/>
  <c r="BG34" i="4"/>
  <c r="BJ38" i="4"/>
  <c r="BF45" i="4"/>
  <c r="BS42" i="4"/>
  <c r="CG42" i="4"/>
  <c r="CE30" i="4"/>
  <c r="CG27" i="4"/>
  <c r="BU39" i="4"/>
  <c r="CB42" i="4"/>
  <c r="CC28" i="4"/>
  <c r="BQ27" i="4"/>
  <c r="BS29" i="4"/>
  <c r="BT30" i="4"/>
  <c r="BU38" i="4"/>
  <c r="BX34" i="4"/>
  <c r="BY43" i="4"/>
  <c r="CB40" i="4"/>
  <c r="CB37" i="4" s="1"/>
  <c r="CD28" i="4"/>
  <c r="CE36" i="4"/>
  <c r="BP28" i="4"/>
  <c r="BQ29" i="4"/>
  <c r="BR30" i="4"/>
  <c r="BS32" i="4"/>
  <c r="BT33" i="4"/>
  <c r="BU42" i="4"/>
  <c r="BX38" i="4"/>
  <c r="BZ27" i="4"/>
  <c r="CB43" i="4"/>
  <c r="CD32" i="4"/>
  <c r="CE40" i="4"/>
  <c r="CE37" i="4" s="1"/>
  <c r="CG28" i="4"/>
  <c r="CH38" i="4"/>
  <c r="BP29" i="4"/>
  <c r="BQ30" i="4"/>
  <c r="BR32" i="4"/>
  <c r="BS33" i="4"/>
  <c r="BT34" i="4"/>
  <c r="BU43" i="4"/>
  <c r="BW30" i="4"/>
  <c r="BX40" i="4"/>
  <c r="BX37" i="4" s="1"/>
  <c r="BZ28" i="4"/>
  <c r="CA36" i="4"/>
  <c r="CD33" i="4"/>
  <c r="CE42" i="4"/>
  <c r="CG30" i="4"/>
  <c r="CH39" i="4"/>
  <c r="CJ27" i="4"/>
  <c r="BT45" i="4"/>
  <c r="BW27" i="4"/>
  <c r="BX28" i="4"/>
  <c r="BY29" i="4"/>
  <c r="BZ30" i="4"/>
  <c r="CA32" i="4"/>
  <c r="CB33" i="4"/>
  <c r="CC34" i="4"/>
  <c r="CD36" i="4"/>
  <c r="CE38" i="4"/>
  <c r="CF39" i="4"/>
  <c r="CG40" i="4"/>
  <c r="CG37" i="4" s="1"/>
  <c r="CH42" i="4"/>
  <c r="CI43" i="4"/>
  <c r="CJ45" i="4"/>
  <c r="BH27" i="4"/>
  <c r="BF27" i="4"/>
  <c r="BH29" i="4"/>
  <c r="BB34" i="4"/>
  <c r="BJ39" i="4"/>
  <c r="BH38" i="4"/>
  <c r="AW28" i="4"/>
  <c r="BK33" i="4"/>
  <c r="BE38" i="4"/>
  <c r="BA45" i="4"/>
  <c r="BC30" i="4"/>
  <c r="BM32" i="4"/>
  <c r="BE39" i="4"/>
  <c r="CD45" i="4"/>
  <c r="BQ28" i="4"/>
  <c r="BS36" i="4"/>
  <c r="CD38" i="4"/>
  <c r="BP30" i="4"/>
  <c r="BQ32" i="4"/>
  <c r="BS34" i="4"/>
  <c r="BT36" i="4"/>
  <c r="BU45" i="4"/>
  <c r="BX42" i="4"/>
  <c r="CC27" i="4"/>
  <c r="CD34" i="4"/>
  <c r="CE45" i="4"/>
  <c r="CG32" i="4"/>
  <c r="CJ29" i="4"/>
  <c r="BP33" i="4"/>
  <c r="BQ34" i="4"/>
  <c r="BR36" i="4"/>
  <c r="BS38" i="4"/>
  <c r="BT40" i="4"/>
  <c r="BT37" i="4" s="1"/>
  <c r="BV28" i="4"/>
  <c r="BZ33" i="4"/>
  <c r="CC30" i="4"/>
  <c r="CD39" i="4"/>
  <c r="CF27" i="4"/>
  <c r="CG36" i="4"/>
  <c r="CJ32" i="4"/>
  <c r="BV29" i="4"/>
  <c r="BW39" i="4"/>
  <c r="BY27" i="4"/>
  <c r="BZ34" i="4"/>
  <c r="CA45" i="4"/>
  <c r="CC32" i="4"/>
  <c r="CD40" i="4"/>
  <c r="CD37" i="4" s="1"/>
  <c r="CF29" i="4"/>
  <c r="CJ34" i="4"/>
  <c r="CM67" i="4"/>
  <c r="CQ68" i="4"/>
  <c r="AZ36" i="4"/>
  <c r="AZ33" i="4"/>
  <c r="AZ43" i="4"/>
  <c r="AZ45" i="4"/>
  <c r="AZ27" i="4"/>
  <c r="AZ42" i="4"/>
  <c r="AZ38" i="4"/>
  <c r="AZ30" i="4"/>
  <c r="AZ32" i="4"/>
  <c r="AX28" i="4"/>
  <c r="AX36" i="4"/>
  <c r="AX45" i="4"/>
  <c r="AX43" i="4"/>
  <c r="AX32" i="4"/>
  <c r="AX27" i="4"/>
  <c r="AX38" i="4"/>
  <c r="AX33" i="4"/>
  <c r="AX40" i="4"/>
  <c r="AX37" i="4" s="1"/>
  <c r="AX30" i="4"/>
  <c r="AX42" i="4"/>
  <c r="AX29" i="4"/>
  <c r="AX39" i="4"/>
  <c r="BN28" i="4"/>
  <c r="BN27" i="4"/>
  <c r="BN34" i="4"/>
  <c r="BN29" i="4"/>
  <c r="BN43" i="4"/>
  <c r="BN32" i="4"/>
  <c r="BN38" i="4"/>
  <c r="BN33" i="4"/>
  <c r="BN30" i="4"/>
  <c r="BN40" i="4"/>
  <c r="BN37" i="4" s="1"/>
  <c r="BN39" i="4"/>
  <c r="AX34" i="4"/>
  <c r="BI29" i="4"/>
  <c r="CQ65" i="4"/>
  <c r="CV65" i="4"/>
  <c r="CR65" i="4"/>
  <c r="CQ66" i="4"/>
  <c r="CW68" i="4"/>
  <c r="AZ40" i="4"/>
  <c r="AZ39" i="4"/>
  <c r="BN36" i="4"/>
  <c r="BK30" i="4"/>
  <c r="BN42" i="4"/>
  <c r="CN66" i="4"/>
  <c r="CV68" i="4"/>
  <c r="CR67" i="4"/>
  <c r="CX68" i="4"/>
  <c r="CN65" i="4"/>
  <c r="CP67" i="4"/>
  <c r="CV67" i="4"/>
  <c r="CV66" i="4"/>
  <c r="BD30" i="4"/>
  <c r="BD34" i="4"/>
  <c r="BD28" i="4"/>
  <c r="BD38" i="4"/>
  <c r="BD29" i="4"/>
  <c r="BD43" i="4"/>
  <c r="BD39" i="4"/>
  <c r="BD40" i="4"/>
  <c r="BD32" i="4"/>
  <c r="CW67" i="4"/>
  <c r="BD42" i="4"/>
  <c r="AZ34" i="4"/>
  <c r="AZ28" i="4"/>
  <c r="BD36" i="4"/>
  <c r="CM68" i="4"/>
  <c r="CT67" i="4"/>
  <c r="CS66" i="4"/>
  <c r="CU66" i="4"/>
  <c r="CT65" i="4"/>
  <c r="CX65" i="4"/>
  <c r="BI30" i="4"/>
  <c r="BI28" i="4"/>
  <c r="BI40" i="4"/>
  <c r="BI37" i="4" s="1"/>
  <c r="BI42" i="4"/>
  <c r="BI34" i="4"/>
  <c r="BI45" i="4"/>
  <c r="BI33" i="4"/>
  <c r="BI39" i="4"/>
  <c r="BI32" i="4"/>
  <c r="BI27" i="4"/>
  <c r="BI38" i="4"/>
  <c r="BI43" i="4"/>
  <c r="AU42" i="4"/>
  <c r="AU40" i="4"/>
  <c r="AU37" i="4" s="1"/>
  <c r="AU34" i="4"/>
  <c r="AU36" i="4"/>
  <c r="AU45" i="4"/>
  <c r="AU28" i="4"/>
  <c r="AU43" i="4"/>
  <c r="AU39" i="4"/>
  <c r="AU29" i="4"/>
  <c r="AU32" i="4"/>
  <c r="AU38" i="4"/>
  <c r="BK42" i="4"/>
  <c r="BK40" i="4"/>
  <c r="BK34" i="4"/>
  <c r="BK36" i="4"/>
  <c r="BK45" i="4"/>
  <c r="BK39" i="4"/>
  <c r="BK32" i="4"/>
  <c r="BK38" i="4"/>
  <c r="BK28" i="4"/>
  <c r="BK29" i="4"/>
  <c r="BK43" i="4"/>
  <c r="AZ29" i="4"/>
  <c r="BN45" i="4"/>
  <c r="BD33" i="4"/>
  <c r="AU30" i="4"/>
  <c r="AW27" i="4"/>
  <c r="AT27" i="4"/>
  <c r="BM27" i="4"/>
  <c r="BF34" i="4"/>
  <c r="BE33" i="4"/>
  <c r="AT29" i="4"/>
  <c r="AV29" i="4"/>
  <c r="BH32" i="4"/>
  <c r="BE43" i="4"/>
  <c r="BA36" i="4"/>
  <c r="BC28" i="4"/>
  <c r="AY43" i="4"/>
  <c r="BL28" i="4"/>
  <c r="BC32" i="4"/>
  <c r="AW40" i="4"/>
  <c r="AW37" i="4" s="1"/>
  <c r="AV38" i="4"/>
  <c r="BL38" i="4"/>
  <c r="BG39" i="4"/>
  <c r="BF42" i="4"/>
  <c r="BM43" i="4"/>
  <c r="BH45" i="4"/>
  <c r="BG32" i="4"/>
  <c r="BF36" i="4"/>
  <c r="BA28" i="4"/>
  <c r="BC29" i="4"/>
  <c r="AV34" i="4"/>
  <c r="BB32" i="4"/>
  <c r="BG33" i="4"/>
  <c r="BL34" i="4"/>
  <c r="BC36" i="4"/>
  <c r="AV43" i="4"/>
  <c r="BM42" i="4"/>
  <c r="BE45" i="4"/>
  <c r="BH28" i="4"/>
  <c r="BH33" i="4"/>
  <c r="BF28" i="4"/>
  <c r="AW30" i="4"/>
  <c r="BE30" i="4"/>
  <c r="BM30" i="4"/>
  <c r="BC34" i="4"/>
  <c r="BH36" i="4"/>
  <c r="BC40" i="4"/>
  <c r="AY42" i="4"/>
  <c r="BG42" i="4"/>
  <c r="AT45" i="4"/>
  <c r="BM45" i="4"/>
  <c r="CR68" i="4"/>
  <c r="CN68" i="4"/>
  <c r="BA27" i="4"/>
  <c r="BA43" i="4"/>
  <c r="AV40" i="4"/>
  <c r="BC45" i="4"/>
  <c r="AW36" i="4"/>
  <c r="AV32" i="4"/>
  <c r="BL29" i="4"/>
  <c r="BM33" i="4"/>
  <c r="BL43" i="4"/>
  <c r="BJ34" i="4"/>
  <c r="AY28" i="4"/>
  <c r="BL40" i="4"/>
  <c r="BL37" i="4" s="1"/>
  <c r="BF29" i="4"/>
  <c r="AY38" i="4"/>
  <c r="BG43" i="4"/>
  <c r="BE40" i="4"/>
  <c r="BE37" i="4" s="1"/>
  <c r="BH42" i="4"/>
  <c r="AV45" i="4"/>
  <c r="BB30" i="4"/>
  <c r="AY32" i="4"/>
  <c r="BA40" i="4"/>
  <c r="BA37" i="4" s="1"/>
  <c r="BE28" i="4"/>
  <c r="AW29" i="4"/>
  <c r="BE29" i="4"/>
  <c r="BM29" i="4"/>
  <c r="BC33" i="4"/>
  <c r="BH34" i="4"/>
  <c r="BG36" i="4"/>
  <c r="BB40" i="4"/>
  <c r="BB37" i="4" s="1"/>
  <c r="AW38" i="4"/>
  <c r="BM38" i="4"/>
  <c r="BH39" i="4"/>
  <c r="BF43" i="4"/>
  <c r="BL45" i="4"/>
  <c r="AV30" i="4"/>
  <c r="AW34" i="4"/>
  <c r="BL33" i="4"/>
  <c r="AT28" i="4"/>
  <c r="BJ28" i="4"/>
  <c r="AY30" i="4"/>
  <c r="BG30" i="4"/>
  <c r="AT33" i="4"/>
  <c r="AY34" i="4"/>
  <c r="BE32" i="4"/>
  <c r="BJ33" i="4"/>
  <c r="AV36" i="4"/>
  <c r="BL36" i="4"/>
  <c r="BG40" i="4"/>
  <c r="BG37" i="4" s="1"/>
  <c r="BB38" i="4"/>
  <c r="AW39" i="4"/>
  <c r="BM39" i="4"/>
  <c r="BA42" i="4"/>
  <c r="BE27" i="4"/>
  <c r="CO66" i="4"/>
  <c r="CO68" i="4"/>
  <c r="BB27" i="4"/>
  <c r="AT34" i="4"/>
  <c r="BJ27" i="4"/>
  <c r="BB39" i="4"/>
  <c r="AV28" i="4"/>
  <c r="BL32" i="4"/>
  <c r="AW33" i="4"/>
  <c r="BF39" i="4"/>
  <c r="BG45" i="4"/>
  <c r="BH40" i="4"/>
  <c r="BH37" i="4" s="1"/>
  <c r="BJ29" i="4"/>
  <c r="AT39" i="4"/>
  <c r="BJ30" i="4"/>
  <c r="AT36" i="4"/>
  <c r="AY39" i="4"/>
  <c r="AT42" i="4"/>
  <c r="BB42" i="4"/>
  <c r="BJ42" i="4"/>
  <c r="BF30" i="4"/>
  <c r="BA34" i="4"/>
  <c r="AY29" i="4"/>
  <c r="BJ32" i="4"/>
  <c r="BF40" i="4"/>
  <c r="BF37" i="4" s="1"/>
  <c r="BA38" i="4"/>
  <c r="BA30" i="4"/>
  <c r="BA32" i="4"/>
  <c r="BF33" i="4"/>
  <c r="AB66" i="4"/>
  <c r="BK37" i="4"/>
  <c r="AV37" i="4"/>
  <c r="BC37" i="4"/>
  <c r="BJ37" i="4"/>
  <c r="BD37" i="4"/>
  <c r="T65" i="4"/>
  <c r="T69" i="4"/>
  <c r="AZ68" i="4"/>
  <c r="AZ37" i="4"/>
  <c r="AP69" i="4"/>
  <c r="AP65" i="4"/>
  <c r="AL67" i="4"/>
  <c r="AN68" i="4"/>
  <c r="AE66" i="4"/>
  <c r="AK67" i="4"/>
  <c r="AE75" i="4"/>
  <c r="AA68" i="4"/>
  <c r="Y68" i="4"/>
  <c r="AG65" i="4"/>
  <c r="AF75" i="4"/>
  <c r="AF68" i="4"/>
  <c r="AO65" i="4"/>
  <c r="AK75" i="4"/>
  <c r="AL66" i="4"/>
  <c r="AB75" i="4"/>
  <c r="Y75" i="4"/>
  <c r="AI75" i="4"/>
  <c r="C75" i="4"/>
  <c r="O75" i="4"/>
  <c r="K75" i="4"/>
  <c r="N75" i="4"/>
  <c r="M75" i="4"/>
  <c r="P75" i="4"/>
  <c r="D75" i="4"/>
  <c r="L75" i="4"/>
  <c r="E75" i="4"/>
  <c r="I75" i="4"/>
  <c r="AN67" i="4"/>
  <c r="AM66" i="4"/>
  <c r="AH68" i="4"/>
  <c r="AO67" i="4"/>
  <c r="AA65" i="4"/>
  <c r="AJ66" i="4"/>
  <c r="AJ68" i="4"/>
  <c r="AL69" i="4"/>
  <c r="Z67" i="4"/>
  <c r="AK68" i="4"/>
  <c r="AE67" i="4"/>
  <c r="AH66" i="4"/>
  <c r="Z66" i="4"/>
  <c r="G67" i="4"/>
  <c r="AN66" i="4"/>
  <c r="AJ65" i="4"/>
  <c r="AG67" i="4"/>
  <c r="AL68" i="4"/>
  <c r="AA66" i="4"/>
  <c r="Y67" i="4"/>
  <c r="AF67" i="4"/>
  <c r="AC69" i="4"/>
  <c r="AC65" i="4"/>
  <c r="AO68" i="4"/>
  <c r="AF66" i="4"/>
  <c r="AM69" i="4"/>
  <c r="AM65" i="4"/>
  <c r="AH67" i="4"/>
  <c r="AN69" i="4"/>
  <c r="AJ67" i="4"/>
  <c r="Z69" i="4"/>
  <c r="Z65" i="4"/>
  <c r="AD69" i="4"/>
  <c r="AD65" i="4"/>
  <c r="AK69" i="4"/>
  <c r="AK65" i="4"/>
  <c r="AI68" i="4"/>
  <c r="AM68" i="4"/>
  <c r="AD66" i="4"/>
  <c r="AD67" i="4"/>
  <c r="Y69" i="4"/>
  <c r="Y65" i="4"/>
  <c r="AE68" i="4"/>
  <c r="AL65" i="4"/>
  <c r="AI66" i="4"/>
  <c r="AE65" i="4"/>
  <c r="AI65" i="4"/>
  <c r="AI69" i="4"/>
  <c r="AC68" i="4"/>
  <c r="AB65" i="4"/>
  <c r="AB69" i="4"/>
  <c r="AO66" i="4"/>
  <c r="AE69" i="4"/>
  <c r="AG66" i="4"/>
  <c r="AD68" i="4"/>
  <c r="AF69" i="4"/>
  <c r="AF65" i="4"/>
  <c r="AG68" i="4"/>
  <c r="AH69" i="4"/>
  <c r="AH65" i="4"/>
  <c r="AA69" i="4"/>
  <c r="AM67" i="4"/>
  <c r="AG69" i="4"/>
  <c r="AJ69" i="4"/>
  <c r="AN65" i="4"/>
  <c r="AO69" i="4"/>
  <c r="AA67" i="4"/>
  <c r="B81" i="4"/>
  <c r="Q66" i="4"/>
  <c r="S68" i="4"/>
  <c r="R66" i="4"/>
  <c r="H81" i="4"/>
  <c r="Q81" i="4"/>
  <c r="D81" i="4"/>
  <c r="K81" i="4"/>
  <c r="E81" i="4"/>
  <c r="S81" i="4"/>
  <c r="G81" i="4"/>
  <c r="C81" i="4"/>
  <c r="J81" i="4"/>
  <c r="I81" i="4"/>
  <c r="F81" i="4"/>
  <c r="R81" i="4"/>
  <c r="S66" i="4"/>
  <c r="Q67" i="4"/>
  <c r="Q68" i="4"/>
  <c r="R68" i="4"/>
  <c r="D69" i="4"/>
  <c r="Q65" i="4"/>
  <c r="Q69" i="4"/>
  <c r="H69" i="4"/>
  <c r="N69" i="4"/>
  <c r="E69" i="4"/>
  <c r="G68" i="4"/>
  <c r="R67" i="4"/>
  <c r="R69" i="4"/>
  <c r="C65" i="4"/>
  <c r="C69" i="4"/>
  <c r="O69" i="4"/>
  <c r="P69" i="4"/>
  <c r="H68" i="4"/>
  <c r="S67" i="4"/>
  <c r="G69" i="4"/>
  <c r="R65" i="4"/>
  <c r="K69" i="4"/>
  <c r="L69" i="4"/>
  <c r="S65" i="4"/>
  <c r="S69" i="4"/>
  <c r="M69" i="4"/>
  <c r="J69" i="4"/>
  <c r="I69" i="4"/>
  <c r="G66" i="4"/>
  <c r="G65" i="4"/>
  <c r="F69" i="4"/>
  <c r="H65" i="4"/>
  <c r="I68" i="4"/>
  <c r="C66" i="4"/>
  <c r="C67" i="4"/>
  <c r="C68" i="4"/>
  <c r="J67" i="4"/>
  <c r="K67" i="4"/>
  <c r="M68" i="4"/>
  <c r="D65" i="4"/>
  <c r="M65" i="4"/>
  <c r="F65" i="4"/>
  <c r="J66" i="4"/>
  <c r="K66" i="4"/>
  <c r="K65" i="4"/>
  <c r="M66" i="4"/>
  <c r="J65" i="4"/>
  <c r="J68" i="4"/>
  <c r="P65" i="4"/>
  <c r="K68" i="4"/>
  <c r="N68" i="4"/>
  <c r="P81" i="4"/>
  <c r="M67" i="4"/>
  <c r="E65" i="4"/>
  <c r="D67" i="4"/>
  <c r="D68" i="4"/>
  <c r="O81" i="4"/>
  <c r="M81" i="4"/>
  <c r="N67" i="4"/>
  <c r="N66" i="4"/>
  <c r="D66" i="4"/>
  <c r="H66" i="4"/>
  <c r="I66" i="4"/>
  <c r="E66" i="4"/>
  <c r="F66" i="4"/>
  <c r="O67" i="4"/>
  <c r="P67" i="4"/>
  <c r="O68" i="4"/>
  <c r="P68" i="4"/>
  <c r="E68" i="4"/>
  <c r="F68" i="4"/>
  <c r="L68" i="4"/>
  <c r="I65" i="4"/>
  <c r="L67" i="4"/>
  <c r="I67" i="4"/>
  <c r="H67" i="4"/>
  <c r="E67" i="4"/>
  <c r="F67" i="4"/>
  <c r="N81" i="4"/>
  <c r="N65" i="4"/>
  <c r="O65" i="4"/>
  <c r="O66" i="4"/>
  <c r="P66" i="4"/>
  <c r="N84" i="4"/>
  <c r="O84" i="4"/>
  <c r="L81" i="4"/>
  <c r="L65" i="4"/>
  <c r="L66" i="4"/>
  <c r="CQ67" i="4" l="1"/>
  <c r="AU65" i="4"/>
  <c r="BF66" i="4"/>
  <c r="BB65" i="4"/>
  <c r="BU68" i="4"/>
  <c r="BZ65" i="4"/>
  <c r="BS65" i="4"/>
  <c r="CA68" i="4"/>
  <c r="BX67" i="4"/>
  <c r="CA66" i="4"/>
  <c r="AY66" i="4"/>
  <c r="BW67" i="4"/>
  <c r="BY67" i="4"/>
  <c r="BE67" i="4"/>
  <c r="CB66" i="4"/>
  <c r="BB66" i="4"/>
  <c r="BT65" i="4"/>
  <c r="BC66" i="4"/>
  <c r="BB68" i="4"/>
  <c r="BD67" i="4"/>
  <c r="AY68" i="4"/>
  <c r="BT66" i="4"/>
  <c r="AZ65" i="4"/>
  <c r="AU66" i="4"/>
  <c r="BU65" i="4"/>
  <c r="CB65" i="4"/>
  <c r="BR66" i="4"/>
  <c r="BR67" i="4"/>
  <c r="BF67" i="4"/>
  <c r="BX66" i="4"/>
  <c r="BQ65" i="4"/>
  <c r="BZ66" i="4"/>
  <c r="CA67" i="4"/>
  <c r="AV66" i="4"/>
  <c r="BS68" i="4"/>
  <c r="BF65" i="4"/>
  <c r="BU67" i="4"/>
  <c r="BT67" i="4"/>
  <c r="BQ67" i="4"/>
  <c r="AZ66" i="4"/>
  <c r="CB68" i="4"/>
  <c r="BR65" i="4"/>
  <c r="BT68" i="4"/>
  <c r="BS67" i="4"/>
  <c r="BW68" i="4"/>
  <c r="BV67" i="4"/>
  <c r="BD68" i="4"/>
  <c r="BV65" i="4"/>
  <c r="BY68" i="4"/>
  <c r="BE68" i="4"/>
  <c r="BZ68" i="4"/>
  <c r="BV66" i="4"/>
  <c r="BQ68" i="4"/>
  <c r="BX68" i="4"/>
  <c r="BW65" i="4"/>
  <c r="BW66" i="4"/>
  <c r="BQ66" i="4"/>
  <c r="BD65" i="4"/>
  <c r="BR68" i="4"/>
  <c r="CB67" i="4"/>
  <c r="BA66" i="4"/>
  <c r="BX65" i="4"/>
  <c r="BU66" i="4"/>
  <c r="BV68" i="4"/>
  <c r="CA65" i="4"/>
  <c r="BC67" i="4"/>
  <c r="BA68" i="4"/>
  <c r="BD66" i="4"/>
  <c r="BE66" i="4"/>
  <c r="BA67" i="4"/>
  <c r="BY66" i="4"/>
  <c r="BC65" i="4"/>
  <c r="BS66" i="4"/>
  <c r="BY65" i="4"/>
  <c r="BZ67" i="4"/>
  <c r="AW66" i="4"/>
  <c r="AZ67" i="4"/>
  <c r="BC68" i="4"/>
  <c r="AY67" i="4"/>
  <c r="BB67" i="4"/>
  <c r="AV68" i="4"/>
  <c r="AX65" i="4"/>
  <c r="AW65" i="4"/>
  <c r="AX67" i="4"/>
  <c r="BE65" i="4"/>
  <c r="AV67" i="4"/>
  <c r="AY65" i="4"/>
  <c r="AW67" i="4"/>
  <c r="AW68" i="4"/>
  <c r="AU68" i="4"/>
  <c r="AU67" i="4"/>
  <c r="AX68" i="4"/>
  <c r="AX66" i="4"/>
  <c r="AV65" i="4"/>
  <c r="BF68" i="4"/>
  <c r="BA65" i="4"/>
</calcChain>
</file>

<file path=xl/comments1.xml><?xml version="1.0" encoding="utf-8"?>
<comments xmlns="http://schemas.openxmlformats.org/spreadsheetml/2006/main">
  <authors>
    <author>Mölläri  Markku</author>
    <author>vmmollar</author>
  </authors>
  <commentList>
    <comment ref="BI27" authorId="0" shapeId="0">
      <text>
        <r>
          <rPr>
            <b/>
            <sz val="9"/>
            <color indexed="81"/>
            <rFont val="Tahoma"/>
            <charset val="1"/>
          </rPr>
          <t xml:space="preserve">Aineistossa verotulot olivat 2 x vuosille 2013-2015, siksi jako kahdella
</t>
        </r>
      </text>
    </comment>
    <comment ref="CE27" authorId="0" shapeId="0">
      <text>
        <r>
          <rPr>
            <b/>
            <sz val="9"/>
            <color indexed="81"/>
            <rFont val="Tahoma"/>
            <charset val="1"/>
          </rPr>
          <t xml:space="preserve">Aineistossa verotulot olivat 2 x vuosille 2013-2015, siksi jako kahdella
</t>
        </r>
      </text>
    </comment>
    <comment ref="DA27" authorId="0" shapeId="0">
      <text>
        <r>
          <rPr>
            <b/>
            <sz val="9"/>
            <color indexed="81"/>
            <rFont val="Tahoma"/>
            <charset val="1"/>
          </rPr>
          <t xml:space="preserve">Aineistossa verotulot olivat 2 x vuosille 2013-2015, siksi jako kahdella
</t>
        </r>
      </text>
    </comment>
    <comment ref="BI45" authorId="0" shapeId="0">
      <text>
        <r>
          <rPr>
            <b/>
            <sz val="9"/>
            <color indexed="81"/>
            <rFont val="Tahoma"/>
            <charset val="1"/>
          </rPr>
          <t xml:space="preserve">Kumulatiivinen ylijäämä 13-15 x2, siksi jaettu kahdella
</t>
        </r>
      </text>
    </comment>
    <comment ref="CE45" authorId="0" shapeId="0">
      <text>
        <r>
          <rPr>
            <b/>
            <sz val="9"/>
            <color indexed="81"/>
            <rFont val="Tahoma"/>
            <charset val="1"/>
          </rPr>
          <t xml:space="preserve">Kumulatiivinen ylijäämä 13-15 x2, siksi jaettu kahdella
</t>
        </r>
      </text>
    </comment>
    <comment ref="DA45" authorId="0" shapeId="0">
      <text>
        <r>
          <rPr>
            <b/>
            <sz val="9"/>
            <color indexed="81"/>
            <rFont val="Tahoma"/>
            <charset val="1"/>
          </rPr>
          <t xml:space="preserve">Kumulatiivinen ylijäämä 13-15 x2, siksi jaettu kahdella
</t>
        </r>
      </text>
    </comment>
    <comment ref="A81" authorId="1" shapeId="0">
      <text>
        <r>
          <rPr>
            <b/>
            <sz val="9"/>
            <color indexed="81"/>
            <rFont val="Tahoma"/>
            <family val="2"/>
          </rPr>
          <t>vmmollar:</t>
        </r>
        <r>
          <rPr>
            <sz val="9"/>
            <color indexed="81"/>
            <rFont val="Tahoma"/>
            <family val="2"/>
          </rPr>
          <t xml:space="preserve">
Tulot on saatu laskelmalla yhteen verotulot, valtionosuudet, toimintatulot ja muut tulot, niistä on vähennetty toimintamenot, käytännössä erotuksen pitäisi olla positiivinen, jos talous on tasapainossa.</t>
        </r>
      </text>
    </comment>
  </commentList>
</comments>
</file>

<file path=xl/sharedStrings.xml><?xml version="1.0" encoding="utf-8"?>
<sst xmlns="http://schemas.openxmlformats.org/spreadsheetml/2006/main" count="5797" uniqueCount="780">
  <si>
    <t>Kuntaryhmitys</t>
  </si>
  <si>
    <t>Asukasluku 31.12.1998</t>
  </si>
  <si>
    <t>Asukasluku 31.12.1999</t>
  </si>
  <si>
    <t>Asukasluku 31.12.2000</t>
  </si>
  <si>
    <t>Asukasluku 31.12.2001</t>
  </si>
  <si>
    <t>Asukasluku 31.12.2002</t>
  </si>
  <si>
    <t>Asukasluku 31.12.2003</t>
  </si>
  <si>
    <t>Asukasluku 31.12.2004</t>
  </si>
  <si>
    <t>Asukasluku 31.12.2005</t>
  </si>
  <si>
    <t>verotulot98</t>
  </si>
  <si>
    <t>valtionosuudet98</t>
  </si>
  <si>
    <t>toimintatuotot98</t>
  </si>
  <si>
    <t>Muut tulot98</t>
  </si>
  <si>
    <t>verotulot99</t>
  </si>
  <si>
    <t>valtionosuudet99</t>
  </si>
  <si>
    <t>toimintatuotot99</t>
  </si>
  <si>
    <t>Muut tulot99</t>
  </si>
  <si>
    <t>verotulot00</t>
  </si>
  <si>
    <t>valtionosuudet00</t>
  </si>
  <si>
    <t>toimintatuotot00</t>
  </si>
  <si>
    <t>Muut tulot00</t>
  </si>
  <si>
    <t>verotulot01</t>
  </si>
  <si>
    <t>valtionosuudet01</t>
  </si>
  <si>
    <t>toimintatuotot01</t>
  </si>
  <si>
    <t>Muut tulot01</t>
  </si>
  <si>
    <t>verotulot02</t>
  </si>
  <si>
    <t>valtionosuudet02</t>
  </si>
  <si>
    <t>toimintatuotot02</t>
  </si>
  <si>
    <t>Muut tulot02</t>
  </si>
  <si>
    <t>Verotulot03</t>
  </si>
  <si>
    <t>Valtionosuudet03</t>
  </si>
  <si>
    <t>Toimintatuotot03</t>
  </si>
  <si>
    <t>Muut tulot03</t>
  </si>
  <si>
    <t>verotulot04</t>
  </si>
  <si>
    <t>Valtionosuudet04</t>
  </si>
  <si>
    <t>toimintatuotot04</t>
  </si>
  <si>
    <t>muut tulot04</t>
  </si>
  <si>
    <t>verotulot05</t>
  </si>
  <si>
    <t>Valtionosuudet05</t>
  </si>
  <si>
    <t>toimintatuotot05</t>
  </si>
  <si>
    <t>muut tulot05</t>
  </si>
  <si>
    <t>Kunnallisvero98</t>
  </si>
  <si>
    <t>Yhteisövero98</t>
  </si>
  <si>
    <t>Kiinteistövero98</t>
  </si>
  <si>
    <t>Kunnallisvero99</t>
  </si>
  <si>
    <t>Yhteisövero99</t>
  </si>
  <si>
    <t>Kiinteistövero99</t>
  </si>
  <si>
    <t>Kunnallisvero00</t>
  </si>
  <si>
    <t>Yhteisövero00</t>
  </si>
  <si>
    <t>Kiinteistövero00</t>
  </si>
  <si>
    <t>Kunnallisvero01</t>
  </si>
  <si>
    <t>Yhteisövero01</t>
  </si>
  <si>
    <t>Kiinteistövero01</t>
  </si>
  <si>
    <t>Kunnallisvero02</t>
  </si>
  <si>
    <t>Yhteisövero02</t>
  </si>
  <si>
    <t>Kiinteistövero02</t>
  </si>
  <si>
    <t>Kunnallisvero03</t>
  </si>
  <si>
    <t>Yhteisövero03</t>
  </si>
  <si>
    <t>Kiinteistövero03</t>
  </si>
  <si>
    <t>kunnallisvero04</t>
  </si>
  <si>
    <t>yhteisövero04</t>
  </si>
  <si>
    <t>kiinteistövero04</t>
  </si>
  <si>
    <t>kunnallisvero05</t>
  </si>
  <si>
    <t>yhteisövero05</t>
  </si>
  <si>
    <t>kiinteistövero05</t>
  </si>
  <si>
    <t>Vuosikate98</t>
  </si>
  <si>
    <t>Nettoinv.98</t>
  </si>
  <si>
    <t>Poistot98</t>
  </si>
  <si>
    <t>Lainakanta98</t>
  </si>
  <si>
    <t>Vuosikate99</t>
  </si>
  <si>
    <t>Nettoinv.99</t>
  </si>
  <si>
    <t>Poistot99</t>
  </si>
  <si>
    <t>Lainakanta99</t>
  </si>
  <si>
    <t>Vuosikate00</t>
  </si>
  <si>
    <t>Nettoinv.00</t>
  </si>
  <si>
    <t>Poistot00</t>
  </si>
  <si>
    <t>Lainakanta00</t>
  </si>
  <si>
    <t>Vuosikate 01</t>
  </si>
  <si>
    <t>Nettoinv.01</t>
  </si>
  <si>
    <t>Poistot01</t>
  </si>
  <si>
    <t>Lainakanta01</t>
  </si>
  <si>
    <t>Vuosikate02</t>
  </si>
  <si>
    <t>Nettoinv.02</t>
  </si>
  <si>
    <t>Poistot02</t>
  </si>
  <si>
    <t>Lainakanta02</t>
  </si>
  <si>
    <t>Vuosikate03</t>
  </si>
  <si>
    <t>Nettonvest.03</t>
  </si>
  <si>
    <t>Poistot03</t>
  </si>
  <si>
    <t>Lainakanta03</t>
  </si>
  <si>
    <t>vuosikate04</t>
  </si>
  <si>
    <t>nettoinvestoinnit04</t>
  </si>
  <si>
    <t>poistot04</t>
  </si>
  <si>
    <t>lainakanta04</t>
  </si>
  <si>
    <t>vuosikate05</t>
  </si>
  <si>
    <t>nettoinvestoinnit05</t>
  </si>
  <si>
    <t>poistot05</t>
  </si>
  <si>
    <t>lainakanta05</t>
  </si>
  <si>
    <t>Kaupunkimainen kunta</t>
  </si>
  <si>
    <t>Maaseutumainen kunta</t>
  </si>
  <si>
    <t>Taajaan asuttu kunta</t>
  </si>
  <si>
    <t>10 000-20 000 as</t>
  </si>
  <si>
    <t>20 000-40 000 as</t>
  </si>
  <si>
    <t>40 000-100 000 as</t>
  </si>
  <si>
    <t>alle 2 000 as</t>
  </si>
  <si>
    <t>yli 100 000 as</t>
  </si>
  <si>
    <t>Etelä-Karjala</t>
  </si>
  <si>
    <t>Etelä-Pohjanmaa</t>
  </si>
  <si>
    <t>Etelä-Savo</t>
  </si>
  <si>
    <t>Kainuu</t>
  </si>
  <si>
    <t>Kanta-Häme</t>
  </si>
  <si>
    <t>Keski-Pohjanmaa</t>
  </si>
  <si>
    <t>Keski-Suomi</t>
  </si>
  <si>
    <t>Kymenlaakso</t>
  </si>
  <si>
    <t>Lappi</t>
  </si>
  <si>
    <t>Pirkanmaa</t>
  </si>
  <si>
    <t>Pohjanmaa</t>
  </si>
  <si>
    <t>Pohjois-Karjala</t>
  </si>
  <si>
    <t>Pohjois-Pohjanmaa</t>
  </si>
  <si>
    <t>Pohjois-Savo</t>
  </si>
  <si>
    <t>Päijät-Häme</t>
  </si>
  <si>
    <t>Satakunta</t>
  </si>
  <si>
    <t>Uusimaa</t>
  </si>
  <si>
    <t>Varsinais-Suomi</t>
  </si>
  <si>
    <t>kuntakoodi</t>
  </si>
  <si>
    <t>kunta</t>
  </si>
  <si>
    <t>maakuntakoodi</t>
  </si>
  <si>
    <t>Maakunta</t>
  </si>
  <si>
    <t>Kuntakokokoodi</t>
  </si>
  <si>
    <t>Kuntakokoryhmä</t>
  </si>
  <si>
    <t>Kuntaryhmityskoodi</t>
  </si>
  <si>
    <t>3</t>
  </si>
  <si>
    <t>Alajärvi</t>
  </si>
  <si>
    <t>2</t>
  </si>
  <si>
    <t>Alavieska</t>
  </si>
  <si>
    <t>Alavus</t>
  </si>
  <si>
    <t>Asikkala</t>
  </si>
  <si>
    <t>Askola</t>
  </si>
  <si>
    <t>Aura</t>
  </si>
  <si>
    <t>Enonkoski</t>
  </si>
  <si>
    <t>Enontekiö</t>
  </si>
  <si>
    <t>Espoo</t>
  </si>
  <si>
    <t>1</t>
  </si>
  <si>
    <t>Eura</t>
  </si>
  <si>
    <t>Eurajoki</t>
  </si>
  <si>
    <t>Evijärvi</t>
  </si>
  <si>
    <t>Forssa</t>
  </si>
  <si>
    <t>Haapajärvi</t>
  </si>
  <si>
    <t>Haapavesi</t>
  </si>
  <si>
    <t>Hailuoto</t>
  </si>
  <si>
    <t>Halsua</t>
  </si>
  <si>
    <t>Hamina</t>
  </si>
  <si>
    <t>Hankasalmi</t>
  </si>
  <si>
    <t>Hanko</t>
  </si>
  <si>
    <t>Harjavalta</t>
  </si>
  <si>
    <t>Hartola</t>
  </si>
  <si>
    <t>Hattula</t>
  </si>
  <si>
    <t>Hausjärvi</t>
  </si>
  <si>
    <t>Heinola</t>
  </si>
  <si>
    <t>Heinävesi</t>
  </si>
  <si>
    <t>Helsinki</t>
  </si>
  <si>
    <t>Hirvensalmi</t>
  </si>
  <si>
    <t>Hollola</t>
  </si>
  <si>
    <t>Honkajoki</t>
  </si>
  <si>
    <t>Huittinen</t>
  </si>
  <si>
    <t>Humppila</t>
  </si>
  <si>
    <t>Hyrynsalmi</t>
  </si>
  <si>
    <t>Hyvinkää</t>
  </si>
  <si>
    <t>Hämeenkyrö</t>
  </si>
  <si>
    <t>Hämeenlinna</t>
  </si>
  <si>
    <t>Ii</t>
  </si>
  <si>
    <t>Iisalmi</t>
  </si>
  <si>
    <t>Iitti</t>
  </si>
  <si>
    <t>Ikaalinen</t>
  </si>
  <si>
    <t>Ilmajoki</t>
  </si>
  <si>
    <t>Ilomantsi</t>
  </si>
  <si>
    <t>Imatra</t>
  </si>
  <si>
    <t>Inari</t>
  </si>
  <si>
    <t>Inkoo</t>
  </si>
  <si>
    <t>Isojoki</t>
  </si>
  <si>
    <t>Isokyrö</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</si>
  <si>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</si>
  <si>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</si>
  <si>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</si>
  <si>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</si>
  <si>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</si>
  <si>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</si>
  <si>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</si>
  <si>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</si>
  <si>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</si>
  <si>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</si>
  <si>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</si>
  <si>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</si>
  <si>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</si>
  <si>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</si>
  <si>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</si>
  <si>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</si>
  <si>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</si>
  <si>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</si>
  <si>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</si>
  <si>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</si>
  <si>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</si>
  <si>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</si>
  <si>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</si>
  <si>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</si>
  <si>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</si>
  <si>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</si>
  <si>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</si>
  <si>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</si>
  <si>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</si>
  <si>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</si>
  <si>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</si>
  <si>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</si>
  <si>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Kemijärvi</t>
  </si>
  <si>
    <t>Keminmaa</t>
  </si>
  <si>
    <t>Kempele</t>
  </si>
  <si>
    <t>Kerava</t>
  </si>
  <si>
    <t>Keuruu</t>
  </si>
  <si>
    <t>Kihniö</t>
  </si>
  <si>
    <t>Kinnula</t>
  </si>
  <si>
    <t>Kirkkonummi</t>
  </si>
  <si>
    <t>Kitee</t>
  </si>
  <si>
    <t>Kittilä</t>
  </si>
  <si>
    <t>Kiuruvesi</t>
  </si>
  <si>
    <t>Kivijärvi</t>
  </si>
  <si>
    <t>Kokemäki</t>
  </si>
  <si>
    <t>Kokkola</t>
  </si>
  <si>
    <t>KOKO MAA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</si>
  <si>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</si>
  <si>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</si>
  <si>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</si>
  <si>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</si>
  <si>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</si>
  <si>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</si>
  <si>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</si>
  <si>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</si>
  <si>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</si>
  <si>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</si>
  <si>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</si>
  <si>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</si>
  <si>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</si>
  <si>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</si>
  <si>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</si>
  <si>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</si>
  <si>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Kyyjärvi</t>
  </si>
  <si>
    <t>Kärkölä</t>
  </si>
  <si>
    <t>Kärsämäki</t>
  </si>
  <si>
    <t>Lahti</t>
  </si>
  <si>
    <t>Laihia</t>
  </si>
  <si>
    <t>Laitila</t>
  </si>
  <si>
    <t>Lapinjärvi</t>
  </si>
  <si>
    <t>Lapinlahti</t>
  </si>
  <si>
    <t>Lappajärvi</t>
  </si>
  <si>
    <t>Lappeenranta</t>
  </si>
  <si>
    <t>Lapua</t>
  </si>
  <si>
    <t>Laukaa</t>
  </si>
  <si>
    <t>Lemi</t>
  </si>
  <si>
    <t>Lempäälä</t>
  </si>
  <si>
    <t>Leppävirta</t>
  </si>
  <si>
    <t>Lestijärvi</t>
  </si>
  <si>
    <t>Lieksa</t>
  </si>
  <si>
    <t>Lieto</t>
  </si>
  <si>
    <t>Liminka</t>
  </si>
  <si>
    <t>Liperi</t>
  </si>
  <si>
    <t>Lohja</t>
  </si>
  <si>
    <t>Loimaa</t>
  </si>
  <si>
    <t>Loppi</t>
  </si>
  <si>
    <t>Loviisa</t>
  </si>
  <si>
    <t>Luhanka</t>
  </si>
  <si>
    <t>Lumijoki</t>
  </si>
  <si>
    <t>Luoto</t>
  </si>
  <si>
    <t>Luumäki</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</si>
  <si>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</si>
  <si>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</si>
  <si>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</si>
  <si>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</si>
  <si>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</si>
  <si>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</si>
  <si>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</si>
  <si>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</si>
  <si>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</si>
  <si>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</si>
  <si>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</si>
  <si>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</si>
  <si>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</si>
  <si>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</si>
  <si>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</si>
  <si>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</si>
  <si>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Naantali</t>
  </si>
  <si>
    <t>Nakkila</t>
  </si>
  <si>
    <t>Nivala</t>
  </si>
  <si>
    <t>Nokia</t>
  </si>
  <si>
    <t>Nousiainen</t>
  </si>
  <si>
    <t>Nurmes</t>
  </si>
  <si>
    <t>Nurmijärvi</t>
  </si>
  <si>
    <t>Närpiö</t>
  </si>
  <si>
    <t>Orimattila</t>
  </si>
  <si>
    <t>Oripää</t>
  </si>
  <si>
    <t>Orivesi</t>
  </si>
  <si>
    <t>Oulainen</t>
  </si>
  <si>
    <t>Oulu</t>
  </si>
  <si>
    <t>Outokumpu</t>
  </si>
  <si>
    <t>Padasjoki</t>
  </si>
  <si>
    <t>Paimio</t>
  </si>
  <si>
    <t>Paltamo</t>
  </si>
  <si>
    <t>Parikkala</t>
  </si>
  <si>
    <t>Parkano</t>
  </si>
  <si>
    <t>Pedersören kunta</t>
  </si>
  <si>
    <t>Pelkosenniemi</t>
  </si>
  <si>
    <t>Pello</t>
  </si>
  <si>
    <t>Perho</t>
  </si>
  <si>
    <t>Pertunmaa</t>
  </si>
  <si>
    <t>Petäjävesi</t>
  </si>
  <si>
    <t>Pieksämäki</t>
  </si>
  <si>
    <t>Pielavesi</t>
  </si>
  <si>
    <t>Pietarsaari</t>
  </si>
  <si>
    <t>Pihtipudas</t>
  </si>
  <si>
    <t>Pirkkala</t>
  </si>
  <si>
    <t>Polvijärvi</t>
  </si>
  <si>
    <t>Pomarkku</t>
  </si>
  <si>
    <t>Pori</t>
  </si>
  <si>
    <t>Pornainen</t>
  </si>
  <si>
    <t>Porvoo</t>
  </si>
  <si>
    <t>Posio</t>
  </si>
  <si>
    <t>Pudasjärvi</t>
  </si>
  <si>
    <t>Pukkila</t>
  </si>
  <si>
    <t>Punkalaidun</t>
  </si>
  <si>
    <t>Puolanka</t>
  </si>
  <si>
    <t>Puumala</t>
  </si>
  <si>
    <t>Pyhtää</t>
  </si>
  <si>
    <t>Pyhäjoki</t>
  </si>
  <si>
    <t>Pyhäjärvi</t>
  </si>
  <si>
    <t>Pyhäntä</t>
  </si>
  <si>
    <t>Pyhäranta</t>
  </si>
  <si>
    <t>Pälkäne</t>
  </si>
  <si>
    <t>Pöytyä</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</si>
  <si>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</si>
  <si>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</si>
  <si>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</si>
  <si>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</si>
  <si>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</si>
  <si>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</si>
  <si>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</si>
  <si>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</si>
  <si>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</si>
  <si>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</si>
  <si>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</si>
  <si>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</si>
  <si>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</si>
  <si>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</si>
  <si>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</si>
  <si>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</si>
  <si>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</si>
  <si>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</si>
  <si>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</si>
  <si>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</si>
  <si>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</si>
  <si>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</si>
  <si>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</si>
  <si>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</si>
  <si>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</si>
  <si>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</si>
  <si>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</si>
  <si>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</si>
  <si>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</si>
  <si>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</si>
  <si>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</si>
  <si>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</si>
  <si>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</si>
  <si>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</si>
  <si>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</si>
  <si>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</si>
  <si>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</si>
  <si>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</si>
  <si>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</si>
  <si>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</si>
  <si>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</si>
  <si>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Taipalsaari</t>
  </si>
  <si>
    <t>Taivalkoski</t>
  </si>
  <si>
    <t>Taivassalo</t>
  </si>
  <si>
    <t>Tammela</t>
  </si>
  <si>
    <t>Tampere</t>
  </si>
  <si>
    <t>Tervo</t>
  </si>
  <si>
    <t>Tervola</t>
  </si>
  <si>
    <t>Teuva</t>
  </si>
  <si>
    <t>Tohmajärvi</t>
  </si>
  <si>
    <t>Toholampi</t>
  </si>
  <si>
    <t>Toivakka</t>
  </si>
  <si>
    <t>Tornio</t>
  </si>
  <si>
    <t>Turku</t>
  </si>
  <si>
    <t>Tuusniemi</t>
  </si>
  <si>
    <t>Tuusula</t>
  </si>
  <si>
    <t>Tyrnävä</t>
  </si>
  <si>
    <t>Ulvila</t>
  </si>
  <si>
    <t>Urjala</t>
  </si>
  <si>
    <t>Utajärvi</t>
  </si>
  <si>
    <t>Utsjoki</t>
  </si>
  <si>
    <t>Uurainen</t>
  </si>
  <si>
    <t>Uusikaarlepyy</t>
  </si>
  <si>
    <t>Uusikaupunki</t>
  </si>
  <si>
    <t>Vaala</t>
  </si>
  <si>
    <t>Vaasa</t>
  </si>
  <si>
    <t>Valkeakoski</t>
  </si>
  <si>
    <t>Valtimo</t>
  </si>
  <si>
    <t>Vantaa</t>
  </si>
  <si>
    <t>Varkaus</t>
  </si>
  <si>
    <t>Vehmaa</t>
  </si>
  <si>
    <t>Vesanto</t>
  </si>
  <si>
    <t>Vesilahti</t>
  </si>
  <si>
    <t>Veteli</t>
  </si>
  <si>
    <t>Vieremä</t>
  </si>
  <si>
    <t>Vihti</t>
  </si>
  <si>
    <t>Viitasaari</t>
  </si>
  <si>
    <t>Vimpeli</t>
  </si>
  <si>
    <t>Virolahti</t>
  </si>
  <si>
    <t>Virrat</t>
  </si>
  <si>
    <t>Ylitornio</t>
  </si>
  <si>
    <t>Ylivieska</t>
  </si>
  <si>
    <t>Ylöjärvi</t>
  </si>
  <si>
    <t>Ypäjä</t>
  </si>
  <si>
    <t>Ähtäri</t>
  </si>
  <si>
    <t>Äänekoski</t>
  </si>
  <si>
    <t xml:space="preserve">Valitse vertailtavat kunnat valikoista. </t>
  </si>
  <si>
    <t>Valitsemalla "KOKO MAA" saat vertailuun koko manner-Suomen tiedot.</t>
  </si>
  <si>
    <t>Luettelonumero</t>
  </si>
  <si>
    <t>MAAKUNTA</t>
  </si>
  <si>
    <t>KUNTAKOKOLUOKKA</t>
  </si>
  <si>
    <t>Kunta</t>
  </si>
  <si>
    <t>Vuosi</t>
  </si>
  <si>
    <t>Verotulot yhteensä</t>
  </si>
  <si>
    <t>Valtionosuudet</t>
  </si>
  <si>
    <t>Toimintatuotot</t>
  </si>
  <si>
    <t>Muut tulot</t>
  </si>
  <si>
    <t>Kunnallisvero</t>
  </si>
  <si>
    <t>Yhteisövero</t>
  </si>
  <si>
    <t>Kiinteistövero</t>
  </si>
  <si>
    <t>Vuosikate</t>
  </si>
  <si>
    <t>Nettoinvestoinnit</t>
  </si>
  <si>
    <t>KO-poistot</t>
  </si>
  <si>
    <t>Lainakanta</t>
  </si>
  <si>
    <t>Luvut €/asukas</t>
  </si>
  <si>
    <t>Maakuntakoodi</t>
  </si>
  <si>
    <t>Kuntakokoluokkakoodi</t>
  </si>
  <si>
    <t>Kuntakokoluokka</t>
  </si>
  <si>
    <t>Kuntaryhmäkoodi</t>
  </si>
  <si>
    <t>Kuntaryhmä</t>
  </si>
  <si>
    <t xml:space="preserve">HUOM! </t>
  </si>
  <si>
    <t xml:space="preserve">Tilastokeskus otti vuonna 1989 käyttöön uuden tilastollisen kuntaryhmittelyn, jossa kunnat jaetaan kolmeen ryhmään </t>
  </si>
  <si>
    <t>niiden hallinnollisista ominaisuuksista riippumatta. Luokitteluperusteena käytetään kunnan asutusrakennetta.</t>
  </si>
  <si>
    <t xml:space="preserve">Kaupunkimaisiin kuntiin (1) kuuluvat ne kunnat, joiden väestöstä vähintään 90 % asuu taajamissa tai suurimman </t>
  </si>
  <si>
    <t>taajaman väkiluku on vähintään 15 000.</t>
  </si>
  <si>
    <t xml:space="preserve">Taajaan asuttuihin kuntiin (2) kuuluvat ne kunnat, joiden väestöstä vähintään 60 % mutta alle 90 % asuu taajamissa </t>
  </si>
  <si>
    <t>ja suurimman taajaman väkiluku on vähintään 4 000 mutta alle 15 000 asukasta.</t>
  </si>
  <si>
    <t xml:space="preserve">Loput kunnat ovat maaseutumaisia kuntia (3). </t>
  </si>
  <si>
    <t>Asukasluku 31.12.2006</t>
  </si>
  <si>
    <t>verotulot06</t>
  </si>
  <si>
    <t>Valtionosuudet06</t>
  </si>
  <si>
    <t>toimintatuotot06</t>
  </si>
  <si>
    <t>muut tulot06</t>
  </si>
  <si>
    <t>kunnallisvero06</t>
  </si>
  <si>
    <t>yhteisövero06</t>
  </si>
  <si>
    <t>kiinteistövero06</t>
  </si>
  <si>
    <t>vuosikate06</t>
  </si>
  <si>
    <t>nettoinvestoinnit06</t>
  </si>
  <si>
    <t>poistot06</t>
  </si>
  <si>
    <t>lainakanta06</t>
  </si>
  <si>
    <t>Asukasluku 31.12.</t>
  </si>
  <si>
    <t>Asukasluku 31.12.2007</t>
  </si>
  <si>
    <t>Verotulot07</t>
  </si>
  <si>
    <t>Valtionosuudet07</t>
  </si>
  <si>
    <t>Toimintatuotot07</t>
  </si>
  <si>
    <t>Muut tulot07</t>
  </si>
  <si>
    <t>Kunnallisvero07</t>
  </si>
  <si>
    <t>Yhteisövero07</t>
  </si>
  <si>
    <t>Kiinteistövero07</t>
  </si>
  <si>
    <t>Vuosikate07</t>
  </si>
  <si>
    <t>Nettoinvestoinnit07</t>
  </si>
  <si>
    <t>Poistot07</t>
  </si>
  <si>
    <t>Lainakanta07</t>
  </si>
  <si>
    <t>Akaa</t>
  </si>
  <si>
    <t>Asukasluku 31122008</t>
  </si>
  <si>
    <t>Verotulot08</t>
  </si>
  <si>
    <t>Valtionosuudet08</t>
  </si>
  <si>
    <t>Toimintatuotot08</t>
  </si>
  <si>
    <t>Muut tulot 08</t>
  </si>
  <si>
    <t>Kunnallisvero08</t>
  </si>
  <si>
    <t>Osuus yhteisöveron tuotosta08</t>
  </si>
  <si>
    <t>Kiinteistövero08</t>
  </si>
  <si>
    <t>Vuosikate08</t>
  </si>
  <si>
    <t>Suunnitelman mukaiset poistot ja arvonalet08</t>
  </si>
  <si>
    <t>Investoinnit, netto08</t>
  </si>
  <si>
    <t>Lainakanta08</t>
  </si>
  <si>
    <t>Toimintakulut98</t>
  </si>
  <si>
    <t>Tilikauden yli- tai alijäämä98</t>
  </si>
  <si>
    <t>Toimintakulut99</t>
  </si>
  <si>
    <t>Tilikauden yli- tai alijäämä99</t>
  </si>
  <si>
    <t>Toimintakulut00</t>
  </si>
  <si>
    <t>Tilikauden yli- tai alijäämä00</t>
  </si>
  <si>
    <t>Toimintakulut01</t>
  </si>
  <si>
    <t>Tilikauden yli- tai alijäämä01</t>
  </si>
  <si>
    <t>Toimintakulut02</t>
  </si>
  <si>
    <t>Tilikauden yli- tai alijäämä02</t>
  </si>
  <si>
    <t>Toimintakulut03</t>
  </si>
  <si>
    <t>Tilikauden yli- tai alijäämä03</t>
  </si>
  <si>
    <t>Toimintakulut04</t>
  </si>
  <si>
    <t>Tilikauden yli- tai alijäämä04</t>
  </si>
  <si>
    <t>Toimintakulut05</t>
  </si>
  <si>
    <t>Tilikauden yli- tai alijäämä05</t>
  </si>
  <si>
    <t>Toimintakulut06</t>
  </si>
  <si>
    <t>Tilikauden yli- tai alijäämä06</t>
  </si>
  <si>
    <t>Toimintakulut07</t>
  </si>
  <si>
    <t>Tilikauden yli- tai alijäämä07</t>
  </si>
  <si>
    <t>Toimintakulut08</t>
  </si>
  <si>
    <t>Tilikauden yli- tai alijäämä08</t>
  </si>
  <si>
    <t>Kumulat yli/alij 07</t>
  </si>
  <si>
    <t>Kumulat yli/alij 08</t>
  </si>
  <si>
    <t>Asukasluku 31.12.2008</t>
  </si>
  <si>
    <t>Toimintakulut</t>
  </si>
  <si>
    <t>Tilikauden yli/alijäämä</t>
  </si>
  <si>
    <t>Verotulojen muutos</t>
  </si>
  <si>
    <t>VOS-muutos</t>
  </si>
  <si>
    <t>Toimintatuottojen muutos</t>
  </si>
  <si>
    <t>Toimintakulujen muutos</t>
  </si>
  <si>
    <t>Kemiönsaari</t>
  </si>
  <si>
    <t>Mänttä-Vilppula</t>
  </si>
  <si>
    <t>Raasepori</t>
  </si>
  <si>
    <t>Sastamala</t>
  </si>
  <si>
    <t>Siikalatva</t>
  </si>
  <si>
    <t>Asukasluku 31122009</t>
  </si>
  <si>
    <t>Verotulot09</t>
  </si>
  <si>
    <t>Valtionosuudet09</t>
  </si>
  <si>
    <t>Toimintatuotot09</t>
  </si>
  <si>
    <t>Muut tulot09</t>
  </si>
  <si>
    <t>Kunnallisvero09</t>
  </si>
  <si>
    <t>Osuus yhteisöveron tuotosta09</t>
  </si>
  <si>
    <t>Kiinteistövero09</t>
  </si>
  <si>
    <t>Vuosikate09</t>
  </si>
  <si>
    <t>Investoinnit, netto09</t>
  </si>
  <si>
    <t>Suunnitelman mukaiset poistot ja arvonalet09</t>
  </si>
  <si>
    <t>Lainakanta09</t>
  </si>
  <si>
    <t>Toimintakulut09</t>
  </si>
  <si>
    <t>Tilikauden yli- tai alijäämä09</t>
  </si>
  <si>
    <t>Investoinnit, netto09+</t>
  </si>
  <si>
    <t>Asukasluku 31.12.2009</t>
  </si>
  <si>
    <t>Asukasluku 31122010</t>
  </si>
  <si>
    <t>Verotulot10</t>
  </si>
  <si>
    <t>Valtionosuudet10</t>
  </si>
  <si>
    <t>Toimintatuotot10</t>
  </si>
  <si>
    <t>Muut tulot10</t>
  </si>
  <si>
    <t>Kunnallisvero10</t>
  </si>
  <si>
    <t>Osuus yhteisöveron tuotosta10</t>
  </si>
  <si>
    <t>Kiinteistövero10</t>
  </si>
  <si>
    <t>Vuosikate10</t>
  </si>
  <si>
    <t>Net invest10-</t>
  </si>
  <si>
    <t>Suunnitelman mukaiset poistot ja arvonalet10</t>
  </si>
  <si>
    <t>Lainakanta10</t>
  </si>
  <si>
    <t>Net invest10+</t>
  </si>
  <si>
    <t>Toimintakulut10</t>
  </si>
  <si>
    <t>Tilikauden yli- tai alijäämä10</t>
  </si>
  <si>
    <t>Kumulat yli/alij10</t>
  </si>
  <si>
    <t>Tuloveroprosentti 2010</t>
  </si>
  <si>
    <t>Vöyri</t>
  </si>
  <si>
    <t>Asukasluku 31.12.2010</t>
  </si>
  <si>
    <t>kaavasta</t>
  </si>
  <si>
    <t>Parainen</t>
  </si>
  <si>
    <t>Asukasluku 2011</t>
  </si>
  <si>
    <t>Toimintatuotot11</t>
  </si>
  <si>
    <t>Toimintakulut11</t>
  </si>
  <si>
    <t>Verotulot11</t>
  </si>
  <si>
    <t>Valtionosuudet11</t>
  </si>
  <si>
    <t>Vuosikate11</t>
  </si>
  <si>
    <t>Suunnitelman mukaiset poistot ja arvonalet11</t>
  </si>
  <si>
    <t>Muut tulot11</t>
  </si>
  <si>
    <t>Tilikauden yli- tai alijäämä11</t>
  </si>
  <si>
    <t>Kunnallisvero11</t>
  </si>
  <si>
    <t>Osuus yhteisöveron tuotosta11</t>
  </si>
  <si>
    <t>Kiinteistövero11</t>
  </si>
  <si>
    <t>Lainakanta11</t>
  </si>
  <si>
    <t>Asukasluku 2012</t>
  </si>
  <si>
    <t>Toimintatuotot12</t>
  </si>
  <si>
    <t>Toimintakulut12</t>
  </si>
  <si>
    <t>Verotulot12</t>
  </si>
  <si>
    <t>Valtionosuudet12</t>
  </si>
  <si>
    <t>Vuosikate12</t>
  </si>
  <si>
    <t>Suunnitelman mukaiset poistot ja arvonalet12</t>
  </si>
  <si>
    <t>Muut tulot12</t>
  </si>
  <si>
    <t>Tilikauden yli- tai alijäämä12</t>
  </si>
  <si>
    <t>Kumulat yli/alij12</t>
  </si>
  <si>
    <t>Kunnallisvero12</t>
  </si>
  <si>
    <t>Osuus yhteisöveron tuotosta12</t>
  </si>
  <si>
    <t>Kiinteistövero12</t>
  </si>
  <si>
    <t>Lainakanta12</t>
  </si>
  <si>
    <t>Tuloveroprosentti12</t>
  </si>
  <si>
    <t>Investoinnit, netto11-</t>
  </si>
  <si>
    <t>Investoinnit, netto11+</t>
  </si>
  <si>
    <t>Investoinnit, netto12-</t>
  </si>
  <si>
    <t>Investoinnit, netto12+</t>
  </si>
  <si>
    <t>Asukasluku 31.12.2011</t>
  </si>
  <si>
    <t>Asukasluku 31.12.2012</t>
  </si>
  <si>
    <t>Kertynyt yli/alijäämä</t>
  </si>
  <si>
    <t>Tuloveroprosentti</t>
  </si>
  <si>
    <t>Tulot - menot</t>
  </si>
  <si>
    <t>Aiemmassa versiossa oli mahdollista vertailla rahoituksen riittävyyden indikaattoreita kuntien välillä ja myös % muutoksia eräissä indikaattoreissa.</t>
  </si>
  <si>
    <t xml:space="preserve">Esityksen selkeyden vuoksi niistä on luovuttu. Vertailun voi halutessaan tehdä kopiomalla yksittäisen kunnan kuvaajat ja vertaamalla niitä toiseen. </t>
  </si>
  <si>
    <t>Palaute on tervetullutta osoitteeseen</t>
  </si>
  <si>
    <t>markku.mollari@vm.fi</t>
  </si>
  <si>
    <t>Tuloveroprosentti 2010a</t>
  </si>
  <si>
    <t>Kertynyt 98 €</t>
  </si>
  <si>
    <t>Kumulat. yli/alij 99</t>
  </si>
  <si>
    <t>Kumulat. yli/alij 00</t>
  </si>
  <si>
    <t>Kumulat. yli/alij 01</t>
  </si>
  <si>
    <t>Kumulat. yli/alij 02</t>
  </si>
  <si>
    <t>Kumulat. yli/alij 03</t>
  </si>
  <si>
    <t>Kumulat. yli/alij 04</t>
  </si>
  <si>
    <t>Kumulat. yli/alij 05</t>
  </si>
  <si>
    <t>Kumulat. yli/alij 06</t>
  </si>
  <si>
    <t>Kumulat. yli/alij 07</t>
  </si>
  <si>
    <t>Kumulat yli/alij 09</t>
  </si>
  <si>
    <t>Kumulat yli/alij 10</t>
  </si>
  <si>
    <t>Kumulat yli/alij 11</t>
  </si>
  <si>
    <t>Kumulat yli/alij13</t>
  </si>
  <si>
    <t>Kumulat yli/alij14</t>
  </si>
  <si>
    <t>Kumulat yli/alij15</t>
  </si>
  <si>
    <t>Tuloveroprosentti 1998</t>
  </si>
  <si>
    <t>Tuloveroprosentti 1999</t>
  </si>
  <si>
    <t>Tuloveroprosentti 2000</t>
  </si>
  <si>
    <t>Tuloveroprosentti 2001</t>
  </si>
  <si>
    <t>Tuloveroprosentti 2002</t>
  </si>
  <si>
    <t>Tuloveroprosentti 2003</t>
  </si>
  <si>
    <t>Tuloveroprosentti 2004</t>
  </si>
  <si>
    <t>Tuloveroprosentti 05</t>
  </si>
  <si>
    <t>Tuloveroprosentti 2006</t>
  </si>
  <si>
    <t>Tuloveroprosentti 2007</t>
  </si>
  <si>
    <t>Tuloveroprosentti 2008</t>
  </si>
  <si>
    <t>Tuloveroprosentti 2009</t>
  </si>
  <si>
    <t>Tuloveroprosentti 2011</t>
  </si>
  <si>
    <t>Tuloveroprosentti 2013</t>
  </si>
  <si>
    <t>Tuloveroprosentti 2014</t>
  </si>
  <si>
    <t>Tuloveroprosentti 2015</t>
  </si>
  <si>
    <t xml:space="preserve">Asukasluku13 </t>
  </si>
  <si>
    <t>Toimintatuotot13</t>
  </si>
  <si>
    <t>Toimintakulut13</t>
  </si>
  <si>
    <t>Verotulot13</t>
  </si>
  <si>
    <t>Valtionosuudet13</t>
  </si>
  <si>
    <t>Muut tulot13</t>
  </si>
  <si>
    <t>Vuosikate13</t>
  </si>
  <si>
    <t>Suunnitelman mukaiset poistot ja arvonalet13</t>
  </si>
  <si>
    <t>Nettoinvestoinnit 13</t>
  </si>
  <si>
    <t>Tilikauden tulos13</t>
  </si>
  <si>
    <t>Tilikauden yli- tai alijäämä13</t>
  </si>
  <si>
    <t>Kunnallisvero13</t>
  </si>
  <si>
    <t>Osuus yhteisöveron tuotosta13</t>
  </si>
  <si>
    <t>Kiinteistövero13</t>
  </si>
  <si>
    <t>Lainakanta13</t>
  </si>
  <si>
    <t>Asukasluku14</t>
  </si>
  <si>
    <t>Toimintatuotot14</t>
  </si>
  <si>
    <t>Toimintakulut14</t>
  </si>
  <si>
    <t>Verotulot14</t>
  </si>
  <si>
    <t>Valtionosuudet14</t>
  </si>
  <si>
    <t>Muut tulot14</t>
  </si>
  <si>
    <t>Vuosikate14</t>
  </si>
  <si>
    <t>Suunnitelman mukaiset poistot ja arvonalet14</t>
  </si>
  <si>
    <t>Nettoinvestoinnit 14</t>
  </si>
  <si>
    <t>Tilikauden yli- tai alijäämä14</t>
  </si>
  <si>
    <t>Kunnallisvero14</t>
  </si>
  <si>
    <t>Osuus yhteisöveron tuotosta14</t>
  </si>
  <si>
    <t>Kiinteistövero14</t>
  </si>
  <si>
    <t>Lainakanta14</t>
  </si>
  <si>
    <t>Asukasluku15</t>
  </si>
  <si>
    <t>Toimintatuotot15</t>
  </si>
  <si>
    <t>Toimintakulut15</t>
  </si>
  <si>
    <t>Verotulot15</t>
  </si>
  <si>
    <t>Valtionosuudet15</t>
  </si>
  <si>
    <t>Muut tulot 15</t>
  </si>
  <si>
    <t>Vuosikate15</t>
  </si>
  <si>
    <t>Suunnitelman mukaiset poistot ja arvonalet15</t>
  </si>
  <si>
    <t>Nettoinvest 15</t>
  </si>
  <si>
    <t>Tilikauden yli- tai alijäämä15</t>
  </si>
  <si>
    <t>Kunnallisvero15</t>
  </si>
  <si>
    <t>Osuus yhteisöveron tuotosta15</t>
  </si>
  <si>
    <t>Kiinteistövero15</t>
  </si>
  <si>
    <t>Lainakanta15</t>
  </si>
  <si>
    <t>Asukasluku 31.12.2013</t>
  </si>
  <si>
    <t>Asukasluku 31.12.2014</t>
  </si>
  <si>
    <t>Asukasluku 31.12.2015</t>
  </si>
  <si>
    <t>Laskelmassa kuntien yhdistymiset 1998-2015 on huomioitu koko jaksolla! (Esim. vuoden 1998 Jämsä on jo Jämsä+Kuorevesi)</t>
  </si>
  <si>
    <t xml:space="preserve">Kuntakokoluokan ja maakuntajaon vertailussa on käytetty tilannetta 31.12.2015, edeltävien vuosien muutoksia ei ole laskelmissa huomioitu. </t>
  </si>
  <si>
    <t>Tulojen muutos</t>
  </si>
  <si>
    <t>Asukasluvun muutos-%</t>
  </si>
  <si>
    <t>Pyrin kehittämään kuvaajien selkeyttä ja valitsemaan indikaattoreita, jotka antavat luotettavaa ja yleistajuista tietoa kunnan taloudellisesta tilasta.</t>
  </si>
  <si>
    <t>Päivitykseen 2016 on lisätty aikasarjat taseen kertynyt alijäämä ja tuloveroprosentti 1998-2015.</t>
  </si>
  <si>
    <t>Samalla on tehty muutama uusi kuvaaja esimerkiksi toimintamenojen ja tulojen kasvuprosenttien eroista.</t>
  </si>
  <si>
    <t>Asukasluku16</t>
  </si>
  <si>
    <t>Verotulot16</t>
  </si>
  <si>
    <t>Valtionosuudet16</t>
  </si>
  <si>
    <t>Toimintatuotot16</t>
  </si>
  <si>
    <t>Muut tulot16</t>
  </si>
  <si>
    <t>Kunnallisvero16</t>
  </si>
  <si>
    <t>Osuus yhteisöveron tuotosta16</t>
  </si>
  <si>
    <t>Kiinteistövero16</t>
  </si>
  <si>
    <t>Vuosikate16</t>
  </si>
  <si>
    <t>Nettoinvestoinnit16</t>
  </si>
  <si>
    <t>Suunnitelman mukaiset poistot ja arvonalet16</t>
  </si>
  <si>
    <t>Lainakanta16</t>
  </si>
  <si>
    <t>Toimintakulut16</t>
  </si>
  <si>
    <t>Tilikauden yli- tai alijäämä16</t>
  </si>
  <si>
    <t>Kumulat yli/alij16</t>
  </si>
  <si>
    <t>Tuloveroprosentti 2016</t>
  </si>
  <si>
    <t>Asukasluku 31.12.2016</t>
  </si>
  <si>
    <t>Laskelmassa kuntien yhdistymiset 1998-2017 on huomioitu koko jaksolla! (Esim. vuoden 1998 Jämsä on jo Jämsä+Kuorevesi)</t>
  </si>
  <si>
    <t xml:space="preserve">Kuntakokoluokan ja maakuntajaon vertailussa on käytetty tilannetta 31.12.2016, edeltävien vuosien muutoksia ei ole laskelmissa huomioitu. </t>
  </si>
  <si>
    <t>Asukasluku17</t>
  </si>
  <si>
    <t>Verotulot17</t>
  </si>
  <si>
    <t>Valtionosuudet17</t>
  </si>
  <si>
    <t>Toimintatuotot17</t>
  </si>
  <si>
    <t>Toimintakulut17</t>
  </si>
  <si>
    <t>Muut tulot17</t>
  </si>
  <si>
    <t>Vuosikate17</t>
  </si>
  <si>
    <t>Suunnitelman mukaiset poistot ja arvonalet17</t>
  </si>
  <si>
    <t>Tilikauden yli- tai alijäämä17</t>
  </si>
  <si>
    <t>Kumulat yli/alij17</t>
  </si>
  <si>
    <t>Kunnallisvero17</t>
  </si>
  <si>
    <t>Osuus yhteisöveron tuotosta17</t>
  </si>
  <si>
    <t>Kiinteistövero17</t>
  </si>
  <si>
    <t>Tuloveroprosentti 2017</t>
  </si>
  <si>
    <t>Nettoinvestoinnit17</t>
  </si>
  <si>
    <t>Lainakanta17</t>
  </si>
  <si>
    <t>Asukasluku 31.12.2017</t>
  </si>
  <si>
    <t>Asukasluku18</t>
  </si>
  <si>
    <t>Verotulot18</t>
  </si>
  <si>
    <t>Valtionosuudet18</t>
  </si>
  <si>
    <t>Toimintatuotot18</t>
  </si>
  <si>
    <t>Muut tulot18</t>
  </si>
  <si>
    <t>Kunnallisvero18</t>
  </si>
  <si>
    <t>Osuus yhteisöveron tuotosta18</t>
  </si>
  <si>
    <t>Kiinteistövero18</t>
  </si>
  <si>
    <t>Vuosikate18</t>
  </si>
  <si>
    <t>Nettoinvestoinnit18</t>
  </si>
  <si>
    <t>Suunnitelman mukaiset poistot ja arvonalet18</t>
  </si>
  <si>
    <t>Lainakanta18</t>
  </si>
  <si>
    <t>Toimintakulut18</t>
  </si>
  <si>
    <t>Tilikauden yli- tai alijäämä18</t>
  </si>
  <si>
    <t>Kumulat yli/alij18</t>
  </si>
  <si>
    <t>Tuloveroprosentti18</t>
  </si>
  <si>
    <t>5 000-10 000 as</t>
  </si>
  <si>
    <t>2 000-5 000 as</t>
  </si>
  <si>
    <t>Nyt</t>
  </si>
  <si>
    <t>Oikea</t>
  </si>
  <si>
    <t>Kierros 2</t>
  </si>
  <si>
    <t>Asukasluku 31.12.2018</t>
  </si>
  <si>
    <t>Kuvaus</t>
  </si>
  <si>
    <t>Kaup, voim.kasvu</t>
  </si>
  <si>
    <t>Kaup, kasvu</t>
  </si>
  <si>
    <t>Kaup, taantuva</t>
  </si>
  <si>
    <t>Kaup, voim.taantuva</t>
  </si>
  <si>
    <t>Taajaan as, voim.kasvava</t>
  </si>
  <si>
    <t>Taajaan as, kasvava</t>
  </si>
  <si>
    <t>Taajaan as, taantuva</t>
  </si>
  <si>
    <t>Taajaan as, voim.taantuva</t>
  </si>
  <si>
    <t>Maaseutum, voim.kasvava</t>
  </si>
  <si>
    <t>Maaseutum, kasvava</t>
  </si>
  <si>
    <t>Maaseutum, taantuva</t>
  </si>
  <si>
    <t>Maaseutum, voim.taantuva</t>
  </si>
  <si>
    <t>Kuntatyyppikoodi</t>
  </si>
  <si>
    <t>Kumulat yli/alij13B</t>
  </si>
  <si>
    <t>Kumulat yli/alij14B</t>
  </si>
  <si>
    <t>Kumulat yli/alij15B</t>
  </si>
  <si>
    <t>Tilastokeskus julkaisi tiedot vuoden 2018 kuntien käyttötaloudesta ja kunnittaisen väestöennusteen syyskuussa 2019. Näihin pohjatietoihin on sovellettu Tilastokeskuksen kuntaluokittelua kaupunkimaisiin, taajaan asuttuihin ja maaseutumaisiin kuntiin. Näihin luokkiin on määritelty alaluokat vuosien 2017-2018 väestönkehityksen keskiarvon mukaan, jolloin jokaiseen ryhmään on saatu lisäjaottelu asukasluvultaan nopeasti kasvaviin (yli 1 % kasvu), kasvaviin (alle 1 %:n kasvu), taantuviin (alle -1 % väheneminen) ja nopeasti taantuviin (yli -1 % väheneminen).</t>
  </si>
  <si>
    <t>Taulukko 1: Kuntien luokittelu ja lukumäärät luokissa</t>
  </si>
  <si>
    <t>Luokka</t>
  </si>
  <si>
    <t>Kuntia</t>
  </si>
  <si>
    <t>Kaupunkimaiset kunnat</t>
  </si>
  <si>
    <t>Nopeasti kasvava</t>
  </si>
  <si>
    <t>Kasvava</t>
  </si>
  <si>
    <t>Taantuva</t>
  </si>
  <si>
    <t>Nopeasti taantuva</t>
  </si>
  <si>
    <t>Taajaan asutut kunnat</t>
  </si>
  <si>
    <t>Maaseutumaiset kunnat</t>
  </si>
  <si>
    <t>Yhteensä</t>
  </si>
  <si>
    <t>Luokittelun perusteella nopeasti kasvavia kuntia on koko maassa vain 16 kappaletta ja hitaammin kasvavia kuntia 39. Lukumääräisesti suurin kuntajoukko on taantuvat ja nopeasti taantuvat maaseutumaiset kunnat, joita on yli 54 % kunnista.</t>
  </si>
  <si>
    <t>Nopeasti kasvavien kuntien luokat ovat kaikki lukumäärältään varsin pieniä, tämä tarkoittaa, että yksittäisen kunnan, kuten Helsingin kaupungin, tilanne voi heijastua luokan tuloksiin voimakkaasti. Tämä täytyy ottaa huomioon tarkastelussa.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</si>
</sst>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
    <numFmt numFmtId="165" formatCode="#,##0_ ;[Red]\-#,##0\ "/>
    <numFmt numFmtId="166" formatCode="00.00"/>
    <numFmt numFmtId="167" formatCode="#,##0.00;[Red]#,##0.00"/>
    <numFmt numFmtId="168" formatCode="[$€]#,##0.00_);[Red]\([$€]#,##0.00\)"/>
    <numFmt numFmtId="169" formatCode="0.0"/>
  </numFmts>
  <fonts count="39" x14ac:knownFonts="1">
    <font>
      <sz val="10"/>
      <name val="Arial"/>
    </font>
    <font>
      <sz val="10"/>
      <name val="Arial"/>
      <family val="2"/>
    </font>
    <font>
      <sz val="8"/>
      <name val="Arial"/>
      <family val="2"/>
    </font>
    <font>
      <b/>
      <sz val="8"/>
      <name val="Arial"/>
      <family val="2"/>
    </font>
    <font>
      <sz val="10"/>
      <name val="Verdana"/>
      <family val="2"/>
    </font>
    <font>
      <b/>
      <sz val="10"/>
      <name val="Verdana"/>
      <family val="2"/>
    </font>
    <font>
      <b/>
      <sz val="9"/>
      <name val="Verdana"/>
      <family val="2"/>
    </font>
    <font>
      <sz val="9"/>
      <name val="Verdana"/>
      <family val="2"/>
    </font>
    <font>
      <sz val="8"/>
      <name val="Verdana"/>
      <family val="2"/>
    </font>
    <font>
      <u/>
      <sz val="10"/>
      <color indexed="12"/>
      <name val="Arial"/>
      <family val="2"/>
    </font>
    <font>
      <b/>
      <sz val="12"/>
      <name val="Verdana"/>
      <family val="2"/>
    </font>
    <font>
      <b/>
      <sz val="12"/>
      <name val="Arial"/>
      <family val="2"/>
    </font>
    <font>
      <sz val="12"/>
      <name val="Verdana"/>
      <family val="2"/>
    </font>
    <font>
      <sz val="8"/>
      <name val="Arial"/>
      <family val="2"/>
    </font>
    <font>
      <sz val="8"/>
      <name val="Arial Narrow"/>
      <family val="2"/>
    </font>
    <font>
      <sz val="10"/>
      <name val="Arial Narrow"/>
      <family val="2"/>
    </font>
    <font>
      <b/>
      <sz val="8"/>
      <name val="Arial Narrow"/>
      <family val="2"/>
    </font>
    <font>
      <b/>
      <sz val="8"/>
      <color indexed="8"/>
      <name val="Arial Narrow"/>
      <family val="2"/>
    </font>
    <font>
      <sz val="8"/>
      <color indexed="8"/>
      <name val="Arial Narrow"/>
      <family val="2"/>
    </font>
    <font>
      <sz val="9"/>
      <color indexed="81"/>
      <name val="Tahoma"/>
      <family val="2"/>
    </font>
    <font>
      <b/>
      <sz val="9"/>
      <color indexed="81"/>
      <name val="Tahoma"/>
      <family val="2"/>
    </font>
    <font>
      <b/>
      <sz val="11"/>
      <name val="Arial"/>
      <family val="2"/>
    </font>
    <font>
      <sz val="10"/>
      <name val="Arial"/>
      <family val="2"/>
    </font>
    <font>
      <b/>
      <sz val="10"/>
      <name val="Arial"/>
      <family val="2"/>
    </font>
    <font>
      <b/>
      <sz val="11"/>
      <color theme="1"/>
      <name val="Calibri"/>
      <family val="2"/>
    </font>
    <font>
      <sz val="8"/>
      <name val="Courier"/>
      <family val="3"/>
    </font>
    <font>
      <sz val="10"/>
      <name val="MS Sans Serif"/>
      <family val="2"/>
    </font>
    <font>
      <b/>
      <sz val="10"/>
      <color indexed="8"/>
      <name val="Arial"/>
      <family val="2"/>
    </font>
    <font>
      <sz val="8"/>
      <color indexed="10"/>
      <name val="Arial"/>
      <family val="2"/>
    </font>
    <font>
      <b/>
      <sz val="11"/>
      <color rgb="FF000000"/>
      <name val="Calibri"/>
      <family val="2"/>
    </font>
    <font>
      <i/>
      <sz val="8"/>
      <color indexed="10"/>
      <name val="Arial"/>
      <family val="2"/>
    </font>
    <font>
      <b/>
      <sz val="9"/>
      <color indexed="81"/>
      <name val="Tahoma"/>
      <charset val="1"/>
    </font>
    <font>
      <sz val="12"/>
      <name val="Times New Roman"/>
      <family val="1"/>
    </font>
    <font>
      <sz val="10"/>
      <name val="Times New Roman"/>
      <family val="1"/>
    </font>
    <font>
      <sz val="11"/>
      <color rgb="FF006100"/>
      <name val="Calibri"/>
      <family val="2"/>
    </font>
    <font>
      <b/>
      <sz val="11"/>
      <color rgb="FF006100"/>
      <name val="Calibri"/>
      <family val="2"/>
    </font>
    <font>
      <sz val="11"/>
      <color rgb="FF000000"/>
      <name val="Calibri"/>
      <family val="2"/>
    </font>
    <font>
      <sz val="11"/>
      <color rgb="FF9C0006"/>
      <name val="Calibri"/>
      <family val="2"/>
    </font>
    <font>
      <b/>
      <sz val="11"/>
      <color rgb="FF9C0006"/>
      <name val="Calibri"/>
      <family val="2"/>
    </font>
  </fonts>
  <fills count="11">
    <fill>
      <patternFill patternType="none"/>
    </fill>
    <fill>
      <patternFill patternType="gray125"/>
    </fill>
    <fill>
      <patternFill patternType="solid">
        <fgColor indexed="41"/>
        <bgColor indexed="64"/>
      </patternFill>
    </fill>
    <fill>
      <patternFill patternType="solid">
        <fgColor indexed="27"/>
        <bgColor indexed="64"/>
      </patternFill>
    </fill>
    <fill>
      <patternFill patternType="solid">
        <fgColor indexed="13"/>
        <bgColor indexed="64"/>
      </patternFill>
    </fill>
    <fill>
      <patternFill patternType="solid">
        <fgColor indexed="43"/>
        <bgColor indexed="64"/>
      </patternFill>
    </fill>
    <fill>
      <patternFill patternType="solid">
        <fgColor rgb="FFFFFF00"/>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C6EFCE"/>
        <bgColor indexed="64"/>
      </patternFill>
    </fill>
    <fill>
      <patternFill patternType="solid">
        <fgColor rgb="FFFFC7CE"/>
        <bgColor indexed="64"/>
      </patternFill>
    </fill>
  </fills>
  <borders count="1">
    <border>
      <left/>
      <right/>
      <top/>
      <bottom/>
      <diagonal/>
    </border>
  </borders>
  <cellStyleXfs count="6">
    <xf numFmtId="0" fontId="0" fillId="0" borderId="0"/>
    <xf numFmtId="0" fontId="9" fillId="0" borderId="0" applyNumberFormat="0" applyFill="0" applyBorder="0" applyAlignment="0" applyProtection="0">
      <alignment vertical="top"/>
      <protection locked="0"/>
    </xf>
    <xf numFmtId="0" fontId="22" fillId="0" borderId="0"/>
    <xf numFmtId="0" fontId="25" fillId="0" borderId="0"/>
    <xf numFmtId="0" fontId="26" fillId="0" borderId="0"/>
    <xf numFmtId="168" fontId="26" fillId="0" borderId="0" applyFont="0" applyFill="0" applyBorder="0" applyAlignment="0" applyProtection="0"/>
  </cellStyleXfs>
  <cellXfs count="212">
    <xf numFmtId="0" fontId="0" fillId="0" borderId="0" xfId="0"/>
    <xf numFmtId="3" fontId="2" fillId="0" borderId="0" xfId="0" applyNumberFormat="1" applyFont="1"/>
    <xf numFmtId="0" fontId="4" fillId="0" borderId="0" xfId="0" applyFont="1"/>
    <xf numFmtId="0" fontId="4" fillId="0" borderId="0" xfId="0" applyNumberFormat="1" applyFont="1" applyAlignment="1">
      <alignment horizontal="centerContinuous"/>
    </xf>
    <xf numFmtId="0" fontId="0" fillId="0" borderId="0" xfId="0" applyAlignment="1">
      <alignment horizontal="centerContinuous"/>
    </xf>
    <xf numFmtId="0" fontId="1" fillId="0" borderId="0" xfId="0" applyNumberFormat="1" applyFont="1" applyAlignment="1">
      <alignment horizontal="center"/>
    </xf>
    <xf numFmtId="0" fontId="1" fillId="0" borderId="0" xfId="0" applyFont="1" applyAlignment="1">
      <alignment horizontal="center"/>
    </xf>
    <xf numFmtId="0" fontId="5" fillId="0" borderId="0" xfId="0" applyFont="1"/>
    <xf numFmtId="0" fontId="5" fillId="0" borderId="0" xfId="0" applyFont="1" applyAlignment="1">
      <alignment horizontal="centerContinuous"/>
    </xf>
    <xf numFmtId="0" fontId="0" fillId="0" borderId="0" xfId="0" applyAlignment="1">
      <alignment horizontal="center"/>
    </xf>
    <xf numFmtId="0" fontId="6" fillId="0" borderId="0" xfId="0" applyFont="1"/>
    <xf numFmtId="0" fontId="7" fillId="0" borderId="0" xfId="0" applyFont="1"/>
    <xf numFmtId="3" fontId="7" fillId="0" borderId="0" xfId="0" applyNumberFormat="1" applyFont="1"/>
    <xf numFmtId="3" fontId="4" fillId="0" borderId="0" xfId="0" applyNumberFormat="1" applyFont="1"/>
    <xf numFmtId="3" fontId="8" fillId="0" borderId="0" xfId="0" applyNumberFormat="1" applyFont="1"/>
    <xf numFmtId="0" fontId="10" fillId="2" borderId="0" xfId="0" applyFont="1" applyFill="1"/>
    <xf numFmtId="0" fontId="11" fillId="2" borderId="0" xfId="0" applyFont="1" applyFill="1"/>
    <xf numFmtId="0" fontId="11" fillId="3" borderId="0" xfId="0" applyFont="1" applyFill="1"/>
    <xf numFmtId="0" fontId="11" fillId="0" borderId="0" xfId="0" applyFont="1"/>
    <xf numFmtId="0" fontId="12" fillId="2" borderId="0" xfId="0" applyFont="1" applyFill="1"/>
    <xf numFmtId="0" fontId="0" fillId="2" borderId="0" xfId="0" applyFill="1"/>
    <xf numFmtId="0" fontId="0" fillId="3" borderId="0" xfId="0" applyFill="1"/>
    <xf numFmtId="0" fontId="0" fillId="0" borderId="0" xfId="0" applyAlignment="1"/>
    <xf numFmtId="0" fontId="3" fillId="0" borderId="0" xfId="0" applyFont="1"/>
    <xf numFmtId="0" fontId="2" fillId="0" borderId="0" xfId="0" applyFont="1"/>
    <xf numFmtId="1" fontId="5" fillId="0" borderId="0" xfId="0" applyNumberFormat="1" applyFont="1"/>
    <xf numFmtId="3" fontId="5" fillId="0" borderId="0" xfId="0" applyNumberFormat="1" applyFont="1"/>
    <xf numFmtId="3" fontId="14" fillId="0" borderId="0" xfId="0" applyNumberFormat="1" applyFont="1"/>
    <xf numFmtId="3" fontId="14" fillId="0" borderId="0" xfId="0" applyNumberFormat="1" applyFont="1" applyAlignment="1">
      <alignment horizontal="left"/>
    </xf>
    <xf numFmtId="3" fontId="14" fillId="0" borderId="0" xfId="0" applyNumberFormat="1" applyFont="1" applyAlignment="1">
      <alignment horizontal="right"/>
    </xf>
    <xf numFmtId="3" fontId="15" fillId="0" borderId="0" xfId="0" applyNumberFormat="1" applyFont="1"/>
    <xf numFmtId="3" fontId="14" fillId="0" borderId="0" xfId="0" applyNumberFormat="1" applyFont="1" applyAlignment="1" applyProtection="1">
      <alignment horizontal="left"/>
      <protection locked="0"/>
    </xf>
    <xf numFmtId="3" fontId="16" fillId="0" borderId="0" xfId="0" applyNumberFormat="1" applyFont="1"/>
    <xf numFmtId="3" fontId="16" fillId="0" borderId="0" xfId="0" applyNumberFormat="1" applyFont="1" applyAlignment="1" applyProtection="1">
      <alignment horizontal="left"/>
      <protection locked="0"/>
    </xf>
    <xf numFmtId="3" fontId="0" fillId="0" borderId="0" xfId="0" applyNumberFormat="1"/>
    <xf numFmtId="3" fontId="18" fillId="0" borderId="0" xfId="0" applyNumberFormat="1" applyFont="1" applyFill="1" applyBorder="1" applyAlignment="1">
      <alignment vertical="center"/>
    </xf>
    <xf numFmtId="3" fontId="14" fillId="0" borderId="0" xfId="0" applyNumberFormat="1" applyFont="1" applyAlignment="1"/>
    <xf numFmtId="3" fontId="17" fillId="0" borderId="0" xfId="0" applyNumberFormat="1" applyFont="1" applyFill="1" applyBorder="1" applyAlignment="1" applyProtection="1">
      <alignment vertical="center"/>
    </xf>
    <xf numFmtId="3" fontId="14" fillId="0" borderId="0" xfId="0" applyNumberFormat="1" applyFont="1" applyBorder="1" applyAlignment="1"/>
    <xf numFmtId="3" fontId="16" fillId="0" borderId="0" xfId="0" applyNumberFormat="1" applyFont="1" applyBorder="1" applyAlignment="1"/>
    <xf numFmtId="164" fontId="7" fillId="0" borderId="0" xfId="0" applyNumberFormat="1" applyFont="1"/>
    <xf numFmtId="0" fontId="6" fillId="0" borderId="0" xfId="0" applyFont="1" applyAlignment="1">
      <alignment horizontal="center"/>
    </xf>
    <xf numFmtId="0" fontId="6" fillId="0" borderId="0" xfId="0" applyFont="1" applyAlignment="1">
      <alignment horizontal="left"/>
    </xf>
    <xf numFmtId="3" fontId="16" fillId="0" borderId="0" xfId="0" applyNumberFormat="1" applyFont="1" applyAlignment="1">
      <alignment horizontal="right"/>
    </xf>
    <xf numFmtId="0" fontId="2" fillId="0" borderId="0" xfId="0" applyFont="1" applyFill="1"/>
    <xf numFmtId="0" fontId="2" fillId="0" borderId="0" xfId="0" applyFont="1" applyFill="1" applyBorder="1"/>
    <xf numFmtId="3" fontId="2" fillId="0" borderId="0" xfId="0" applyNumberFormat="1" applyFont="1" applyFill="1" applyProtection="1">
      <protection locked="0"/>
    </xf>
    <xf numFmtId="0" fontId="2" fillId="0" borderId="0" xfId="0" applyFont="1" applyFill="1" applyProtection="1">
      <protection locked="0"/>
    </xf>
    <xf numFmtId="3" fontId="2" fillId="0" borderId="0" xfId="0" applyNumberFormat="1" applyFont="1" applyFill="1"/>
    <xf numFmtId="0" fontId="5" fillId="4" borderId="0" xfId="0" applyFont="1" applyFill="1"/>
    <xf numFmtId="3" fontId="7" fillId="4" borderId="0" xfId="0" applyNumberFormat="1" applyFont="1" applyFill="1"/>
    <xf numFmtId="3" fontId="4" fillId="4" borderId="0" xfId="0" applyNumberFormat="1" applyFont="1" applyFill="1"/>
    <xf numFmtId="0" fontId="4" fillId="4" borderId="0" xfId="0" applyFont="1" applyFill="1"/>
    <xf numFmtId="0" fontId="7" fillId="4" borderId="0" xfId="0" applyFont="1" applyFill="1"/>
    <xf numFmtId="0" fontId="5" fillId="0" borderId="0" xfId="0" applyFont="1" applyFill="1"/>
    <xf numFmtId="0" fontId="0" fillId="0" borderId="0" xfId="0" applyFill="1"/>
    <xf numFmtId="0" fontId="4" fillId="0" borderId="0" xfId="0" applyFont="1" applyFill="1"/>
    <xf numFmtId="2" fontId="0" fillId="0" borderId="0" xfId="0" applyNumberFormat="1"/>
    <xf numFmtId="0" fontId="0" fillId="0" borderId="0" xfId="0" applyNumberFormat="1"/>
    <xf numFmtId="4" fontId="7" fillId="0" borderId="0" xfId="0" applyNumberFormat="1" applyFont="1"/>
    <xf numFmtId="4" fontId="4" fillId="0" borderId="0" xfId="0" applyNumberFormat="1" applyFont="1"/>
    <xf numFmtId="0" fontId="9" fillId="0" borderId="0" xfId="1" applyAlignment="1" applyProtection="1"/>
    <xf numFmtId="0" fontId="5" fillId="0" borderId="0" xfId="0" applyFont="1" applyAlignment="1">
      <alignment horizontal="center"/>
    </xf>
    <xf numFmtId="0" fontId="3" fillId="5" borderId="0" xfId="0" applyFont="1" applyFill="1" applyAlignment="1"/>
    <xf numFmtId="0" fontId="2" fillId="0" borderId="0" xfId="0" applyFont="1" applyFill="1" applyAlignment="1"/>
    <xf numFmtId="0" fontId="15" fillId="0" borderId="0" xfId="0" applyFont="1" applyAlignment="1"/>
    <xf numFmtId="1" fontId="15" fillId="0" borderId="0" xfId="0" applyNumberFormat="1" applyFont="1" applyAlignment="1"/>
    <xf numFmtId="0" fontId="15" fillId="7" borderId="0" xfId="0" applyFont="1" applyFill="1" applyAlignment="1"/>
    <xf numFmtId="0" fontId="15" fillId="6" borderId="0" xfId="0" applyFont="1" applyFill="1" applyAlignment="1"/>
    <xf numFmtId="3" fontId="14" fillId="0" borderId="0" xfId="0" applyNumberFormat="1" applyFont="1" applyAlignment="1" applyProtection="1">
      <protection locked="0"/>
    </xf>
    <xf numFmtId="3" fontId="16" fillId="0" borderId="0" xfId="0" applyNumberFormat="1" applyFont="1" applyAlignment="1"/>
    <xf numFmtId="3" fontId="16" fillId="0" borderId="0" xfId="0" applyNumberFormat="1" applyFont="1" applyAlignment="1" applyProtection="1">
      <protection locked="0"/>
    </xf>
    <xf numFmtId="3" fontId="17" fillId="0" borderId="0" xfId="0" applyNumberFormat="1" applyFont="1" applyFill="1" applyBorder="1" applyAlignment="1">
      <alignment vertical="center"/>
    </xf>
    <xf numFmtId="3" fontId="15" fillId="0" borderId="0" xfId="0" applyNumberFormat="1" applyFont="1" applyAlignment="1"/>
    <xf numFmtId="0" fontId="2" fillId="0" borderId="0" xfId="0" applyFont="1" applyFill="1" applyBorder="1" applyAlignment="1"/>
    <xf numFmtId="3" fontId="2" fillId="5" borderId="0" xfId="0" applyNumberFormat="1" applyFont="1" applyFill="1" applyAlignment="1"/>
    <xf numFmtId="3" fontId="2" fillId="0" borderId="0" xfId="0" applyNumberFormat="1" applyFont="1" applyFill="1" applyAlignment="1"/>
    <xf numFmtId="2" fontId="15" fillId="7" borderId="0" xfId="0" applyNumberFormat="1" applyFont="1" applyFill="1" applyAlignment="1"/>
    <xf numFmtId="3" fontId="15" fillId="6" borderId="0" xfId="0" applyNumberFormat="1" applyFont="1" applyFill="1" applyAlignment="1"/>
    <xf numFmtId="3" fontId="2" fillId="5" borderId="0" xfId="0" applyNumberFormat="1" applyFont="1" applyFill="1" applyAlignment="1" applyProtection="1">
      <protection locked="0"/>
    </xf>
    <xf numFmtId="3" fontId="2" fillId="0" borderId="0" xfId="0" applyNumberFormat="1" applyFont="1" applyFill="1" applyAlignment="1" applyProtection="1">
      <protection locked="0"/>
    </xf>
    <xf numFmtId="3" fontId="2" fillId="0" borderId="0" xfId="0" applyNumberFormat="1" applyFont="1" applyFill="1" applyBorder="1" applyAlignment="1"/>
    <xf numFmtId="3" fontId="16" fillId="6" borderId="0" xfId="0" applyNumberFormat="1" applyFont="1" applyFill="1" applyAlignment="1" applyProtection="1">
      <protection locked="0"/>
    </xf>
    <xf numFmtId="4" fontId="16" fillId="7" borderId="0" xfId="0" applyNumberFormat="1" applyFont="1" applyFill="1" applyAlignment="1" applyProtection="1">
      <protection locked="0"/>
    </xf>
    <xf numFmtId="3" fontId="15" fillId="4" borderId="0" xfId="0" applyNumberFormat="1" applyFont="1" applyFill="1" applyAlignment="1"/>
    <xf numFmtId="3" fontId="14" fillId="6" borderId="0" xfId="0" applyNumberFormat="1" applyFont="1" applyFill="1" applyAlignment="1" applyProtection="1">
      <protection locked="0"/>
    </xf>
    <xf numFmtId="3" fontId="15" fillId="7" borderId="0" xfId="0" applyNumberFormat="1" applyFont="1" applyFill="1" applyAlignment="1"/>
    <xf numFmtId="0" fontId="2" fillId="5" borderId="0" xfId="0" applyFont="1" applyFill="1" applyAlignment="1"/>
    <xf numFmtId="0" fontId="2" fillId="0" borderId="0" xfId="0" applyFont="1" applyFill="1" applyAlignment="1" applyProtection="1">
      <protection locked="0"/>
    </xf>
    <xf numFmtId="0" fontId="3" fillId="6" borderId="0" xfId="0" applyFont="1" applyFill="1"/>
    <xf numFmtId="1" fontId="2" fillId="0" borderId="0" xfId="0" applyNumberFormat="1" applyFont="1" applyFill="1"/>
    <xf numFmtId="1" fontId="3" fillId="0" borderId="0" xfId="0" applyNumberFormat="1" applyFont="1" applyFill="1"/>
    <xf numFmtId="0" fontId="3" fillId="0" borderId="0" xfId="0" applyFont="1" applyFill="1"/>
    <xf numFmtId="0" fontId="21" fillId="0" borderId="0" xfId="0" applyFont="1" applyFill="1"/>
    <xf numFmtId="0" fontId="0" fillId="8" borderId="0" xfId="0" applyFill="1" applyAlignment="1"/>
    <xf numFmtId="0" fontId="22" fillId="8" borderId="0" xfId="0" applyFont="1" applyFill="1" applyAlignment="1"/>
    <xf numFmtId="0" fontId="23" fillId="8" borderId="0" xfId="0" applyFont="1" applyFill="1" applyAlignment="1"/>
    <xf numFmtId="0" fontId="2" fillId="8" borderId="0" xfId="0" applyFont="1" applyFill="1" applyAlignment="1"/>
    <xf numFmtId="0" fontId="2" fillId="8" borderId="0" xfId="2" applyFont="1" applyFill="1" applyAlignment="1"/>
    <xf numFmtId="2" fontId="0" fillId="8" borderId="0" xfId="0" applyNumberFormat="1" applyFill="1" applyAlignment="1"/>
    <xf numFmtId="0" fontId="15" fillId="8" borderId="0" xfId="0" applyFont="1" applyFill="1" applyAlignment="1"/>
    <xf numFmtId="0" fontId="2" fillId="8" borderId="0" xfId="0" applyFont="1" applyFill="1"/>
    <xf numFmtId="0" fontId="3" fillId="8" borderId="0" xfId="0" applyFont="1" applyFill="1"/>
    <xf numFmtId="3" fontId="2" fillId="8" borderId="0" xfId="0" applyNumberFormat="1" applyFont="1" applyFill="1"/>
    <xf numFmtId="0" fontId="3" fillId="8" borderId="0" xfId="0" applyFont="1" applyFill="1" applyAlignment="1" applyProtection="1">
      <alignment horizontal="left"/>
      <protection locked="0"/>
    </xf>
    <xf numFmtId="0" fontId="2" fillId="8" borderId="0" xfId="0" applyFont="1" applyFill="1" applyBorder="1"/>
    <xf numFmtId="3" fontId="24" fillId="0" borderId="0" xfId="0" applyNumberFormat="1" applyFont="1" applyAlignment="1"/>
    <xf numFmtId="2" fontId="24" fillId="0" borderId="0" xfId="0" applyNumberFormat="1" applyFont="1" applyAlignment="1"/>
    <xf numFmtId="2" fontId="23" fillId="0" borderId="0" xfId="0" applyNumberFormat="1" applyFont="1" applyAlignment="1"/>
    <xf numFmtId="2" fontId="24" fillId="0" borderId="0" xfId="0" applyNumberFormat="1" applyFont="1" applyAlignment="1" applyProtection="1">
      <protection locked="0"/>
    </xf>
    <xf numFmtId="2" fontId="23" fillId="0" borderId="0" xfId="3" applyNumberFormat="1" applyFont="1" applyAlignment="1" applyProtection="1">
      <protection locked="0"/>
    </xf>
    <xf numFmtId="2" fontId="23" fillId="0" borderId="0" xfId="4" applyNumberFormat="1" applyFont="1" applyBorder="1" applyAlignment="1"/>
    <xf numFmtId="0" fontId="3" fillId="0" borderId="0" xfId="0" applyFont="1" applyAlignment="1"/>
    <xf numFmtId="0" fontId="24" fillId="0" borderId="0" xfId="0" applyFont="1" applyAlignment="1"/>
    <xf numFmtId="2" fontId="3" fillId="0" borderId="0" xfId="2" applyNumberFormat="1" applyFont="1" applyFill="1" applyAlignment="1"/>
    <xf numFmtId="2" fontId="2" fillId="0" borderId="0" xfId="0" applyNumberFormat="1" applyFont="1" applyFill="1"/>
    <xf numFmtId="0" fontId="2" fillId="6" borderId="0" xfId="0" applyFont="1" applyFill="1"/>
    <xf numFmtId="165" fontId="2" fillId="0" borderId="0" xfId="0" applyNumberFormat="1" applyFont="1" applyFill="1"/>
    <xf numFmtId="3" fontId="0" fillId="0" borderId="0" xfId="0" applyNumberFormat="1" applyAlignment="1"/>
    <xf numFmtId="0" fontId="0" fillId="0" borderId="0" xfId="0" applyAlignment="1" applyProtection="1">
      <protection locked="0"/>
    </xf>
    <xf numFmtId="0" fontId="2" fillId="0" borderId="0" xfId="0" applyFont="1" applyAlignment="1" applyProtection="1">
      <protection locked="0"/>
    </xf>
    <xf numFmtId="0" fontId="2" fillId="0" borderId="0" xfId="2" applyFont="1" applyFill="1" applyAlignment="1" applyProtection="1">
      <protection locked="0"/>
    </xf>
    <xf numFmtId="2" fontId="0" fillId="0" borderId="0" xfId="0" applyNumberFormat="1" applyAlignment="1"/>
    <xf numFmtId="2" fontId="22" fillId="0" borderId="0" xfId="0" applyNumberFormat="1" applyFont="1" applyAlignment="1"/>
    <xf numFmtId="2" fontId="0" fillId="0" borderId="0" xfId="0" applyNumberFormat="1" applyAlignment="1" applyProtection="1">
      <protection locked="0"/>
    </xf>
    <xf numFmtId="2" fontId="22" fillId="0" borderId="0" xfId="3" applyNumberFormat="1" applyFont="1" applyAlignment="1" applyProtection="1">
      <protection locked="0"/>
    </xf>
    <xf numFmtId="2" fontId="22" fillId="0" borderId="0" xfId="4" applyNumberFormat="1" applyFont="1" applyBorder="1" applyAlignment="1"/>
    <xf numFmtId="2" fontId="2" fillId="0" borderId="0" xfId="0" applyNumberFormat="1" applyFont="1" applyBorder="1" applyAlignment="1"/>
    <xf numFmtId="2" fontId="2" fillId="0" borderId="0" xfId="2" applyNumberFormat="1" applyFont="1" applyFill="1" applyBorder="1" applyAlignment="1"/>
    <xf numFmtId="2" fontId="2" fillId="0" borderId="0" xfId="0" applyNumberFormat="1" applyFont="1" applyFill="1" applyBorder="1" applyAlignment="1">
      <alignment horizontal="right"/>
    </xf>
    <xf numFmtId="165" fontId="2" fillId="0" borderId="0" xfId="0" applyNumberFormat="1" applyFont="1" applyFill="1" applyProtection="1">
      <protection locked="0"/>
    </xf>
    <xf numFmtId="166" fontId="2" fillId="0" borderId="0" xfId="0" applyNumberFormat="1" applyFont="1" applyFill="1" applyBorder="1" applyAlignment="1"/>
    <xf numFmtId="3" fontId="0" fillId="6" borderId="0" xfId="0" applyNumberFormat="1" applyFill="1" applyAlignment="1"/>
    <xf numFmtId="2" fontId="0" fillId="6" borderId="0" xfId="0" applyNumberFormat="1" applyFill="1" applyAlignment="1"/>
    <xf numFmtId="2" fontId="22" fillId="6" borderId="0" xfId="0" applyNumberFormat="1" applyFont="1" applyFill="1" applyAlignment="1"/>
    <xf numFmtId="2" fontId="0" fillId="6" borderId="0" xfId="0" applyNumberFormat="1" applyFill="1" applyAlignment="1" applyProtection="1">
      <protection locked="0"/>
    </xf>
    <xf numFmtId="2" fontId="22" fillId="6" borderId="0" xfId="3" applyNumberFormat="1" applyFont="1" applyFill="1" applyAlignment="1" applyProtection="1">
      <protection locked="0"/>
    </xf>
    <xf numFmtId="2" fontId="22" fillId="6" borderId="0" xfId="4" applyNumberFormat="1" applyFont="1" applyFill="1" applyBorder="1" applyAlignment="1"/>
    <xf numFmtId="2" fontId="2" fillId="6" borderId="0" xfId="0" applyNumberFormat="1" applyFont="1" applyFill="1" applyBorder="1" applyAlignment="1"/>
    <xf numFmtId="0" fontId="0" fillId="6" borderId="0" xfId="0" applyFill="1" applyAlignment="1"/>
    <xf numFmtId="2" fontId="2" fillId="6" borderId="0" xfId="2" applyNumberFormat="1" applyFont="1" applyFill="1" applyBorder="1" applyAlignment="1"/>
    <xf numFmtId="2" fontId="3" fillId="0" borderId="0" xfId="0" applyNumberFormat="1" applyFont="1" applyBorder="1" applyAlignment="1"/>
    <xf numFmtId="2" fontId="3" fillId="0" borderId="0" xfId="2" applyNumberFormat="1" applyFont="1" applyFill="1" applyBorder="1" applyAlignment="1"/>
    <xf numFmtId="0" fontId="2" fillId="0" borderId="0" xfId="2" applyFont="1" applyFill="1" applyAlignment="1"/>
    <xf numFmtId="2" fontId="22" fillId="0" borderId="0" xfId="4" applyNumberFormat="1" applyFont="1" applyFill="1" applyBorder="1" applyAlignment="1"/>
    <xf numFmtId="2" fontId="27" fillId="0" borderId="0" xfId="0" applyNumberFormat="1" applyFont="1" applyAlignment="1" applyProtection="1"/>
    <xf numFmtId="167" fontId="2" fillId="0" borderId="0" xfId="5" applyNumberFormat="1" applyFont="1" applyBorder="1" applyAlignment="1"/>
    <xf numFmtId="2" fontId="2" fillId="0" borderId="0" xfId="5" applyNumberFormat="1" applyFont="1" applyFill="1" applyBorder="1" applyAlignment="1"/>
    <xf numFmtId="2" fontId="2" fillId="0" borderId="0" xfId="5" applyNumberFormat="1" applyFont="1" applyFill="1" applyBorder="1" applyAlignment="1">
      <alignment horizontal="right"/>
    </xf>
    <xf numFmtId="166" fontId="3" fillId="0" borderId="0" xfId="0" applyNumberFormat="1" applyFont="1" applyFill="1" applyBorder="1" applyAlignment="1"/>
    <xf numFmtId="0" fontId="22" fillId="0" borderId="0" xfId="0" applyFont="1" applyAlignment="1"/>
    <xf numFmtId="0" fontId="2" fillId="0" borderId="0" xfId="0" applyFont="1" applyAlignment="1"/>
    <xf numFmtId="0" fontId="22" fillId="0" borderId="0" xfId="2" applyAlignment="1"/>
    <xf numFmtId="0" fontId="28" fillId="0" borderId="0" xfId="2" applyFont="1" applyFill="1" applyAlignment="1" applyProtection="1">
      <protection locked="0"/>
    </xf>
    <xf numFmtId="2" fontId="3" fillId="0" borderId="0" xfId="0" applyNumberFormat="1" applyFont="1" applyAlignment="1"/>
    <xf numFmtId="2" fontId="3" fillId="0" borderId="0" xfId="2" applyNumberFormat="1" applyFont="1" applyAlignment="1"/>
    <xf numFmtId="0" fontId="28" fillId="0" borderId="0" xfId="0" applyFont="1" applyFill="1"/>
    <xf numFmtId="0" fontId="23" fillId="0" borderId="0" xfId="0" applyFont="1" applyFill="1"/>
    <xf numFmtId="0" fontId="3" fillId="0" borderId="0" xfId="0" applyFont="1" applyFill="1" applyAlignment="1" applyProtection="1">
      <alignment horizontal="left"/>
      <protection locked="0"/>
    </xf>
    <xf numFmtId="0" fontId="24" fillId="0" borderId="0" xfId="0" applyFont="1"/>
    <xf numFmtId="0" fontId="23" fillId="0" borderId="0" xfId="0" applyFont="1" applyAlignment="1"/>
    <xf numFmtId="0" fontId="7" fillId="0" borderId="0" xfId="0" applyFont="1" applyAlignment="1">
      <alignment horizontal="left"/>
    </xf>
    <xf numFmtId="169" fontId="7" fillId="0" borderId="0" xfId="0" applyNumberFormat="1" applyFont="1"/>
    <xf numFmtId="0" fontId="22" fillId="0" borderId="0" xfId="0" applyFont="1"/>
    <xf numFmtId="0" fontId="5"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5" fillId="0" borderId="0" xfId="0" applyFont="1" applyAlignment="1">
      <alignment horizontal="center"/>
    </xf>
    <xf numFmtId="0" fontId="0" fillId="0" borderId="0" xfId="0" applyAlignment="1">
      <alignment horizontal="center"/>
    </xf>
    <xf numFmtId="0" fontId="1" fillId="0" borderId="0" xfId="0" applyFont="1"/>
    <xf numFmtId="0" fontId="14" fillId="0" borderId="0" xfId="0" applyFont="1"/>
    <xf numFmtId="0" fontId="14" fillId="0" borderId="0" xfId="0" applyFont="1" applyAlignment="1">
      <alignment horizontal="right"/>
    </xf>
    <xf numFmtId="1" fontId="0" fillId="0" borderId="0" xfId="0" applyNumberFormat="1"/>
    <xf numFmtId="165" fontId="0" fillId="0" borderId="0" xfId="0" applyNumberFormat="1"/>
    <xf numFmtId="0" fontId="0" fillId="6" borderId="0" xfId="0" applyFill="1"/>
    <xf numFmtId="0" fontId="23" fillId="6" borderId="0" xfId="0" applyFont="1" applyFill="1"/>
    <xf numFmtId="0" fontId="6" fillId="0" borderId="0" xfId="0" applyFont="1" applyAlignment="1">
      <alignment horizontal="right"/>
    </xf>
    <xf numFmtId="0" fontId="0" fillId="0" borderId="0" xfId="0" applyAlignment="1"/>
    <xf numFmtId="3" fontId="14" fillId="6" borderId="0" xfId="0" applyNumberFormat="1" applyFont="1" applyFill="1" applyAlignment="1">
      <alignment horizontal="left"/>
    </xf>
    <xf numFmtId="3" fontId="14" fillId="6" borderId="0" xfId="0" applyNumberFormat="1" applyFont="1" applyFill="1" applyAlignment="1" applyProtection="1">
      <alignment horizontal="left"/>
      <protection locked="0"/>
    </xf>
    <xf numFmtId="0" fontId="29" fillId="6" borderId="0" xfId="0" applyFont="1" applyFill="1" applyProtection="1"/>
    <xf numFmtId="3" fontId="16" fillId="6" borderId="0" xfId="0" applyNumberFormat="1" applyFont="1" applyFill="1" applyAlignment="1" applyProtection="1">
      <alignment horizontal="left"/>
      <protection locked="0"/>
    </xf>
    <xf numFmtId="3" fontId="15" fillId="6" borderId="0" xfId="0" applyNumberFormat="1" applyFont="1" applyFill="1"/>
    <xf numFmtId="3" fontId="14" fillId="6" borderId="0" xfId="0" applyNumberFormat="1" applyFont="1" applyFill="1"/>
    <xf numFmtId="3" fontId="14" fillId="6" borderId="0" xfId="0" applyNumberFormat="1" applyFont="1" applyFill="1" applyAlignment="1" applyProtection="1">
      <alignment horizontal="right"/>
      <protection locked="0"/>
    </xf>
    <xf numFmtId="0" fontId="30" fillId="0" borderId="0" xfId="0" applyFont="1" applyFill="1"/>
    <xf numFmtId="165" fontId="30" fillId="0" borderId="0" xfId="0" applyNumberFormat="1" applyFont="1" applyFill="1"/>
    <xf numFmtId="0" fontId="5" fillId="0" borderId="0" xfId="0" applyFont="1" applyAlignment="1">
      <alignment horizontal="center"/>
    </xf>
    <xf numFmtId="0" fontId="0" fillId="0" borderId="0" xfId="0" applyAlignment="1">
      <alignment horizontal="center"/>
    </xf>
    <xf numFmtId="166" fontId="0" fillId="0" borderId="0" xfId="0" applyNumberFormat="1"/>
    <xf numFmtId="3" fontId="0" fillId="6" borderId="0" xfId="0" applyNumberFormat="1" applyFill="1"/>
    <xf numFmtId="0" fontId="4" fillId="6" borderId="0" xfId="0" applyFont="1" applyFill="1"/>
    <xf numFmtId="3" fontId="7" fillId="0" borderId="0" xfId="0" applyNumberFormat="1" applyFont="1" applyFill="1"/>
    <xf numFmtId="4" fontId="7" fillId="0" borderId="0" xfId="0" applyNumberFormat="1" applyFont="1" applyFill="1"/>
    <xf numFmtId="0" fontId="6" fillId="0" borderId="0" xfId="0" applyFont="1" applyFill="1" applyAlignment="1">
      <alignment horizontal="center"/>
    </xf>
    <xf numFmtId="164" fontId="7" fillId="0" borderId="0" xfId="0" applyNumberFormat="1" applyFont="1" applyFill="1"/>
    <xf numFmtId="0" fontId="32" fillId="0" borderId="0" xfId="0" applyFont="1" applyAlignment="1">
      <alignment horizontal="left" vertical="center" indent="7"/>
    </xf>
    <xf numFmtId="0" fontId="33" fillId="0" borderId="0" xfId="0" applyFont="1"/>
    <xf numFmtId="0" fontId="29" fillId="0" borderId="0" xfId="0" applyFont="1" applyAlignment="1">
      <alignment horizontal="right" vertical="center"/>
    </xf>
    <xf numFmtId="0" fontId="34" fillId="0" borderId="0" xfId="0" applyFont="1" applyAlignment="1">
      <alignment vertical="center"/>
    </xf>
    <xf numFmtId="0" fontId="34" fillId="9" borderId="0" xfId="0" applyFont="1" applyFill="1" applyAlignment="1">
      <alignment horizontal="right" vertical="center"/>
    </xf>
    <xf numFmtId="0" fontId="35" fillId="9" borderId="0" xfId="0" applyFont="1" applyFill="1" applyAlignment="1">
      <alignment horizontal="right" vertical="center"/>
    </xf>
    <xf numFmtId="0" fontId="36" fillId="0" borderId="0" xfId="0" applyFont="1" applyAlignment="1">
      <alignment horizontal="right" vertical="center"/>
    </xf>
    <xf numFmtId="0" fontId="37" fillId="10" borderId="0" xfId="0" applyFont="1" applyFill="1" applyAlignment="1">
      <alignment horizontal="right" vertical="center"/>
    </xf>
    <xf numFmtId="0" fontId="38" fillId="10" borderId="0" xfId="0" applyFont="1" applyFill="1" applyAlignment="1">
      <alignment horizontal="right" vertical="center"/>
    </xf>
    <xf numFmtId="0" fontId="29" fillId="0" borderId="0" xfId="0" applyFont="1" applyAlignment="1">
      <alignment vertical="center"/>
    </xf>
    <xf numFmtId="3" fontId="5" fillId="0" borderId="0" xfId="0" applyNumberFormat="1" applyFont="1" applyAlignment="1">
      <alignment horizontal="center"/>
    </xf>
    <xf numFmtId="0" fontId="23" fillId="0" borderId="0" xfId="0" applyFont="1" applyAlignment="1">
      <alignment horizontal="center"/>
    </xf>
    <xf numFmtId="0" fontId="0" fillId="0" borderId="0" xfId="0" applyAlignment="1"/>
    <xf numFmtId="0" fontId="5" fillId="0" borderId="0" xfId="0" applyFont="1" applyAlignment="1">
      <alignment horizontal="center"/>
    </xf>
    <xf numFmtId="3" fontId="4" fillId="0" borderId="0" xfId="0" applyNumberFormat="1" applyFont="1" applyAlignment="1">
      <alignment horizontal="center"/>
    </xf>
    <xf numFmtId="0" fontId="0" fillId="0" borderId="0" xfId="0" applyAlignment="1">
      <alignment horizontal="center"/>
    </xf>
  </cellXfs>
  <cellStyles count="6">
    <cellStyle name="Euro" xfId="5"/>
    <cellStyle name="Hyperlinkki" xfId="1" builtinId="8"/>
    <cellStyle name="Normaali" xfId="0" builtinId="0"/>
    <cellStyle name="Normaali 2" xfId="2"/>
    <cellStyle name="Normaali_Luvut" xfId="3"/>
    <cellStyle name="Normaali_Luvut_1"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D0FC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fi-FI"/>
              <a:t>Kuntien tulot, toimintakulut ja lainakanta tilinpäätösten 1998-2018 mukaan</a:t>
            </a:r>
          </a:p>
        </c:rich>
      </c:tx>
      <c:layout>
        <c:manualLayout>
          <c:xMode val="edge"/>
          <c:yMode val="edge"/>
          <c:x val="0.24345549738219896"/>
          <c:y val="1.1670313639679067E-2"/>
        </c:manualLayout>
      </c:layout>
      <c:overlay val="0"/>
      <c:spPr>
        <a:noFill/>
        <a:ln w="25400">
          <a:noFill/>
        </a:ln>
      </c:spPr>
    </c:title>
    <c:autoTitleDeleted val="0"/>
    <c:plotArea>
      <c:layout>
        <c:manualLayout>
          <c:layoutTarget val="inner"/>
          <c:xMode val="edge"/>
          <c:yMode val="edge"/>
          <c:x val="9.8167539267015713E-2"/>
          <c:y val="0.23413591755837745"/>
          <c:w val="0.8586387434554974"/>
          <c:h val="0.50547099958864661"/>
        </c:manualLayout>
      </c:layout>
      <c:barChart>
        <c:barDir val="col"/>
        <c:grouping val="stacked"/>
        <c:varyColors val="0"/>
        <c:ser>
          <c:idx val="0"/>
          <c:order val="0"/>
          <c:tx>
            <c:strRef>
              <c:f>Laskelma!$A$27</c:f>
              <c:strCache>
                <c:ptCount val="1"/>
                <c:pt idx="0">
                  <c:v>Verotulot yhteensä</c:v>
                </c:pt>
              </c:strCache>
            </c:strRef>
          </c:tx>
          <c:spPr>
            <a:solidFill>
              <a:srgbClr val="FF8080"/>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Laskelma!$B$27:$AR$27</c:f>
              <c:numCache>
                <c:formatCode>#,##0</c:formatCode>
                <c:ptCount val="43"/>
                <c:pt idx="0">
                  <c:v>1819.9533329129092</c:v>
                </c:pt>
                <c:pt idx="1">
                  <c:v>1940.7045255108437</c:v>
                </c:pt>
                <c:pt idx="2">
                  <c:v>1900.8466603951081</c:v>
                </c:pt>
                <c:pt idx="3">
                  <c:v>2220.3844713518911</c:v>
                </c:pt>
                <c:pt idx="4">
                  <c:v>2381.5226158714399</c:v>
                </c:pt>
                <c:pt idx="5">
                  <c:v>2230.0079906570777</c:v>
                </c:pt>
                <c:pt idx="6">
                  <c:v>2270.8282283753983</c:v>
                </c:pt>
                <c:pt idx="7">
                  <c:v>2363.7194008038</c:v>
                </c:pt>
                <c:pt idx="8">
                  <c:v>2544.0733148438444</c:v>
                </c:pt>
                <c:pt idx="9">
                  <c:v>2669.7335404468872</c:v>
                </c:pt>
                <c:pt idx="10">
                  <c:v>2909.900813684148</c:v>
                </c:pt>
                <c:pt idx="11">
                  <c:v>2936.6472891208923</c:v>
                </c:pt>
                <c:pt idx="12">
                  <c:v>2926.3461086292027</c:v>
                </c:pt>
                <c:pt idx="13">
                  <c:v>2977.0054414604178</c:v>
                </c:pt>
                <c:pt idx="14">
                  <c:v>2978.6973269522587</c:v>
                </c:pt>
                <c:pt idx="15">
                  <c:v>3338.1458966565351</c:v>
                </c:pt>
                <c:pt idx="16">
                  <c:v>3399.1907107670654</c:v>
                </c:pt>
                <c:pt idx="17">
                  <c:v>3467.2299477791466</c:v>
                </c:pt>
                <c:pt idx="18">
                  <c:v>3554.2161555279795</c:v>
                </c:pt>
                <c:pt idx="19">
                  <c:v>3542.1909475818475</c:v>
                </c:pt>
                <c:pt idx="20">
                  <c:v>3589.4888929022936</c:v>
                </c:pt>
                <c:pt idx="22">
                  <c:v>2101.2157330154946</c:v>
                </c:pt>
                <c:pt idx="23">
                  <c:v>2319.9827734711457</c:v>
                </c:pt>
                <c:pt idx="24">
                  <c:v>2326.7030367402112</c:v>
                </c:pt>
                <c:pt idx="25">
                  <c:v>2641.7757873728278</c:v>
                </c:pt>
                <c:pt idx="26">
                  <c:v>2617.0869033047734</c:v>
                </c:pt>
                <c:pt idx="27">
                  <c:v>2517.2801486043895</c:v>
                </c:pt>
                <c:pt idx="28">
                  <c:v>2485.6259811616956</c:v>
                </c:pt>
                <c:pt idx="29">
                  <c:v>2501.2533792086506</c:v>
                </c:pt>
                <c:pt idx="30">
                  <c:v>2599.0855906789243</c:v>
                </c:pt>
                <c:pt idx="31">
                  <c:v>2734.8069006077239</c:v>
                </c:pt>
                <c:pt idx="32">
                  <c:v>3017.2201722017221</c:v>
                </c:pt>
                <c:pt idx="33">
                  <c:v>3010.1269574667785</c:v>
                </c:pt>
                <c:pt idx="34">
                  <c:v>3048.7057893696897</c:v>
                </c:pt>
                <c:pt idx="35">
                  <c:v>3083.8005311301267</c:v>
                </c:pt>
                <c:pt idx="36">
                  <c:v>3268.837897853442</c:v>
                </c:pt>
                <c:pt idx="37">
                  <c:v>3579.8177018478855</c:v>
                </c:pt>
                <c:pt idx="38">
                  <c:v>3570.3450700688131</c:v>
                </c:pt>
                <c:pt idx="39">
                  <c:v>3720.2992975669349</c:v>
                </c:pt>
                <c:pt idx="40">
                  <c:v>3841.9531330649324</c:v>
                </c:pt>
                <c:pt idx="41">
                  <c:v>4006.2682824905974</c:v>
                </c:pt>
                <c:pt idx="42">
                  <c:v>3981.4333457111029</c:v>
                </c:pt>
              </c:numCache>
            </c:numRef>
          </c:val>
          <c:extLst>
            <c:ext xmlns:c16="http://schemas.microsoft.com/office/drawing/2014/chart" uri="{C3380CC4-5D6E-409C-BE32-E72D297353CC}">
              <c16:uniqueId val="{00000000-2118-447B-AA8E-D67AE60C7712}"/>
            </c:ext>
          </c:extLst>
        </c:ser>
        <c:ser>
          <c:idx val="4"/>
          <c:order val="1"/>
          <c:tx>
            <c:strRef>
              <c:f>Laskelma!$A$28</c:f>
              <c:strCache>
                <c:ptCount val="1"/>
                <c:pt idx="0">
                  <c:v>Valtionosuudet</c:v>
                </c:pt>
              </c:strCache>
            </c:strRef>
          </c:tx>
          <c:spPr>
            <a:solidFill>
              <a:srgbClr val="CCFFFF"/>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Laskelma!$B$28:$AR$28</c:f>
              <c:numCache>
                <c:formatCode>#,##0</c:formatCode>
                <c:ptCount val="43"/>
                <c:pt idx="0">
                  <c:v>751.97073847512138</c:v>
                </c:pt>
                <c:pt idx="1">
                  <c:v>815.03071330073965</c:v>
                </c:pt>
                <c:pt idx="2">
                  <c:v>911.19473189087489</c:v>
                </c:pt>
                <c:pt idx="3">
                  <c:v>1025.3401572837349</c:v>
                </c:pt>
                <c:pt idx="4">
                  <c:v>1057.33076875349</c:v>
                </c:pt>
                <c:pt idx="5">
                  <c:v>964.7796422644293</c:v>
                </c:pt>
                <c:pt idx="6">
                  <c:v>1148.8605733888753</c:v>
                </c:pt>
                <c:pt idx="7">
                  <c:v>1169.7113628059919</c:v>
                </c:pt>
                <c:pt idx="8">
                  <c:v>1240.986374050404</c:v>
                </c:pt>
                <c:pt idx="9">
                  <c:v>1290.2377822917911</c:v>
                </c:pt>
                <c:pt idx="10">
                  <c:v>1455.0097998455783</c:v>
                </c:pt>
                <c:pt idx="11">
                  <c:v>1561.9290544548583</c:v>
                </c:pt>
                <c:pt idx="12">
                  <c:v>1634.96355513755</c:v>
                </c:pt>
                <c:pt idx="13">
                  <c:v>1687.9059153940671</c:v>
                </c:pt>
                <c:pt idx="14">
                  <c:v>1711.6843702579665</c:v>
                </c:pt>
                <c:pt idx="15">
                  <c:v>1883.2125321487024</c:v>
                </c:pt>
                <c:pt idx="16">
                  <c:v>1794.1590429275159</c:v>
                </c:pt>
                <c:pt idx="17">
                  <c:v>1753.271137710497</c:v>
                </c:pt>
                <c:pt idx="18">
                  <c:v>1846.4811203687289</c:v>
                </c:pt>
                <c:pt idx="19">
                  <c:v>1818.1167630747211</c:v>
                </c:pt>
                <c:pt idx="20">
                  <c:v>1800.3130455722112</c:v>
                </c:pt>
                <c:pt idx="22">
                  <c:v>591.32300357568533</c:v>
                </c:pt>
                <c:pt idx="23">
                  <c:v>587.32893099818159</c:v>
                </c:pt>
                <c:pt idx="24">
                  <c:v>656.30280500168976</c:v>
                </c:pt>
                <c:pt idx="25">
                  <c:v>692.59601810835807</c:v>
                </c:pt>
                <c:pt idx="26">
                  <c:v>744.92044063647495</c:v>
                </c:pt>
                <c:pt idx="27">
                  <c:v>812.72913916996629</c:v>
                </c:pt>
                <c:pt idx="28">
                  <c:v>897.37048665620091</c:v>
                </c:pt>
                <c:pt idx="29">
                  <c:v>986.92553452936841</c:v>
                </c:pt>
                <c:pt idx="30">
                  <c:v>1118.1849466594563</c:v>
                </c:pt>
                <c:pt idx="31">
                  <c:v>1253.4306998627719</c:v>
                </c:pt>
                <c:pt idx="32">
                  <c:v>1436.7527675276754</c:v>
                </c:pt>
                <c:pt idx="33">
                  <c:v>1620.1155955144989</c:v>
                </c:pt>
                <c:pt idx="34">
                  <c:v>1715.3230586840546</c:v>
                </c:pt>
                <c:pt idx="35">
                  <c:v>1744.6149306580112</c:v>
                </c:pt>
                <c:pt idx="36">
                  <c:v>1893.1655563779916</c:v>
                </c:pt>
                <c:pt idx="37">
                  <c:v>2084.7238133187229</c:v>
                </c:pt>
                <c:pt idx="38">
                  <c:v>2026.972725902858</c:v>
                </c:pt>
                <c:pt idx="39">
                  <c:v>2055.8383385930979</c:v>
                </c:pt>
                <c:pt idx="40">
                  <c:v>2296.0668937751625</c:v>
                </c:pt>
                <c:pt idx="41">
                  <c:v>2332.8458002507314</c:v>
                </c:pt>
                <c:pt idx="42">
                  <c:v>2289.5337117394301</c:v>
                </c:pt>
              </c:numCache>
            </c:numRef>
          </c:val>
          <c:extLst>
            <c:ext xmlns:c16="http://schemas.microsoft.com/office/drawing/2014/chart" uri="{C3380CC4-5D6E-409C-BE32-E72D297353CC}">
              <c16:uniqueId val="{00000001-2118-447B-AA8E-D67AE60C7712}"/>
            </c:ext>
          </c:extLst>
        </c:ser>
        <c:ser>
          <c:idx val="5"/>
          <c:order val="2"/>
          <c:tx>
            <c:strRef>
              <c:f>Laskelma!$A$29</c:f>
              <c:strCache>
                <c:ptCount val="1"/>
                <c:pt idx="0">
                  <c:v>Toimintatuotot</c:v>
                </c:pt>
              </c:strCache>
            </c:strRef>
          </c:tx>
          <c:spPr>
            <a:solidFill>
              <a:srgbClr val="FFFFCC"/>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Laskelma!$B$29:$AR$29</c:f>
              <c:numCache>
                <c:formatCode>#,##0</c:formatCode>
                <c:ptCount val="43"/>
                <c:pt idx="0">
                  <c:v>588.38367913224442</c:v>
                </c:pt>
                <c:pt idx="1">
                  <c:v>452.3630437507835</c:v>
                </c:pt>
                <c:pt idx="2">
                  <c:v>431.85951708999687</c:v>
                </c:pt>
                <c:pt idx="3">
                  <c:v>478.34227936587195</c:v>
                </c:pt>
                <c:pt idx="4">
                  <c:v>529.87528696407514</c:v>
                </c:pt>
                <c:pt idx="5">
                  <c:v>562.84959124715715</c:v>
                </c:pt>
                <c:pt idx="6">
                  <c:v>585.8245528056849</c:v>
                </c:pt>
                <c:pt idx="7">
                  <c:v>610.64425770308128</c:v>
                </c:pt>
                <c:pt idx="8">
                  <c:v>639.09321114192687</c:v>
                </c:pt>
                <c:pt idx="9">
                  <c:v>767.65443900107539</c:v>
                </c:pt>
                <c:pt idx="10">
                  <c:v>1042.2878184949814</c:v>
                </c:pt>
                <c:pt idx="11">
                  <c:v>1176.296120536244</c:v>
                </c:pt>
                <c:pt idx="12">
                  <c:v>1668.586879849518</c:v>
                </c:pt>
                <c:pt idx="13">
                  <c:v>1470.5400503188812</c:v>
                </c:pt>
                <c:pt idx="14">
                  <c:v>1360.4529006653438</c:v>
                </c:pt>
                <c:pt idx="15">
                  <c:v>1437.2808043020809</c:v>
                </c:pt>
                <c:pt idx="16">
                  <c:v>1338.2594417077175</c:v>
                </c:pt>
                <c:pt idx="17">
                  <c:v>1340.1983218916857</c:v>
                </c:pt>
                <c:pt idx="18">
                  <c:v>1319.5650889322224</c:v>
                </c:pt>
                <c:pt idx="19">
                  <c:v>1303.3573856520961</c:v>
                </c:pt>
                <c:pt idx="20">
                  <c:v>1249.2926374089459</c:v>
                </c:pt>
                <c:pt idx="22">
                  <c:v>603.0989272943981</c:v>
                </c:pt>
                <c:pt idx="23">
                  <c:v>604.79471719781793</c:v>
                </c:pt>
                <c:pt idx="24">
                  <c:v>645.29522522087575</c:v>
                </c:pt>
                <c:pt idx="25">
                  <c:v>678.38193058462741</c:v>
                </c:pt>
                <c:pt idx="26">
                  <c:v>683.96572827417378</c:v>
                </c:pt>
                <c:pt idx="27">
                  <c:v>684.55785305763311</c:v>
                </c:pt>
                <c:pt idx="28">
                  <c:v>655.36695447409738</c:v>
                </c:pt>
                <c:pt idx="29">
                  <c:v>644.92504300811015</c:v>
                </c:pt>
                <c:pt idx="30">
                  <c:v>739.78663782508238</c:v>
                </c:pt>
                <c:pt idx="31">
                  <c:v>1012.4485395020585</c:v>
                </c:pt>
                <c:pt idx="32">
                  <c:v>972.69372693726939</c:v>
                </c:pt>
                <c:pt idx="33">
                  <c:v>861.72998073408087</c:v>
                </c:pt>
                <c:pt idx="34">
                  <c:v>967.29895277613116</c:v>
                </c:pt>
                <c:pt idx="35">
                  <c:v>899.6262417625652</c:v>
                </c:pt>
                <c:pt idx="36">
                  <c:v>913.29879101899826</c:v>
                </c:pt>
                <c:pt idx="37">
                  <c:v>875.92767843801369</c:v>
                </c:pt>
                <c:pt idx="38">
                  <c:v>895.27349439951786</c:v>
                </c:pt>
                <c:pt idx="39">
                  <c:v>992.26305609284327</c:v>
                </c:pt>
                <c:pt idx="40">
                  <c:v>995.3545989470424</c:v>
                </c:pt>
                <c:pt idx="41">
                  <c:v>1153.9908065190139</c:v>
                </c:pt>
                <c:pt idx="42">
                  <c:v>946.05060739483315</c:v>
                </c:pt>
              </c:numCache>
            </c:numRef>
          </c:val>
          <c:extLst>
            <c:ext xmlns:c16="http://schemas.microsoft.com/office/drawing/2014/chart" uri="{C3380CC4-5D6E-409C-BE32-E72D297353CC}">
              <c16:uniqueId val="{00000002-2118-447B-AA8E-D67AE60C7712}"/>
            </c:ext>
          </c:extLst>
        </c:ser>
        <c:ser>
          <c:idx val="1"/>
          <c:order val="3"/>
          <c:tx>
            <c:strRef>
              <c:f>Laskelma!$A$30</c:f>
              <c:strCache>
                <c:ptCount val="1"/>
                <c:pt idx="0">
                  <c:v>Muut tulot</c:v>
                </c:pt>
              </c:strCache>
            </c:strRef>
          </c:tx>
          <c:spPr>
            <a:solidFill>
              <a:srgbClr val="00CCFF"/>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Laskelma!$B$30:$AR$30</c:f>
              <c:numCache>
                <c:formatCode>#,##0</c:formatCode>
                <c:ptCount val="43"/>
                <c:pt idx="0">
                  <c:v>49.426482771687041</c:v>
                </c:pt>
                <c:pt idx="1">
                  <c:v>67.722153666086669</c:v>
                </c:pt>
                <c:pt idx="2">
                  <c:v>36.285134338513515</c:v>
                </c:pt>
                <c:pt idx="3">
                  <c:v>33.44443475885496</c:v>
                </c:pt>
                <c:pt idx="4">
                  <c:v>18.800024818514611</c:v>
                </c:pt>
                <c:pt idx="5">
                  <c:v>95.703485155817816</c:v>
                </c:pt>
                <c:pt idx="6">
                  <c:v>17.213918157314385</c:v>
                </c:pt>
                <c:pt idx="7">
                  <c:v>26.671538180489588</c:v>
                </c:pt>
                <c:pt idx="8">
                  <c:v>13.324490534185458</c:v>
                </c:pt>
                <c:pt idx="9">
                  <c:v>15.055562193810491</c:v>
                </c:pt>
                <c:pt idx="10">
                  <c:v>10.987705648274634</c:v>
                </c:pt>
                <c:pt idx="11">
                  <c:v>9.0758097045912915</c:v>
                </c:pt>
                <c:pt idx="12">
                  <c:v>10.345638372913237</c:v>
                </c:pt>
                <c:pt idx="13">
                  <c:v>14.74460242232754</c:v>
                </c:pt>
                <c:pt idx="14">
                  <c:v>139.54709933465625</c:v>
                </c:pt>
                <c:pt idx="15">
                  <c:v>10.229132569558102</c:v>
                </c:pt>
                <c:pt idx="16">
                  <c:v>10.790523105794042</c:v>
                </c:pt>
                <c:pt idx="17">
                  <c:v>2.3470046353341547</c:v>
                </c:pt>
                <c:pt idx="18">
                  <c:v>12.054600248182947</c:v>
                </c:pt>
                <c:pt idx="19">
                  <c:v>44.963921521855802</c:v>
                </c:pt>
                <c:pt idx="20">
                  <c:v>56.589007284329661</c:v>
                </c:pt>
                <c:pt idx="22">
                  <c:v>45.376661542106831</c:v>
                </c:pt>
                <c:pt idx="23">
                  <c:v>69.261426697663126</c:v>
                </c:pt>
                <c:pt idx="24">
                  <c:v>68.256057057667249</c:v>
                </c:pt>
                <c:pt idx="25">
                  <c:v>61.534364760975357</c:v>
                </c:pt>
                <c:pt idx="26">
                  <c:v>68.347613219094242</c:v>
                </c:pt>
                <c:pt idx="27">
                  <c:v>58.073031236251651</c:v>
                </c:pt>
                <c:pt idx="28">
                  <c:v>53.277080062794347</c:v>
                </c:pt>
                <c:pt idx="29">
                  <c:v>49.840255591054316</c:v>
                </c:pt>
                <c:pt idx="30">
                  <c:v>55.110368221818</c:v>
                </c:pt>
                <c:pt idx="31">
                  <c:v>78.317976867280919</c:v>
                </c:pt>
                <c:pt idx="32">
                  <c:v>567.7244772447724</c:v>
                </c:pt>
                <c:pt idx="33">
                  <c:v>64.170330484611966</c:v>
                </c:pt>
                <c:pt idx="34">
                  <c:v>46.631100573009284</c:v>
                </c:pt>
                <c:pt idx="35">
                  <c:v>36.638143011704535</c:v>
                </c:pt>
                <c:pt idx="36">
                  <c:v>17.912657290895634</c:v>
                </c:pt>
                <c:pt idx="37">
                  <c:v>34.019026747023958</c:v>
                </c:pt>
                <c:pt idx="38">
                  <c:v>51.283339193329653</c:v>
                </c:pt>
                <c:pt idx="39">
                  <c:v>100.02036037870305</c:v>
                </c:pt>
                <c:pt idx="40">
                  <c:v>127.49045112005781</c:v>
                </c:pt>
                <c:pt idx="41">
                  <c:v>87.651483493522775</c:v>
                </c:pt>
                <c:pt idx="42">
                  <c:v>96.440507134900002</c:v>
                </c:pt>
              </c:numCache>
            </c:numRef>
          </c:val>
          <c:extLst>
            <c:ext xmlns:c16="http://schemas.microsoft.com/office/drawing/2014/chart" uri="{C3380CC4-5D6E-409C-BE32-E72D297353CC}">
              <c16:uniqueId val="{00000003-2118-447B-AA8E-D67AE60C7712}"/>
            </c:ext>
          </c:extLst>
        </c:ser>
        <c:dLbls>
          <c:showLegendKey val="0"/>
          <c:showVal val="0"/>
          <c:showCatName val="0"/>
          <c:showSerName val="0"/>
          <c:showPercent val="0"/>
          <c:showBubbleSize val="0"/>
        </c:dLbls>
        <c:gapWidth val="150"/>
        <c:overlap val="100"/>
        <c:axId val="177965696"/>
        <c:axId val="177984256"/>
      </c:barChart>
      <c:lineChart>
        <c:grouping val="standard"/>
        <c:varyColors val="0"/>
        <c:ser>
          <c:idx val="2"/>
          <c:order val="4"/>
          <c:tx>
            <c:strRef>
              <c:f>Laskelma!$A$42</c:f>
              <c:strCache>
                <c:ptCount val="1"/>
                <c:pt idx="0">
                  <c:v>Toimintakulut</c:v>
                </c:pt>
              </c:strCache>
            </c:strRef>
          </c:tx>
          <c:spPr>
            <a:ln w="31750">
              <a:solidFill>
                <a:srgbClr val="FF0000">
                  <a:alpha val="59000"/>
                </a:srgbClr>
              </a:solidFill>
              <a:prstDash val="solid"/>
            </a:ln>
          </c:spPr>
          <c:marker>
            <c:symbol val="none"/>
          </c:marker>
          <c:cat>
            <c:multiLvlStrRef>
              <c:f>Laskelma!$B$2:$AO$3</c:f>
              <c:multiLvlStrCache>
                <c:ptCount val="40"/>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lvl>
                <c:lvl>
                  <c:pt idx="0">
                    <c:v>Akaa</c:v>
                  </c:pt>
                  <c:pt idx="22">
                    <c:v>Äänekoski</c:v>
                  </c:pt>
                </c:lvl>
              </c:multiLvlStrCache>
            </c:multiLvlStrRef>
          </c:cat>
          <c:val>
            <c:numRef>
              <c:f>Laskelma!$B$42:$AR$42</c:f>
              <c:numCache>
                <c:formatCode>#,##0</c:formatCode>
                <c:ptCount val="43"/>
                <c:pt idx="0">
                  <c:v>3065.69350372594</c:v>
                </c:pt>
                <c:pt idx="1">
                  <c:v>2900.941282927522</c:v>
                </c:pt>
                <c:pt idx="2">
                  <c:v>3047.0547040808406</c:v>
                </c:pt>
                <c:pt idx="3">
                  <c:v>3340.2865404917402</c:v>
                </c:pt>
                <c:pt idx="4">
                  <c:v>3588.8813054538687</c:v>
                </c:pt>
                <c:pt idx="5">
                  <c:v>3741.3485770483744</c:v>
                </c:pt>
                <c:pt idx="6">
                  <c:v>3923.1805929919137</c:v>
                </c:pt>
                <c:pt idx="7">
                  <c:v>4061.381074168798</c:v>
                </c:pt>
                <c:pt idx="8">
                  <c:v>4298.6856384902931</c:v>
                </c:pt>
                <c:pt idx="9">
                  <c:v>4435.1774405544274</c:v>
                </c:pt>
                <c:pt idx="10">
                  <c:v>5085.7041040565418</c:v>
                </c:pt>
                <c:pt idx="11">
                  <c:v>5339.9572903072722</c:v>
                </c:pt>
                <c:pt idx="12">
                  <c:v>5884.6108629202918</c:v>
                </c:pt>
                <c:pt idx="13">
                  <c:v>5897.2558656602887</c:v>
                </c:pt>
                <c:pt idx="14">
                  <c:v>6230.594140305825</c:v>
                </c:pt>
                <c:pt idx="15">
                  <c:v>6458.9081131634321</c:v>
                </c:pt>
                <c:pt idx="16">
                  <c:v>6601.7475955899599</c:v>
                </c:pt>
                <c:pt idx="17">
                  <c:v>6476.3832658569499</c:v>
                </c:pt>
                <c:pt idx="18">
                  <c:v>6440.997459079359</c:v>
                </c:pt>
                <c:pt idx="19">
                  <c:v>6338.4220883773633</c:v>
                </c:pt>
                <c:pt idx="20">
                  <c:v>6561.5555956896033</c:v>
                </c:pt>
                <c:pt idx="22">
                  <c:v>3082.3334205284491</c:v>
                </c:pt>
                <c:pt idx="23">
                  <c:v>3098.4468638206035</c:v>
                </c:pt>
                <c:pt idx="24">
                  <c:v>3339.2120076402457</c:v>
                </c:pt>
                <c:pt idx="25">
                  <c:v>3597.6235012096322</c:v>
                </c:pt>
                <c:pt idx="26">
                  <c:v>3788.8861689106488</c:v>
                </c:pt>
                <c:pt idx="27">
                  <c:v>4018.4777826660802</c:v>
                </c:pt>
                <c:pt idx="28">
                  <c:v>4135.6456043956041</c:v>
                </c:pt>
                <c:pt idx="29">
                  <c:v>4304.0550503809291</c:v>
                </c:pt>
                <c:pt idx="30">
                  <c:v>4534.9294528292612</c:v>
                </c:pt>
                <c:pt idx="31">
                  <c:v>4795.4322681827089</c:v>
                </c:pt>
                <c:pt idx="32">
                  <c:v>5176.5805658056579</c:v>
                </c:pt>
                <c:pt idx="33">
                  <c:v>5343.2791582275358</c:v>
                </c:pt>
                <c:pt idx="34">
                  <c:v>5487.6012645722185</c:v>
                </c:pt>
                <c:pt idx="35">
                  <c:v>5737.0905871938621</c:v>
                </c:pt>
                <c:pt idx="36">
                  <c:v>5922.0330619294346</c:v>
                </c:pt>
                <c:pt idx="37">
                  <c:v>6170.344174926533</c:v>
                </c:pt>
                <c:pt idx="38">
                  <c:v>6203.87764327691</c:v>
                </c:pt>
                <c:pt idx="39">
                  <c:v>6474.6513285147103</c:v>
                </c:pt>
                <c:pt idx="40">
                  <c:v>6601.9923608960462</c:v>
                </c:pt>
                <c:pt idx="41">
                  <c:v>6736.6276640200585</c:v>
                </c:pt>
                <c:pt idx="42">
                  <c:v>6807.9146994854382</c:v>
                </c:pt>
              </c:numCache>
            </c:numRef>
          </c:val>
          <c:smooth val="0"/>
          <c:extLst>
            <c:ext xmlns:c16="http://schemas.microsoft.com/office/drawing/2014/chart" uri="{C3380CC4-5D6E-409C-BE32-E72D297353CC}">
              <c16:uniqueId val="{00000004-2118-447B-AA8E-D67AE60C7712}"/>
            </c:ext>
          </c:extLst>
        </c:ser>
        <c:ser>
          <c:idx val="3"/>
          <c:order val="5"/>
          <c:tx>
            <c:strRef>
              <c:f>Laskelma!$A$39</c:f>
              <c:strCache>
                <c:ptCount val="1"/>
                <c:pt idx="0">
                  <c:v>Lainakanta</c:v>
                </c:pt>
              </c:strCache>
            </c:strRef>
          </c:tx>
          <c:spPr>
            <a:ln w="31750">
              <a:solidFill>
                <a:srgbClr val="0000FF">
                  <a:alpha val="67000"/>
                </a:srgbClr>
              </a:solidFill>
              <a:prstDash val="sysDash"/>
            </a:ln>
          </c:spPr>
          <c:marker>
            <c:symbol val="none"/>
          </c:marker>
          <c:cat>
            <c:multiLvlStrRef>
              <c:f>Laskelma!$B$2:$AO$3</c:f>
              <c:multiLvlStrCache>
                <c:ptCount val="40"/>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lvl>
                <c:lvl>
                  <c:pt idx="0">
                    <c:v>Akaa</c:v>
                  </c:pt>
                  <c:pt idx="22">
                    <c:v>Äänekoski</c:v>
                  </c:pt>
                </c:lvl>
              </c:multiLvlStrCache>
            </c:multiLvlStrRef>
          </c:cat>
          <c:val>
            <c:numRef>
              <c:f>Laskelma!$B$39:$AR$39</c:f>
              <c:numCache>
                <c:formatCode>#,##0</c:formatCode>
                <c:ptCount val="43"/>
                <c:pt idx="0">
                  <c:v>762.62849214857795</c:v>
                </c:pt>
                <c:pt idx="1">
                  <c:v>813.15030713300735</c:v>
                </c:pt>
                <c:pt idx="2">
                  <c:v>969.14393226716834</c:v>
                </c:pt>
                <c:pt idx="3">
                  <c:v>1115.653476469854</c:v>
                </c:pt>
                <c:pt idx="4">
                  <c:v>1112.5519637649686</c:v>
                </c:pt>
                <c:pt idx="5">
                  <c:v>1188.1492408875777</c:v>
                </c:pt>
                <c:pt idx="6">
                  <c:v>1446.5204606714042</c:v>
                </c:pt>
                <c:pt idx="7">
                  <c:v>1520.825721592985</c:v>
                </c:pt>
                <c:pt idx="8">
                  <c:v>1635.5962860243578</c:v>
                </c:pt>
                <c:pt idx="9">
                  <c:v>1736.5874059027362</c:v>
                </c:pt>
                <c:pt idx="10">
                  <c:v>1775.0193027261389</c:v>
                </c:pt>
                <c:pt idx="11">
                  <c:v>1809.4673152212599</c:v>
                </c:pt>
                <c:pt idx="12">
                  <c:v>1863.508111920997</c:v>
                </c:pt>
                <c:pt idx="13">
                  <c:v>1991.164940612018</c:v>
                </c:pt>
                <c:pt idx="14">
                  <c:v>2288.0238123030231</c:v>
                </c:pt>
                <c:pt idx="15">
                  <c:v>2390.577507598784</c:v>
                </c:pt>
                <c:pt idx="16">
                  <c:v>3061.4004222378608</c:v>
                </c:pt>
                <c:pt idx="17">
                  <c:v>3517.7492225547144</c:v>
                </c:pt>
                <c:pt idx="18">
                  <c:v>3415.588252673876</c:v>
                </c:pt>
                <c:pt idx="19">
                  <c:v>3139.1257677857952</c:v>
                </c:pt>
                <c:pt idx="20">
                  <c:v>3256.6973692131719</c:v>
                </c:pt>
                <c:pt idx="22">
                  <c:v>933.49225268176406</c:v>
                </c:pt>
                <c:pt idx="23">
                  <c:v>665.75748875490478</c:v>
                </c:pt>
                <c:pt idx="24">
                  <c:v>543.95790083522422</c:v>
                </c:pt>
                <c:pt idx="25">
                  <c:v>592.61062162293729</c:v>
                </c:pt>
                <c:pt idx="26">
                  <c:v>464.52876376988985</c:v>
                </c:pt>
                <c:pt idx="27">
                  <c:v>638.75446057584202</c:v>
                </c:pt>
                <c:pt idx="28">
                  <c:v>813.57927786499215</c:v>
                </c:pt>
                <c:pt idx="29">
                  <c:v>1075.3010567707054</c:v>
                </c:pt>
                <c:pt idx="30">
                  <c:v>1895.777002113957</c:v>
                </c:pt>
                <c:pt idx="31">
                  <c:v>1617.3789453048421</c:v>
                </c:pt>
                <c:pt idx="32">
                  <c:v>1740.7626076260763</c:v>
                </c:pt>
                <c:pt idx="33">
                  <c:v>1820.4811539791533</c:v>
                </c:pt>
                <c:pt idx="34">
                  <c:v>2024.6492787986565</c:v>
                </c:pt>
                <c:pt idx="35">
                  <c:v>2195.1903216287992</c:v>
                </c:pt>
                <c:pt idx="36">
                  <c:v>2927.0663705896868</c:v>
                </c:pt>
                <c:pt idx="37">
                  <c:v>3582.5073467151465</c:v>
                </c:pt>
                <c:pt idx="38">
                  <c:v>4054.548194283992</c:v>
                </c:pt>
                <c:pt idx="39">
                  <c:v>4227.3236282194848</c:v>
                </c:pt>
                <c:pt idx="40">
                  <c:v>3716.5273046350781</c:v>
                </c:pt>
                <c:pt idx="41">
                  <c:v>3567.070622649394</c:v>
                </c:pt>
                <c:pt idx="42">
                  <c:v>3425.4416211341572</c:v>
                </c:pt>
              </c:numCache>
            </c:numRef>
          </c:val>
          <c:smooth val="0"/>
          <c:extLst>
            <c:ext xmlns:c16="http://schemas.microsoft.com/office/drawing/2014/chart" uri="{C3380CC4-5D6E-409C-BE32-E72D297353CC}">
              <c16:uniqueId val="{00000005-2118-447B-AA8E-D67AE60C7712}"/>
            </c:ext>
          </c:extLst>
        </c:ser>
        <c:dLbls>
          <c:showLegendKey val="0"/>
          <c:showVal val="0"/>
          <c:showCatName val="0"/>
          <c:showSerName val="0"/>
          <c:showPercent val="0"/>
          <c:showBubbleSize val="0"/>
        </c:dLbls>
        <c:marker val="1"/>
        <c:smooth val="0"/>
        <c:axId val="177965696"/>
        <c:axId val="177984256"/>
      </c:lineChart>
      <c:catAx>
        <c:axId val="177965696"/>
        <c:scaling>
          <c:orientation val="minMax"/>
        </c:scaling>
        <c:delete val="0"/>
        <c:axPos val="b"/>
        <c:title>
          <c:tx>
            <c:rich>
              <a:bodyPr/>
              <a:lstStyle/>
              <a:p>
                <a:pPr>
                  <a:defRPr sz="800" b="1" i="0" u="none" strike="noStrike" baseline="0">
                    <a:solidFill>
                      <a:srgbClr val="000000"/>
                    </a:solidFill>
                    <a:latin typeface="Verdana"/>
                    <a:ea typeface="Verdana"/>
                    <a:cs typeface="Verdana"/>
                  </a:defRPr>
                </a:pPr>
                <a:r>
                  <a:rPr lang="fi-FI"/>
                  <a:t>Lähde: Tilastokeskus
VM/KAO/MM / 28.10.2019</a:t>
                </a:r>
              </a:p>
            </c:rich>
          </c:tx>
          <c:layout>
            <c:manualLayout>
              <c:xMode val="edge"/>
              <c:yMode val="edge"/>
              <c:x val="0.73298429319371727"/>
              <c:y val="0.9168499342396204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5400000" vert="horz"/>
          <a:lstStyle/>
          <a:p>
            <a:pPr>
              <a:defRPr sz="975" b="1" i="0" u="none" strike="noStrike" baseline="0">
                <a:solidFill>
                  <a:srgbClr val="000000"/>
                </a:solidFill>
                <a:latin typeface="Verdana"/>
                <a:ea typeface="Verdana"/>
                <a:cs typeface="Verdana"/>
              </a:defRPr>
            </a:pPr>
            <a:endParaRPr lang="fi-FI"/>
          </a:p>
        </c:txPr>
        <c:crossAx val="177984256"/>
        <c:crosses val="autoZero"/>
        <c:auto val="0"/>
        <c:lblAlgn val="ctr"/>
        <c:lblOffset val="100"/>
        <c:tickLblSkip val="1"/>
        <c:tickMarkSkip val="1"/>
        <c:noMultiLvlLbl val="0"/>
      </c:catAx>
      <c:valAx>
        <c:axId val="177984256"/>
        <c:scaling>
          <c:orientation val="minMax"/>
        </c:scaling>
        <c:delete val="0"/>
        <c:axPos val="l"/>
        <c:majorGridlines>
          <c:spPr>
            <a:ln w="3175">
              <a:solidFill>
                <a:srgbClr val="000000"/>
              </a:solidFill>
              <a:prstDash val="solid"/>
            </a:ln>
          </c:spPr>
        </c:majorGridlines>
        <c:title>
          <c:tx>
            <c:rich>
              <a:bodyPr rot="0" vert="horz"/>
              <a:lstStyle/>
              <a:p>
                <a:pPr algn="ctr">
                  <a:defRPr sz="950" b="1" i="0" u="none" strike="noStrike" baseline="0">
                    <a:solidFill>
                      <a:srgbClr val="000000"/>
                    </a:solidFill>
                    <a:latin typeface="Verdana"/>
                    <a:ea typeface="Verdana"/>
                    <a:cs typeface="Verdana"/>
                  </a:defRPr>
                </a:pPr>
                <a:r>
                  <a:rPr lang="fi-FI"/>
                  <a:t>€ / asukas</a:t>
                </a:r>
              </a:p>
            </c:rich>
          </c:tx>
          <c:layout>
            <c:manualLayout>
              <c:xMode val="edge"/>
              <c:yMode val="edge"/>
              <c:x val="0.10209424083769633"/>
              <c:y val="0.1816194857480889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Verdana"/>
                <a:ea typeface="Verdana"/>
                <a:cs typeface="Verdana"/>
              </a:defRPr>
            </a:pPr>
            <a:endParaRPr lang="fi-FI"/>
          </a:p>
        </c:txPr>
        <c:crossAx val="177965696"/>
        <c:crosses val="autoZero"/>
        <c:crossBetween val="between"/>
      </c:valAx>
      <c:spPr>
        <a:solidFill>
          <a:srgbClr val="FFFFFF"/>
        </a:solidFill>
        <a:ln w="12700">
          <a:solidFill>
            <a:srgbClr val="808080"/>
          </a:solidFill>
          <a:prstDash val="solid"/>
        </a:ln>
      </c:spPr>
    </c:plotArea>
    <c:legend>
      <c:legendPos val="b"/>
      <c:layout>
        <c:manualLayout>
          <c:xMode val="edge"/>
          <c:yMode val="edge"/>
          <c:x val="0.25654450261780104"/>
          <c:y val="0.14004399340673224"/>
          <c:w val="0.69109947643979053"/>
          <c:h val="7.6586433260393882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i-FI"/>
    </a:p>
  </c:txPr>
  <c:printSettings>
    <c:headerFooter alignWithMargins="0"/>
    <c:pageMargins b="1" l="0.75" r="0.75" t="1"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fi-FI"/>
              <a:t>Kuntien asukasluvun kehitys 1998-2018</a:t>
            </a:r>
          </a:p>
        </c:rich>
      </c:tx>
      <c:layout>
        <c:manualLayout>
          <c:xMode val="edge"/>
          <c:yMode val="edge"/>
          <c:x val="0.22091530715523303"/>
          <c:y val="8.0434782608695646E-2"/>
        </c:manualLayout>
      </c:layout>
      <c:overlay val="0"/>
      <c:spPr>
        <a:noFill/>
        <a:ln w="25400">
          <a:noFill/>
        </a:ln>
      </c:spPr>
    </c:title>
    <c:autoTitleDeleted val="0"/>
    <c:plotArea>
      <c:layout>
        <c:manualLayout>
          <c:layoutTarget val="inner"/>
          <c:xMode val="edge"/>
          <c:yMode val="edge"/>
          <c:x val="0.16601334637091933"/>
          <c:y val="0.27753646011639849"/>
          <c:w val="0.77124281459713873"/>
          <c:h val="0.46956571582637974"/>
        </c:manualLayout>
      </c:layout>
      <c:barChart>
        <c:barDir val="col"/>
        <c:grouping val="clustered"/>
        <c:varyColors val="0"/>
        <c:ser>
          <c:idx val="1"/>
          <c:order val="0"/>
          <c:tx>
            <c:strRef>
              <c:f>Laskelma!$A$74</c:f>
              <c:strCache>
                <c:ptCount val="1"/>
                <c:pt idx="0">
                  <c:v>Asukasluku 31.12.</c:v>
                </c:pt>
              </c:strCache>
            </c:strRef>
          </c:tx>
          <c:spPr>
            <a:solidFill>
              <a:srgbClr val="00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Laskelma!$B$74:$AR$74</c:f>
              <c:numCache>
                <c:formatCode>#,##0</c:formatCode>
                <c:ptCount val="43"/>
                <c:pt idx="0">
                  <c:v>15857</c:v>
                </c:pt>
                <c:pt idx="1">
                  <c:v>15954</c:v>
                </c:pt>
                <c:pt idx="2">
                  <c:v>15945</c:v>
                </c:pt>
                <c:pt idx="3">
                  <c:v>16022</c:v>
                </c:pt>
                <c:pt idx="4">
                  <c:v>16117</c:v>
                </c:pt>
                <c:pt idx="5">
                  <c:v>16269</c:v>
                </c:pt>
                <c:pt idx="6">
                  <c:v>16324</c:v>
                </c:pt>
                <c:pt idx="7">
                  <c:v>16422</c:v>
                </c:pt>
                <c:pt idx="8">
                  <c:v>16586</c:v>
                </c:pt>
                <c:pt idx="9">
                  <c:v>16738</c:v>
                </c:pt>
                <c:pt idx="10">
                  <c:v>16837</c:v>
                </c:pt>
                <c:pt idx="11">
                  <c:v>16858</c:v>
                </c:pt>
                <c:pt idx="12">
                  <c:v>17012</c:v>
                </c:pt>
                <c:pt idx="13">
                  <c:v>17091</c:v>
                </c:pt>
                <c:pt idx="14">
                  <c:v>17134</c:v>
                </c:pt>
                <c:pt idx="15">
                  <c:v>17108</c:v>
                </c:pt>
                <c:pt idx="16">
                  <c:v>17052</c:v>
                </c:pt>
                <c:pt idx="17">
                  <c:v>17043</c:v>
                </c:pt>
                <c:pt idx="18">
                  <c:v>16923</c:v>
                </c:pt>
                <c:pt idx="19">
                  <c:v>16769</c:v>
                </c:pt>
                <c:pt idx="20">
                  <c:v>16611</c:v>
                </c:pt>
                <c:pt idx="22">
                  <c:v>20975</c:v>
                </c:pt>
                <c:pt idx="23">
                  <c:v>20898</c:v>
                </c:pt>
                <c:pt idx="24">
                  <c:v>20713</c:v>
                </c:pt>
                <c:pt idx="25">
                  <c:v>20543</c:v>
                </c:pt>
                <c:pt idx="26">
                  <c:v>20425</c:v>
                </c:pt>
                <c:pt idx="27">
                  <c:v>20457</c:v>
                </c:pt>
                <c:pt idx="28">
                  <c:v>20384</c:v>
                </c:pt>
                <c:pt idx="29">
                  <c:v>20345</c:v>
                </c:pt>
                <c:pt idx="30">
                  <c:v>20341</c:v>
                </c:pt>
                <c:pt idx="31">
                  <c:v>20404</c:v>
                </c:pt>
                <c:pt idx="32">
                  <c:v>20325</c:v>
                </c:pt>
                <c:pt idx="33">
                  <c:v>20243</c:v>
                </c:pt>
                <c:pt idx="34">
                  <c:v>20244</c:v>
                </c:pt>
                <c:pt idx="35">
                  <c:v>20334</c:v>
                </c:pt>
                <c:pt idx="36">
                  <c:v>20265</c:v>
                </c:pt>
                <c:pt idx="37">
                  <c:v>20077</c:v>
                </c:pt>
                <c:pt idx="38">
                  <c:v>19909</c:v>
                </c:pt>
                <c:pt idx="39">
                  <c:v>19646</c:v>
                </c:pt>
                <c:pt idx="40">
                  <c:v>19374</c:v>
                </c:pt>
                <c:pt idx="41">
                  <c:v>19144</c:v>
                </c:pt>
                <c:pt idx="42">
                  <c:v>18851</c:v>
                </c:pt>
              </c:numCache>
            </c:numRef>
          </c:val>
          <c:extLst>
            <c:ext xmlns:c16="http://schemas.microsoft.com/office/drawing/2014/chart" uri="{C3380CC4-5D6E-409C-BE32-E72D297353CC}">
              <c16:uniqueId val="{00000000-35CB-4FFA-A5F5-7D7F4A594133}"/>
            </c:ext>
          </c:extLst>
        </c:ser>
        <c:dLbls>
          <c:showLegendKey val="0"/>
          <c:showVal val="0"/>
          <c:showCatName val="0"/>
          <c:showSerName val="0"/>
          <c:showPercent val="0"/>
          <c:showBubbleSize val="0"/>
        </c:dLbls>
        <c:gapWidth val="90"/>
        <c:axId val="181971584"/>
        <c:axId val="181981568"/>
      </c:barChart>
      <c:catAx>
        <c:axId val="18197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81981568"/>
        <c:crosses val="autoZero"/>
        <c:auto val="0"/>
        <c:lblAlgn val="ctr"/>
        <c:lblOffset val="100"/>
        <c:tickLblSkip val="2"/>
        <c:tickMarkSkip val="1"/>
        <c:noMultiLvlLbl val="0"/>
      </c:catAx>
      <c:valAx>
        <c:axId val="181981568"/>
        <c:scaling>
          <c:orientation val="minMax"/>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Verdana"/>
                    <a:ea typeface="Verdana"/>
                    <a:cs typeface="Verdana"/>
                  </a:defRPr>
                </a:pPr>
                <a:r>
                  <a:rPr lang="fi-FI" sz="1000"/>
                  <a:t>Asukkaita</a:t>
                </a:r>
              </a:p>
            </c:rich>
          </c:tx>
          <c:layout>
            <c:manualLayout>
              <c:xMode val="edge"/>
              <c:yMode val="edge"/>
              <c:x val="0.16732053591340298"/>
              <c:y val="0.221126945399430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81971584"/>
        <c:crosses val="autoZero"/>
        <c:crossBetween val="between"/>
      </c:valAx>
      <c:spPr>
        <a:solidFill>
          <a:srgbClr val="FFFFFF"/>
        </a:solidFill>
        <a:ln w="12700">
          <a:solidFill>
            <a:srgbClr val="808080"/>
          </a:solidFill>
          <a:prstDash val="solid"/>
        </a:ln>
      </c:spPr>
    </c:plotArea>
    <c:legend>
      <c:legendPos val="r"/>
      <c:layout>
        <c:manualLayout>
          <c:xMode val="edge"/>
          <c:yMode val="edge"/>
          <c:x val="0.50196147050246176"/>
          <c:y val="0.2282610977975579"/>
          <c:w val="0.18954275813562516"/>
          <c:h val="3.913043478260872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fi-FI"/>
    </a:p>
  </c:txPr>
  <c:printSettings>
    <c:headerFooter alignWithMargins="0"/>
    <c:pageMargins b="1" l="0.75" r="0.75" t="1"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fi-FI"/>
              <a:t>Kunnan</a:t>
            </a:r>
            <a:r>
              <a:rPr lang="fi-FI" baseline="0"/>
              <a:t> asukasluvun kehitys</a:t>
            </a:r>
            <a:r>
              <a:rPr lang="fi-FI"/>
              <a:t> ja </a:t>
            </a:r>
          </a:p>
          <a:p>
            <a:pPr>
              <a:defRPr sz="1475" b="1" i="0" u="none" strike="noStrike" baseline="0">
                <a:solidFill>
                  <a:srgbClr val="000000"/>
                </a:solidFill>
                <a:latin typeface="Verdana"/>
                <a:ea typeface="Verdana"/>
                <a:cs typeface="Verdana"/>
              </a:defRPr>
            </a:pPr>
            <a:r>
              <a:rPr lang="fi-FI"/>
              <a:t>vuotuinen</a:t>
            </a:r>
            <a:r>
              <a:rPr lang="fi-FI" baseline="0"/>
              <a:t> muutos 199</a:t>
            </a:r>
            <a:r>
              <a:rPr lang="fi-FI"/>
              <a:t>8-2018</a:t>
            </a:r>
          </a:p>
        </c:rich>
      </c:tx>
      <c:layout>
        <c:manualLayout>
          <c:xMode val="edge"/>
          <c:yMode val="edge"/>
          <c:x val="0.30594619866428757"/>
          <c:y val="3.341556161688939E-2"/>
        </c:manualLayout>
      </c:layout>
      <c:overlay val="0"/>
      <c:spPr>
        <a:noFill/>
        <a:ln w="25400">
          <a:noFill/>
        </a:ln>
      </c:spPr>
    </c:title>
    <c:autoTitleDeleted val="0"/>
    <c:plotArea>
      <c:layout>
        <c:manualLayout>
          <c:layoutTarget val="inner"/>
          <c:xMode val="edge"/>
          <c:yMode val="edge"/>
          <c:x val="8.6847700970862293E-2"/>
          <c:y val="0.23362462045185528"/>
          <c:w val="0.85751743453512375"/>
          <c:h val="0.50655021834061131"/>
        </c:manualLayout>
      </c:layout>
      <c:barChart>
        <c:barDir val="col"/>
        <c:grouping val="clustered"/>
        <c:varyColors val="0"/>
        <c:ser>
          <c:idx val="0"/>
          <c:order val="0"/>
          <c:tx>
            <c:strRef>
              <c:f>Laskelma!$A$74</c:f>
              <c:strCache>
                <c:ptCount val="1"/>
                <c:pt idx="0">
                  <c:v>Asukasluku 31.12.</c:v>
                </c:pt>
              </c:strCache>
            </c:strRef>
          </c:tx>
          <c:spPr>
            <a:solidFill>
              <a:schemeClr val="tx2">
                <a:lumMod val="20000"/>
                <a:lumOff val="80000"/>
              </a:schemeClr>
            </a:solidFill>
            <a:ln w="12700">
              <a:solidFill>
                <a:srgbClr val="000000"/>
              </a:solidFill>
              <a:prstDash val="solid"/>
            </a:ln>
          </c:spPr>
          <c:invertIfNegative val="0"/>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Laskelma!$B$74:$V$74</c:f>
              <c:numCache>
                <c:formatCode>#,##0</c:formatCode>
                <c:ptCount val="21"/>
                <c:pt idx="0">
                  <c:v>15857</c:v>
                </c:pt>
                <c:pt idx="1">
                  <c:v>15954</c:v>
                </c:pt>
                <c:pt idx="2">
                  <c:v>15945</c:v>
                </c:pt>
                <c:pt idx="3">
                  <c:v>16022</c:v>
                </c:pt>
                <c:pt idx="4">
                  <c:v>16117</c:v>
                </c:pt>
                <c:pt idx="5">
                  <c:v>16269</c:v>
                </c:pt>
                <c:pt idx="6">
                  <c:v>16324</c:v>
                </c:pt>
                <c:pt idx="7">
                  <c:v>16422</c:v>
                </c:pt>
                <c:pt idx="8">
                  <c:v>16586</c:v>
                </c:pt>
                <c:pt idx="9">
                  <c:v>16738</c:v>
                </c:pt>
                <c:pt idx="10">
                  <c:v>16837</c:v>
                </c:pt>
                <c:pt idx="11">
                  <c:v>16858</c:v>
                </c:pt>
                <c:pt idx="12">
                  <c:v>17012</c:v>
                </c:pt>
                <c:pt idx="13">
                  <c:v>17091</c:v>
                </c:pt>
                <c:pt idx="14">
                  <c:v>17134</c:v>
                </c:pt>
                <c:pt idx="15">
                  <c:v>17108</c:v>
                </c:pt>
                <c:pt idx="16">
                  <c:v>17052</c:v>
                </c:pt>
                <c:pt idx="17">
                  <c:v>17043</c:v>
                </c:pt>
                <c:pt idx="18">
                  <c:v>16923</c:v>
                </c:pt>
                <c:pt idx="19">
                  <c:v>16769</c:v>
                </c:pt>
                <c:pt idx="20">
                  <c:v>16611</c:v>
                </c:pt>
              </c:numCache>
            </c:numRef>
          </c:val>
          <c:extLst>
            <c:ext xmlns:c16="http://schemas.microsoft.com/office/drawing/2014/chart" uri="{C3380CC4-5D6E-409C-BE32-E72D297353CC}">
              <c16:uniqueId val="{00000000-C21A-407F-8B5D-499E947DEE32}"/>
            </c:ext>
          </c:extLst>
        </c:ser>
        <c:dLbls>
          <c:showLegendKey val="0"/>
          <c:showVal val="0"/>
          <c:showCatName val="0"/>
          <c:showSerName val="0"/>
          <c:showPercent val="0"/>
          <c:showBubbleSize val="0"/>
        </c:dLbls>
        <c:gapWidth val="42"/>
        <c:axId val="182033792"/>
        <c:axId val="182035584"/>
      </c:barChart>
      <c:scatterChart>
        <c:scatterStyle val="lineMarker"/>
        <c:varyColors val="0"/>
        <c:ser>
          <c:idx val="2"/>
          <c:order val="1"/>
          <c:tx>
            <c:strRef>
              <c:f>Laskelma!$A$75</c:f>
              <c:strCache>
                <c:ptCount val="1"/>
                <c:pt idx="0">
                  <c:v>Asukasluvun muutos-%</c:v>
                </c:pt>
              </c:strCache>
            </c:strRef>
          </c:tx>
          <c:spPr>
            <a:ln w="28575">
              <a:noFill/>
            </a:ln>
          </c:spPr>
          <c:marker>
            <c:spPr>
              <a:solidFill>
                <a:schemeClr val="tx1"/>
              </a:solidFill>
            </c:spPr>
          </c:marker>
          <c:dLbls>
            <c:numFmt formatCode="#,##0.0" sourceLinked="0"/>
            <c:spPr>
              <a:noFill/>
              <a:ln>
                <a:noFill/>
              </a:ln>
              <a:effectLst/>
            </c:spPr>
            <c:txPr>
              <a:bodyPr/>
              <a:lstStyle/>
              <a:p>
                <a:pPr>
                  <a:defRPr sz="800"/>
                </a:pPr>
                <a:endParaRPr lang="fi-FI"/>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yVal>
            <c:numRef>
              <c:f>Laskelma!$B$75:$V$75</c:f>
              <c:numCache>
                <c:formatCode>0.0</c:formatCode>
                <c:ptCount val="21"/>
                <c:pt idx="1">
                  <c:v>0.6117172226776818</c:v>
                </c:pt>
                <c:pt idx="2">
                  <c:v>-5.6412185031966905E-2</c:v>
                </c:pt>
                <c:pt idx="3">
                  <c:v>0.48291000313577925</c:v>
                </c:pt>
                <c:pt idx="4">
                  <c:v>0.59293471476719506</c:v>
                </c:pt>
                <c:pt idx="5">
                  <c:v>0.94310355525221812</c:v>
                </c:pt>
                <c:pt idx="6">
                  <c:v>0.33806626098715348</c:v>
                </c:pt>
                <c:pt idx="7">
                  <c:v>0.60034305317324177</c:v>
                </c:pt>
                <c:pt idx="8">
                  <c:v>0.99866033369869678</c:v>
                </c:pt>
                <c:pt idx="9">
                  <c:v>0.91643554805257454</c:v>
                </c:pt>
                <c:pt idx="10">
                  <c:v>0.5914685147568407</c:v>
                </c:pt>
                <c:pt idx="11">
                  <c:v>0.12472530735879314</c:v>
                </c:pt>
                <c:pt idx="12">
                  <c:v>0.91351287222683586</c:v>
                </c:pt>
                <c:pt idx="13">
                  <c:v>0.46437808605690101</c:v>
                </c:pt>
                <c:pt idx="14">
                  <c:v>0.25159440641273184</c:v>
                </c:pt>
                <c:pt idx="15">
                  <c:v>-0.15174506828528073</c:v>
                </c:pt>
                <c:pt idx="16">
                  <c:v>-0.32733224222585927</c:v>
                </c:pt>
                <c:pt idx="17">
                  <c:v>-5.2779732582688248E-2</c:v>
                </c:pt>
                <c:pt idx="18">
                  <c:v>-0.70410139060024646</c:v>
                </c:pt>
                <c:pt idx="19">
                  <c:v>-0.91000413638243816</c:v>
                </c:pt>
                <c:pt idx="20">
                  <c:v>-0.94221480112111644</c:v>
                </c:pt>
              </c:numCache>
            </c:numRef>
          </c:yVal>
          <c:smooth val="0"/>
          <c:extLst>
            <c:ext xmlns:c16="http://schemas.microsoft.com/office/drawing/2014/chart" uri="{C3380CC4-5D6E-409C-BE32-E72D297353CC}">
              <c16:uniqueId val="{00000001-C21A-407F-8B5D-499E947DEE32}"/>
            </c:ext>
          </c:extLst>
        </c:ser>
        <c:dLbls>
          <c:showLegendKey val="0"/>
          <c:showVal val="0"/>
          <c:showCatName val="0"/>
          <c:showSerName val="0"/>
          <c:showPercent val="0"/>
          <c:showBubbleSize val="0"/>
        </c:dLbls>
        <c:axId val="182037120"/>
        <c:axId val="182047104"/>
      </c:scatterChart>
      <c:catAx>
        <c:axId val="1820337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75" b="1" i="0" u="none" strike="noStrike" baseline="0">
                <a:solidFill>
                  <a:srgbClr val="000000"/>
                </a:solidFill>
                <a:latin typeface="Verdana"/>
                <a:ea typeface="Verdana"/>
                <a:cs typeface="Verdana"/>
              </a:defRPr>
            </a:pPr>
            <a:endParaRPr lang="fi-FI"/>
          </a:p>
        </c:txPr>
        <c:crossAx val="182035584"/>
        <c:crosses val="autoZero"/>
        <c:auto val="0"/>
        <c:lblAlgn val="ctr"/>
        <c:lblOffset val="100"/>
        <c:tickLblSkip val="1"/>
        <c:tickMarkSkip val="1"/>
        <c:noMultiLvlLbl val="0"/>
      </c:catAx>
      <c:valAx>
        <c:axId val="18203558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Verdana"/>
                <a:ea typeface="Verdana"/>
                <a:cs typeface="Verdana"/>
              </a:defRPr>
            </a:pPr>
            <a:endParaRPr lang="fi-FI"/>
          </a:p>
        </c:txPr>
        <c:crossAx val="182033792"/>
        <c:crosses val="autoZero"/>
        <c:crossBetween val="between"/>
      </c:valAx>
      <c:valAx>
        <c:axId val="182037120"/>
        <c:scaling>
          <c:orientation val="minMax"/>
        </c:scaling>
        <c:delete val="1"/>
        <c:axPos val="b"/>
        <c:majorTickMark val="out"/>
        <c:minorTickMark val="none"/>
        <c:tickLblPos val="nextTo"/>
        <c:crossAx val="182047104"/>
        <c:crosses val="autoZero"/>
        <c:crossBetween val="midCat"/>
      </c:valAx>
      <c:valAx>
        <c:axId val="182047104"/>
        <c:scaling>
          <c:orientation val="minMax"/>
        </c:scaling>
        <c:delete val="0"/>
        <c:axPos val="r"/>
        <c:numFmt formatCode="General" sourceLinked="1"/>
        <c:majorTickMark val="out"/>
        <c:minorTickMark val="none"/>
        <c:tickLblPos val="nextTo"/>
        <c:txPr>
          <a:bodyPr/>
          <a:lstStyle/>
          <a:p>
            <a:pPr>
              <a:defRPr sz="1000" baseline="0">
                <a:latin typeface="Verdana" pitchFamily="34" charset="0"/>
              </a:defRPr>
            </a:pPr>
            <a:endParaRPr lang="fi-FI"/>
          </a:p>
        </c:txPr>
        <c:crossAx val="182037120"/>
        <c:crosses val="max"/>
        <c:crossBetween val="midCat"/>
      </c:valAx>
      <c:spPr>
        <a:solidFill>
          <a:srgbClr val="FFFFFF"/>
        </a:solidFill>
        <a:ln w="12700">
          <a:solidFill>
            <a:srgbClr val="808080"/>
          </a:solidFill>
          <a:prstDash val="solid"/>
        </a:ln>
      </c:spPr>
    </c:plotArea>
    <c:legend>
      <c:legendPos val="t"/>
      <c:layout>
        <c:manualLayout>
          <c:xMode val="edge"/>
          <c:yMode val="edge"/>
          <c:x val="0.15275152612687787"/>
          <c:y val="0.17976703892405607"/>
          <c:w val="0.77749729987246519"/>
          <c:h val="4.7136362856603692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i-FI"/>
    </a:p>
  </c:txPr>
  <c:printSettings>
    <c:headerFooter alignWithMargins="0"/>
    <c:pageMargins b="1" l="0.75" r="0.75" t="1" header="0.49212598450000011" footer="0.49212598450000011"/>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fi-FI"/>
              <a:t>Kunnan</a:t>
            </a:r>
            <a:r>
              <a:rPr lang="fi-FI" baseline="0"/>
              <a:t> vuosikate, lainakanta ja nettoinvestoinnit </a:t>
            </a:r>
            <a:r>
              <a:rPr lang="fi-FI"/>
              <a:t>tilinpäätösten 1998-2018 mukaan</a:t>
            </a:r>
          </a:p>
        </c:rich>
      </c:tx>
      <c:layout>
        <c:manualLayout>
          <c:xMode val="edge"/>
          <c:yMode val="edge"/>
          <c:x val="0.21425134710472352"/>
          <c:y val="4.366905117252501E-3"/>
        </c:manualLayout>
      </c:layout>
      <c:overlay val="0"/>
      <c:spPr>
        <a:noFill/>
        <a:ln w="25400">
          <a:noFill/>
        </a:ln>
      </c:spPr>
    </c:title>
    <c:autoTitleDeleted val="0"/>
    <c:plotArea>
      <c:layout>
        <c:manualLayout>
          <c:layoutTarget val="inner"/>
          <c:xMode val="edge"/>
          <c:yMode val="edge"/>
          <c:x val="8.3841279515493777E-2"/>
          <c:y val="0.23362452894034086"/>
          <c:w val="0.85751743453512375"/>
          <c:h val="0.50655021834061131"/>
        </c:manualLayout>
      </c:layout>
      <c:barChart>
        <c:barDir val="col"/>
        <c:grouping val="clustered"/>
        <c:varyColors val="0"/>
        <c:ser>
          <c:idx val="0"/>
          <c:order val="2"/>
          <c:tx>
            <c:strRef>
              <c:f>Laskelma!$A$36</c:f>
              <c:strCache>
                <c:ptCount val="1"/>
                <c:pt idx="0">
                  <c:v>Vuosikate</c:v>
                </c:pt>
              </c:strCache>
            </c:strRef>
          </c:tx>
          <c:spPr>
            <a:solidFill>
              <a:srgbClr val="D0FCFE"/>
            </a:solidFill>
            <a:ln>
              <a:solidFill>
                <a:schemeClr val="tx1"/>
              </a:solidFill>
            </a:ln>
          </c:spPr>
          <c:invertIfNegative val="1"/>
          <c:val>
            <c:numRef>
              <c:f>Laskelma!$B$36:$V$36</c:f>
              <c:numCache>
                <c:formatCode>#,##0</c:formatCode>
                <c:ptCount val="21"/>
                <c:pt idx="0">
                  <c:v>-83.250743192053989</c:v>
                </c:pt>
                <c:pt idx="1">
                  <c:v>160.66090004221064</c:v>
                </c:pt>
                <c:pt idx="2">
                  <c:v>30.610308096036682</c:v>
                </c:pt>
                <c:pt idx="3">
                  <c:v>189.72840986551932</c:v>
                </c:pt>
                <c:pt idx="4">
                  <c:v>350.0031023143265</c:v>
                </c:pt>
                <c:pt idx="5">
                  <c:v>-3.2577294240580246</c:v>
                </c:pt>
                <c:pt idx="6">
                  <c:v>63.893653516295025</c:v>
                </c:pt>
                <c:pt idx="7">
                  <c:v>72.768237729874556</c:v>
                </c:pt>
                <c:pt idx="8">
                  <c:v>93.150850114554444</c:v>
                </c:pt>
                <c:pt idx="9">
                  <c:v>246.62444736527661</c:v>
                </c:pt>
                <c:pt idx="10">
                  <c:v>274.21749717883233</c:v>
                </c:pt>
                <c:pt idx="11">
                  <c:v>297.95942579190887</c:v>
                </c:pt>
                <c:pt idx="12">
                  <c:v>310.78062544086526</c:v>
                </c:pt>
                <c:pt idx="13">
                  <c:v>204.14253115674916</c:v>
                </c:pt>
                <c:pt idx="14">
                  <c:v>-194.81732228317964</c:v>
                </c:pt>
                <c:pt idx="15">
                  <c:v>192.71685761047462</c:v>
                </c:pt>
                <c:pt idx="16">
                  <c:v>-76.471968097583854</c:v>
                </c:pt>
                <c:pt idx="17">
                  <c:v>72.111717420641909</c:v>
                </c:pt>
                <c:pt idx="18">
                  <c:v>281.68764403474563</c:v>
                </c:pt>
                <c:pt idx="19">
                  <c:v>370.20692945315761</c:v>
                </c:pt>
                <c:pt idx="20">
                  <c:v>134.12798747817712</c:v>
                </c:pt>
              </c:numCache>
            </c:numRef>
          </c:val>
          <c:extLst>
            <c:ext xmlns:c14="http://schemas.microsoft.com/office/drawing/2007/8/2/chart" uri="{6F2FDCE9-48DA-4B69-8628-5D25D57E5C99}">
              <c14:invertSolidFillFmt>
                <c14:spPr xmlns:c14="http://schemas.microsoft.com/office/drawing/2007/8/2/chart">
                  <a:solidFill>
                    <a:srgbClr val="FFFFFF"/>
                  </a:solidFill>
                  <a:ln>
                    <a:solidFill>
                      <a:schemeClr val="tx1"/>
                    </a:solidFill>
                  </a:ln>
                </c14:spPr>
              </c14:invertSolidFillFmt>
            </c:ext>
            <c:ext xmlns:c16="http://schemas.microsoft.com/office/drawing/2014/chart" uri="{C3380CC4-5D6E-409C-BE32-E72D297353CC}">
              <c16:uniqueId val="{00000000-3313-4356-B177-418223180018}"/>
            </c:ext>
          </c:extLst>
        </c:ser>
        <c:dLbls>
          <c:showLegendKey val="0"/>
          <c:showVal val="0"/>
          <c:showCatName val="0"/>
          <c:showSerName val="0"/>
          <c:showPercent val="0"/>
          <c:showBubbleSize val="0"/>
        </c:dLbls>
        <c:gapWidth val="150"/>
        <c:axId val="182098944"/>
        <c:axId val="182108928"/>
      </c:barChart>
      <c:lineChart>
        <c:grouping val="standard"/>
        <c:varyColors val="0"/>
        <c:ser>
          <c:idx val="4"/>
          <c:order val="0"/>
          <c:tx>
            <c:strRef>
              <c:f>Laskelma!$A$82</c:f>
              <c:strCache>
                <c:ptCount val="1"/>
                <c:pt idx="0">
                  <c:v>Lainakanta</c:v>
                </c:pt>
              </c:strCache>
            </c:strRef>
          </c:tx>
          <c:spPr>
            <a:ln w="31750">
              <a:solidFill>
                <a:srgbClr val="FF0000"/>
              </a:solidFill>
              <a:prstDash val="sysDash"/>
            </a:ln>
          </c:spPr>
          <c:marker>
            <c:spPr>
              <a:ln>
                <a:noFill/>
              </a:ln>
            </c:spPr>
          </c:marker>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Laskelma!$B$39:$V$39</c:f>
              <c:numCache>
                <c:formatCode>#,##0</c:formatCode>
                <c:ptCount val="21"/>
                <c:pt idx="0">
                  <c:v>762.62849214857795</c:v>
                </c:pt>
                <c:pt idx="1">
                  <c:v>813.15030713300735</c:v>
                </c:pt>
                <c:pt idx="2">
                  <c:v>969.14393226716834</c:v>
                </c:pt>
                <c:pt idx="3">
                  <c:v>1115.653476469854</c:v>
                </c:pt>
                <c:pt idx="4">
                  <c:v>1112.5519637649686</c:v>
                </c:pt>
                <c:pt idx="5">
                  <c:v>1188.1492408875777</c:v>
                </c:pt>
                <c:pt idx="6">
                  <c:v>1446.5204606714042</c:v>
                </c:pt>
                <c:pt idx="7">
                  <c:v>1520.825721592985</c:v>
                </c:pt>
                <c:pt idx="8">
                  <c:v>1635.5962860243578</c:v>
                </c:pt>
                <c:pt idx="9">
                  <c:v>1736.5874059027362</c:v>
                </c:pt>
                <c:pt idx="10">
                  <c:v>1775.0193027261389</c:v>
                </c:pt>
                <c:pt idx="11">
                  <c:v>1809.4673152212599</c:v>
                </c:pt>
                <c:pt idx="12">
                  <c:v>1863.508111920997</c:v>
                </c:pt>
                <c:pt idx="13">
                  <c:v>1991.164940612018</c:v>
                </c:pt>
                <c:pt idx="14">
                  <c:v>2288.0238123030231</c:v>
                </c:pt>
                <c:pt idx="15">
                  <c:v>2390.577507598784</c:v>
                </c:pt>
                <c:pt idx="16">
                  <c:v>3061.4004222378608</c:v>
                </c:pt>
                <c:pt idx="17">
                  <c:v>3517.7492225547144</c:v>
                </c:pt>
                <c:pt idx="18">
                  <c:v>3415.588252673876</c:v>
                </c:pt>
                <c:pt idx="19">
                  <c:v>3139.1257677857952</c:v>
                </c:pt>
                <c:pt idx="20">
                  <c:v>3256.6973692131719</c:v>
                </c:pt>
              </c:numCache>
            </c:numRef>
          </c:val>
          <c:smooth val="0"/>
          <c:extLst>
            <c:ext xmlns:c16="http://schemas.microsoft.com/office/drawing/2014/chart" uri="{C3380CC4-5D6E-409C-BE32-E72D297353CC}">
              <c16:uniqueId val="{00000001-3313-4356-B177-418223180018}"/>
            </c:ext>
          </c:extLst>
        </c:ser>
        <c:ser>
          <c:idx val="1"/>
          <c:order val="1"/>
          <c:tx>
            <c:strRef>
              <c:f>Laskelma!$A$37</c:f>
              <c:strCache>
                <c:ptCount val="1"/>
                <c:pt idx="0">
                  <c:v>Nettoinvestoinnit</c:v>
                </c:pt>
              </c:strCache>
            </c:strRef>
          </c:tx>
          <c:spPr>
            <a:ln>
              <a:solidFill>
                <a:schemeClr val="accent3">
                  <a:lumMod val="75000"/>
                  <a:alpha val="60000"/>
                </a:schemeClr>
              </a:solidFill>
            </a:ln>
          </c:spPr>
          <c:marker>
            <c:symbol val="none"/>
          </c:marker>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Laskelma!$B$37:$V$37</c:f>
              <c:numCache>
                <c:formatCode>#,##0</c:formatCode>
                <c:ptCount val="21"/>
                <c:pt idx="0">
                  <c:v>150.62349394589143</c:v>
                </c:pt>
                <c:pt idx="1">
                  <c:v>168.8626178939451</c:v>
                </c:pt>
                <c:pt idx="2">
                  <c:v>353.01005550329256</c:v>
                </c:pt>
                <c:pt idx="3">
                  <c:v>264.38646860566723</c:v>
                </c:pt>
                <c:pt idx="4">
                  <c:v>230.75013960414469</c:v>
                </c:pt>
                <c:pt idx="5">
                  <c:v>169.15606367939026</c:v>
                </c:pt>
                <c:pt idx="6">
                  <c:v>324.00147022788531</c:v>
                </c:pt>
                <c:pt idx="7">
                  <c:v>169.65046888320546</c:v>
                </c:pt>
                <c:pt idx="8">
                  <c:v>237.12769805860364</c:v>
                </c:pt>
                <c:pt idx="9">
                  <c:v>149.89843469948619</c:v>
                </c:pt>
                <c:pt idx="10">
                  <c:v>301.65706479776685</c:v>
                </c:pt>
                <c:pt idx="11">
                  <c:v>274.82500889785263</c:v>
                </c:pt>
                <c:pt idx="12">
                  <c:v>332.29485069362801</c:v>
                </c:pt>
                <c:pt idx="13">
                  <c:v>344.15774384178809</c:v>
                </c:pt>
                <c:pt idx="14">
                  <c:v>293.50998015641414</c:v>
                </c:pt>
                <c:pt idx="15">
                  <c:v>327.03998129530044</c:v>
                </c:pt>
                <c:pt idx="16">
                  <c:v>723.49284541402767</c:v>
                </c:pt>
                <c:pt idx="17">
                  <c:v>431.32077685853432</c:v>
                </c:pt>
                <c:pt idx="18">
                  <c:v>113.86869940317911</c:v>
                </c:pt>
                <c:pt idx="19">
                  <c:v>58.679706601466989</c:v>
                </c:pt>
                <c:pt idx="20">
                  <c:v>198.00132442357474</c:v>
                </c:pt>
              </c:numCache>
            </c:numRef>
          </c:val>
          <c:smooth val="0"/>
          <c:extLst>
            <c:ext xmlns:c16="http://schemas.microsoft.com/office/drawing/2014/chart" uri="{C3380CC4-5D6E-409C-BE32-E72D297353CC}">
              <c16:uniqueId val="{00000002-3313-4356-B177-418223180018}"/>
            </c:ext>
          </c:extLst>
        </c:ser>
        <c:dLbls>
          <c:showLegendKey val="0"/>
          <c:showVal val="0"/>
          <c:showCatName val="0"/>
          <c:showSerName val="0"/>
          <c:showPercent val="0"/>
          <c:showBubbleSize val="0"/>
        </c:dLbls>
        <c:marker val="1"/>
        <c:smooth val="0"/>
        <c:axId val="182098944"/>
        <c:axId val="182108928"/>
      </c:lineChart>
      <c:catAx>
        <c:axId val="1820989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75" b="1" i="0" u="none" strike="noStrike" baseline="0">
                <a:solidFill>
                  <a:srgbClr val="000000"/>
                </a:solidFill>
                <a:latin typeface="Verdana"/>
                <a:ea typeface="Verdana"/>
                <a:cs typeface="Verdana"/>
              </a:defRPr>
            </a:pPr>
            <a:endParaRPr lang="fi-FI"/>
          </a:p>
        </c:txPr>
        <c:crossAx val="182108928"/>
        <c:crosses val="autoZero"/>
        <c:auto val="0"/>
        <c:lblAlgn val="ctr"/>
        <c:lblOffset val="100"/>
        <c:tickLblSkip val="1"/>
        <c:tickMarkSkip val="1"/>
        <c:noMultiLvlLbl val="0"/>
      </c:catAx>
      <c:valAx>
        <c:axId val="18210892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Verdana"/>
                <a:ea typeface="Verdana"/>
                <a:cs typeface="Verdana"/>
              </a:defRPr>
            </a:pPr>
            <a:endParaRPr lang="fi-FI"/>
          </a:p>
        </c:txPr>
        <c:crossAx val="182098944"/>
        <c:crosses val="autoZero"/>
        <c:crossBetween val="between"/>
      </c:valAx>
      <c:spPr>
        <a:solidFill>
          <a:srgbClr val="FFFFFF"/>
        </a:solidFill>
        <a:ln w="12700">
          <a:solidFill>
            <a:srgbClr val="808080"/>
          </a:solidFill>
          <a:prstDash val="solid"/>
        </a:ln>
      </c:spPr>
    </c:plotArea>
    <c:legend>
      <c:legendPos val="t"/>
      <c:layout>
        <c:manualLayout>
          <c:xMode val="edge"/>
          <c:yMode val="edge"/>
          <c:x val="0.15275152612687787"/>
          <c:y val="0.17976703892405607"/>
          <c:w val="0.5006375555930368"/>
          <c:h val="3.8158008026774423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i-FI"/>
    </a:p>
  </c:txPr>
  <c:printSettings>
    <c:headerFooter alignWithMargins="0"/>
    <c:pageMargins b="1" l="0.75" r="0.75" t="1" header="0.49212598450000011" footer="0.4921259845000001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Verdana"/>
                <a:ea typeface="Verdana"/>
                <a:cs typeface="Verdana"/>
              </a:defRPr>
            </a:pPr>
            <a:r>
              <a:rPr lang="fi-FI"/>
              <a:t>Verotulovertailu tilinpäätösten 1998-2018 mukaan</a:t>
            </a:r>
          </a:p>
        </c:rich>
      </c:tx>
      <c:layout>
        <c:manualLayout>
          <c:xMode val="edge"/>
          <c:yMode val="edge"/>
          <c:x val="0.17925591882750846"/>
          <c:y val="8.2429501084598705E-2"/>
        </c:manualLayout>
      </c:layout>
      <c:overlay val="0"/>
      <c:spPr>
        <a:noFill/>
        <a:ln w="25400">
          <a:noFill/>
        </a:ln>
      </c:spPr>
    </c:title>
    <c:autoTitleDeleted val="0"/>
    <c:plotArea>
      <c:layout>
        <c:manualLayout>
          <c:layoutTarget val="inner"/>
          <c:xMode val="edge"/>
          <c:yMode val="edge"/>
          <c:x val="7.8917700112739575E-2"/>
          <c:y val="0.22125813449023862"/>
          <c:w val="0.89177001127395716"/>
          <c:h val="0.46203904555314534"/>
        </c:manualLayout>
      </c:layout>
      <c:barChart>
        <c:barDir val="col"/>
        <c:grouping val="stacked"/>
        <c:varyColors val="0"/>
        <c:ser>
          <c:idx val="2"/>
          <c:order val="0"/>
          <c:tx>
            <c:strRef>
              <c:f>Laskelma!$A$32</c:f>
              <c:strCache>
                <c:ptCount val="1"/>
                <c:pt idx="0">
                  <c:v>Kunnallisvero</c:v>
                </c:pt>
              </c:strCache>
            </c:strRef>
          </c:tx>
          <c:spPr>
            <a:solidFill>
              <a:srgbClr val="00CCFF"/>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(Laskelma!$B$32:$W$32,Laskelma!$AT$32:$DF$32)</c:f>
              <c:numCache>
                <c:formatCode>#,##0</c:formatCode>
                <c:ptCount val="87"/>
                <c:pt idx="0">
                  <c:v>1612.300353245525</c:v>
                </c:pt>
                <c:pt idx="1">
                  <c:v>1691.2511504509062</c:v>
                </c:pt>
                <c:pt idx="2">
                  <c:v>1631.6391207621043</c:v>
                </c:pt>
                <c:pt idx="3">
                  <c:v>1925.5398826613407</c:v>
                </c:pt>
                <c:pt idx="4">
                  <c:v>2121.1143513060742</c:v>
                </c:pt>
                <c:pt idx="5">
                  <c:v>2053.721802200504</c:v>
                </c:pt>
                <c:pt idx="6">
                  <c:v>2075.6554765988726</c:v>
                </c:pt>
                <c:pt idx="7">
                  <c:v>2149.2510047497258</c:v>
                </c:pt>
                <c:pt idx="8">
                  <c:v>2317.798143012179</c:v>
                </c:pt>
                <c:pt idx="9">
                  <c:v>2430.3381527064166</c:v>
                </c:pt>
                <c:pt idx="10">
                  <c:v>2658.3714438439151</c:v>
                </c:pt>
                <c:pt idx="11">
                  <c:v>2695.9900344050302</c:v>
                </c:pt>
                <c:pt idx="12">
                  <c:v>2619.1511873971313</c:v>
                </c:pt>
                <c:pt idx="13">
                  <c:v>2684.8048680592124</c:v>
                </c:pt>
                <c:pt idx="14">
                  <c:v>2773.6080308159217</c:v>
                </c:pt>
                <c:pt idx="15">
                  <c:v>3090.4255319148938</c:v>
                </c:pt>
                <c:pt idx="16">
                  <c:v>3113.4764250527796</c:v>
                </c:pt>
                <c:pt idx="17">
                  <c:v>3175.6732969547616</c:v>
                </c:pt>
                <c:pt idx="18">
                  <c:v>3259.7648171128048</c:v>
                </c:pt>
                <c:pt idx="19">
                  <c:v>3221.2415767189455</c:v>
                </c:pt>
                <c:pt idx="20">
                  <c:v>3292.5772078743003</c:v>
                </c:pt>
                <c:pt idx="22">
                  <c:v>1614.9971532497784</c:v>
                </c:pt>
                <c:pt idx="23">
                  <c:v>1666.4654942374432</c:v>
                </c:pt>
                <c:pt idx="24">
                  <c:v>1613.7710783241725</c:v>
                </c:pt>
                <c:pt idx="25">
                  <c:v>1873.2702223231336</c:v>
                </c:pt>
                <c:pt idx="26">
                  <c:v>2041.2175112567766</c:v>
                </c:pt>
                <c:pt idx="27">
                  <c:v>2011.2833164963508</c:v>
                </c:pt>
                <c:pt idx="28">
                  <c:v>2026.0618574788034</c:v>
                </c:pt>
                <c:pt idx="29">
                  <c:v>2090.7177220280573</c:v>
                </c:pt>
                <c:pt idx="30">
                  <c:v>2213.325603294873</c:v>
                </c:pt>
                <c:pt idx="31">
                  <c:v>2350.692676182859</c:v>
                </c:pt>
                <c:pt idx="32">
                  <c:v>2547.6563306890912</c:v>
                </c:pt>
                <c:pt idx="33">
                  <c:v>2602.8616656728022</c:v>
                </c:pt>
                <c:pt idx="34">
                  <c:v>2633.3619047461152</c:v>
                </c:pt>
                <c:pt idx="35">
                  <c:v>2703.6847923617274</c:v>
                </c:pt>
                <c:pt idx="36">
                  <c:v>2809.7151958802024</c:v>
                </c:pt>
                <c:pt idx="37">
                  <c:v>3013.6735290184874</c:v>
                </c:pt>
                <c:pt idx="38">
                  <c:v>3068.0342326392561</c:v>
                </c:pt>
                <c:pt idx="39">
                  <c:v>3128.3828524887599</c:v>
                </c:pt>
                <c:pt idx="40">
                  <c:v>3162.0346232652669</c:v>
                </c:pt>
                <c:pt idx="41">
                  <c:v>3170.33531269067</c:v>
                </c:pt>
                <c:pt idx="42">
                  <c:v>3149.2768949976789</c:v>
                </c:pt>
                <c:pt idx="44">
                  <c:v>1763.1143596510335</c:v>
                </c:pt>
                <c:pt idx="45">
                  <c:v>1797.6927092173185</c:v>
                </c:pt>
                <c:pt idx="46">
                  <c:v>1775.4334392504222</c:v>
                </c:pt>
                <c:pt idx="47">
                  <c:v>2039.5915292542061</c:v>
                </c:pt>
                <c:pt idx="48">
                  <c:v>2229.5039655632499</c:v>
                </c:pt>
                <c:pt idx="49">
                  <c:v>2181.3139320230212</c:v>
                </c:pt>
                <c:pt idx="50">
                  <c:v>2240.2031055606499</c:v>
                </c:pt>
                <c:pt idx="51">
                  <c:v>2299.5364956338399</c:v>
                </c:pt>
                <c:pt idx="52">
                  <c:v>2447.9947728339612</c:v>
                </c:pt>
                <c:pt idx="53">
                  <c:v>2563.4767361815825</c:v>
                </c:pt>
                <c:pt idx="54">
                  <c:v>2793.0057946178313</c:v>
                </c:pt>
                <c:pt idx="55">
                  <c:v>2830.065924654009</c:v>
                </c:pt>
                <c:pt idx="56">
                  <c:v>2871.4553794829026</c:v>
                </c:pt>
                <c:pt idx="57">
                  <c:v>2920.7609739069726</c:v>
                </c:pt>
                <c:pt idx="58">
                  <c:v>3051.5458104428799</c:v>
                </c:pt>
                <c:pt idx="59">
                  <c:v>3243.7670693329815</c:v>
                </c:pt>
                <c:pt idx="60">
                  <c:v>3251.5346198314601</c:v>
                </c:pt>
                <c:pt idx="61">
                  <c:v>3301.3826924368818</c:v>
                </c:pt>
                <c:pt idx="62">
                  <c:v>3382.2022318378499</c:v>
                </c:pt>
                <c:pt idx="63">
                  <c:v>3346.1034484778775</c:v>
                </c:pt>
                <c:pt idx="64">
                  <c:v>3287.1489725196325</c:v>
                </c:pt>
                <c:pt idx="66">
                  <c:v>1579.6017769834828</c:v>
                </c:pt>
                <c:pt idx="67">
                  <c:v>1647.5407248648444</c:v>
                </c:pt>
                <c:pt idx="68">
                  <c:v>1604.3629836772325</c:v>
                </c:pt>
                <c:pt idx="69">
                  <c:v>1854.2462438496962</c:v>
                </c:pt>
                <c:pt idx="70">
                  <c:v>2021.7444385899528</c:v>
                </c:pt>
                <c:pt idx="71">
                  <c:v>1984.4320085591919</c:v>
                </c:pt>
                <c:pt idx="72">
                  <c:v>2010.6085557810884</c:v>
                </c:pt>
                <c:pt idx="73">
                  <c:v>2078.5959448293397</c:v>
                </c:pt>
                <c:pt idx="74">
                  <c:v>2208.1786850477201</c:v>
                </c:pt>
                <c:pt idx="75">
                  <c:v>2336.2901407745103</c:v>
                </c:pt>
                <c:pt idx="76">
                  <c:v>2544.5565834968693</c:v>
                </c:pt>
                <c:pt idx="77">
                  <c:v>2587.9667251850151</c:v>
                </c:pt>
                <c:pt idx="78">
                  <c:v>2614.158673833685</c:v>
                </c:pt>
                <c:pt idx="79">
                  <c:v>2680.1507204548748</c:v>
                </c:pt>
                <c:pt idx="80">
                  <c:v>2806.3393082710472</c:v>
                </c:pt>
                <c:pt idx="81">
                  <c:v>2997.6020958545232</c:v>
                </c:pt>
                <c:pt idx="82">
                  <c:v>3041.9336230909466</c:v>
                </c:pt>
                <c:pt idx="83">
                  <c:v>3128.8436144123752</c:v>
                </c:pt>
                <c:pt idx="84">
                  <c:v>3157.1283892934366</c:v>
                </c:pt>
                <c:pt idx="85">
                  <c:v>3183.9942780934057</c:v>
                </c:pt>
                <c:pt idx="86">
                  <c:v>3163.7387904542325</c:v>
                </c:pt>
              </c:numCache>
            </c:numRef>
          </c:val>
          <c:extLst>
            <c:ext xmlns:c16="http://schemas.microsoft.com/office/drawing/2014/chart" uri="{C3380CC4-5D6E-409C-BE32-E72D297353CC}">
              <c16:uniqueId val="{00000000-0437-4FF8-A109-CCC2B2E01C03}"/>
            </c:ext>
          </c:extLst>
        </c:ser>
        <c:ser>
          <c:idx val="3"/>
          <c:order val="1"/>
          <c:tx>
            <c:strRef>
              <c:f>Laskelma!$A$33</c:f>
              <c:strCache>
                <c:ptCount val="1"/>
                <c:pt idx="0">
                  <c:v>Yhteisövero</c:v>
                </c:pt>
              </c:strCache>
            </c:strRef>
          </c:tx>
          <c:spPr>
            <a:solidFill>
              <a:srgbClr val="FFFFCC"/>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(Laskelma!$B$33:$W$33,Laskelma!$AT$33:$DF$33)</c:f>
              <c:numCache>
                <c:formatCode>#,##0</c:formatCode>
                <c:ptCount val="87"/>
                <c:pt idx="0">
                  <c:v>147.2612203437989</c:v>
                </c:pt>
                <c:pt idx="1">
                  <c:v>182.80975509396154</c:v>
                </c:pt>
                <c:pt idx="2">
                  <c:v>198.81933056588403</c:v>
                </c:pt>
                <c:pt idx="3">
                  <c:v>219.13618774185494</c:v>
                </c:pt>
                <c:pt idx="4">
                  <c:v>184.15337842030155</c:v>
                </c:pt>
                <c:pt idx="5">
                  <c:v>100.00614665929068</c:v>
                </c:pt>
                <c:pt idx="6">
                  <c:v>116.45430041656456</c:v>
                </c:pt>
                <c:pt idx="7">
                  <c:v>121.78784557301181</c:v>
                </c:pt>
                <c:pt idx="8">
                  <c:v>132.82286265525141</c:v>
                </c:pt>
                <c:pt idx="9">
                  <c:v>149.59971322738679</c:v>
                </c:pt>
                <c:pt idx="10">
                  <c:v>151.63033794618994</c:v>
                </c:pt>
                <c:pt idx="11">
                  <c:v>139.04377743504568</c:v>
                </c:pt>
                <c:pt idx="12">
                  <c:v>177.22783917234892</c:v>
                </c:pt>
                <c:pt idx="13">
                  <c:v>166.22783921362119</c:v>
                </c:pt>
                <c:pt idx="14">
                  <c:v>75.113808801213963</c:v>
                </c:pt>
                <c:pt idx="15">
                  <c:v>82.70984334814122</c:v>
                </c:pt>
                <c:pt idx="16">
                  <c:v>100.10555946516537</c:v>
                </c:pt>
                <c:pt idx="17">
                  <c:v>104.14833069295312</c:v>
                </c:pt>
                <c:pt idx="18">
                  <c:v>94.900431365597115</c:v>
                </c:pt>
                <c:pt idx="19">
                  <c:v>112.8868745900173</c:v>
                </c:pt>
                <c:pt idx="20">
                  <c:v>97.104328457046535</c:v>
                </c:pt>
                <c:pt idx="22">
                  <c:v>305.18807423364296</c:v>
                </c:pt>
                <c:pt idx="23">
                  <c:v>317.5270786491746</c:v>
                </c:pt>
                <c:pt idx="24">
                  <c:v>352.14598862247783</c:v>
                </c:pt>
                <c:pt idx="25">
                  <c:v>319.89386234976962</c:v>
                </c:pt>
                <c:pt idx="26">
                  <c:v>199.02252033167878</c:v>
                </c:pt>
                <c:pt idx="27">
                  <c:v>123.78989476462914</c:v>
                </c:pt>
                <c:pt idx="28">
                  <c:v>137.17184394937769</c:v>
                </c:pt>
                <c:pt idx="29">
                  <c:v>151.4211242791734</c:v>
                </c:pt>
                <c:pt idx="30">
                  <c:v>163.32610597078448</c:v>
                </c:pt>
                <c:pt idx="31">
                  <c:v>188.42929393280113</c:v>
                </c:pt>
                <c:pt idx="32">
                  <c:v>191.1867106004018</c:v>
                </c:pt>
                <c:pt idx="33">
                  <c:v>146.62631410219143</c:v>
                </c:pt>
                <c:pt idx="34">
                  <c:v>176.90291411831217</c:v>
                </c:pt>
                <c:pt idx="35">
                  <c:v>208.42649005309315</c:v>
                </c:pt>
                <c:pt idx="36">
                  <c:v>157.57400698186859</c:v>
                </c:pt>
                <c:pt idx="37">
                  <c:v>175.66101929943594</c:v>
                </c:pt>
                <c:pt idx="38">
                  <c:v>186.36375647394567</c:v>
                </c:pt>
                <c:pt idx="39">
                  <c:v>212.72323350042046</c:v>
                </c:pt>
                <c:pt idx="40">
                  <c:v>190.57905800542628</c:v>
                </c:pt>
                <c:pt idx="41">
                  <c:v>227.16209502915689</c:v>
                </c:pt>
                <c:pt idx="42">
                  <c:v>211.59683104197848</c:v>
                </c:pt>
                <c:pt idx="44">
                  <c:v>292.86050761952635</c:v>
                </c:pt>
                <c:pt idx="45">
                  <c:v>330.31314426454315</c:v>
                </c:pt>
                <c:pt idx="46">
                  <c:v>407.25106511101228</c:v>
                </c:pt>
                <c:pt idx="47">
                  <c:v>393.59583775711144</c:v>
                </c:pt>
                <c:pt idx="48">
                  <c:v>261.43626445254228</c:v>
                </c:pt>
                <c:pt idx="49">
                  <c:v>170.28559018351612</c:v>
                </c:pt>
                <c:pt idx="50">
                  <c:v>189.90456018907156</c:v>
                </c:pt>
                <c:pt idx="51">
                  <c:v>219.28963474490189</c:v>
                </c:pt>
                <c:pt idx="52">
                  <c:v>227.45996100770964</c:v>
                </c:pt>
                <c:pt idx="53">
                  <c:v>255.35066777421846</c:v>
                </c:pt>
                <c:pt idx="54">
                  <c:v>256.77439164811545</c:v>
                </c:pt>
                <c:pt idx="55">
                  <c:v>206.22969450655336</c:v>
                </c:pt>
                <c:pt idx="56">
                  <c:v>245.33107655072038</c:v>
                </c:pt>
                <c:pt idx="57">
                  <c:v>248.5666795876908</c:v>
                </c:pt>
                <c:pt idx="58">
                  <c:v>152.16848447745323</c:v>
                </c:pt>
                <c:pt idx="59">
                  <c:v>176.23349048116026</c:v>
                </c:pt>
                <c:pt idx="60">
                  <c:v>211.36433166064739</c:v>
                </c:pt>
                <c:pt idx="61">
                  <c:v>230.34533721651644</c:v>
                </c:pt>
                <c:pt idx="62">
                  <c:v>187.15593808652494</c:v>
                </c:pt>
                <c:pt idx="63">
                  <c:v>244.10200729962642</c:v>
                </c:pt>
                <c:pt idx="64">
                  <c:v>246.12353061085818</c:v>
                </c:pt>
                <c:pt idx="66">
                  <c:v>261.6701032801742</c:v>
                </c:pt>
                <c:pt idx="67">
                  <c:v>258.65750032822558</c:v>
                </c:pt>
                <c:pt idx="68">
                  <c:v>280.28721095446457</c:v>
                </c:pt>
                <c:pt idx="69">
                  <c:v>209.16986584372998</c:v>
                </c:pt>
                <c:pt idx="70">
                  <c:v>144.90830581008314</c:v>
                </c:pt>
                <c:pt idx="71">
                  <c:v>86.850813155273102</c:v>
                </c:pt>
                <c:pt idx="72">
                  <c:v>99.332337584415257</c:v>
                </c:pt>
                <c:pt idx="73">
                  <c:v>114.13907074302422</c:v>
                </c:pt>
                <c:pt idx="74">
                  <c:v>124.23307074685654</c:v>
                </c:pt>
                <c:pt idx="75">
                  <c:v>143.95258253594508</c:v>
                </c:pt>
                <c:pt idx="76">
                  <c:v>144.79332149643335</c:v>
                </c:pt>
                <c:pt idx="77">
                  <c:v>111.15798093087598</c:v>
                </c:pt>
                <c:pt idx="78">
                  <c:v>146.37161959575789</c:v>
                </c:pt>
                <c:pt idx="79">
                  <c:v>176.31949776293595</c:v>
                </c:pt>
                <c:pt idx="80">
                  <c:v>118.95753871180425</c:v>
                </c:pt>
                <c:pt idx="81">
                  <c:v>128.06287563569117</c:v>
                </c:pt>
                <c:pt idx="82">
                  <c:v>146.9681873286055</c:v>
                </c:pt>
                <c:pt idx="83">
                  <c:v>163.5478613685633</c:v>
                </c:pt>
                <c:pt idx="84">
                  <c:v>143.38792653527847</c:v>
                </c:pt>
                <c:pt idx="85">
                  <c:v>169.4927429858233</c:v>
                </c:pt>
                <c:pt idx="86">
                  <c:v>156.13312741215586</c:v>
                </c:pt>
              </c:numCache>
            </c:numRef>
          </c:val>
          <c:extLst>
            <c:ext xmlns:c16="http://schemas.microsoft.com/office/drawing/2014/chart" uri="{C3380CC4-5D6E-409C-BE32-E72D297353CC}">
              <c16:uniqueId val="{00000001-0437-4FF8-A109-CCC2B2E01C03}"/>
            </c:ext>
          </c:extLst>
        </c:ser>
        <c:ser>
          <c:idx val="0"/>
          <c:order val="2"/>
          <c:tx>
            <c:strRef>
              <c:f>Laskelma!$A$34</c:f>
              <c:strCache>
                <c:ptCount val="1"/>
                <c:pt idx="0">
                  <c:v>Kiinteistövero</c:v>
                </c:pt>
              </c:strCache>
            </c:strRef>
          </c:tx>
          <c:spPr>
            <a:solidFill>
              <a:srgbClr val="FF8080"/>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(Laskelma!$B$34:$W$34,Laskelma!$AT$34:$DF$34)</c:f>
              <c:numCache>
                <c:formatCode>#,##0</c:formatCode>
                <c:ptCount val="87"/>
                <c:pt idx="0">
                  <c:v>60.160302635409636</c:v>
                </c:pt>
                <c:pt idx="1">
                  <c:v>66.414938993827207</c:v>
                </c:pt>
                <c:pt idx="2">
                  <c:v>70.112583705842823</c:v>
                </c:pt>
                <c:pt idx="3">
                  <c:v>75.521158407190114</c:v>
                </c:pt>
                <c:pt idx="4">
                  <c:v>76.06874728547497</c:v>
                </c:pt>
                <c:pt idx="5">
                  <c:v>76.280041797283175</c:v>
                </c:pt>
                <c:pt idx="6">
                  <c:v>78.718451359960795</c:v>
                </c:pt>
                <c:pt idx="7">
                  <c:v>92.680550481061985</c:v>
                </c:pt>
                <c:pt idx="8">
                  <c:v>93.452309176413848</c:v>
                </c:pt>
                <c:pt idx="9">
                  <c:v>89.795674513083995</c:v>
                </c:pt>
                <c:pt idx="10">
                  <c:v>99.899031894042878</c:v>
                </c:pt>
                <c:pt idx="11">
                  <c:v>101.61347728081623</c:v>
                </c:pt>
                <c:pt idx="12">
                  <c:v>129.96708205972254</c:v>
                </c:pt>
                <c:pt idx="13">
                  <c:v>125.97273418758411</c:v>
                </c:pt>
                <c:pt idx="14">
                  <c:v>129.97548733512315</c:v>
                </c:pt>
                <c:pt idx="15">
                  <c:v>165.01052139350011</c:v>
                </c:pt>
                <c:pt idx="16">
                  <c:v>185.60872624912034</c:v>
                </c:pt>
                <c:pt idx="17">
                  <c:v>187.40832013143225</c:v>
                </c:pt>
                <c:pt idx="18">
                  <c:v>199.55090704957749</c:v>
                </c:pt>
                <c:pt idx="19">
                  <c:v>208.06249627288449</c:v>
                </c:pt>
                <c:pt idx="20">
                  <c:v>199.80735657094695</c:v>
                </c:pt>
                <c:pt idx="22">
                  <c:v>68.800945221562372</c:v>
                </c:pt>
                <c:pt idx="23">
                  <c:v>76.461505020155414</c:v>
                </c:pt>
                <c:pt idx="24">
                  <c:v>83.731999089342494</c:v>
                </c:pt>
                <c:pt idx="25">
                  <c:v>89.725624685475708</c:v>
                </c:pt>
                <c:pt idx="26">
                  <c:v>94.324754401454697</c:v>
                </c:pt>
                <c:pt idx="27">
                  <c:v>98.140147996229871</c:v>
                </c:pt>
                <c:pt idx="28">
                  <c:v>100.91230840342655</c:v>
                </c:pt>
                <c:pt idx="29">
                  <c:v>109.17694095237454</c:v>
                </c:pt>
                <c:pt idx="30">
                  <c:v>117.10673150068867</c:v>
                </c:pt>
                <c:pt idx="31">
                  <c:v>123.24409885308118</c:v>
                </c:pt>
                <c:pt idx="32">
                  <c:v>133.81853679339261</c:v>
                </c:pt>
                <c:pt idx="33">
                  <c:v>144.81078091181956</c:v>
                </c:pt>
                <c:pt idx="34">
                  <c:v>174.87859912760479</c:v>
                </c:pt>
                <c:pt idx="35">
                  <c:v>180.84053387269216</c:v>
                </c:pt>
                <c:pt idx="36">
                  <c:v>191.91885847273687</c:v>
                </c:pt>
                <c:pt idx="37">
                  <c:v>211.52452502521589</c:v>
                </c:pt>
                <c:pt idx="38">
                  <c:v>235.99348641792622</c:v>
                </c:pt>
                <c:pt idx="39">
                  <c:v>244.13484396003153</c:v>
                </c:pt>
                <c:pt idx="40">
                  <c:v>262.97708275910162</c:v>
                </c:pt>
                <c:pt idx="41">
                  <c:v>267.79337776607133</c:v>
                </c:pt>
                <c:pt idx="42">
                  <c:v>277.03410467885556</c:v>
                </c:pt>
                <c:pt idx="44">
                  <c:v>76.091853577001928</c:v>
                </c:pt>
                <c:pt idx="45">
                  <c:v>95.828904828883637</c:v>
                </c:pt>
                <c:pt idx="46">
                  <c:v>101.32558275648491</c:v>
                </c:pt>
                <c:pt idx="47">
                  <c:v>104.29837043433058</c:v>
                </c:pt>
                <c:pt idx="48">
                  <c:v>108.86378847996221</c:v>
                </c:pt>
                <c:pt idx="49">
                  <c:v>109.96850906721686</c:v>
                </c:pt>
                <c:pt idx="50">
                  <c:v>110.3649270533335</c:v>
                </c:pt>
                <c:pt idx="51">
                  <c:v>116.69127877696306</c:v>
                </c:pt>
                <c:pt idx="52">
                  <c:v>127.22820639693475</c:v>
                </c:pt>
                <c:pt idx="53">
                  <c:v>137.31270831982022</c:v>
                </c:pt>
                <c:pt idx="54">
                  <c:v>146.68287693542933</c:v>
                </c:pt>
                <c:pt idx="55">
                  <c:v>154.8158762708305</c:v>
                </c:pt>
                <c:pt idx="56">
                  <c:v>186.97157762187445</c:v>
                </c:pt>
                <c:pt idx="57">
                  <c:v>189.43980257216325</c:v>
                </c:pt>
                <c:pt idx="58">
                  <c:v>213.46119766074335</c:v>
                </c:pt>
                <c:pt idx="59">
                  <c:v>219.95697428453752</c:v>
                </c:pt>
                <c:pt idx="60">
                  <c:v>254.36944507352268</c:v>
                </c:pt>
                <c:pt idx="61">
                  <c:v>258.19281821882026</c:v>
                </c:pt>
                <c:pt idx="62">
                  <c:v>246.20697508226073</c:v>
                </c:pt>
                <c:pt idx="63">
                  <c:v>280.12755794493449</c:v>
                </c:pt>
                <c:pt idx="64">
                  <c:v>287.02860637358157</c:v>
                </c:pt>
                <c:pt idx="66">
                  <c:v>67.491332490868515</c:v>
                </c:pt>
                <c:pt idx="67">
                  <c:v>76.954491967528213</c:v>
                </c:pt>
                <c:pt idx="68">
                  <c:v>85.674264469234572</c:v>
                </c:pt>
                <c:pt idx="69">
                  <c:v>91.119427720051362</c:v>
                </c:pt>
                <c:pt idx="70">
                  <c:v>95.620269106704541</c:v>
                </c:pt>
                <c:pt idx="71">
                  <c:v>99.048943074325948</c:v>
                </c:pt>
                <c:pt idx="72">
                  <c:v>102.57809607700459</c:v>
                </c:pt>
                <c:pt idx="73">
                  <c:v>109.20358482171233</c:v>
                </c:pt>
                <c:pt idx="74">
                  <c:v>117.81043276271272</c:v>
                </c:pt>
                <c:pt idx="75">
                  <c:v>125.0313110565603</c:v>
                </c:pt>
                <c:pt idx="76">
                  <c:v>139.22997850668162</c:v>
                </c:pt>
                <c:pt idx="77">
                  <c:v>149.40168607283982</c:v>
                </c:pt>
                <c:pt idx="78">
                  <c:v>181.16401200547728</c:v>
                </c:pt>
                <c:pt idx="79">
                  <c:v>189.34102969698651</c:v>
                </c:pt>
                <c:pt idx="80">
                  <c:v>198.86745250756366</c:v>
                </c:pt>
                <c:pt idx="81">
                  <c:v>219.98767144398212</c:v>
                </c:pt>
                <c:pt idx="82">
                  <c:v>248.10675583551063</c:v>
                </c:pt>
                <c:pt idx="83">
                  <c:v>265.52676420471238</c:v>
                </c:pt>
                <c:pt idx="84">
                  <c:v>276.88756617044015</c:v>
                </c:pt>
                <c:pt idx="85">
                  <c:v>283.01886792452831</c:v>
                </c:pt>
                <c:pt idx="86">
                  <c:v>293.06022565354289</c:v>
                </c:pt>
              </c:numCache>
            </c:numRef>
          </c:val>
          <c:extLst>
            <c:ext xmlns:c16="http://schemas.microsoft.com/office/drawing/2014/chart" uri="{C3380CC4-5D6E-409C-BE32-E72D297353CC}">
              <c16:uniqueId val="{00000002-0437-4FF8-A109-CCC2B2E01C03}"/>
            </c:ext>
          </c:extLst>
        </c:ser>
        <c:dLbls>
          <c:showLegendKey val="0"/>
          <c:showVal val="0"/>
          <c:showCatName val="0"/>
          <c:showSerName val="0"/>
          <c:showPercent val="0"/>
          <c:showBubbleSize val="0"/>
        </c:dLbls>
        <c:gapWidth val="150"/>
        <c:overlap val="100"/>
        <c:axId val="178613248"/>
        <c:axId val="178619136"/>
      </c:barChart>
      <c:catAx>
        <c:axId val="17861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78619136"/>
        <c:crosses val="autoZero"/>
        <c:auto val="0"/>
        <c:lblAlgn val="ctr"/>
        <c:lblOffset val="100"/>
        <c:tickLblSkip val="2"/>
        <c:tickMarkSkip val="1"/>
        <c:noMultiLvlLbl val="0"/>
      </c:catAx>
      <c:valAx>
        <c:axId val="178619136"/>
        <c:scaling>
          <c:orientation val="minMax"/>
        </c:scaling>
        <c:delete val="0"/>
        <c:axPos val="l"/>
        <c:majorGridlines>
          <c:spPr>
            <a:ln w="3175">
              <a:solidFill>
                <a:srgbClr val="000000"/>
              </a:solidFill>
              <a:prstDash val="solid"/>
            </a:ln>
          </c:spPr>
        </c:majorGridlines>
        <c:title>
          <c:tx>
            <c:rich>
              <a:bodyPr rot="0" vert="horz"/>
              <a:lstStyle/>
              <a:p>
                <a:pPr algn="ctr">
                  <a:defRPr sz="925" b="1" i="0" u="none" strike="noStrike" baseline="0">
                    <a:solidFill>
                      <a:srgbClr val="000000"/>
                    </a:solidFill>
                    <a:latin typeface="Verdana"/>
                    <a:ea typeface="Verdana"/>
                    <a:cs typeface="Verdana"/>
                  </a:defRPr>
                </a:pPr>
                <a:r>
                  <a:rPr lang="fi-FI"/>
                  <a:t>€ / asukas</a:t>
                </a:r>
              </a:p>
            </c:rich>
          </c:tx>
          <c:layout>
            <c:manualLayout>
              <c:xMode val="edge"/>
              <c:yMode val="edge"/>
              <c:x val="0.12288613303269448"/>
              <c:y val="0.1757049891540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78613248"/>
        <c:crosses val="autoZero"/>
        <c:crossBetween val="between"/>
      </c:valAx>
      <c:spPr>
        <a:solidFill>
          <a:srgbClr val="FFFFFF"/>
        </a:solidFill>
        <a:ln w="12700">
          <a:solidFill>
            <a:srgbClr val="808080"/>
          </a:solidFill>
          <a:prstDash val="solid"/>
        </a:ln>
      </c:spPr>
    </c:plotArea>
    <c:legend>
      <c:legendPos val="b"/>
      <c:layout>
        <c:manualLayout>
          <c:xMode val="edge"/>
          <c:yMode val="edge"/>
          <c:x val="0.41375422773393461"/>
          <c:y val="0.17353579175704989"/>
          <c:w val="0.36302142051860203"/>
          <c:h val="3.9045553145336226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fi-FI"/>
    </a:p>
  </c:txPr>
  <c:printSettings>
    <c:headerFooter alignWithMargins="0"/>
    <c:pageMargins b="1" l="0.75" r="0.75" t="1"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fi-FI"/>
              <a:t>Tulo-,meno- ja lainavertailu 
tilinpäätösten 1998-2018 mukaan</a:t>
            </a:r>
          </a:p>
        </c:rich>
      </c:tx>
      <c:layout>
        <c:manualLayout>
          <c:xMode val="edge"/>
          <c:yMode val="edge"/>
          <c:x val="0.32581736189402483"/>
          <c:y val="1.0940919037199124E-2"/>
        </c:manualLayout>
      </c:layout>
      <c:overlay val="0"/>
      <c:spPr>
        <a:noFill/>
        <a:ln w="25400">
          <a:noFill/>
        </a:ln>
      </c:spPr>
    </c:title>
    <c:autoTitleDeleted val="0"/>
    <c:plotArea>
      <c:layout>
        <c:manualLayout>
          <c:layoutTarget val="inner"/>
          <c:xMode val="edge"/>
          <c:yMode val="edge"/>
          <c:x val="8.1172491544532127E-2"/>
          <c:y val="0.22319498683135047"/>
          <c:w val="0.89289740698985343"/>
          <c:h val="0.45514271824432251"/>
        </c:manualLayout>
      </c:layout>
      <c:barChart>
        <c:barDir val="col"/>
        <c:grouping val="stacked"/>
        <c:varyColors val="0"/>
        <c:ser>
          <c:idx val="1"/>
          <c:order val="0"/>
          <c:tx>
            <c:strRef>
              <c:f>Laskelma!$A$27</c:f>
              <c:strCache>
                <c:ptCount val="1"/>
                <c:pt idx="0">
                  <c:v>Verotulot yhteensä</c:v>
                </c:pt>
              </c:strCache>
            </c:strRef>
          </c:tx>
          <c:spPr>
            <a:solidFill>
              <a:srgbClr val="FF8080"/>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(Laskelma!$B$27:$W$27,Laskelma!$AT$27:$DF$27)</c:f>
              <c:numCache>
                <c:formatCode>#,##0</c:formatCode>
                <c:ptCount val="87"/>
                <c:pt idx="0">
                  <c:v>1819.9533329129092</c:v>
                </c:pt>
                <c:pt idx="1">
                  <c:v>1940.7045255108437</c:v>
                </c:pt>
                <c:pt idx="2">
                  <c:v>1900.8466603951081</c:v>
                </c:pt>
                <c:pt idx="3">
                  <c:v>2220.3844713518911</c:v>
                </c:pt>
                <c:pt idx="4">
                  <c:v>2381.5226158714399</c:v>
                </c:pt>
                <c:pt idx="5">
                  <c:v>2230.0079906570777</c:v>
                </c:pt>
                <c:pt idx="6">
                  <c:v>2270.8282283753983</c:v>
                </c:pt>
                <c:pt idx="7">
                  <c:v>2363.7194008038</c:v>
                </c:pt>
                <c:pt idx="8">
                  <c:v>2544.0733148438444</c:v>
                </c:pt>
                <c:pt idx="9">
                  <c:v>2669.7335404468872</c:v>
                </c:pt>
                <c:pt idx="10">
                  <c:v>2909.900813684148</c:v>
                </c:pt>
                <c:pt idx="11">
                  <c:v>2936.6472891208923</c:v>
                </c:pt>
                <c:pt idx="12">
                  <c:v>2926.3461086292027</c:v>
                </c:pt>
                <c:pt idx="13">
                  <c:v>2977.0054414604178</c:v>
                </c:pt>
                <c:pt idx="14">
                  <c:v>2978.6973269522587</c:v>
                </c:pt>
                <c:pt idx="15">
                  <c:v>3338.1458966565351</c:v>
                </c:pt>
                <c:pt idx="16">
                  <c:v>3399.1907107670654</c:v>
                </c:pt>
                <c:pt idx="17">
                  <c:v>3467.2299477791466</c:v>
                </c:pt>
                <c:pt idx="18">
                  <c:v>3554.2161555279795</c:v>
                </c:pt>
                <c:pt idx="19">
                  <c:v>3542.1909475818475</c:v>
                </c:pt>
                <c:pt idx="20">
                  <c:v>3589.4888929022936</c:v>
                </c:pt>
                <c:pt idx="22">
                  <c:v>1989.4283100961659</c:v>
                </c:pt>
                <c:pt idx="23">
                  <c:v>2060.8181603215889</c:v>
                </c:pt>
                <c:pt idx="24">
                  <c:v>2050.0112557908083</c:v>
                </c:pt>
                <c:pt idx="25">
                  <c:v>2283.2065634546925</c:v>
                </c:pt>
                <c:pt idx="26">
                  <c:v>2334.8071223154475</c:v>
                </c:pt>
                <c:pt idx="27">
                  <c:v>2233.4350320917961</c:v>
                </c:pt>
                <c:pt idx="28">
                  <c:v>2264.3147059121229</c:v>
                </c:pt>
                <c:pt idx="29">
                  <c:v>2351.4234800591639</c:v>
                </c:pt>
                <c:pt idx="30">
                  <c:v>2493.8405444985474</c:v>
                </c:pt>
                <c:pt idx="31">
                  <c:v>2662.4245085647403</c:v>
                </c:pt>
                <c:pt idx="32">
                  <c:v>2872.6915631902821</c:v>
                </c:pt>
                <c:pt idx="33">
                  <c:v>2894.2987606868132</c:v>
                </c:pt>
                <c:pt idx="34">
                  <c:v>2985.143417992032</c:v>
                </c:pt>
                <c:pt idx="35">
                  <c:v>3092.9518162875124</c:v>
                </c:pt>
                <c:pt idx="36">
                  <c:v>3159.208061334808</c:v>
                </c:pt>
                <c:pt idx="37">
                  <c:v>3400.8590733431392</c:v>
                </c:pt>
                <c:pt idx="38">
                  <c:v>3490.391475531128</c:v>
                </c:pt>
                <c:pt idx="39">
                  <c:v>3585.2409299492115</c:v>
                </c:pt>
                <c:pt idx="40">
                  <c:v>3615.5907640297946</c:v>
                </c:pt>
                <c:pt idx="41">
                  <c:v>3665.2907854858981</c:v>
                </c:pt>
                <c:pt idx="42">
                  <c:v>3637.9078307185127</c:v>
                </c:pt>
                <c:pt idx="44">
                  <c:v>2132.8203653099381</c:v>
                </c:pt>
                <c:pt idx="45">
                  <c:v>2224.5600235964998</c:v>
                </c:pt>
                <c:pt idx="46">
                  <c:v>2284.7077580349332</c:v>
                </c:pt>
                <c:pt idx="47">
                  <c:v>2538.1509561968869</c:v>
                </c:pt>
                <c:pt idx="48">
                  <c:v>2600.4667684487276</c:v>
                </c:pt>
                <c:pt idx="49">
                  <c:v>2462.1978499294169</c:v>
                </c:pt>
                <c:pt idx="50">
                  <c:v>2541.0752799266443</c:v>
                </c:pt>
                <c:pt idx="51">
                  <c:v>2636.0210326843135</c:v>
                </c:pt>
                <c:pt idx="52">
                  <c:v>2803.1714011427025</c:v>
                </c:pt>
                <c:pt idx="53">
                  <c:v>2956.6046144736374</c:v>
                </c:pt>
                <c:pt idx="54">
                  <c:v>3196.8738524353785</c:v>
                </c:pt>
                <c:pt idx="55">
                  <c:v>3191.5026785751052</c:v>
                </c:pt>
                <c:pt idx="56">
                  <c:v>3304.1137222194966</c:v>
                </c:pt>
                <c:pt idx="57">
                  <c:v>3359.0454948583119</c:v>
                </c:pt>
                <c:pt idx="58">
                  <c:v>3417.4594416071918</c:v>
                </c:pt>
                <c:pt idx="59">
                  <c:v>3640.2194471435482</c:v>
                </c:pt>
                <c:pt idx="60">
                  <c:v>3717.5147303638191</c:v>
                </c:pt>
                <c:pt idx="61">
                  <c:v>3789.9208478722185</c:v>
                </c:pt>
                <c:pt idx="62">
                  <c:v>3815.5651450066357</c:v>
                </c:pt>
                <c:pt idx="63">
                  <c:v>3870.3330137224384</c:v>
                </c:pt>
                <c:pt idx="64">
                  <c:v>3820.301109504072</c:v>
                </c:pt>
                <c:pt idx="66">
                  <c:v>1909.3155789534655</c:v>
                </c:pt>
                <c:pt idx="67">
                  <c:v>1983.5874029535594</c:v>
                </c:pt>
                <c:pt idx="68">
                  <c:v>1970.7764498249614</c:v>
                </c:pt>
                <c:pt idx="69">
                  <c:v>2154.9731783998432</c:v>
                </c:pt>
                <c:pt idx="70">
                  <c:v>2262.6521275365299</c:v>
                </c:pt>
                <c:pt idx="71">
                  <c:v>2170.6841267349823</c:v>
                </c:pt>
                <c:pt idx="72">
                  <c:v>2212.8349482338222</c:v>
                </c:pt>
                <c:pt idx="73">
                  <c:v>2302.2023771690078</c:v>
                </c:pt>
                <c:pt idx="74">
                  <c:v>2450.4525829419786</c:v>
                </c:pt>
                <c:pt idx="75">
                  <c:v>2605.3742297480085</c:v>
                </c:pt>
                <c:pt idx="76">
                  <c:v>2828.5892284210199</c:v>
                </c:pt>
                <c:pt idx="77">
                  <c:v>2848.5263921887308</c:v>
                </c:pt>
                <c:pt idx="78">
                  <c:v>2941.6943054349204</c:v>
                </c:pt>
                <c:pt idx="79">
                  <c:v>3045.8112479147971</c:v>
                </c:pt>
                <c:pt idx="80">
                  <c:v>3124.164299490415</c:v>
                </c:pt>
                <c:pt idx="81">
                  <c:v>3345.6526429341961</c:v>
                </c:pt>
                <c:pt idx="82">
                  <c:v>3437.0085662550628</c:v>
                </c:pt>
                <c:pt idx="83">
                  <c:v>3557.9182399856509</c:v>
                </c:pt>
                <c:pt idx="84">
                  <c:v>3577.4038819991551</c:v>
                </c:pt>
                <c:pt idx="85">
                  <c:v>3636.5058890037571</c:v>
                </c:pt>
                <c:pt idx="86">
                  <c:v>3612.9321435199308</c:v>
                </c:pt>
              </c:numCache>
            </c:numRef>
          </c:val>
          <c:extLst>
            <c:ext xmlns:c16="http://schemas.microsoft.com/office/drawing/2014/chart" uri="{C3380CC4-5D6E-409C-BE32-E72D297353CC}">
              <c16:uniqueId val="{00000000-98F1-4CF1-AF87-52177EE7109F}"/>
            </c:ext>
          </c:extLst>
        </c:ser>
        <c:ser>
          <c:idx val="2"/>
          <c:order val="1"/>
          <c:tx>
            <c:strRef>
              <c:f>Laskelma!$A$28</c:f>
              <c:strCache>
                <c:ptCount val="1"/>
                <c:pt idx="0">
                  <c:v>Valtionosuudet</c:v>
                </c:pt>
              </c:strCache>
            </c:strRef>
          </c:tx>
          <c:spPr>
            <a:solidFill>
              <a:srgbClr val="CCFFFF"/>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(Laskelma!$B$28:$W$28,Laskelma!$AT$28:$DF$28)</c:f>
              <c:numCache>
                <c:formatCode>#,##0</c:formatCode>
                <c:ptCount val="87"/>
                <c:pt idx="0">
                  <c:v>751.97073847512138</c:v>
                </c:pt>
                <c:pt idx="1">
                  <c:v>815.03071330073965</c:v>
                </c:pt>
                <c:pt idx="2">
                  <c:v>911.19473189087489</c:v>
                </c:pt>
                <c:pt idx="3">
                  <c:v>1025.3401572837349</c:v>
                </c:pt>
                <c:pt idx="4">
                  <c:v>1057.33076875349</c:v>
                </c:pt>
                <c:pt idx="5">
                  <c:v>964.7796422644293</c:v>
                </c:pt>
                <c:pt idx="6">
                  <c:v>1148.8605733888753</c:v>
                </c:pt>
                <c:pt idx="7">
                  <c:v>1169.7113628059919</c:v>
                </c:pt>
                <c:pt idx="8">
                  <c:v>1240.986374050404</c:v>
                </c:pt>
                <c:pt idx="9">
                  <c:v>1290.2377822917911</c:v>
                </c:pt>
                <c:pt idx="10">
                  <c:v>1455.0097998455783</c:v>
                </c:pt>
                <c:pt idx="11">
                  <c:v>1561.9290544548583</c:v>
                </c:pt>
                <c:pt idx="12">
                  <c:v>1634.96355513755</c:v>
                </c:pt>
                <c:pt idx="13">
                  <c:v>1687.9059153940671</c:v>
                </c:pt>
                <c:pt idx="14">
                  <c:v>1711.6843702579665</c:v>
                </c:pt>
                <c:pt idx="15">
                  <c:v>1883.2125321487024</c:v>
                </c:pt>
                <c:pt idx="16">
                  <c:v>1794.1590429275159</c:v>
                </c:pt>
                <c:pt idx="17">
                  <c:v>1753.271137710497</c:v>
                </c:pt>
                <c:pt idx="18">
                  <c:v>1846.4811203687289</c:v>
                </c:pt>
                <c:pt idx="19">
                  <c:v>1818.1167630747211</c:v>
                </c:pt>
                <c:pt idx="20">
                  <c:v>1800.3130455722112</c:v>
                </c:pt>
                <c:pt idx="22">
                  <c:v>780.33086222608529</c:v>
                </c:pt>
                <c:pt idx="23">
                  <c:v>810.79282505151502</c:v>
                </c:pt>
                <c:pt idx="24">
                  <c:v>877.44221040035075</c:v>
                </c:pt>
                <c:pt idx="25">
                  <c:v>997.87351930014211</c:v>
                </c:pt>
                <c:pt idx="26">
                  <c:v>1078.9999474655517</c:v>
                </c:pt>
                <c:pt idx="27">
                  <c:v>1133.9106979986834</c:v>
                </c:pt>
                <c:pt idx="28">
                  <c:v>1211.8333552638237</c:v>
                </c:pt>
                <c:pt idx="29">
                  <c:v>1272.7437937817504</c:v>
                </c:pt>
                <c:pt idx="30">
                  <c:v>1348.8788651588623</c:v>
                </c:pt>
                <c:pt idx="31">
                  <c:v>1401.9742565231111</c:v>
                </c:pt>
                <c:pt idx="32">
                  <c:v>1573.2036421910452</c:v>
                </c:pt>
                <c:pt idx="33">
                  <c:v>1685.1852159454643</c:v>
                </c:pt>
                <c:pt idx="34">
                  <c:v>1772.5638173175919</c:v>
                </c:pt>
                <c:pt idx="35">
                  <c:v>1838.0717261299849</c:v>
                </c:pt>
                <c:pt idx="36">
                  <c:v>1912.4873113203655</c:v>
                </c:pt>
                <c:pt idx="37">
                  <c:v>1973.0557357672644</c:v>
                </c:pt>
                <c:pt idx="38">
                  <c:v>1975.5096580699715</c:v>
                </c:pt>
                <c:pt idx="39">
                  <c:v>1970.1891814937194</c:v>
                </c:pt>
                <c:pt idx="40">
                  <c:v>2095.8549050732749</c:v>
                </c:pt>
                <c:pt idx="41">
                  <c:v>2092.6735994185292</c:v>
                </c:pt>
                <c:pt idx="42">
                  <c:v>2076.5825935243179</c:v>
                </c:pt>
                <c:pt idx="44">
                  <c:v>572.87546742413349</c:v>
                </c:pt>
                <c:pt idx="45">
                  <c:v>605.24798670015468</c:v>
                </c:pt>
                <c:pt idx="46">
                  <c:v>637.3010973784601</c:v>
                </c:pt>
                <c:pt idx="47">
                  <c:v>689.71069592454398</c:v>
                </c:pt>
                <c:pt idx="48">
                  <c:v>746.07052709400546</c:v>
                </c:pt>
                <c:pt idx="49">
                  <c:v>788.33749592789661</c:v>
                </c:pt>
                <c:pt idx="50">
                  <c:v>869.15016810665838</c:v>
                </c:pt>
                <c:pt idx="51">
                  <c:v>932.12392553200573</c:v>
                </c:pt>
                <c:pt idx="52">
                  <c:v>1002.0447692392274</c:v>
                </c:pt>
                <c:pt idx="53">
                  <c:v>1037.8820373652263</c:v>
                </c:pt>
                <c:pt idx="54">
                  <c:v>1158.541822700877</c:v>
                </c:pt>
                <c:pt idx="55">
                  <c:v>1244.8353530736701</c:v>
                </c:pt>
                <c:pt idx="56">
                  <c:v>1285.7507890562397</c:v>
                </c:pt>
                <c:pt idx="57">
                  <c:v>1348.0578888940754</c:v>
                </c:pt>
                <c:pt idx="58">
                  <c:v>1408.8624317314043</c:v>
                </c:pt>
                <c:pt idx="59">
                  <c:v>1553.7261629139125</c:v>
                </c:pt>
                <c:pt idx="60">
                  <c:v>1547.2007342336437</c:v>
                </c:pt>
                <c:pt idx="61">
                  <c:v>1535.2489755272527</c:v>
                </c:pt>
                <c:pt idx="62">
                  <c:v>1613.8457189077974</c:v>
                </c:pt>
                <c:pt idx="63">
                  <c:v>1511.6417129321337</c:v>
                </c:pt>
                <c:pt idx="64">
                  <c:v>1501.2434599442822</c:v>
                </c:pt>
                <c:pt idx="66">
                  <c:v>807.64193474686169</c:v>
                </c:pt>
                <c:pt idx="67">
                  <c:v>836.83000939885926</c:v>
                </c:pt>
                <c:pt idx="68">
                  <c:v>891.79170571620887</c:v>
                </c:pt>
                <c:pt idx="69">
                  <c:v>1025.7789848659886</c:v>
                </c:pt>
                <c:pt idx="70">
                  <c:v>1123.8257103568812</c:v>
                </c:pt>
                <c:pt idx="71">
                  <c:v>1159.7128570467585</c:v>
                </c:pt>
                <c:pt idx="72">
                  <c:v>1207.3487546755518</c:v>
                </c:pt>
                <c:pt idx="73">
                  <c:v>1271.2515095658807</c:v>
                </c:pt>
                <c:pt idx="74">
                  <c:v>1336.3947381709843</c:v>
                </c:pt>
                <c:pt idx="75">
                  <c:v>1395.8187215069386</c:v>
                </c:pt>
                <c:pt idx="76">
                  <c:v>1578.668660249821</c:v>
                </c:pt>
                <c:pt idx="77">
                  <c:v>1694.1216974870194</c:v>
                </c:pt>
                <c:pt idx="78">
                  <c:v>1781.493513518526</c:v>
                </c:pt>
                <c:pt idx="79">
                  <c:v>1866.6981181527494</c:v>
                </c:pt>
                <c:pt idx="80">
                  <c:v>1923.1032294240522</c:v>
                </c:pt>
                <c:pt idx="81">
                  <c:v>1966.0286638927416</c:v>
                </c:pt>
                <c:pt idx="82">
                  <c:v>1967.8233321714238</c:v>
                </c:pt>
                <c:pt idx="83">
                  <c:v>1976.4659312656752</c:v>
                </c:pt>
                <c:pt idx="84">
                  <c:v>2104.6083206998533</c:v>
                </c:pt>
                <c:pt idx="85">
                  <c:v>2102.1260381106463</c:v>
                </c:pt>
                <c:pt idx="86">
                  <c:v>2088.3678649727449</c:v>
                </c:pt>
              </c:numCache>
            </c:numRef>
          </c:val>
          <c:extLst>
            <c:ext xmlns:c16="http://schemas.microsoft.com/office/drawing/2014/chart" uri="{C3380CC4-5D6E-409C-BE32-E72D297353CC}">
              <c16:uniqueId val="{00000001-98F1-4CF1-AF87-52177EE7109F}"/>
            </c:ext>
          </c:extLst>
        </c:ser>
        <c:ser>
          <c:idx val="3"/>
          <c:order val="2"/>
          <c:tx>
            <c:strRef>
              <c:f>Laskelma!$A$29</c:f>
              <c:strCache>
                <c:ptCount val="1"/>
                <c:pt idx="0">
                  <c:v>Toimintatuotot</c:v>
                </c:pt>
              </c:strCache>
            </c:strRef>
          </c:tx>
          <c:spPr>
            <a:solidFill>
              <a:srgbClr val="FFFFCC"/>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(Laskelma!$B$29:$W$29,Laskelma!$AT$29:$DF$29)</c:f>
              <c:numCache>
                <c:formatCode>#,##0</c:formatCode>
                <c:ptCount val="87"/>
                <c:pt idx="0">
                  <c:v>588.38367913224442</c:v>
                </c:pt>
                <c:pt idx="1">
                  <c:v>452.3630437507835</c:v>
                </c:pt>
                <c:pt idx="2">
                  <c:v>431.85951708999687</c:v>
                </c:pt>
                <c:pt idx="3">
                  <c:v>478.34227936587195</c:v>
                </c:pt>
                <c:pt idx="4">
                  <c:v>529.87528696407514</c:v>
                </c:pt>
                <c:pt idx="5">
                  <c:v>562.84959124715715</c:v>
                </c:pt>
                <c:pt idx="6">
                  <c:v>585.8245528056849</c:v>
                </c:pt>
                <c:pt idx="7">
                  <c:v>610.64425770308128</c:v>
                </c:pt>
                <c:pt idx="8">
                  <c:v>639.09321114192687</c:v>
                </c:pt>
                <c:pt idx="9">
                  <c:v>767.65443900107539</c:v>
                </c:pt>
                <c:pt idx="10">
                  <c:v>1042.2878184949814</c:v>
                </c:pt>
                <c:pt idx="11">
                  <c:v>1176.296120536244</c:v>
                </c:pt>
                <c:pt idx="12">
                  <c:v>1668.586879849518</c:v>
                </c:pt>
                <c:pt idx="13">
                  <c:v>1470.5400503188812</c:v>
                </c:pt>
                <c:pt idx="14">
                  <c:v>1360.4529006653438</c:v>
                </c:pt>
                <c:pt idx="15">
                  <c:v>1437.2808043020809</c:v>
                </c:pt>
                <c:pt idx="16">
                  <c:v>1338.2594417077175</c:v>
                </c:pt>
                <c:pt idx="17">
                  <c:v>1340.1983218916857</c:v>
                </c:pt>
                <c:pt idx="18">
                  <c:v>1319.5650889322224</c:v>
                </c:pt>
                <c:pt idx="19">
                  <c:v>1303.3573856520961</c:v>
                </c:pt>
                <c:pt idx="20">
                  <c:v>1249.2926374089459</c:v>
                </c:pt>
                <c:pt idx="22">
                  <c:v>615.10525367170828</c:v>
                </c:pt>
                <c:pt idx="23">
                  <c:v>605.29338242745666</c:v>
                </c:pt>
                <c:pt idx="24">
                  <c:v>632.40956860700703</c:v>
                </c:pt>
                <c:pt idx="25">
                  <c:v>652.32803040443798</c:v>
                </c:pt>
                <c:pt idx="26">
                  <c:v>682.85631489487184</c:v>
                </c:pt>
                <c:pt idx="27">
                  <c:v>716.37214638529451</c:v>
                </c:pt>
                <c:pt idx="28">
                  <c:v>744.81849988697365</c:v>
                </c:pt>
                <c:pt idx="29">
                  <c:v>783.20766368884858</c:v>
                </c:pt>
                <c:pt idx="30">
                  <c:v>846.36548560168626</c:v>
                </c:pt>
                <c:pt idx="31">
                  <c:v>899.37202479842517</c:v>
                </c:pt>
                <c:pt idx="32">
                  <c:v>944.71079363915919</c:v>
                </c:pt>
                <c:pt idx="33">
                  <c:v>1166.5207706631097</c:v>
                </c:pt>
                <c:pt idx="34">
                  <c:v>1357.5941654632961</c:v>
                </c:pt>
                <c:pt idx="35">
                  <c:v>1387.4509842802684</c:v>
                </c:pt>
                <c:pt idx="36">
                  <c:v>1365.6898102681334</c:v>
                </c:pt>
                <c:pt idx="37">
                  <c:v>1400.4645335102985</c:v>
                </c:pt>
                <c:pt idx="38">
                  <c:v>1493.3955845048092</c:v>
                </c:pt>
                <c:pt idx="39">
                  <c:v>1324.8051569670042</c:v>
                </c:pt>
                <c:pt idx="40">
                  <c:v>1318.6828148920556</c:v>
                </c:pt>
                <c:pt idx="41">
                  <c:v>1280.3963604719784</c:v>
                </c:pt>
                <c:pt idx="42">
                  <c:v>1298.5487620314984</c:v>
                </c:pt>
                <c:pt idx="44">
                  <c:v>946.62151229685026</c:v>
                </c:pt>
                <c:pt idx="45">
                  <c:v>972.03948838498047</c:v>
                </c:pt>
                <c:pt idx="46">
                  <c:v>1133.6638939837369</c:v>
                </c:pt>
                <c:pt idx="47">
                  <c:v>1217.0000837030216</c:v>
                </c:pt>
                <c:pt idx="48">
                  <c:v>1228.4803121705388</c:v>
                </c:pt>
                <c:pt idx="49">
                  <c:v>1338.9336518623086</c:v>
                </c:pt>
                <c:pt idx="50">
                  <c:v>1376.4168528539387</c:v>
                </c:pt>
                <c:pt idx="51">
                  <c:v>1198.6688120459919</c:v>
                </c:pt>
                <c:pt idx="52">
                  <c:v>1440.23649120136</c:v>
                </c:pt>
                <c:pt idx="53">
                  <c:v>1558.2270244031042</c:v>
                </c:pt>
                <c:pt idx="54">
                  <c:v>1754.3065442044485</c:v>
                </c:pt>
                <c:pt idx="55">
                  <c:v>1347.7412261738582</c:v>
                </c:pt>
                <c:pt idx="56">
                  <c:v>1391.7909532453516</c:v>
                </c:pt>
                <c:pt idx="57">
                  <c:v>1492.79433044403</c:v>
                </c:pt>
                <c:pt idx="58">
                  <c:v>1546.9039487039036</c:v>
                </c:pt>
                <c:pt idx="59">
                  <c:v>1690.6247125954183</c:v>
                </c:pt>
                <c:pt idx="60">
                  <c:v>1575.3006662931928</c:v>
                </c:pt>
                <c:pt idx="61">
                  <c:v>1602.6073177189328</c:v>
                </c:pt>
                <c:pt idx="62">
                  <c:v>1679.3185905339292</c:v>
                </c:pt>
                <c:pt idx="63">
                  <c:v>1631.7516174199004</c:v>
                </c:pt>
                <c:pt idx="64">
                  <c:v>1652.0738892825595</c:v>
                </c:pt>
                <c:pt idx="66">
                  <c:v>549.87305275148913</c:v>
                </c:pt>
                <c:pt idx="67">
                  <c:v>536.87764745265167</c:v>
                </c:pt>
                <c:pt idx="68">
                  <c:v>552.5872535853116</c:v>
                </c:pt>
                <c:pt idx="69">
                  <c:v>574.71593560241604</c:v>
                </c:pt>
                <c:pt idx="70">
                  <c:v>609.33905645586208</c:v>
                </c:pt>
                <c:pt idx="71">
                  <c:v>633.73577338642258</c:v>
                </c:pt>
                <c:pt idx="72">
                  <c:v>658.27620543066143</c:v>
                </c:pt>
                <c:pt idx="73">
                  <c:v>693.82508103985253</c:v>
                </c:pt>
                <c:pt idx="74">
                  <c:v>746.75554208958238</c:v>
                </c:pt>
                <c:pt idx="75">
                  <c:v>790.00926807274186</c:v>
                </c:pt>
                <c:pt idx="76">
                  <c:v>825.96642058374607</c:v>
                </c:pt>
                <c:pt idx="77">
                  <c:v>957.97534785332778</c:v>
                </c:pt>
                <c:pt idx="78">
                  <c:v>1215.4371149762455</c:v>
                </c:pt>
                <c:pt idx="79">
                  <c:v>1240.8073781486175</c:v>
                </c:pt>
                <c:pt idx="80">
                  <c:v>1290.4417428168267</c:v>
                </c:pt>
                <c:pt idx="81">
                  <c:v>1156.9517645245801</c:v>
                </c:pt>
                <c:pt idx="82">
                  <c:v>1117.2407836411364</c:v>
                </c:pt>
                <c:pt idx="83">
                  <c:v>1104.7900025049403</c:v>
                </c:pt>
                <c:pt idx="84">
                  <c:v>1101.315331659915</c:v>
                </c:pt>
                <c:pt idx="85">
                  <c:v>1070.4619065317813</c:v>
                </c:pt>
                <c:pt idx="86">
                  <c:v>1178.2392481150978</c:v>
                </c:pt>
              </c:numCache>
            </c:numRef>
          </c:val>
          <c:extLst>
            <c:ext xmlns:c16="http://schemas.microsoft.com/office/drawing/2014/chart" uri="{C3380CC4-5D6E-409C-BE32-E72D297353CC}">
              <c16:uniqueId val="{00000002-98F1-4CF1-AF87-52177EE7109F}"/>
            </c:ext>
          </c:extLst>
        </c:ser>
        <c:ser>
          <c:idx val="0"/>
          <c:order val="3"/>
          <c:tx>
            <c:strRef>
              <c:f>Laskelma!$A$30</c:f>
              <c:strCache>
                <c:ptCount val="1"/>
                <c:pt idx="0">
                  <c:v>Muut tulot</c:v>
                </c:pt>
              </c:strCache>
            </c:strRef>
          </c:tx>
          <c:spPr>
            <a:solidFill>
              <a:srgbClr val="00CCFF"/>
            </a:solidFill>
            <a:ln w="12700">
              <a:solidFill>
                <a:srgbClr val="000000"/>
              </a:solidFill>
              <a:prstDash val="solid"/>
            </a:ln>
          </c:spPr>
          <c:invertIfNegative val="0"/>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(Laskelma!$B$30:$W$30,Laskelma!$AT$30:$DF$30)</c:f>
              <c:numCache>
                <c:formatCode>#,##0</c:formatCode>
                <c:ptCount val="87"/>
                <c:pt idx="0">
                  <c:v>49.426482771687041</c:v>
                </c:pt>
                <c:pt idx="1">
                  <c:v>67.722153666086669</c:v>
                </c:pt>
                <c:pt idx="2">
                  <c:v>36.285134338513515</c:v>
                </c:pt>
                <c:pt idx="3">
                  <c:v>33.44443475885496</c:v>
                </c:pt>
                <c:pt idx="4">
                  <c:v>18.800024818514611</c:v>
                </c:pt>
                <c:pt idx="5">
                  <c:v>95.703485155817816</c:v>
                </c:pt>
                <c:pt idx="6">
                  <c:v>17.213918157314385</c:v>
                </c:pt>
                <c:pt idx="7">
                  <c:v>26.671538180489588</c:v>
                </c:pt>
                <c:pt idx="8">
                  <c:v>13.324490534185458</c:v>
                </c:pt>
                <c:pt idx="9">
                  <c:v>15.055562193810491</c:v>
                </c:pt>
                <c:pt idx="10">
                  <c:v>10.987705648274634</c:v>
                </c:pt>
                <c:pt idx="11">
                  <c:v>9.0758097045912915</c:v>
                </c:pt>
                <c:pt idx="12">
                  <c:v>10.345638372913237</c:v>
                </c:pt>
                <c:pt idx="13">
                  <c:v>14.74460242232754</c:v>
                </c:pt>
                <c:pt idx="14">
                  <c:v>139.54709933465625</c:v>
                </c:pt>
                <c:pt idx="15">
                  <c:v>10.229132569558102</c:v>
                </c:pt>
                <c:pt idx="16">
                  <c:v>10.790523105794042</c:v>
                </c:pt>
                <c:pt idx="17">
                  <c:v>2.3470046353341547</c:v>
                </c:pt>
                <c:pt idx="18">
                  <c:v>12.054600248182947</c:v>
                </c:pt>
                <c:pt idx="19">
                  <c:v>44.963921521855802</c:v>
                </c:pt>
                <c:pt idx="20">
                  <c:v>56.589007284329661</c:v>
                </c:pt>
                <c:pt idx="22">
                  <c:v>54.074398243748782</c:v>
                </c:pt>
                <c:pt idx="23">
                  <c:v>70.056807877971849</c:v>
                </c:pt>
                <c:pt idx="24">
                  <c:v>57.688515426604319</c:v>
                </c:pt>
                <c:pt idx="25">
                  <c:v>55.238863469208376</c:v>
                </c:pt>
                <c:pt idx="26">
                  <c:v>46.304879433441393</c:v>
                </c:pt>
                <c:pt idx="27">
                  <c:v>75.565054208314933</c:v>
                </c:pt>
                <c:pt idx="28">
                  <c:v>55.764176375126098</c:v>
                </c:pt>
                <c:pt idx="29">
                  <c:v>67.469538923374884</c:v>
                </c:pt>
                <c:pt idx="30">
                  <c:v>59.029232279836329</c:v>
                </c:pt>
                <c:pt idx="31">
                  <c:v>66.317253539352393</c:v>
                </c:pt>
                <c:pt idx="32">
                  <c:v>52.568890784243827</c:v>
                </c:pt>
                <c:pt idx="33">
                  <c:v>43.273806656512086</c:v>
                </c:pt>
                <c:pt idx="34">
                  <c:v>31.634688237254359</c:v>
                </c:pt>
                <c:pt idx="35">
                  <c:v>30.084456584424363</c:v>
                </c:pt>
                <c:pt idx="36">
                  <c:v>63.399658334089843</c:v>
                </c:pt>
                <c:pt idx="37">
                  <c:v>143.53491182282355</c:v>
                </c:pt>
                <c:pt idx="38">
                  <c:v>75.302557869147023</c:v>
                </c:pt>
                <c:pt idx="39">
                  <c:v>93.173706619696858</c:v>
                </c:pt>
                <c:pt idx="40">
                  <c:v>45.655155465966189</c:v>
                </c:pt>
                <c:pt idx="41">
                  <c:v>33.747987023595584</c:v>
                </c:pt>
                <c:pt idx="42">
                  <c:v>25.902393813593267</c:v>
                </c:pt>
                <c:pt idx="44">
                  <c:v>79.614414599719822</c:v>
                </c:pt>
                <c:pt idx="45">
                  <c:v>76.27467756572257</c:v>
                </c:pt>
                <c:pt idx="46">
                  <c:v>74.626656014083665</c:v>
                </c:pt>
                <c:pt idx="47">
                  <c:v>61.496440508969407</c:v>
                </c:pt>
                <c:pt idx="48">
                  <c:v>43.017502723180499</c:v>
                </c:pt>
                <c:pt idx="49">
                  <c:v>67.631664675860577</c:v>
                </c:pt>
                <c:pt idx="50">
                  <c:v>75.639386464508192</c:v>
                </c:pt>
                <c:pt idx="51">
                  <c:v>192.44393987247227</c:v>
                </c:pt>
                <c:pt idx="52">
                  <c:v>66.991038539776781</c:v>
                </c:pt>
                <c:pt idx="53">
                  <c:v>81.229298789992697</c:v>
                </c:pt>
                <c:pt idx="54">
                  <c:v>334.70401390874252</c:v>
                </c:pt>
                <c:pt idx="55">
                  <c:v>83.861430577345146</c:v>
                </c:pt>
                <c:pt idx="56">
                  <c:v>119.4275458306759</c:v>
                </c:pt>
                <c:pt idx="57">
                  <c:v>65.134138495789841</c:v>
                </c:pt>
                <c:pt idx="58">
                  <c:v>99.456670586908544</c:v>
                </c:pt>
                <c:pt idx="59">
                  <c:v>134.92720416821615</c:v>
                </c:pt>
                <c:pt idx="60">
                  <c:v>43.021005915984283</c:v>
                </c:pt>
                <c:pt idx="61">
                  <c:v>38.698791181433435</c:v>
                </c:pt>
                <c:pt idx="62">
                  <c:v>84.430143161168218</c:v>
                </c:pt>
                <c:pt idx="63">
                  <c:v>162.71449243381417</c:v>
                </c:pt>
                <c:pt idx="64">
                  <c:v>69.992913928498623</c:v>
                </c:pt>
                <c:pt idx="66">
                  <c:v>54.278070649276387</c:v>
                </c:pt>
                <c:pt idx="67">
                  <c:v>71.164092768902236</c:v>
                </c:pt>
                <c:pt idx="68">
                  <c:v>54.780526290433457</c:v>
                </c:pt>
                <c:pt idx="69">
                  <c:v>48.110134796695284</c:v>
                </c:pt>
                <c:pt idx="70">
                  <c:v>39.761993497230542</c:v>
                </c:pt>
                <c:pt idx="71">
                  <c:v>78.919466075552805</c:v>
                </c:pt>
                <c:pt idx="72">
                  <c:v>48.766164962404098</c:v>
                </c:pt>
                <c:pt idx="73">
                  <c:v>46.199072014237586</c:v>
                </c:pt>
                <c:pt idx="74">
                  <c:v>35.136721708831992</c:v>
                </c:pt>
                <c:pt idx="75">
                  <c:v>49.577926957567257</c:v>
                </c:pt>
                <c:pt idx="76">
                  <c:v>36.264523564775878</c:v>
                </c:pt>
                <c:pt idx="77">
                  <c:v>38.355365594933097</c:v>
                </c:pt>
                <c:pt idx="78">
                  <c:v>36.059705921445108</c:v>
                </c:pt>
                <c:pt idx="79">
                  <c:v>30.970463354393495</c:v>
                </c:pt>
                <c:pt idx="80">
                  <c:v>38.754937179969069</c:v>
                </c:pt>
                <c:pt idx="81">
                  <c:v>108.48821081830791</c:v>
                </c:pt>
                <c:pt idx="82">
                  <c:v>208.5298554193825</c:v>
                </c:pt>
                <c:pt idx="83">
                  <c:v>92.441574586916786</c:v>
                </c:pt>
                <c:pt idx="84">
                  <c:v>34.02962447498571</c:v>
                </c:pt>
                <c:pt idx="85">
                  <c:v>31.18626492552464</c:v>
                </c:pt>
                <c:pt idx="86">
                  <c:v>25.295592301232066</c:v>
                </c:pt>
              </c:numCache>
            </c:numRef>
          </c:val>
          <c:extLst>
            <c:ext xmlns:c16="http://schemas.microsoft.com/office/drawing/2014/chart" uri="{C3380CC4-5D6E-409C-BE32-E72D297353CC}">
              <c16:uniqueId val="{00000003-98F1-4CF1-AF87-52177EE7109F}"/>
            </c:ext>
          </c:extLst>
        </c:ser>
        <c:dLbls>
          <c:showLegendKey val="0"/>
          <c:showVal val="0"/>
          <c:showCatName val="0"/>
          <c:showSerName val="0"/>
          <c:showPercent val="0"/>
          <c:showBubbleSize val="0"/>
        </c:dLbls>
        <c:gapWidth val="150"/>
        <c:overlap val="100"/>
        <c:axId val="178689536"/>
        <c:axId val="178691072"/>
      </c:barChart>
      <c:lineChart>
        <c:grouping val="standard"/>
        <c:varyColors val="0"/>
        <c:ser>
          <c:idx val="4"/>
          <c:order val="4"/>
          <c:tx>
            <c:strRef>
              <c:f>Laskelma!$A$42</c:f>
              <c:strCache>
                <c:ptCount val="1"/>
                <c:pt idx="0">
                  <c:v>Toimintakulut</c:v>
                </c:pt>
              </c:strCache>
            </c:strRef>
          </c:tx>
          <c:spPr>
            <a:ln w="31750">
              <a:solidFill>
                <a:srgbClr val="FF0000">
                  <a:alpha val="63000"/>
                </a:srgbClr>
              </a:solidFill>
              <a:prstDash val="solid"/>
            </a:ln>
          </c:spPr>
          <c:marker>
            <c:symbol val="none"/>
          </c:marker>
          <c:cat>
            <c:multiLvlStrRef>
              <c:f>(Laskelma!$B$2:$W$3,Laskelma!$AT$1:$CB$3)</c:f>
              <c:multiLvlStrCache>
                <c:ptCount val="5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lvl>
                <c:lvl>
                  <c:pt idx="0">
                    <c:v>Akaa</c:v>
                  </c:pt>
                  <c:pt idx="22">
                    <c:v>10 000-20 000 as</c:v>
                  </c:pt>
                  <c:pt idx="44">
                    <c:v>Pirkanmaa</c:v>
                  </c:pt>
                </c:lvl>
                <c:lvl>
                  <c:pt idx="22">
                    <c:v>KUNTAKOKOLUOKKA</c:v>
                  </c:pt>
                  <c:pt idx="44">
                    <c:v>MAAKUNTA</c:v>
                  </c:pt>
                </c:lvl>
              </c:multiLvlStrCache>
            </c:multiLvlStrRef>
          </c:cat>
          <c:val>
            <c:numRef>
              <c:f>(Laskelma!$B$42:$W$42,Laskelma!$AT$42:$DF$42)</c:f>
              <c:numCache>
                <c:formatCode>#,##0</c:formatCode>
                <c:ptCount val="87"/>
                <c:pt idx="0">
                  <c:v>3065.69350372594</c:v>
                </c:pt>
                <c:pt idx="1">
                  <c:v>2900.941282927522</c:v>
                </c:pt>
                <c:pt idx="2">
                  <c:v>3047.0547040808406</c:v>
                </c:pt>
                <c:pt idx="3">
                  <c:v>3340.2865404917402</c:v>
                </c:pt>
                <c:pt idx="4">
                  <c:v>3588.8813054538687</c:v>
                </c:pt>
                <c:pt idx="5">
                  <c:v>3741.3485770483744</c:v>
                </c:pt>
                <c:pt idx="6">
                  <c:v>3923.1805929919137</c:v>
                </c:pt>
                <c:pt idx="7">
                  <c:v>4061.381074168798</c:v>
                </c:pt>
                <c:pt idx="8">
                  <c:v>4298.6856384902931</c:v>
                </c:pt>
                <c:pt idx="9">
                  <c:v>4435.1774405544274</c:v>
                </c:pt>
                <c:pt idx="10">
                  <c:v>5085.7041040565418</c:v>
                </c:pt>
                <c:pt idx="11">
                  <c:v>5339.9572903072722</c:v>
                </c:pt>
                <c:pt idx="12">
                  <c:v>5884.6108629202918</c:v>
                </c:pt>
                <c:pt idx="13">
                  <c:v>5897.2558656602887</c:v>
                </c:pt>
                <c:pt idx="14">
                  <c:v>6230.594140305825</c:v>
                </c:pt>
                <c:pt idx="15">
                  <c:v>6458.9081131634321</c:v>
                </c:pt>
                <c:pt idx="16">
                  <c:v>6601.7475955899599</c:v>
                </c:pt>
                <c:pt idx="17">
                  <c:v>6476.3832658569499</c:v>
                </c:pt>
                <c:pt idx="18">
                  <c:v>6440.997459079359</c:v>
                </c:pt>
                <c:pt idx="19">
                  <c:v>6338.4220883773633</c:v>
                </c:pt>
                <c:pt idx="20">
                  <c:v>6561.5555956896033</c:v>
                </c:pt>
                <c:pt idx="22">
                  <c:v>3128.1142294475862</c:v>
                </c:pt>
                <c:pt idx="23">
                  <c:v>3182.7151887497084</c:v>
                </c:pt>
                <c:pt idx="24">
                  <c:v>3318.4858251001856</c:v>
                </c:pt>
                <c:pt idx="25">
                  <c:v>3565.7016232321698</c:v>
                </c:pt>
                <c:pt idx="26">
                  <c:v>3732.1878564081012</c:v>
                </c:pt>
                <c:pt idx="27">
                  <c:v>3937.8588434769808</c:v>
                </c:pt>
                <c:pt idx="28">
                  <c:v>4150.2154248948182</c:v>
                </c:pt>
                <c:pt idx="29">
                  <c:v>4349.0256325689952</c:v>
                </c:pt>
                <c:pt idx="30">
                  <c:v>4522.8382422428731</c:v>
                </c:pt>
                <c:pt idx="31">
                  <c:v>4743.59209829874</c:v>
                </c:pt>
                <c:pt idx="32">
                  <c:v>5144.3699629184175</c:v>
                </c:pt>
                <c:pt idx="33">
                  <c:v>5499.0241301469869</c:v>
                </c:pt>
                <c:pt idx="34">
                  <c:v>5776.1697838243799</c:v>
                </c:pt>
                <c:pt idx="35">
                  <c:v>6060.3325054572078</c:v>
                </c:pt>
                <c:pt idx="36">
                  <c:v>6292.0451263090999</c:v>
                </c:pt>
                <c:pt idx="37">
                  <c:v>6489.5199325155299</c:v>
                </c:pt>
                <c:pt idx="38">
                  <c:v>6489.1759592009303</c:v>
                </c:pt>
                <c:pt idx="39">
                  <c:v>6591.4437918407621</c:v>
                </c:pt>
                <c:pt idx="40">
                  <c:v>6642.8981791735714</c:v>
                </c:pt>
                <c:pt idx="41">
                  <c:v>6595.8476839518689</c:v>
                </c:pt>
                <c:pt idx="42">
                  <c:v>6791.1350293214091</c:v>
                </c:pt>
                <c:pt idx="44">
                  <c:v>3284.8904100025402</c:v>
                </c:pt>
                <c:pt idx="45">
                  <c:v>3401.9366067695014</c:v>
                </c:pt>
                <c:pt idx="46">
                  <c:v>3674.1556990137096</c:v>
                </c:pt>
                <c:pt idx="47">
                  <c:v>3963.4806927798618</c:v>
                </c:pt>
                <c:pt idx="48">
                  <c:v>4108.1034852335815</c:v>
                </c:pt>
                <c:pt idx="49">
                  <c:v>4316.647735910522</c:v>
                </c:pt>
                <c:pt idx="50">
                  <c:v>4521.2213669804942</c:v>
                </c:pt>
                <c:pt idx="51">
                  <c:v>4691.8074749682037</c:v>
                </c:pt>
                <c:pt idx="52">
                  <c:v>4988.5535213590629</c:v>
                </c:pt>
                <c:pt idx="53">
                  <c:v>5199.6940981020271</c:v>
                </c:pt>
                <c:pt idx="54">
                  <c:v>5650.142427681385</c:v>
                </c:pt>
                <c:pt idx="55">
                  <c:v>5499.1002787694615</c:v>
                </c:pt>
                <c:pt idx="56">
                  <c:v>5579.7825802547877</c:v>
                </c:pt>
                <c:pt idx="57">
                  <c:v>5908.2350219285336</c:v>
                </c:pt>
                <c:pt idx="58">
                  <c:v>6230.4336968954904</c:v>
                </c:pt>
                <c:pt idx="59">
                  <c:v>6581.6149038519216</c:v>
                </c:pt>
                <c:pt idx="60">
                  <c:v>6522.5971528580676</c:v>
                </c:pt>
                <c:pt idx="61">
                  <c:v>6607.7524036086734</c:v>
                </c:pt>
                <c:pt idx="62">
                  <c:v>6725.7615498786699</c:v>
                </c:pt>
                <c:pt idx="63">
                  <c:v>6625.4401159191611</c:v>
                </c:pt>
                <c:pt idx="64">
                  <c:v>6790.7220998068315</c:v>
                </c:pt>
                <c:pt idx="66">
                  <c:v>3047.7954989053601</c:v>
                </c:pt>
                <c:pt idx="67">
                  <c:v>3078.6979778964132</c:v>
                </c:pt>
                <c:pt idx="68">
                  <c:v>3217.4551613986018</c:v>
                </c:pt>
                <c:pt idx="69">
                  <c:v>3449.93264475347</c:v>
                </c:pt>
                <c:pt idx="70">
                  <c:v>3623.5667561975506</c:v>
                </c:pt>
                <c:pt idx="71">
                  <c:v>3812.2629965500564</c:v>
                </c:pt>
                <c:pt idx="72">
                  <c:v>4020.4069485402065</c:v>
                </c:pt>
                <c:pt idx="73">
                  <c:v>4233.8325494184201</c:v>
                </c:pt>
                <c:pt idx="74">
                  <c:v>4390.3663586325301</c:v>
                </c:pt>
                <c:pt idx="75">
                  <c:v>4594.56252191774</c:v>
                </c:pt>
                <c:pt idx="76">
                  <c:v>4978.9209731177771</c:v>
                </c:pt>
                <c:pt idx="77">
                  <c:v>5212.7627897743841</c:v>
                </c:pt>
                <c:pt idx="78">
                  <c:v>5561.3673385488955</c:v>
                </c:pt>
                <c:pt idx="79">
                  <c:v>5896.8175412954924</c:v>
                </c:pt>
                <c:pt idx="80">
                  <c:v>6243.0448151137789</c:v>
                </c:pt>
                <c:pt idx="81">
                  <c:v>6269.0337494220994</c:v>
                </c:pt>
                <c:pt idx="82">
                  <c:v>6278.9014711008422</c:v>
                </c:pt>
                <c:pt idx="83">
                  <c:v>6348.2547369658059</c:v>
                </c:pt>
                <c:pt idx="84">
                  <c:v>6440.2695280463258</c:v>
                </c:pt>
                <c:pt idx="85">
                  <c:v>6405.3589778026253</c:v>
                </c:pt>
                <c:pt idx="86">
                  <c:v>6711.227002934691</c:v>
                </c:pt>
              </c:numCache>
            </c:numRef>
          </c:val>
          <c:smooth val="0"/>
          <c:extLst>
            <c:ext xmlns:c16="http://schemas.microsoft.com/office/drawing/2014/chart" uri="{C3380CC4-5D6E-409C-BE32-E72D297353CC}">
              <c16:uniqueId val="{00000004-98F1-4CF1-AF87-52177EE7109F}"/>
            </c:ext>
          </c:extLst>
        </c:ser>
        <c:ser>
          <c:idx val="5"/>
          <c:order val="5"/>
          <c:tx>
            <c:strRef>
              <c:f>Laskelma!$A$39</c:f>
              <c:strCache>
                <c:ptCount val="1"/>
                <c:pt idx="0">
                  <c:v>Lainakanta</c:v>
                </c:pt>
              </c:strCache>
            </c:strRef>
          </c:tx>
          <c:spPr>
            <a:ln w="31750">
              <a:solidFill>
                <a:srgbClr val="0000FF">
                  <a:alpha val="66000"/>
                </a:srgbClr>
              </a:solidFill>
              <a:prstDash val="sysDash"/>
            </a:ln>
          </c:spPr>
          <c:marker>
            <c:symbol val="none"/>
          </c:marker>
          <c:cat>
            <c:multiLvlStrRef>
              <c:f>(Laskelma!$B$2:$W$3,Laskelma!$AT$1:$CB$3)</c:f>
              <c:multiLvlStrCache>
                <c:ptCount val="5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lvl>
                <c:lvl>
                  <c:pt idx="0">
                    <c:v>Akaa</c:v>
                  </c:pt>
                  <c:pt idx="22">
                    <c:v>10 000-20 000 as</c:v>
                  </c:pt>
                  <c:pt idx="44">
                    <c:v>Pirkanmaa</c:v>
                  </c:pt>
                </c:lvl>
                <c:lvl>
                  <c:pt idx="22">
                    <c:v>KUNTAKOKOLUOKKA</c:v>
                  </c:pt>
                  <c:pt idx="44">
                    <c:v>MAAKUNTA</c:v>
                  </c:pt>
                </c:lvl>
              </c:multiLvlStrCache>
            </c:multiLvlStrRef>
          </c:cat>
          <c:val>
            <c:numRef>
              <c:f>(Laskelma!$B$39:$W$39,Laskelma!$AT$39:$DF$39)</c:f>
              <c:numCache>
                <c:formatCode>#,##0</c:formatCode>
                <c:ptCount val="87"/>
                <c:pt idx="0">
                  <c:v>762.62849214857795</c:v>
                </c:pt>
                <c:pt idx="1">
                  <c:v>813.15030713300735</c:v>
                </c:pt>
                <c:pt idx="2">
                  <c:v>969.14393226716834</c:v>
                </c:pt>
                <c:pt idx="3">
                  <c:v>1115.653476469854</c:v>
                </c:pt>
                <c:pt idx="4">
                  <c:v>1112.5519637649686</c:v>
                </c:pt>
                <c:pt idx="5">
                  <c:v>1188.1492408875777</c:v>
                </c:pt>
                <c:pt idx="6">
                  <c:v>1446.5204606714042</c:v>
                </c:pt>
                <c:pt idx="7">
                  <c:v>1520.825721592985</c:v>
                </c:pt>
                <c:pt idx="8">
                  <c:v>1635.5962860243578</c:v>
                </c:pt>
                <c:pt idx="9">
                  <c:v>1736.5874059027362</c:v>
                </c:pt>
                <c:pt idx="10">
                  <c:v>1775.0193027261389</c:v>
                </c:pt>
                <c:pt idx="11">
                  <c:v>1809.4673152212599</c:v>
                </c:pt>
                <c:pt idx="12">
                  <c:v>1863.508111920997</c:v>
                </c:pt>
                <c:pt idx="13">
                  <c:v>1991.164940612018</c:v>
                </c:pt>
                <c:pt idx="14">
                  <c:v>2288.0238123030231</c:v>
                </c:pt>
                <c:pt idx="15">
                  <c:v>2390.577507598784</c:v>
                </c:pt>
                <c:pt idx="16">
                  <c:v>3061.4004222378608</c:v>
                </c:pt>
                <c:pt idx="17">
                  <c:v>3517.7492225547144</c:v>
                </c:pt>
                <c:pt idx="18">
                  <c:v>3415.588252673876</c:v>
                </c:pt>
                <c:pt idx="19">
                  <c:v>3139.1257677857952</c:v>
                </c:pt>
                <c:pt idx="20">
                  <c:v>3256.6973692131719</c:v>
                </c:pt>
                <c:pt idx="22">
                  <c:v>674.88853065975366</c:v>
                </c:pt>
                <c:pt idx="23">
                  <c:v>656.52974360706685</c:v>
                </c:pt>
                <c:pt idx="24">
                  <c:v>703.82713813478847</c:v>
                </c:pt>
                <c:pt idx="25">
                  <c:v>767.08682310561073</c:v>
                </c:pt>
                <c:pt idx="26">
                  <c:v>754.92340985851285</c:v>
                </c:pt>
                <c:pt idx="27">
                  <c:v>838.81677471102159</c:v>
                </c:pt>
                <c:pt idx="28">
                  <c:v>991.79293568293235</c:v>
                </c:pt>
                <c:pt idx="29">
                  <c:v>1192.7297264098081</c:v>
                </c:pt>
                <c:pt idx="30">
                  <c:v>1358.4900285855035</c:v>
                </c:pt>
                <c:pt idx="31">
                  <c:v>1514.2651053832885</c:v>
                </c:pt>
                <c:pt idx="32">
                  <c:v>1702.6460191438252</c:v>
                </c:pt>
                <c:pt idx="33">
                  <c:v>1898.6357754718642</c:v>
                </c:pt>
                <c:pt idx="34">
                  <c:v>1978.8914181312969</c:v>
                </c:pt>
                <c:pt idx="35">
                  <c:v>2062.5583520472996</c:v>
                </c:pt>
                <c:pt idx="36">
                  <c:v>2329.2404948378739</c:v>
                </c:pt>
                <c:pt idx="37">
                  <c:v>2537.0908712727128</c:v>
                </c:pt>
                <c:pt idx="38">
                  <c:v>2658.4217445301765</c:v>
                </c:pt>
                <c:pt idx="39">
                  <c:v>2723.8393844483144</c:v>
                </c:pt>
                <c:pt idx="40">
                  <c:v>2796.6937537982312</c:v>
                </c:pt>
                <c:pt idx="41">
                  <c:v>2868.3021648456802</c:v>
                </c:pt>
                <c:pt idx="42">
                  <c:v>3107.4408837149281</c:v>
                </c:pt>
                <c:pt idx="44">
                  <c:v>507.89901840931969</c:v>
                </c:pt>
                <c:pt idx="45">
                  <c:v>552.52008830811303</c:v>
                </c:pt>
                <c:pt idx="46">
                  <c:v>507.45648901067182</c:v>
                </c:pt>
                <c:pt idx="47">
                  <c:v>578.54647500143176</c:v>
                </c:pt>
                <c:pt idx="48">
                  <c:v>599.629035009821</c:v>
                </c:pt>
                <c:pt idx="49">
                  <c:v>741.64187208165924</c:v>
                </c:pt>
                <c:pt idx="50">
                  <c:v>832.25710632692335</c:v>
                </c:pt>
                <c:pt idx="51">
                  <c:v>1006.0114723732619</c:v>
                </c:pt>
                <c:pt idx="52">
                  <c:v>1147.4538711055286</c:v>
                </c:pt>
                <c:pt idx="53">
                  <c:v>1149.2914249128012</c:v>
                </c:pt>
                <c:pt idx="54">
                  <c:v>1223.9174770072136</c:v>
                </c:pt>
                <c:pt idx="55">
                  <c:v>1490.5436622154143</c:v>
                </c:pt>
                <c:pt idx="56">
                  <c:v>1591.2484259758949</c:v>
                </c:pt>
                <c:pt idx="57">
                  <c:v>1559.4647854737923</c:v>
                </c:pt>
                <c:pt idx="58">
                  <c:v>1777.6397190314317</c:v>
                </c:pt>
                <c:pt idx="59">
                  <c:v>1969.3941611385021</c:v>
                </c:pt>
                <c:pt idx="60">
                  <c:v>2038.2353759172954</c:v>
                </c:pt>
                <c:pt idx="61">
                  <c:v>2201.0732759813009</c:v>
                </c:pt>
                <c:pt idx="62">
                  <c:v>2420.3386236738156</c:v>
                </c:pt>
                <c:pt idx="63">
                  <c:v>2452.6061306707338</c:v>
                </c:pt>
                <c:pt idx="64">
                  <c:v>2731.5485492967318</c:v>
                </c:pt>
                <c:pt idx="66">
                  <c:v>883.01867363455278</c:v>
                </c:pt>
                <c:pt idx="67">
                  <c:v>882.75888707206218</c:v>
                </c:pt>
                <c:pt idx="68">
                  <c:v>956.97948167972618</c:v>
                </c:pt>
                <c:pt idx="69">
                  <c:v>1037.2702787065134</c:v>
                </c:pt>
                <c:pt idx="70">
                  <c:v>996.77753074679038</c:v>
                </c:pt>
                <c:pt idx="71">
                  <c:v>1030.0724904622027</c:v>
                </c:pt>
                <c:pt idx="72">
                  <c:v>1199.9604253635123</c:v>
                </c:pt>
                <c:pt idx="73">
                  <c:v>1421.343672535435</c:v>
                </c:pt>
                <c:pt idx="74">
                  <c:v>1586.7671564914408</c:v>
                </c:pt>
                <c:pt idx="75">
                  <c:v>1716.0400280547067</c:v>
                </c:pt>
                <c:pt idx="76">
                  <c:v>1914.2914992368314</c:v>
                </c:pt>
                <c:pt idx="77">
                  <c:v>2069.1922606899375</c:v>
                </c:pt>
                <c:pt idx="78">
                  <c:v>2064.3671623614068</c:v>
                </c:pt>
                <c:pt idx="79">
                  <c:v>2095.4090080756314</c:v>
                </c:pt>
                <c:pt idx="80">
                  <c:v>2424.277061291893</c:v>
                </c:pt>
                <c:pt idx="81">
                  <c:v>2731.0617968870397</c:v>
                </c:pt>
                <c:pt idx="82">
                  <c:v>2930.489019955025</c:v>
                </c:pt>
                <c:pt idx="83">
                  <c:v>3110.5235325224749</c:v>
                </c:pt>
                <c:pt idx="84">
                  <c:v>3252.5256604617639</c:v>
                </c:pt>
                <c:pt idx="85">
                  <c:v>3330.4932021126078</c:v>
                </c:pt>
                <c:pt idx="86">
                  <c:v>3555.6380358642555</c:v>
                </c:pt>
              </c:numCache>
            </c:numRef>
          </c:val>
          <c:smooth val="0"/>
          <c:extLst>
            <c:ext xmlns:c16="http://schemas.microsoft.com/office/drawing/2014/chart" uri="{C3380CC4-5D6E-409C-BE32-E72D297353CC}">
              <c16:uniqueId val="{00000005-98F1-4CF1-AF87-52177EE7109F}"/>
            </c:ext>
          </c:extLst>
        </c:ser>
        <c:dLbls>
          <c:showLegendKey val="0"/>
          <c:showVal val="0"/>
          <c:showCatName val="0"/>
          <c:showSerName val="0"/>
          <c:showPercent val="0"/>
          <c:showBubbleSize val="0"/>
        </c:dLbls>
        <c:marker val="1"/>
        <c:smooth val="0"/>
        <c:axId val="178689536"/>
        <c:axId val="178691072"/>
      </c:lineChart>
      <c:catAx>
        <c:axId val="178689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78691072"/>
        <c:crosses val="autoZero"/>
        <c:auto val="0"/>
        <c:lblAlgn val="ctr"/>
        <c:lblOffset val="100"/>
        <c:tickLblSkip val="2"/>
        <c:tickMarkSkip val="1"/>
        <c:noMultiLvlLbl val="0"/>
      </c:catAx>
      <c:valAx>
        <c:axId val="178691072"/>
        <c:scaling>
          <c:orientation val="minMax"/>
        </c:scaling>
        <c:delete val="0"/>
        <c:axPos val="l"/>
        <c:majorGridlines>
          <c:spPr>
            <a:ln w="3175">
              <a:solidFill>
                <a:srgbClr val="000000"/>
              </a:solidFill>
              <a:prstDash val="solid"/>
            </a:ln>
          </c:spPr>
        </c:majorGridlines>
        <c:title>
          <c:tx>
            <c:rich>
              <a:bodyPr rot="0" vert="horz"/>
              <a:lstStyle/>
              <a:p>
                <a:pPr algn="ctr">
                  <a:defRPr sz="925" b="1" i="0" u="none" strike="noStrike" baseline="0">
                    <a:solidFill>
                      <a:srgbClr val="000000"/>
                    </a:solidFill>
                    <a:latin typeface="Verdana"/>
                    <a:ea typeface="Verdana"/>
                    <a:cs typeface="Verdana"/>
                  </a:defRPr>
                </a:pPr>
                <a:r>
                  <a:rPr lang="fi-FI"/>
                  <a:t>€ / asukas</a:t>
                </a:r>
              </a:p>
            </c:rich>
          </c:tx>
          <c:layout>
            <c:manualLayout>
              <c:xMode val="edge"/>
              <c:yMode val="edge"/>
              <c:x val="0.12514092446448705"/>
              <c:y val="0.17943130194064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78689536"/>
        <c:crosses val="autoZero"/>
        <c:crossBetween val="between"/>
      </c:valAx>
      <c:spPr>
        <a:solidFill>
          <a:srgbClr val="FFFFFF"/>
        </a:solidFill>
        <a:ln w="12700">
          <a:solidFill>
            <a:srgbClr val="808080"/>
          </a:solidFill>
          <a:prstDash val="solid"/>
        </a:ln>
      </c:spPr>
    </c:plotArea>
    <c:legend>
      <c:legendPos val="b"/>
      <c:layout>
        <c:manualLayout>
          <c:xMode val="edge"/>
          <c:yMode val="edge"/>
          <c:x val="0.2547914317925592"/>
          <c:y val="0.12910307436953311"/>
          <c:w val="0.72717023675310033"/>
          <c:h val="8.7527352297593009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i-FI"/>
    </a:p>
  </c:txPr>
  <c:printSettings>
    <c:headerFooter alignWithMargins="0"/>
    <c:pageMargins b="1" l="0.75" r="0.75" t="1"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fi-FI"/>
              <a:t>Kunnan vuosikate, poistot, nettoinvestoinnit ja tilikauden yli/alijäämä tilinpäätösten 1998-2018 mukaan</a:t>
            </a:r>
          </a:p>
        </c:rich>
      </c:tx>
      <c:layout>
        <c:manualLayout>
          <c:xMode val="edge"/>
          <c:yMode val="edge"/>
          <c:x val="0.13477319261793849"/>
          <c:y val="7.9157588961510525E-2"/>
        </c:manualLayout>
      </c:layout>
      <c:overlay val="0"/>
      <c:spPr>
        <a:noFill/>
        <a:ln w="25400">
          <a:noFill/>
        </a:ln>
      </c:spPr>
    </c:title>
    <c:autoTitleDeleted val="0"/>
    <c:plotArea>
      <c:layout>
        <c:manualLayout>
          <c:layoutTarget val="inner"/>
          <c:xMode val="edge"/>
          <c:yMode val="edge"/>
          <c:x val="9.293193717277487E-2"/>
          <c:y val="0.27233173409359274"/>
          <c:w val="0.83769633507853403"/>
          <c:h val="0.46623192876823077"/>
        </c:manualLayout>
      </c:layout>
      <c:barChart>
        <c:barDir val="col"/>
        <c:grouping val="clustered"/>
        <c:varyColors val="0"/>
        <c:ser>
          <c:idx val="1"/>
          <c:order val="1"/>
          <c:tx>
            <c:strRef>
              <c:f>Laskelma!$A$36</c:f>
              <c:strCache>
                <c:ptCount val="1"/>
                <c:pt idx="0">
                  <c:v>Vuosikate</c:v>
                </c:pt>
              </c:strCache>
            </c:strRef>
          </c:tx>
          <c:spPr>
            <a:solidFill>
              <a:srgbClr val="00FFFF"/>
            </a:solidFill>
            <a:ln w="12700">
              <a:solidFill>
                <a:srgbClr val="000000"/>
              </a:solidFill>
              <a:prstDash val="solid"/>
            </a:ln>
          </c:spPr>
          <c:invertIfNegative val="0"/>
          <c:cat>
            <c:multiLvlStrRef>
              <c:f>Laskelma!$B$2:$AJ$3</c:f>
              <c:multiLvlStrCache>
                <c:ptCount val="35"/>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lvl>
                <c:lvl>
                  <c:pt idx="0">
                    <c:v>Akaa</c:v>
                  </c:pt>
                  <c:pt idx="22">
                    <c:v>Äänekoski</c:v>
                  </c:pt>
                </c:lvl>
              </c:multiLvlStrCache>
            </c:multiLvlStrRef>
          </c:cat>
          <c:val>
            <c:numRef>
              <c:f>Laskelma!$B$36:$V$36</c:f>
              <c:numCache>
                <c:formatCode>#,##0</c:formatCode>
                <c:ptCount val="21"/>
                <c:pt idx="0">
                  <c:v>-83.250743192053989</c:v>
                </c:pt>
                <c:pt idx="1">
                  <c:v>160.66090004221064</c:v>
                </c:pt>
                <c:pt idx="2">
                  <c:v>30.610308096036682</c:v>
                </c:pt>
                <c:pt idx="3">
                  <c:v>189.72840986551932</c:v>
                </c:pt>
                <c:pt idx="4">
                  <c:v>350.0031023143265</c:v>
                </c:pt>
                <c:pt idx="5">
                  <c:v>-3.2577294240580246</c:v>
                </c:pt>
                <c:pt idx="6">
                  <c:v>63.893653516295025</c:v>
                </c:pt>
                <c:pt idx="7">
                  <c:v>72.768237729874556</c:v>
                </c:pt>
                <c:pt idx="8">
                  <c:v>93.150850114554444</c:v>
                </c:pt>
                <c:pt idx="9">
                  <c:v>246.62444736527661</c:v>
                </c:pt>
                <c:pt idx="10">
                  <c:v>274.21749717883233</c:v>
                </c:pt>
                <c:pt idx="11">
                  <c:v>297.95942579190887</c:v>
                </c:pt>
                <c:pt idx="12">
                  <c:v>310.78062544086526</c:v>
                </c:pt>
                <c:pt idx="13">
                  <c:v>204.14253115674916</c:v>
                </c:pt>
                <c:pt idx="14">
                  <c:v>-194.81732228317964</c:v>
                </c:pt>
                <c:pt idx="15">
                  <c:v>192.71685761047462</c:v>
                </c:pt>
                <c:pt idx="16">
                  <c:v>-76.471968097583854</c:v>
                </c:pt>
                <c:pt idx="17">
                  <c:v>72.111717420641909</c:v>
                </c:pt>
                <c:pt idx="18">
                  <c:v>281.68764403474563</c:v>
                </c:pt>
                <c:pt idx="19">
                  <c:v>370.20692945315761</c:v>
                </c:pt>
                <c:pt idx="20">
                  <c:v>134.12798747817712</c:v>
                </c:pt>
              </c:numCache>
            </c:numRef>
          </c:val>
          <c:extLst>
            <c:ext xmlns:c16="http://schemas.microsoft.com/office/drawing/2014/chart" uri="{C3380CC4-5D6E-409C-BE32-E72D297353CC}">
              <c16:uniqueId val="{00000000-94F9-4150-88CC-AB1682B8DD3D}"/>
            </c:ext>
          </c:extLst>
        </c:ser>
        <c:dLbls>
          <c:showLegendKey val="0"/>
          <c:showVal val="0"/>
          <c:showCatName val="0"/>
          <c:showSerName val="0"/>
          <c:showPercent val="0"/>
          <c:showBubbleSize val="0"/>
        </c:dLbls>
        <c:gapWidth val="150"/>
        <c:axId val="181640576"/>
        <c:axId val="181650944"/>
      </c:barChart>
      <c:lineChart>
        <c:grouping val="standard"/>
        <c:varyColors val="0"/>
        <c:ser>
          <c:idx val="2"/>
          <c:order val="0"/>
          <c:tx>
            <c:strRef>
              <c:f>Laskelma!$A$38</c:f>
              <c:strCache>
                <c:ptCount val="1"/>
                <c:pt idx="0">
                  <c:v>KO-poistot</c:v>
                </c:pt>
              </c:strCache>
            </c:strRef>
          </c:tx>
          <c:spPr>
            <a:ln w="31750">
              <a:solidFill>
                <a:srgbClr val="FF0000"/>
              </a:solidFill>
              <a:prstDash val="solid"/>
            </a:ln>
          </c:spPr>
          <c:marker>
            <c:symbol val="none"/>
          </c:marker>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Laskelma!$B$38:$V$38</c:f>
              <c:numCache>
                <c:formatCode>#,##0</c:formatCode>
                <c:ptCount val="21"/>
                <c:pt idx="0">
                  <c:v>115.72797285877192</c:v>
                </c:pt>
                <c:pt idx="1">
                  <c:v>121.25470290587313</c:v>
                </c:pt>
                <c:pt idx="2">
                  <c:v>136.93419011121583</c:v>
                </c:pt>
                <c:pt idx="3">
                  <c:v>145.35627373065429</c:v>
                </c:pt>
                <c:pt idx="4">
                  <c:v>168.02134392256625</c:v>
                </c:pt>
                <c:pt idx="5">
                  <c:v>147.64275616202593</c:v>
                </c:pt>
                <c:pt idx="6">
                  <c:v>173.2418524871355</c:v>
                </c:pt>
                <c:pt idx="7">
                  <c:v>174.2784070149799</c:v>
                </c:pt>
                <c:pt idx="8">
                  <c:v>166.28481852164475</c:v>
                </c:pt>
                <c:pt idx="9">
                  <c:v>175.05078265025691</c:v>
                </c:pt>
                <c:pt idx="10">
                  <c:v>176.63479242145274</c:v>
                </c:pt>
                <c:pt idx="11">
                  <c:v>185.84648238225174</c:v>
                </c:pt>
                <c:pt idx="12">
                  <c:v>181.22501763461085</c:v>
                </c:pt>
                <c:pt idx="13">
                  <c:v>189.39792873442161</c:v>
                </c:pt>
                <c:pt idx="14">
                  <c:v>148.3016225049609</c:v>
                </c:pt>
                <c:pt idx="15">
                  <c:v>194.64577975216272</c:v>
                </c:pt>
                <c:pt idx="16">
                  <c:v>220.67792634295097</c:v>
                </c:pt>
                <c:pt idx="17">
                  <c:v>246.61151205773632</c:v>
                </c:pt>
                <c:pt idx="18">
                  <c:v>278.4376292619512</c:v>
                </c:pt>
                <c:pt idx="19">
                  <c:v>279.98091716858488</c:v>
                </c:pt>
                <c:pt idx="20">
                  <c:v>275.54030461742218</c:v>
                </c:pt>
              </c:numCache>
            </c:numRef>
          </c:val>
          <c:smooth val="0"/>
          <c:extLst>
            <c:ext xmlns:c16="http://schemas.microsoft.com/office/drawing/2014/chart" uri="{C3380CC4-5D6E-409C-BE32-E72D297353CC}">
              <c16:uniqueId val="{00000001-94F9-4150-88CC-AB1682B8DD3D}"/>
            </c:ext>
          </c:extLst>
        </c:ser>
        <c:ser>
          <c:idx val="3"/>
          <c:order val="2"/>
          <c:tx>
            <c:strRef>
              <c:f>Laskelma!$A$37</c:f>
              <c:strCache>
                <c:ptCount val="1"/>
                <c:pt idx="0">
                  <c:v>Nettoinvestoinnit</c:v>
                </c:pt>
              </c:strCache>
            </c:strRef>
          </c:tx>
          <c:spPr>
            <a:ln w="31750">
              <a:solidFill>
                <a:srgbClr val="0000FF"/>
              </a:solidFill>
              <a:prstDash val="sysDash"/>
            </a:ln>
          </c:spPr>
          <c:marker>
            <c:symbol val="none"/>
          </c:marker>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Laskelma!$B$37:$V$37</c:f>
              <c:numCache>
                <c:formatCode>#,##0</c:formatCode>
                <c:ptCount val="21"/>
                <c:pt idx="0">
                  <c:v>150.62349394589143</c:v>
                </c:pt>
                <c:pt idx="1">
                  <c:v>168.8626178939451</c:v>
                </c:pt>
                <c:pt idx="2">
                  <c:v>353.01005550329256</c:v>
                </c:pt>
                <c:pt idx="3">
                  <c:v>264.38646860566723</c:v>
                </c:pt>
                <c:pt idx="4">
                  <c:v>230.75013960414469</c:v>
                </c:pt>
                <c:pt idx="5">
                  <c:v>169.15606367939026</c:v>
                </c:pt>
                <c:pt idx="6">
                  <c:v>324.00147022788531</c:v>
                </c:pt>
                <c:pt idx="7">
                  <c:v>169.65046888320546</c:v>
                </c:pt>
                <c:pt idx="8">
                  <c:v>237.12769805860364</c:v>
                </c:pt>
                <c:pt idx="9">
                  <c:v>149.89843469948619</c:v>
                </c:pt>
                <c:pt idx="10">
                  <c:v>301.65706479776685</c:v>
                </c:pt>
                <c:pt idx="11">
                  <c:v>274.82500889785263</c:v>
                </c:pt>
                <c:pt idx="12">
                  <c:v>332.29485069362801</c:v>
                </c:pt>
                <c:pt idx="13">
                  <c:v>344.15774384178809</c:v>
                </c:pt>
                <c:pt idx="14">
                  <c:v>293.50998015641414</c:v>
                </c:pt>
                <c:pt idx="15">
                  <c:v>327.03998129530044</c:v>
                </c:pt>
                <c:pt idx="16">
                  <c:v>723.49284541402767</c:v>
                </c:pt>
                <c:pt idx="17">
                  <c:v>431.32077685853432</c:v>
                </c:pt>
                <c:pt idx="18">
                  <c:v>113.86869940317911</c:v>
                </c:pt>
                <c:pt idx="19">
                  <c:v>58.679706601466989</c:v>
                </c:pt>
                <c:pt idx="20">
                  <c:v>198.00132442357474</c:v>
                </c:pt>
              </c:numCache>
            </c:numRef>
          </c:val>
          <c:smooth val="0"/>
          <c:extLst>
            <c:ext xmlns:c16="http://schemas.microsoft.com/office/drawing/2014/chart" uri="{C3380CC4-5D6E-409C-BE32-E72D297353CC}">
              <c16:uniqueId val="{00000002-94F9-4150-88CC-AB1682B8DD3D}"/>
            </c:ext>
          </c:extLst>
        </c:ser>
        <c:ser>
          <c:idx val="0"/>
          <c:order val="3"/>
          <c:tx>
            <c:strRef>
              <c:f>Laskelma!$A$43</c:f>
              <c:strCache>
                <c:ptCount val="1"/>
                <c:pt idx="0">
                  <c:v>Tilikauden yli/alijäämä</c:v>
                </c:pt>
              </c:strCache>
            </c:strRef>
          </c:tx>
          <c:spPr>
            <a:ln w="28575">
              <a:noFill/>
            </a:ln>
          </c:spPr>
          <c:marker>
            <c:symbol val="diamond"/>
            <c:size val="5"/>
            <c:spPr>
              <a:solidFill>
                <a:srgbClr val="FF0000"/>
              </a:solidFill>
              <a:ln>
                <a:solidFill>
                  <a:srgbClr val="FF0000"/>
                </a:solidFill>
                <a:prstDash val="solid"/>
              </a:ln>
            </c:spPr>
          </c:marker>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Laskelma!$B$43:$V$43</c:f>
              <c:numCache>
                <c:formatCode>#,##0</c:formatCode>
                <c:ptCount val="21"/>
                <c:pt idx="0">
                  <c:v>-166.79846954239281</c:v>
                </c:pt>
                <c:pt idx="1">
                  <c:v>65.170976644419042</c:v>
                </c:pt>
                <c:pt idx="2">
                  <c:v>-108.40183883630911</c:v>
                </c:pt>
                <c:pt idx="3">
                  <c:v>38.651101312650326</c:v>
                </c:pt>
                <c:pt idx="4">
                  <c:v>203.2636346714649</c:v>
                </c:pt>
                <c:pt idx="5">
                  <c:v>-70.13338250660766</c:v>
                </c:pt>
                <c:pt idx="6">
                  <c:v>-106.22396471453075</c:v>
                </c:pt>
                <c:pt idx="7">
                  <c:v>-98.100109609061022</c:v>
                </c:pt>
                <c:pt idx="8">
                  <c:v>-73.375135656577839</c:v>
                </c:pt>
                <c:pt idx="9">
                  <c:v>74.740112319273507</c:v>
                </c:pt>
                <c:pt idx="10">
                  <c:v>100.43356892558057</c:v>
                </c:pt>
                <c:pt idx="11">
                  <c:v>114.7229801874481</c:v>
                </c:pt>
                <c:pt idx="12">
                  <c:v>131.96567129085352</c:v>
                </c:pt>
                <c:pt idx="13">
                  <c:v>16.967994851091216</c:v>
                </c:pt>
                <c:pt idx="14">
                  <c:v>-212.61818606279911</c:v>
                </c:pt>
                <c:pt idx="15">
                  <c:v>5.8452186111760583E-2</c:v>
                </c:pt>
                <c:pt idx="16">
                  <c:v>-295.27328172648367</c:v>
                </c:pt>
                <c:pt idx="17">
                  <c:v>-172.68086604471043</c:v>
                </c:pt>
                <c:pt idx="18">
                  <c:v>4.96365892572239</c:v>
                </c:pt>
                <c:pt idx="19">
                  <c:v>91.89576003339495</c:v>
                </c:pt>
                <c:pt idx="20">
                  <c:v>-139.78688820661009</c:v>
                </c:pt>
              </c:numCache>
            </c:numRef>
          </c:val>
          <c:smooth val="0"/>
          <c:extLst>
            <c:ext xmlns:c16="http://schemas.microsoft.com/office/drawing/2014/chart" uri="{C3380CC4-5D6E-409C-BE32-E72D297353CC}">
              <c16:uniqueId val="{00000003-94F9-4150-88CC-AB1682B8DD3D}"/>
            </c:ext>
          </c:extLst>
        </c:ser>
        <c:dLbls>
          <c:showLegendKey val="0"/>
          <c:showVal val="0"/>
          <c:showCatName val="0"/>
          <c:showSerName val="0"/>
          <c:showPercent val="0"/>
          <c:showBubbleSize val="0"/>
        </c:dLbls>
        <c:marker val="1"/>
        <c:smooth val="0"/>
        <c:axId val="181640576"/>
        <c:axId val="181650944"/>
      </c:lineChart>
      <c:catAx>
        <c:axId val="1816405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81650944"/>
        <c:crosses val="autoZero"/>
        <c:auto val="0"/>
        <c:lblAlgn val="ctr"/>
        <c:lblOffset val="100"/>
        <c:tickLblSkip val="1"/>
        <c:tickMarkSkip val="1"/>
        <c:noMultiLvlLbl val="0"/>
      </c:catAx>
      <c:valAx>
        <c:axId val="181650944"/>
        <c:scaling>
          <c:orientation val="minMax"/>
        </c:scaling>
        <c:delete val="0"/>
        <c:axPos val="l"/>
        <c:majorGridlines>
          <c:spPr>
            <a:ln w="3175">
              <a:solidFill>
                <a:srgbClr val="000000"/>
              </a:solidFill>
              <a:prstDash val="solid"/>
            </a:ln>
          </c:spPr>
        </c:majorGridlines>
        <c:title>
          <c:tx>
            <c:rich>
              <a:bodyPr rot="0" vert="horz"/>
              <a:lstStyle/>
              <a:p>
                <a:pPr algn="ctr">
                  <a:defRPr sz="925" b="1" i="0" u="none" strike="noStrike" baseline="0">
                    <a:solidFill>
                      <a:srgbClr val="000000"/>
                    </a:solidFill>
                    <a:latin typeface="Verdana"/>
                    <a:ea typeface="Verdana"/>
                    <a:cs typeface="Verdana"/>
                  </a:defRPr>
                </a:pPr>
                <a:r>
                  <a:rPr lang="fi-FI"/>
                  <a:t>€ / asukas</a:t>
                </a:r>
              </a:p>
            </c:rich>
          </c:tx>
          <c:layout>
            <c:manualLayout>
              <c:xMode val="edge"/>
              <c:yMode val="edge"/>
              <c:x val="6.2827225130890049E-2"/>
              <c:y val="0.2156867319689613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81640576"/>
        <c:crosses val="autoZero"/>
        <c:crossBetween val="between"/>
      </c:valAx>
      <c:spPr>
        <a:solidFill>
          <a:srgbClr val="FFFFFF"/>
        </a:solidFill>
        <a:ln w="12700">
          <a:solidFill>
            <a:srgbClr val="808080"/>
          </a:solidFill>
          <a:prstDash val="solid"/>
        </a:ln>
      </c:spPr>
    </c:plotArea>
    <c:legend>
      <c:legendPos val="r"/>
      <c:layout>
        <c:manualLayout>
          <c:xMode val="edge"/>
          <c:yMode val="edge"/>
          <c:x val="0.19240837696335078"/>
          <c:y val="0.23093727663127075"/>
          <c:w val="0.79712041884816753"/>
          <c:h val="3.9215686274509803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fi-FI"/>
    </a:p>
  </c:txPr>
  <c:printSettings>
    <c:headerFooter alignWithMargins="0">
      <c:oddHeader>&amp;A</c:oddHeader>
    </c:headerFooter>
    <c:pageMargins b="1" l="0.75" r="0.7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fi-FI"/>
              <a:t>Vuosikate, poistot, nettoinvestoinnit ja tilikauden yli/alijäämä
- vertailu tilinpäätösten 1998-2018 mukaan</a:t>
            </a:r>
          </a:p>
        </c:rich>
      </c:tx>
      <c:layout>
        <c:manualLayout>
          <c:xMode val="edge"/>
          <c:yMode val="edge"/>
          <c:x val="0.11386696730552424"/>
          <c:y val="8.2788899753543879E-2"/>
        </c:manualLayout>
      </c:layout>
      <c:overlay val="0"/>
      <c:spPr>
        <a:noFill/>
        <a:ln w="25400">
          <a:noFill/>
        </a:ln>
      </c:spPr>
    </c:title>
    <c:autoTitleDeleted val="0"/>
    <c:plotArea>
      <c:layout>
        <c:manualLayout>
          <c:layoutTarget val="inner"/>
          <c:xMode val="edge"/>
          <c:yMode val="edge"/>
          <c:x val="8.2299887260428417E-2"/>
          <c:y val="0.26361711860259779"/>
          <c:w val="0.90078917700112737"/>
          <c:h val="0.40522962033126603"/>
        </c:manualLayout>
      </c:layout>
      <c:barChart>
        <c:barDir val="col"/>
        <c:grouping val="clustered"/>
        <c:varyColors val="0"/>
        <c:ser>
          <c:idx val="1"/>
          <c:order val="2"/>
          <c:tx>
            <c:strRef>
              <c:f>Laskelma!$A$36</c:f>
              <c:strCache>
                <c:ptCount val="1"/>
                <c:pt idx="0">
                  <c:v>Vuosikate</c:v>
                </c:pt>
              </c:strCache>
            </c:strRef>
          </c:tx>
          <c:spPr>
            <a:solidFill>
              <a:srgbClr val="00FFFF"/>
            </a:solidFill>
            <a:ln w="12700">
              <a:solidFill>
                <a:srgbClr val="000000"/>
              </a:solidFill>
              <a:prstDash val="solid"/>
            </a:ln>
          </c:spPr>
          <c:invertIfNegative val="0"/>
          <c:cat>
            <c:multiLvlStrRef>
              <c:f>(Laskelma!$B$2:$W$3,Laskelma!$AT$1:$CB$3)</c:f>
              <c:multiLvlStrCache>
                <c:ptCount val="5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lvl>
                <c:lvl>
                  <c:pt idx="0">
                    <c:v>Akaa</c:v>
                  </c:pt>
                  <c:pt idx="22">
                    <c:v>10 000-20 000 as</c:v>
                  </c:pt>
                  <c:pt idx="44">
                    <c:v>Pirkanmaa</c:v>
                  </c:pt>
                </c:lvl>
                <c:lvl>
                  <c:pt idx="22">
                    <c:v>KUNTAKOKOLUOKKA</c:v>
                  </c:pt>
                  <c:pt idx="44">
                    <c:v>MAAKUNTA</c:v>
                  </c:pt>
                </c:lvl>
              </c:multiLvlStrCache>
            </c:multiLvlStrRef>
          </c:cat>
          <c:val>
            <c:numRef>
              <c:f>(Laskelma!$B$36:$W$36,Laskelma!$AT$36:$DF$36)</c:f>
              <c:numCache>
                <c:formatCode>#,##0</c:formatCode>
                <c:ptCount val="87"/>
                <c:pt idx="0">
                  <c:v>-83.250743192053989</c:v>
                </c:pt>
                <c:pt idx="1">
                  <c:v>160.66090004221064</c:v>
                </c:pt>
                <c:pt idx="2">
                  <c:v>30.610308096036682</c:v>
                </c:pt>
                <c:pt idx="3">
                  <c:v>189.72840986551932</c:v>
                </c:pt>
                <c:pt idx="4">
                  <c:v>350.0031023143265</c:v>
                </c:pt>
                <c:pt idx="5">
                  <c:v>-3.2577294240580246</c:v>
                </c:pt>
                <c:pt idx="6">
                  <c:v>63.893653516295025</c:v>
                </c:pt>
                <c:pt idx="7">
                  <c:v>72.768237729874556</c:v>
                </c:pt>
                <c:pt idx="8">
                  <c:v>93.150850114554444</c:v>
                </c:pt>
                <c:pt idx="9">
                  <c:v>246.62444736527661</c:v>
                </c:pt>
                <c:pt idx="10">
                  <c:v>274.21749717883233</c:v>
                </c:pt>
                <c:pt idx="11">
                  <c:v>297.95942579190887</c:v>
                </c:pt>
                <c:pt idx="12">
                  <c:v>310.78062544086526</c:v>
                </c:pt>
                <c:pt idx="13">
                  <c:v>204.14253115674916</c:v>
                </c:pt>
                <c:pt idx="14">
                  <c:v>-194.81732228317964</c:v>
                </c:pt>
                <c:pt idx="15">
                  <c:v>192.71685761047462</c:v>
                </c:pt>
                <c:pt idx="16">
                  <c:v>-76.471968097583854</c:v>
                </c:pt>
                <c:pt idx="17">
                  <c:v>72.111717420641909</c:v>
                </c:pt>
                <c:pt idx="18">
                  <c:v>281.68764403474563</c:v>
                </c:pt>
                <c:pt idx="19">
                  <c:v>370.20692945315761</c:v>
                </c:pt>
                <c:pt idx="20">
                  <c:v>134.12798747817712</c:v>
                </c:pt>
                <c:pt idx="22">
                  <c:v>115.0878187288471</c:v>
                </c:pt>
                <c:pt idx="23">
                  <c:v>176.57544920701415</c:v>
                </c:pt>
                <c:pt idx="24">
                  <c:v>95.921778511525872</c:v>
                </c:pt>
                <c:pt idx="25">
                  <c:v>203.09497826507251</c:v>
                </c:pt>
                <c:pt idx="26">
                  <c:v>360.38292528754135</c:v>
                </c:pt>
                <c:pt idx="27">
                  <c:v>166.21062980467408</c:v>
                </c:pt>
                <c:pt idx="28">
                  <c:v>83.180663380467024</c:v>
                </c:pt>
                <c:pt idx="29">
                  <c:v>89.563389832790108</c:v>
                </c:pt>
                <c:pt idx="30">
                  <c:v>187.97063032208121</c:v>
                </c:pt>
                <c:pt idx="31">
                  <c:v>215.19963800844536</c:v>
                </c:pt>
                <c:pt idx="32">
                  <c:v>204.61337535690606</c:v>
                </c:pt>
                <c:pt idx="33">
                  <c:v>243.61531957868999</c:v>
                </c:pt>
                <c:pt idx="34">
                  <c:v>335.04153907624254</c:v>
                </c:pt>
                <c:pt idx="35">
                  <c:v>245.69248285172756</c:v>
                </c:pt>
                <c:pt idx="36">
                  <c:v>145.29053981563246</c:v>
                </c:pt>
                <c:pt idx="37">
                  <c:v>304.1043698175377</c:v>
                </c:pt>
                <c:pt idx="38">
                  <c:v>479.61202568438853</c:v>
                </c:pt>
                <c:pt idx="39">
                  <c:v>305.48970659321014</c:v>
                </c:pt>
                <c:pt idx="40">
                  <c:v>408.11850149604652</c:v>
                </c:pt>
                <c:pt idx="41">
                  <c:v>470.48634843579646</c:v>
                </c:pt>
                <c:pt idx="42">
                  <c:v>246.06855125925355</c:v>
                </c:pt>
                <c:pt idx="44">
                  <c:v>273.60963603893481</c:v>
                </c:pt>
                <c:pt idx="45">
                  <c:v>302.54389415451328</c:v>
                </c:pt>
                <c:pt idx="46">
                  <c:v>273.40948353295926</c:v>
                </c:pt>
                <c:pt idx="47">
                  <c:v>343.46293277396177</c:v>
                </c:pt>
                <c:pt idx="48">
                  <c:v>503.27656577410505</c:v>
                </c:pt>
                <c:pt idx="49">
                  <c:v>287.72505157997608</c:v>
                </c:pt>
                <c:pt idx="50">
                  <c:v>282.56555298696043</c:v>
                </c:pt>
                <c:pt idx="51">
                  <c:v>271.45308191991535</c:v>
                </c:pt>
                <c:pt idx="52">
                  <c:v>295.57171071273001</c:v>
                </c:pt>
                <c:pt idx="53">
                  <c:v>383.09714163760043</c:v>
                </c:pt>
                <c:pt idx="54">
                  <c:v>441.75817792153094</c:v>
                </c:pt>
                <c:pt idx="55">
                  <c:v>342.34289879062641</c:v>
                </c:pt>
                <c:pt idx="56">
                  <c:v>467.51582200853653</c:v>
                </c:pt>
                <c:pt idx="57">
                  <c:v>322.56964668778681</c:v>
                </c:pt>
                <c:pt idx="58">
                  <c:v>184.99379742552884</c:v>
                </c:pt>
                <c:pt idx="59">
                  <c:v>333.06142360736237</c:v>
                </c:pt>
                <c:pt idx="60">
                  <c:v>320.90936902789531</c:v>
                </c:pt>
                <c:pt idx="61">
                  <c:v>325.39902077397585</c:v>
                </c:pt>
                <c:pt idx="62">
                  <c:v>400.09737786538295</c:v>
                </c:pt>
                <c:pt idx="63">
                  <c:v>453.9320927743853</c:v>
                </c:pt>
                <c:pt idx="64">
                  <c:v>248.28817985031887</c:v>
                </c:pt>
                <c:pt idx="66">
                  <c:v>72.99117548399785</c:v>
                </c:pt>
                <c:pt idx="67">
                  <c:v>162.78189370183648</c:v>
                </c:pt>
                <c:pt idx="68">
                  <c:v>54.217196971489763</c:v>
                </c:pt>
                <c:pt idx="69">
                  <c:v>136.71652039242682</c:v>
                </c:pt>
                <c:pt idx="70">
                  <c:v>365.22496240988011</c:v>
                </c:pt>
                <c:pt idx="71">
                  <c:v>161.46505690645432</c:v>
                </c:pt>
                <c:pt idx="72">
                  <c:v>71.757752160647499</c:v>
                </c:pt>
                <c:pt idx="73">
                  <c:v>49.221381808936627</c:v>
                </c:pt>
                <c:pt idx="74">
                  <c:v>144.34997222643034</c:v>
                </c:pt>
                <c:pt idx="75">
                  <c:v>173.92039476980111</c:v>
                </c:pt>
                <c:pt idx="76">
                  <c:v>205.90287512070523</c:v>
                </c:pt>
                <c:pt idx="77">
                  <c:v>266.56141635081235</c:v>
                </c:pt>
                <c:pt idx="78">
                  <c:v>370.02154432969934</c:v>
                </c:pt>
                <c:pt idx="79">
                  <c:v>241.49191049277078</c:v>
                </c:pt>
                <c:pt idx="80">
                  <c:v>86.552384942910493</c:v>
                </c:pt>
                <c:pt idx="81">
                  <c:v>208.09677916474033</c:v>
                </c:pt>
                <c:pt idx="82">
                  <c:v>250.88299982417121</c:v>
                </c:pt>
                <c:pt idx="83">
                  <c:v>299.3218106079583</c:v>
                </c:pt>
                <c:pt idx="84">
                  <c:v>359.11288117901432</c:v>
                </c:pt>
                <c:pt idx="85">
                  <c:v>428.11542509830622</c:v>
                </c:pt>
                <c:pt idx="86">
                  <c:v>193.60784597431439</c:v>
                </c:pt>
              </c:numCache>
            </c:numRef>
          </c:val>
          <c:extLst>
            <c:ext xmlns:c16="http://schemas.microsoft.com/office/drawing/2014/chart" uri="{C3380CC4-5D6E-409C-BE32-E72D297353CC}">
              <c16:uniqueId val="{00000000-3E8C-437F-AE21-2888E33A26EF}"/>
            </c:ext>
          </c:extLst>
        </c:ser>
        <c:dLbls>
          <c:showLegendKey val="0"/>
          <c:showVal val="0"/>
          <c:showCatName val="0"/>
          <c:showSerName val="0"/>
          <c:showPercent val="0"/>
          <c:showBubbleSize val="0"/>
        </c:dLbls>
        <c:gapWidth val="150"/>
        <c:axId val="181707520"/>
        <c:axId val="181709056"/>
      </c:barChart>
      <c:lineChart>
        <c:grouping val="standard"/>
        <c:varyColors val="0"/>
        <c:ser>
          <c:idx val="2"/>
          <c:order val="0"/>
          <c:tx>
            <c:strRef>
              <c:f>Laskelma!$A$38</c:f>
              <c:strCache>
                <c:ptCount val="1"/>
                <c:pt idx="0">
                  <c:v>KO-poistot</c:v>
                </c:pt>
              </c:strCache>
            </c:strRef>
          </c:tx>
          <c:spPr>
            <a:ln w="25400">
              <a:solidFill>
                <a:srgbClr val="0000FF"/>
              </a:solidFill>
              <a:prstDash val="solid"/>
            </a:ln>
          </c:spPr>
          <c:marker>
            <c:symbol val="none"/>
          </c:marker>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(Laskelma!$B$38:$W$38,Laskelma!$AT$38:$DF$38)</c:f>
              <c:numCache>
                <c:formatCode>#,##0</c:formatCode>
                <c:ptCount val="87"/>
                <c:pt idx="0">
                  <c:v>115.72797285877192</c:v>
                </c:pt>
                <c:pt idx="1">
                  <c:v>121.25470290587313</c:v>
                </c:pt>
                <c:pt idx="2">
                  <c:v>136.93419011121583</c:v>
                </c:pt>
                <c:pt idx="3">
                  <c:v>145.35627373065429</c:v>
                </c:pt>
                <c:pt idx="4">
                  <c:v>168.02134392256625</c:v>
                </c:pt>
                <c:pt idx="5">
                  <c:v>147.64275616202593</c:v>
                </c:pt>
                <c:pt idx="6">
                  <c:v>173.2418524871355</c:v>
                </c:pt>
                <c:pt idx="7">
                  <c:v>174.2784070149799</c:v>
                </c:pt>
                <c:pt idx="8">
                  <c:v>166.28481852164475</c:v>
                </c:pt>
                <c:pt idx="9">
                  <c:v>175.05078265025691</c:v>
                </c:pt>
                <c:pt idx="10">
                  <c:v>176.63479242145274</c:v>
                </c:pt>
                <c:pt idx="11">
                  <c:v>185.84648238225174</c:v>
                </c:pt>
                <c:pt idx="12">
                  <c:v>181.22501763461085</c:v>
                </c:pt>
                <c:pt idx="13">
                  <c:v>189.39792873442161</c:v>
                </c:pt>
                <c:pt idx="14">
                  <c:v>148.3016225049609</c:v>
                </c:pt>
                <c:pt idx="15">
                  <c:v>194.64577975216272</c:v>
                </c:pt>
                <c:pt idx="16">
                  <c:v>220.67792634295097</c:v>
                </c:pt>
                <c:pt idx="17">
                  <c:v>246.61151205773632</c:v>
                </c:pt>
                <c:pt idx="18">
                  <c:v>278.4376292619512</c:v>
                </c:pt>
                <c:pt idx="19">
                  <c:v>279.98091716858488</c:v>
                </c:pt>
                <c:pt idx="20">
                  <c:v>275.54030461742218</c:v>
                </c:pt>
                <c:pt idx="22">
                  <c:v>155.83605324464915</c:v>
                </c:pt>
                <c:pt idx="23">
                  <c:v>162.67123975428112</c:v>
                </c:pt>
                <c:pt idx="24">
                  <c:v>168.83470784514483</c:v>
                </c:pt>
                <c:pt idx="25">
                  <c:v>175.39048036210056</c:v>
                </c:pt>
                <c:pt idx="26">
                  <c:v>182.18607701550104</c:v>
                </c:pt>
                <c:pt idx="27">
                  <c:v>184.08998224925165</c:v>
                </c:pt>
                <c:pt idx="28">
                  <c:v>187.60353721941624</c:v>
                </c:pt>
                <c:pt idx="29">
                  <c:v>196.4855127944094</c:v>
                </c:pt>
                <c:pt idx="30">
                  <c:v>200.53585252158993</c:v>
                </c:pt>
                <c:pt idx="31">
                  <c:v>207.01475516313832</c:v>
                </c:pt>
                <c:pt idx="32">
                  <c:v>217.53029328766712</c:v>
                </c:pt>
                <c:pt idx="33">
                  <c:v>229.83686778167757</c:v>
                </c:pt>
                <c:pt idx="34">
                  <c:v>244.41821253483695</c:v>
                </c:pt>
                <c:pt idx="35">
                  <c:v>246.39477297851982</c:v>
                </c:pt>
                <c:pt idx="36">
                  <c:v>256.127291183534</c:v>
                </c:pt>
                <c:pt idx="37">
                  <c:v>282.45915522253534</c:v>
                </c:pt>
                <c:pt idx="38">
                  <c:v>292.5645412747067</c:v>
                </c:pt>
                <c:pt idx="39">
                  <c:v>301.32135691535501</c:v>
                </c:pt>
                <c:pt idx="40">
                  <c:v>324.42789919203523</c:v>
                </c:pt>
                <c:pt idx="41">
                  <c:v>338.37341504155984</c:v>
                </c:pt>
                <c:pt idx="42">
                  <c:v>346.7166558006781</c:v>
                </c:pt>
                <c:pt idx="44">
                  <c:v>218.50083185015495</c:v>
                </c:pt>
                <c:pt idx="45">
                  <c:v>227.66989320484271</c:v>
                </c:pt>
                <c:pt idx="46">
                  <c:v>240.02406099539854</c:v>
                </c:pt>
                <c:pt idx="47">
                  <c:v>251.14121437281838</c:v>
                </c:pt>
                <c:pt idx="48">
                  <c:v>271.48687842584854</c:v>
                </c:pt>
                <c:pt idx="49">
                  <c:v>284.32837441633183</c:v>
                </c:pt>
                <c:pt idx="50">
                  <c:v>288.15117115022838</c:v>
                </c:pt>
                <c:pt idx="51">
                  <c:v>289.18020332732971</c:v>
                </c:pt>
                <c:pt idx="52">
                  <c:v>288.91510930105687</c:v>
                </c:pt>
                <c:pt idx="53">
                  <c:v>301.77996405338848</c:v>
                </c:pt>
                <c:pt idx="54">
                  <c:v>322.88241261911332</c:v>
                </c:pt>
                <c:pt idx="55">
                  <c:v>315.11037541228643</c:v>
                </c:pt>
                <c:pt idx="56">
                  <c:v>313.51493891968795</c:v>
                </c:pt>
                <c:pt idx="57">
                  <c:v>315.85003764685825</c:v>
                </c:pt>
                <c:pt idx="58">
                  <c:v>326.75283143496961</c:v>
                </c:pt>
                <c:pt idx="59">
                  <c:v>348.93215452469781</c:v>
                </c:pt>
                <c:pt idx="60">
                  <c:v>358.05610848222625</c:v>
                </c:pt>
                <c:pt idx="61">
                  <c:v>398.50112820431758</c:v>
                </c:pt>
                <c:pt idx="62">
                  <c:v>391.71816961025297</c:v>
                </c:pt>
                <c:pt idx="63">
                  <c:v>415.18236372761339</c:v>
                </c:pt>
                <c:pt idx="64">
                  <c:v>411.52602917908348</c:v>
                </c:pt>
                <c:pt idx="66">
                  <c:v>149.07919229910038</c:v>
                </c:pt>
                <c:pt idx="67">
                  <c:v>154.93865290250096</c:v>
                </c:pt>
                <c:pt idx="68">
                  <c:v>162.4733838510727</c:v>
                </c:pt>
                <c:pt idx="69">
                  <c:v>161.86701722006518</c:v>
                </c:pt>
                <c:pt idx="70">
                  <c:v>168.31699073419608</c:v>
                </c:pt>
                <c:pt idx="71">
                  <c:v>170.46630298642765</c:v>
                </c:pt>
                <c:pt idx="72">
                  <c:v>175.27415010276638</c:v>
                </c:pt>
                <c:pt idx="73">
                  <c:v>176.72090510392169</c:v>
                </c:pt>
                <c:pt idx="74">
                  <c:v>174.97033277786193</c:v>
                </c:pt>
                <c:pt idx="75">
                  <c:v>178.62018435950102</c:v>
                </c:pt>
                <c:pt idx="76">
                  <c:v>184.92975734355045</c:v>
                </c:pt>
                <c:pt idx="77">
                  <c:v>194.60866112913533</c:v>
                </c:pt>
                <c:pt idx="78">
                  <c:v>208.8779948009236</c:v>
                </c:pt>
                <c:pt idx="79">
                  <c:v>214.20312109747186</c:v>
                </c:pt>
                <c:pt idx="80">
                  <c:v>219.90707934610478</c:v>
                </c:pt>
                <c:pt idx="81">
                  <c:v>259.97534288796425</c:v>
                </c:pt>
                <c:pt idx="82">
                  <c:v>293.14668747821418</c:v>
                </c:pt>
                <c:pt idx="83">
                  <c:v>274.82906101849017</c:v>
                </c:pt>
                <c:pt idx="84">
                  <c:v>294.36526082958471</c:v>
                </c:pt>
                <c:pt idx="85">
                  <c:v>299.99718901968623</c:v>
                </c:pt>
                <c:pt idx="86">
                  <c:v>322.12719512080042</c:v>
                </c:pt>
              </c:numCache>
            </c:numRef>
          </c:val>
          <c:smooth val="0"/>
          <c:extLst>
            <c:ext xmlns:c16="http://schemas.microsoft.com/office/drawing/2014/chart" uri="{C3380CC4-5D6E-409C-BE32-E72D297353CC}">
              <c16:uniqueId val="{00000001-3E8C-437F-AE21-2888E33A26EF}"/>
            </c:ext>
          </c:extLst>
        </c:ser>
        <c:ser>
          <c:idx val="0"/>
          <c:order val="1"/>
          <c:tx>
            <c:strRef>
              <c:f>Laskelma!$A$43</c:f>
              <c:strCache>
                <c:ptCount val="1"/>
                <c:pt idx="0">
                  <c:v>Tilikauden yli/alijäämä</c:v>
                </c:pt>
              </c:strCache>
            </c:strRef>
          </c:tx>
          <c:spPr>
            <a:ln w="28575">
              <a:noFill/>
            </a:ln>
          </c:spPr>
          <c:marker>
            <c:symbol val="diamond"/>
            <c:size val="3"/>
            <c:spPr>
              <a:solidFill>
                <a:srgbClr val="FF0000"/>
              </a:solidFill>
              <a:ln>
                <a:solidFill>
                  <a:srgbClr val="FF0000"/>
                </a:solidFill>
                <a:prstDash val="solid"/>
              </a:ln>
            </c:spPr>
          </c:marker>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(Laskelma!$B$43:$W$43,Laskelma!$AT$43:$DF$43)</c:f>
              <c:numCache>
                <c:formatCode>#,##0</c:formatCode>
                <c:ptCount val="87"/>
                <c:pt idx="0">
                  <c:v>-166.79846954239281</c:v>
                </c:pt>
                <c:pt idx="1">
                  <c:v>65.170976644419042</c:v>
                </c:pt>
                <c:pt idx="2">
                  <c:v>-108.40183883630911</c:v>
                </c:pt>
                <c:pt idx="3">
                  <c:v>38.651101312650326</c:v>
                </c:pt>
                <c:pt idx="4">
                  <c:v>203.2636346714649</c:v>
                </c:pt>
                <c:pt idx="5">
                  <c:v>-70.13338250660766</c:v>
                </c:pt>
                <c:pt idx="6">
                  <c:v>-106.22396471453075</c:v>
                </c:pt>
                <c:pt idx="7">
                  <c:v>-98.100109609061022</c:v>
                </c:pt>
                <c:pt idx="8">
                  <c:v>-73.375135656577839</c:v>
                </c:pt>
                <c:pt idx="9">
                  <c:v>74.740112319273507</c:v>
                </c:pt>
                <c:pt idx="10">
                  <c:v>100.43356892558057</c:v>
                </c:pt>
                <c:pt idx="11">
                  <c:v>114.7229801874481</c:v>
                </c:pt>
                <c:pt idx="12">
                  <c:v>131.96567129085352</c:v>
                </c:pt>
                <c:pt idx="13">
                  <c:v>16.967994851091216</c:v>
                </c:pt>
                <c:pt idx="14">
                  <c:v>-212.61818606279911</c:v>
                </c:pt>
                <c:pt idx="15">
                  <c:v>5.8452186111760583E-2</c:v>
                </c:pt>
                <c:pt idx="16">
                  <c:v>-295.27328172648367</c:v>
                </c:pt>
                <c:pt idx="17">
                  <c:v>-172.68086604471043</c:v>
                </c:pt>
                <c:pt idx="18">
                  <c:v>4.96365892572239</c:v>
                </c:pt>
                <c:pt idx="19">
                  <c:v>91.89576003339495</c:v>
                </c:pt>
                <c:pt idx="20">
                  <c:v>-139.78688820661009</c:v>
                </c:pt>
                <c:pt idx="22">
                  <c:v>-36.158388464599582</c:v>
                </c:pt>
                <c:pt idx="23">
                  <c:v>62.088291975577064</c:v>
                </c:pt>
                <c:pt idx="24">
                  <c:v>-26.763711171802207</c:v>
                </c:pt>
                <c:pt idx="25">
                  <c:v>30.126817605235551</c:v>
                </c:pt>
                <c:pt idx="26">
                  <c:v>180.11689762052842</c:v>
                </c:pt>
                <c:pt idx="27">
                  <c:v>-1.7107727921131852</c:v>
                </c:pt>
                <c:pt idx="28">
                  <c:v>-86.080549004524428</c:v>
                </c:pt>
                <c:pt idx="29">
                  <c:v>-96.018227006325276</c:v>
                </c:pt>
                <c:pt idx="30">
                  <c:v>19.544039436600837</c:v>
                </c:pt>
                <c:pt idx="31">
                  <c:v>16.38980212352795</c:v>
                </c:pt>
                <c:pt idx="32">
                  <c:v>43.824900299517907</c:v>
                </c:pt>
                <c:pt idx="33">
                  <c:v>23.371044820248926</c:v>
                </c:pt>
                <c:pt idx="34">
                  <c:v>84.112691841562949</c:v>
                </c:pt>
                <c:pt idx="35">
                  <c:v>5.2828742008351472</c:v>
                </c:pt>
                <c:pt idx="36">
                  <c:v>-72.530555991119982</c:v>
                </c:pt>
                <c:pt idx="37">
                  <c:v>113.45578925299908</c:v>
                </c:pt>
                <c:pt idx="38">
                  <c:v>205.36775975055491</c:v>
                </c:pt>
                <c:pt idx="39">
                  <c:v>37.316496599765593</c:v>
                </c:pt>
                <c:pt idx="40">
                  <c:v>72.223679709889851</c:v>
                </c:pt>
                <c:pt idx="41">
                  <c:v>129.10888910375456</c:v>
                </c:pt>
                <c:pt idx="42">
                  <c:v>-89.618427822740813</c:v>
                </c:pt>
                <c:pt idx="44">
                  <c:v>81.804695421039739</c:v>
                </c:pt>
                <c:pt idx="45">
                  <c:v>74.400694770369299</c:v>
                </c:pt>
                <c:pt idx="46">
                  <c:v>38.737158727497899</c:v>
                </c:pt>
                <c:pt idx="47">
                  <c:v>91.477140759210315</c:v>
                </c:pt>
                <c:pt idx="48">
                  <c:v>212.53483265016865</c:v>
                </c:pt>
                <c:pt idx="49">
                  <c:v>27.51775437072429</c:v>
                </c:pt>
                <c:pt idx="50">
                  <c:v>23.437318386692667</c:v>
                </c:pt>
                <c:pt idx="51">
                  <c:v>107.47176720642589</c:v>
                </c:pt>
                <c:pt idx="52">
                  <c:v>0.14410653945537588</c:v>
                </c:pt>
                <c:pt idx="53">
                  <c:v>65.747984541701626</c:v>
                </c:pt>
                <c:pt idx="54">
                  <c:v>417.74982935649246</c:v>
                </c:pt>
                <c:pt idx="55">
                  <c:v>25.733674280325957</c:v>
                </c:pt>
                <c:pt idx="56">
                  <c:v>159.2789743086559</c:v>
                </c:pt>
                <c:pt idx="57">
                  <c:v>14.133300320454929</c:v>
                </c:pt>
                <c:pt idx="58">
                  <c:v>-122.91367949606096</c:v>
                </c:pt>
                <c:pt idx="59">
                  <c:v>64.732508807076044</c:v>
                </c:pt>
                <c:pt idx="60">
                  <c:v>-57.590458141133375</c:v>
                </c:pt>
                <c:pt idx="61">
                  <c:v>-81.078571230987478</c:v>
                </c:pt>
                <c:pt idx="62">
                  <c:v>-0.22773855613755409</c:v>
                </c:pt>
                <c:pt idx="63">
                  <c:v>40.341274134365463</c:v>
                </c:pt>
                <c:pt idx="64">
                  <c:v>-142.13882875974335</c:v>
                </c:pt>
                <c:pt idx="66">
                  <c:v>-51.285115842726995</c:v>
                </c:pt>
                <c:pt idx="67">
                  <c:v>30.661939421400231</c:v>
                </c:pt>
                <c:pt idx="68">
                  <c:v>-72.856355812038998</c:v>
                </c:pt>
                <c:pt idx="69">
                  <c:v>-20.187373446238535</c:v>
                </c:pt>
                <c:pt idx="70">
                  <c:v>197.09415521827972</c:v>
                </c:pt>
                <c:pt idx="71">
                  <c:v>17.296326786875479</c:v>
                </c:pt>
                <c:pt idx="72">
                  <c:v>-85.93871676049686</c:v>
                </c:pt>
                <c:pt idx="73">
                  <c:v>-113.82222080976292</c:v>
                </c:pt>
                <c:pt idx="74">
                  <c:v>-29.275393879715196</c:v>
                </c:pt>
                <c:pt idx="75">
                  <c:v>5.529532588547668</c:v>
                </c:pt>
                <c:pt idx="76">
                  <c:v>31.778961467775598</c:v>
                </c:pt>
                <c:pt idx="77">
                  <c:v>84.148558029317073</c:v>
                </c:pt>
                <c:pt idx="78">
                  <c:v>149.96028053993737</c:v>
                </c:pt>
                <c:pt idx="79">
                  <c:v>40.553916172539154</c:v>
                </c:pt>
                <c:pt idx="80">
                  <c:v>-101.44556932386052</c:v>
                </c:pt>
                <c:pt idx="81">
                  <c:v>15.740483895823701</c:v>
                </c:pt>
                <c:pt idx="82">
                  <c:v>142.61873841303725</c:v>
                </c:pt>
                <c:pt idx="83">
                  <c:v>76.453251938236207</c:v>
                </c:pt>
                <c:pt idx="84">
                  <c:v>63.508089569301887</c:v>
                </c:pt>
                <c:pt idx="85">
                  <c:v>133.79953962389084</c:v>
                </c:pt>
                <c:pt idx="86">
                  <c:v>-123.17839966532566</c:v>
                </c:pt>
              </c:numCache>
            </c:numRef>
          </c:val>
          <c:smooth val="0"/>
          <c:extLst>
            <c:ext xmlns:c16="http://schemas.microsoft.com/office/drawing/2014/chart" uri="{C3380CC4-5D6E-409C-BE32-E72D297353CC}">
              <c16:uniqueId val="{00000002-3E8C-437F-AE21-2888E33A26EF}"/>
            </c:ext>
          </c:extLst>
        </c:ser>
        <c:ser>
          <c:idx val="3"/>
          <c:order val="3"/>
          <c:tx>
            <c:strRef>
              <c:f>Laskelma!$A$37</c:f>
              <c:strCache>
                <c:ptCount val="1"/>
                <c:pt idx="0">
                  <c:v>Nettoinvestoinnit</c:v>
                </c:pt>
              </c:strCache>
            </c:strRef>
          </c:tx>
          <c:spPr>
            <a:ln w="25400">
              <a:solidFill>
                <a:srgbClr val="0000FF"/>
              </a:solidFill>
              <a:prstDash val="sysDash"/>
            </a:ln>
          </c:spPr>
          <c:marker>
            <c:symbol val="none"/>
          </c:marker>
          <c:cat>
            <c:multiLvlStrRef>
              <c:f>(Laskelma!$B$2:$W$3,Laskelma!$AT$1:$DF$3)</c:f>
              <c:multiLvlStrCache>
                <c:ptCount val="87"/>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6">
                    <c:v>1998</c:v>
                  </c:pt>
                  <c:pt idx="67">
                    <c:v>1999</c:v>
                  </c:pt>
                  <c:pt idx="68">
                    <c:v>2000</c:v>
                  </c:pt>
                  <c:pt idx="69">
                    <c:v>2001</c:v>
                  </c:pt>
                  <c:pt idx="70">
                    <c:v>2002</c:v>
                  </c:pt>
                  <c:pt idx="71">
                    <c:v>2003</c:v>
                  </c:pt>
                  <c:pt idx="72">
                    <c:v>2004</c:v>
                  </c:pt>
                  <c:pt idx="73">
                    <c:v>2005</c:v>
                  </c:pt>
                  <c:pt idx="74">
                    <c:v>2006</c:v>
                  </c:pt>
                  <c:pt idx="75">
                    <c:v>2007</c:v>
                  </c:pt>
                  <c:pt idx="76">
                    <c:v>2008</c:v>
                  </c:pt>
                  <c:pt idx="77">
                    <c:v>2009</c:v>
                  </c:pt>
                  <c:pt idx="78">
                    <c:v>2010</c:v>
                  </c:pt>
                  <c:pt idx="79">
                    <c:v>2011</c:v>
                  </c:pt>
                  <c:pt idx="80">
                    <c:v>2012</c:v>
                  </c:pt>
                  <c:pt idx="81">
                    <c:v>2013</c:v>
                  </c:pt>
                  <c:pt idx="82">
                    <c:v>2014</c:v>
                  </c:pt>
                  <c:pt idx="83">
                    <c:v>2015</c:v>
                  </c:pt>
                  <c:pt idx="84">
                    <c:v>2016</c:v>
                  </c:pt>
                  <c:pt idx="85">
                    <c:v>2017</c:v>
                  </c:pt>
                  <c:pt idx="86">
                    <c:v>2018</c:v>
                  </c:pt>
                </c:lvl>
                <c:lvl>
                  <c:pt idx="0">
                    <c:v>Akaa</c:v>
                  </c:pt>
                  <c:pt idx="22">
                    <c:v>10 000-20 000 as</c:v>
                  </c:pt>
                  <c:pt idx="44">
                    <c:v>Pirkanmaa</c:v>
                  </c:pt>
                  <c:pt idx="66">
                    <c:v>230</c:v>
                  </c:pt>
                </c:lvl>
                <c:lvl>
                  <c:pt idx="22">
                    <c:v>KUNTAKOKOLUOKKA</c:v>
                  </c:pt>
                  <c:pt idx="44">
                    <c:v>MAAKUNTA</c:v>
                  </c:pt>
                  <c:pt idx="66">
                    <c:v>Taajaan as, taantuva</c:v>
                  </c:pt>
                </c:lvl>
              </c:multiLvlStrCache>
            </c:multiLvlStrRef>
          </c:cat>
          <c:val>
            <c:numRef>
              <c:f>(Laskelma!$B$37:$W$37,Laskelma!$AT$37:$DF$37)</c:f>
              <c:numCache>
                <c:formatCode>#,##0</c:formatCode>
                <c:ptCount val="87"/>
                <c:pt idx="0">
                  <c:v>150.62349394589143</c:v>
                </c:pt>
                <c:pt idx="1">
                  <c:v>168.8626178939451</c:v>
                </c:pt>
                <c:pt idx="2">
                  <c:v>353.01005550329256</c:v>
                </c:pt>
                <c:pt idx="3">
                  <c:v>264.38646860566723</c:v>
                </c:pt>
                <c:pt idx="4">
                  <c:v>230.75013960414469</c:v>
                </c:pt>
                <c:pt idx="5">
                  <c:v>169.15606367939026</c:v>
                </c:pt>
                <c:pt idx="6">
                  <c:v>324.00147022788531</c:v>
                </c:pt>
                <c:pt idx="7">
                  <c:v>169.65046888320546</c:v>
                </c:pt>
                <c:pt idx="8">
                  <c:v>237.12769805860364</c:v>
                </c:pt>
                <c:pt idx="9">
                  <c:v>149.89843469948619</c:v>
                </c:pt>
                <c:pt idx="10">
                  <c:v>301.65706479776685</c:v>
                </c:pt>
                <c:pt idx="11">
                  <c:v>274.82500889785263</c:v>
                </c:pt>
                <c:pt idx="12">
                  <c:v>332.29485069362801</c:v>
                </c:pt>
                <c:pt idx="13">
                  <c:v>344.15774384178809</c:v>
                </c:pt>
                <c:pt idx="14">
                  <c:v>293.50998015641414</c:v>
                </c:pt>
                <c:pt idx="15">
                  <c:v>327.03998129530044</c:v>
                </c:pt>
                <c:pt idx="16">
                  <c:v>723.49284541402767</c:v>
                </c:pt>
                <c:pt idx="17">
                  <c:v>431.32077685853432</c:v>
                </c:pt>
                <c:pt idx="18">
                  <c:v>113.86869940317911</c:v>
                </c:pt>
                <c:pt idx="19">
                  <c:v>58.679706601466989</c:v>
                </c:pt>
                <c:pt idx="20">
                  <c:v>198.00132442357474</c:v>
                </c:pt>
                <c:pt idx="22">
                  <c:v>194.13935402819112</c:v>
                </c:pt>
                <c:pt idx="23">
                  <c:v>31.586866387612769</c:v>
                </c:pt>
                <c:pt idx="24">
                  <c:v>271.38257943724432</c:v>
                </c:pt>
                <c:pt idx="25">
                  <c:v>282.04081148536795</c:v>
                </c:pt>
                <c:pt idx="26">
                  <c:v>255.42587643558852</c:v>
                </c:pt>
                <c:pt idx="27">
                  <c:v>277.88466582397149</c:v>
                </c:pt>
                <c:pt idx="28">
                  <c:v>322.63294094625007</c:v>
                </c:pt>
                <c:pt idx="29">
                  <c:v>315.5062487064244</c:v>
                </c:pt>
                <c:pt idx="30">
                  <c:v>318.64793584514899</c:v>
                </c:pt>
                <c:pt idx="31">
                  <c:v>344.72849798550362</c:v>
                </c:pt>
                <c:pt idx="32">
                  <c:v>386.50470266434337</c:v>
                </c:pt>
                <c:pt idx="33">
                  <c:v>383.7950789582527</c:v>
                </c:pt>
                <c:pt idx="34">
                  <c:v>318.10924669287277</c:v>
                </c:pt>
                <c:pt idx="35">
                  <c:v>366.14763295178324</c:v>
                </c:pt>
                <c:pt idx="36">
                  <c:v>415.72983634698073</c:v>
                </c:pt>
                <c:pt idx="37">
                  <c:v>406.60218664210282</c:v>
                </c:pt>
                <c:pt idx="38">
                  <c:v>334.01761177465386</c:v>
                </c:pt>
                <c:pt idx="39">
                  <c:v>374.21781365258676</c:v>
                </c:pt>
                <c:pt idx="40">
                  <c:v>367.41308484460046</c:v>
                </c:pt>
                <c:pt idx="41">
                  <c:v>436.27991958096749</c:v>
                </c:pt>
                <c:pt idx="42">
                  <c:v>525.31831201197326</c:v>
                </c:pt>
                <c:pt idx="44">
                  <c:v>339.24757168645726</c:v>
                </c:pt>
                <c:pt idx="45">
                  <c:v>338.7014195785701</c:v>
                </c:pt>
                <c:pt idx="46">
                  <c:v>422.63814698645041</c:v>
                </c:pt>
                <c:pt idx="47">
                  <c:v>476.41336957527324</c:v>
                </c:pt>
                <c:pt idx="48">
                  <c:v>440.76152813078266</c:v>
                </c:pt>
                <c:pt idx="49">
                  <c:v>383.86361168422195</c:v>
                </c:pt>
                <c:pt idx="50">
                  <c:v>397.71753776480563</c:v>
                </c:pt>
                <c:pt idx="51">
                  <c:v>215.66824013452722</c:v>
                </c:pt>
                <c:pt idx="52">
                  <c:v>391.8809762451524</c:v>
                </c:pt>
                <c:pt idx="53">
                  <c:v>346.74461376223763</c:v>
                </c:pt>
                <c:pt idx="54">
                  <c:v>104.38195929867075</c:v>
                </c:pt>
                <c:pt idx="55">
                  <c:v>462.60906803704296</c:v>
                </c:pt>
                <c:pt idx="56">
                  <c:v>432.32718441838784</c:v>
                </c:pt>
                <c:pt idx="57">
                  <c:v>416.39454719251853</c:v>
                </c:pt>
                <c:pt idx="58">
                  <c:v>529.25279115851208</c:v>
                </c:pt>
                <c:pt idx="59">
                  <c:v>468.98629654954556</c:v>
                </c:pt>
                <c:pt idx="60">
                  <c:v>605.66130691999319</c:v>
                </c:pt>
                <c:pt idx="61">
                  <c:v>618.38637144991048</c:v>
                </c:pt>
                <c:pt idx="62">
                  <c:v>580.06973511650006</c:v>
                </c:pt>
                <c:pt idx="63">
                  <c:v>417.5433183422154</c:v>
                </c:pt>
                <c:pt idx="64">
                  <c:v>533.4666420757336</c:v>
                </c:pt>
                <c:pt idx="66">
                  <c:v>210.65286259200855</c:v>
                </c:pt>
                <c:pt idx="67">
                  <c:v>63.596946172443332</c:v>
                </c:pt>
                <c:pt idx="68">
                  <c:v>258.67161498977464</c:v>
                </c:pt>
                <c:pt idx="69">
                  <c:v>283.41437200127433</c:v>
                </c:pt>
                <c:pt idx="70">
                  <c:v>237.41212907868865</c:v>
                </c:pt>
                <c:pt idx="71">
                  <c:v>225.93447989775098</c:v>
                </c:pt>
                <c:pt idx="72">
                  <c:v>304.10235788237395</c:v>
                </c:pt>
                <c:pt idx="73">
                  <c:v>284.85031462530986</c:v>
                </c:pt>
                <c:pt idx="74">
                  <c:v>305.48086148563351</c:v>
                </c:pt>
                <c:pt idx="75">
                  <c:v>281.14197685486698</c:v>
                </c:pt>
                <c:pt idx="76">
                  <c:v>416.75232844282465</c:v>
                </c:pt>
                <c:pt idx="77">
                  <c:v>364.32324460462894</c:v>
                </c:pt>
                <c:pt idx="78">
                  <c:v>289.32149270985627</c:v>
                </c:pt>
                <c:pt idx="79">
                  <c:v>388.76811929363663</c:v>
                </c:pt>
                <c:pt idx="80">
                  <c:v>435.03564628533047</c:v>
                </c:pt>
                <c:pt idx="81">
                  <c:v>345.52319309600864</c:v>
                </c:pt>
                <c:pt idx="82">
                  <c:v>308.98361707575134</c:v>
                </c:pt>
                <c:pt idx="83">
                  <c:v>450.87688373056739</c:v>
                </c:pt>
                <c:pt idx="84">
                  <c:v>416.18410915326689</c:v>
                </c:pt>
                <c:pt idx="85">
                  <c:v>449.08221492755479</c:v>
                </c:pt>
                <c:pt idx="86">
                  <c:v>493.90886415178613</c:v>
                </c:pt>
              </c:numCache>
            </c:numRef>
          </c:val>
          <c:smooth val="0"/>
          <c:extLst>
            <c:ext xmlns:c16="http://schemas.microsoft.com/office/drawing/2014/chart" uri="{C3380CC4-5D6E-409C-BE32-E72D297353CC}">
              <c16:uniqueId val="{00000003-3E8C-437F-AE21-2888E33A26EF}"/>
            </c:ext>
          </c:extLst>
        </c:ser>
        <c:dLbls>
          <c:showLegendKey val="0"/>
          <c:showVal val="0"/>
          <c:showCatName val="0"/>
          <c:showSerName val="0"/>
          <c:showPercent val="0"/>
          <c:showBubbleSize val="0"/>
        </c:dLbls>
        <c:marker val="1"/>
        <c:smooth val="0"/>
        <c:axId val="181707520"/>
        <c:axId val="181709056"/>
      </c:lineChart>
      <c:catAx>
        <c:axId val="1817075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81709056"/>
        <c:crosses val="autoZero"/>
        <c:auto val="0"/>
        <c:lblAlgn val="ctr"/>
        <c:lblOffset val="100"/>
        <c:tickLblSkip val="2"/>
        <c:tickMarkSkip val="1"/>
        <c:noMultiLvlLbl val="0"/>
      </c:catAx>
      <c:valAx>
        <c:axId val="181709056"/>
        <c:scaling>
          <c:orientation val="minMax"/>
        </c:scaling>
        <c:delete val="0"/>
        <c:axPos val="l"/>
        <c:majorGridlines>
          <c:spPr>
            <a:ln w="3175">
              <a:solidFill>
                <a:srgbClr val="000000"/>
              </a:solidFill>
              <a:prstDash val="solid"/>
            </a:ln>
          </c:spPr>
        </c:majorGridlines>
        <c:title>
          <c:tx>
            <c:rich>
              <a:bodyPr rot="0" vert="horz"/>
              <a:lstStyle/>
              <a:p>
                <a:pPr algn="ctr">
                  <a:defRPr sz="925" b="1" i="0" u="none" strike="noStrike" baseline="0">
                    <a:solidFill>
                      <a:srgbClr val="000000"/>
                    </a:solidFill>
                    <a:latin typeface="Verdana"/>
                    <a:ea typeface="Verdana"/>
                    <a:cs typeface="Verdana"/>
                  </a:defRPr>
                </a:pPr>
                <a:r>
                  <a:rPr lang="fi-FI"/>
                  <a:t>€ / asukas</a:t>
                </a:r>
              </a:p>
            </c:rich>
          </c:tx>
          <c:layout>
            <c:manualLayout>
              <c:xMode val="edge"/>
              <c:yMode val="edge"/>
              <c:x val="0.1273957158962796"/>
              <c:y val="0.2222226796813796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81707520"/>
        <c:crosses val="autoZero"/>
        <c:crossBetween val="between"/>
      </c:valAx>
      <c:spPr>
        <a:solidFill>
          <a:srgbClr val="FFFFFF"/>
        </a:solidFill>
        <a:ln w="12700">
          <a:solidFill>
            <a:srgbClr val="808080"/>
          </a:solidFill>
          <a:prstDash val="solid"/>
        </a:ln>
      </c:spPr>
    </c:plotArea>
    <c:legend>
      <c:legendPos val="r"/>
      <c:layout>
        <c:manualLayout>
          <c:xMode val="edge"/>
          <c:yMode val="edge"/>
          <c:x val="0.26042841037204056"/>
          <c:y val="0.21568673196896138"/>
          <c:w val="0.68658399098083422"/>
          <c:h val="3.9215686274509831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fi-FI"/>
    </a:p>
  </c:txPr>
  <c:printSettings>
    <c:headerFooter alignWithMargins="0"/>
    <c:pageMargins b="1" l="0.75" r="0.75" t="1"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Verdana"/>
                <a:ea typeface="Verdana"/>
                <a:cs typeface="Verdana"/>
              </a:defRPr>
            </a:pPr>
            <a:r>
              <a:rPr lang="fi-FI"/>
              <a:t>Kuntien verotulot tilinpäätösten 1998-2018 mukaan</a:t>
            </a:r>
          </a:p>
        </c:rich>
      </c:tx>
      <c:layout>
        <c:manualLayout>
          <c:xMode val="edge"/>
          <c:yMode val="edge"/>
          <c:x val="0.11780104712041885"/>
          <c:y val="8.2429501084598705E-2"/>
        </c:manualLayout>
      </c:layout>
      <c:overlay val="0"/>
      <c:spPr>
        <a:noFill/>
        <a:ln w="25400">
          <a:noFill/>
        </a:ln>
      </c:spPr>
    </c:title>
    <c:autoTitleDeleted val="0"/>
    <c:plotArea>
      <c:layout>
        <c:manualLayout>
          <c:layoutTarget val="inner"/>
          <c:xMode val="edge"/>
          <c:yMode val="edge"/>
          <c:x val="9.4240837696335081E-2"/>
          <c:y val="0.21691973969631237"/>
          <c:w val="0.83638743455497377"/>
          <c:h val="0.51843817787418656"/>
        </c:manualLayout>
      </c:layout>
      <c:barChart>
        <c:barDir val="col"/>
        <c:grouping val="stacked"/>
        <c:varyColors val="0"/>
        <c:ser>
          <c:idx val="2"/>
          <c:order val="0"/>
          <c:tx>
            <c:strRef>
              <c:f>Laskelma!$A$32</c:f>
              <c:strCache>
                <c:ptCount val="1"/>
                <c:pt idx="0">
                  <c:v>Kunnallisvero</c:v>
                </c:pt>
              </c:strCache>
            </c:strRef>
          </c:tx>
          <c:spPr>
            <a:solidFill>
              <a:srgbClr val="00CCFF"/>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Laskelma!$B$32:$AR$32</c:f>
              <c:numCache>
                <c:formatCode>#,##0</c:formatCode>
                <c:ptCount val="43"/>
                <c:pt idx="0">
                  <c:v>1612.300353245525</c:v>
                </c:pt>
                <c:pt idx="1">
                  <c:v>1691.2511504509062</c:v>
                </c:pt>
                <c:pt idx="2">
                  <c:v>1631.6391207621043</c:v>
                </c:pt>
                <c:pt idx="3">
                  <c:v>1925.5398826613407</c:v>
                </c:pt>
                <c:pt idx="4">
                  <c:v>2121.1143513060742</c:v>
                </c:pt>
                <c:pt idx="5">
                  <c:v>2053.721802200504</c:v>
                </c:pt>
                <c:pt idx="6">
                  <c:v>2075.6554765988726</c:v>
                </c:pt>
                <c:pt idx="7">
                  <c:v>2149.2510047497258</c:v>
                </c:pt>
                <c:pt idx="8">
                  <c:v>2317.798143012179</c:v>
                </c:pt>
                <c:pt idx="9">
                  <c:v>2430.3381527064166</c:v>
                </c:pt>
                <c:pt idx="10">
                  <c:v>2658.3714438439151</c:v>
                </c:pt>
                <c:pt idx="11">
                  <c:v>2695.9900344050302</c:v>
                </c:pt>
                <c:pt idx="12">
                  <c:v>2619.1511873971313</c:v>
                </c:pt>
                <c:pt idx="13">
                  <c:v>2684.8048680592124</c:v>
                </c:pt>
                <c:pt idx="14">
                  <c:v>2773.6080308159217</c:v>
                </c:pt>
                <c:pt idx="15">
                  <c:v>3090.4255319148938</c:v>
                </c:pt>
                <c:pt idx="16">
                  <c:v>3113.4764250527796</c:v>
                </c:pt>
                <c:pt idx="17">
                  <c:v>3175.6732969547616</c:v>
                </c:pt>
                <c:pt idx="18">
                  <c:v>3259.7648171128048</c:v>
                </c:pt>
                <c:pt idx="19">
                  <c:v>3221.2415767189455</c:v>
                </c:pt>
                <c:pt idx="20">
                  <c:v>3292.5772078743003</c:v>
                </c:pt>
                <c:pt idx="22">
                  <c:v>1804.1292349050841</c:v>
                </c:pt>
                <c:pt idx="23">
                  <c:v>1853.0932538744742</c:v>
                </c:pt>
                <c:pt idx="24">
                  <c:v>1771.498834177979</c:v>
                </c:pt>
                <c:pt idx="25">
                  <c:v>2015.5284038358566</c:v>
                </c:pt>
                <c:pt idx="26">
                  <c:v>2209.6450428396574</c:v>
                </c:pt>
                <c:pt idx="27">
                  <c:v>2158.234345211908</c:v>
                </c:pt>
                <c:pt idx="28">
                  <c:v>2173.5184458398744</c:v>
                </c:pt>
                <c:pt idx="29">
                  <c:v>2198.1813713443107</c:v>
                </c:pt>
                <c:pt idx="30">
                  <c:v>2286.2199498549726</c:v>
                </c:pt>
                <c:pt idx="31">
                  <c:v>2385.4636345814547</c:v>
                </c:pt>
                <c:pt idx="32">
                  <c:v>2635.8671586715868</c:v>
                </c:pt>
                <c:pt idx="33">
                  <c:v>2643.5804969619126</c:v>
                </c:pt>
                <c:pt idx="34">
                  <c:v>2651.4028848053745</c:v>
                </c:pt>
                <c:pt idx="35">
                  <c:v>2720.6648962329105</c:v>
                </c:pt>
                <c:pt idx="36">
                  <c:v>2872.8349370836418</c:v>
                </c:pt>
                <c:pt idx="37">
                  <c:v>3031.8274642625888</c:v>
                </c:pt>
                <c:pt idx="38">
                  <c:v>3024.6622130694659</c:v>
                </c:pt>
                <c:pt idx="39">
                  <c:v>3162.0177135294716</c:v>
                </c:pt>
                <c:pt idx="40">
                  <c:v>3257.7681428718902</c:v>
                </c:pt>
                <c:pt idx="41">
                  <c:v>3290.012536564981</c:v>
                </c:pt>
                <c:pt idx="42">
                  <c:v>3239.7220306615036</c:v>
                </c:pt>
              </c:numCache>
            </c:numRef>
          </c:val>
          <c:extLst>
            <c:ext xmlns:c16="http://schemas.microsoft.com/office/drawing/2014/chart" uri="{C3380CC4-5D6E-409C-BE32-E72D297353CC}">
              <c16:uniqueId val="{00000000-BE12-4C2E-A174-7F2E1BDBC43E}"/>
            </c:ext>
          </c:extLst>
        </c:ser>
        <c:ser>
          <c:idx val="3"/>
          <c:order val="1"/>
          <c:tx>
            <c:strRef>
              <c:f>Laskelma!$A$33</c:f>
              <c:strCache>
                <c:ptCount val="1"/>
                <c:pt idx="0">
                  <c:v>Yhteisövero</c:v>
                </c:pt>
              </c:strCache>
            </c:strRef>
          </c:tx>
          <c:spPr>
            <a:solidFill>
              <a:srgbClr val="FFFFCC"/>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Laskelma!$B$33:$AR$33</c:f>
              <c:numCache>
                <c:formatCode>#,##0</c:formatCode>
                <c:ptCount val="43"/>
                <c:pt idx="0">
                  <c:v>147.2612203437989</c:v>
                </c:pt>
                <c:pt idx="1">
                  <c:v>182.80975509396154</c:v>
                </c:pt>
                <c:pt idx="2">
                  <c:v>198.81933056588403</c:v>
                </c:pt>
                <c:pt idx="3">
                  <c:v>219.13618774185494</c:v>
                </c:pt>
                <c:pt idx="4">
                  <c:v>184.15337842030155</c:v>
                </c:pt>
                <c:pt idx="5">
                  <c:v>100.00614665929068</c:v>
                </c:pt>
                <c:pt idx="6">
                  <c:v>116.45430041656456</c:v>
                </c:pt>
                <c:pt idx="7">
                  <c:v>121.78784557301181</c:v>
                </c:pt>
                <c:pt idx="8">
                  <c:v>132.82286265525141</c:v>
                </c:pt>
                <c:pt idx="9">
                  <c:v>149.59971322738679</c:v>
                </c:pt>
                <c:pt idx="10">
                  <c:v>151.63033794618994</c:v>
                </c:pt>
                <c:pt idx="11">
                  <c:v>139.04377743504568</c:v>
                </c:pt>
                <c:pt idx="12">
                  <c:v>177.22783917234892</c:v>
                </c:pt>
                <c:pt idx="13">
                  <c:v>166.22783921362119</c:v>
                </c:pt>
                <c:pt idx="14">
                  <c:v>75.113808801213963</c:v>
                </c:pt>
                <c:pt idx="15">
                  <c:v>82.70984334814122</c:v>
                </c:pt>
                <c:pt idx="16">
                  <c:v>100.10555946516537</c:v>
                </c:pt>
                <c:pt idx="17">
                  <c:v>104.14833069295312</c:v>
                </c:pt>
                <c:pt idx="18">
                  <c:v>94.900431365597115</c:v>
                </c:pt>
                <c:pt idx="19">
                  <c:v>112.8868745900173</c:v>
                </c:pt>
                <c:pt idx="20">
                  <c:v>97.104328457046535</c:v>
                </c:pt>
                <c:pt idx="22">
                  <c:v>220.41238248267058</c:v>
                </c:pt>
                <c:pt idx="23">
                  <c:v>382.73255961353328</c:v>
                </c:pt>
                <c:pt idx="24">
                  <c:v>468.67372796948564</c:v>
                </c:pt>
                <c:pt idx="25">
                  <c:v>537.11726622207073</c:v>
                </c:pt>
                <c:pt idx="26">
                  <c:v>315.64259485924111</c:v>
                </c:pt>
                <c:pt idx="27">
                  <c:v>267.04795424549053</c:v>
                </c:pt>
                <c:pt idx="28">
                  <c:v>211.83281004709576</c:v>
                </c:pt>
                <c:pt idx="29">
                  <c:v>188.74416318505774</c:v>
                </c:pt>
                <c:pt idx="30">
                  <c:v>195.811415367976</c:v>
                </c:pt>
                <c:pt idx="31">
                  <c:v>222.79945108802195</c:v>
                </c:pt>
                <c:pt idx="32">
                  <c:v>241.32841328413284</c:v>
                </c:pt>
                <c:pt idx="33">
                  <c:v>223.58346094946401</c:v>
                </c:pt>
                <c:pt idx="34">
                  <c:v>234.29164196799053</c:v>
                </c:pt>
                <c:pt idx="35">
                  <c:v>193.66578144978854</c:v>
                </c:pt>
                <c:pt idx="36">
                  <c:v>219.39304219096965</c:v>
                </c:pt>
                <c:pt idx="37">
                  <c:v>379.93724161976388</c:v>
                </c:pt>
                <c:pt idx="38">
                  <c:v>346.52669646893366</c:v>
                </c:pt>
                <c:pt idx="39">
                  <c:v>354.72869795378193</c:v>
                </c:pt>
                <c:pt idx="40">
                  <c:v>350.41808609476618</c:v>
                </c:pt>
                <c:pt idx="41">
                  <c:v>469.59882992060176</c:v>
                </c:pt>
                <c:pt idx="42">
                  <c:v>485.65062861386662</c:v>
                </c:pt>
              </c:numCache>
            </c:numRef>
          </c:val>
          <c:extLst>
            <c:ext xmlns:c16="http://schemas.microsoft.com/office/drawing/2014/chart" uri="{C3380CC4-5D6E-409C-BE32-E72D297353CC}">
              <c16:uniqueId val="{00000001-BE12-4C2E-A174-7F2E1BDBC43E}"/>
            </c:ext>
          </c:extLst>
        </c:ser>
        <c:ser>
          <c:idx val="0"/>
          <c:order val="2"/>
          <c:tx>
            <c:strRef>
              <c:f>Laskelma!$A$34</c:f>
              <c:strCache>
                <c:ptCount val="1"/>
                <c:pt idx="0">
                  <c:v>Kiinteistövero</c:v>
                </c:pt>
              </c:strCache>
            </c:strRef>
          </c:tx>
          <c:spPr>
            <a:solidFill>
              <a:srgbClr val="FF8080"/>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Laskelma!$B$34:$AR$34</c:f>
              <c:numCache>
                <c:formatCode>#,##0</c:formatCode>
                <c:ptCount val="43"/>
                <c:pt idx="0">
                  <c:v>60.160302635409636</c:v>
                </c:pt>
                <c:pt idx="1">
                  <c:v>66.414938993827207</c:v>
                </c:pt>
                <c:pt idx="2">
                  <c:v>70.112583705842823</c:v>
                </c:pt>
                <c:pt idx="3">
                  <c:v>75.521158407190114</c:v>
                </c:pt>
                <c:pt idx="4">
                  <c:v>76.06874728547497</c:v>
                </c:pt>
                <c:pt idx="5">
                  <c:v>76.280041797283175</c:v>
                </c:pt>
                <c:pt idx="6">
                  <c:v>78.718451359960795</c:v>
                </c:pt>
                <c:pt idx="7">
                  <c:v>92.680550481061985</c:v>
                </c:pt>
                <c:pt idx="8">
                  <c:v>93.452309176413848</c:v>
                </c:pt>
                <c:pt idx="9">
                  <c:v>89.795674513083995</c:v>
                </c:pt>
                <c:pt idx="10">
                  <c:v>99.899031894042878</c:v>
                </c:pt>
                <c:pt idx="11">
                  <c:v>101.61347728081623</c:v>
                </c:pt>
                <c:pt idx="12">
                  <c:v>129.96708205972254</c:v>
                </c:pt>
                <c:pt idx="13">
                  <c:v>125.97273418758411</c:v>
                </c:pt>
                <c:pt idx="14">
                  <c:v>129.97548733512315</c:v>
                </c:pt>
                <c:pt idx="15">
                  <c:v>165.01052139350011</c:v>
                </c:pt>
                <c:pt idx="16">
                  <c:v>185.60872624912034</c:v>
                </c:pt>
                <c:pt idx="17">
                  <c:v>187.40832013143225</c:v>
                </c:pt>
                <c:pt idx="18">
                  <c:v>199.55090704957749</c:v>
                </c:pt>
                <c:pt idx="19">
                  <c:v>208.06249627288449</c:v>
                </c:pt>
                <c:pt idx="20">
                  <c:v>199.80735657094695</c:v>
                </c:pt>
                <c:pt idx="22">
                  <c:v>76.68086487491918</c:v>
                </c:pt>
                <c:pt idx="23">
                  <c:v>84.150299506247464</c:v>
                </c:pt>
                <c:pt idx="24">
                  <c:v>86.533999531710663</c:v>
                </c:pt>
                <c:pt idx="25">
                  <c:v>89.081438932969874</c:v>
                </c:pt>
                <c:pt idx="26">
                  <c:v>91.799265605875149</c:v>
                </c:pt>
                <c:pt idx="27">
                  <c:v>91.997849146991257</c:v>
                </c:pt>
                <c:pt idx="28">
                  <c:v>100.27472527472527</c:v>
                </c:pt>
                <c:pt idx="29">
                  <c:v>114.32784467928238</c:v>
                </c:pt>
                <c:pt idx="30">
                  <c:v>117.05422545597561</c:v>
                </c:pt>
                <c:pt idx="31">
                  <c:v>126.54381493824741</c:v>
                </c:pt>
                <c:pt idx="32">
                  <c:v>140.02460024600245</c:v>
                </c:pt>
                <c:pt idx="33">
                  <c:v>142.96299955540186</c:v>
                </c:pt>
                <c:pt idx="34">
                  <c:v>163.01126259632483</c:v>
                </c:pt>
                <c:pt idx="35">
                  <c:v>169.46985344742797</c:v>
                </c:pt>
                <c:pt idx="36">
                  <c:v>176.6099185788305</c:v>
                </c:pt>
                <c:pt idx="37">
                  <c:v>168.05299596553269</c:v>
                </c:pt>
                <c:pt idx="38">
                  <c:v>199.15616053041339</c:v>
                </c:pt>
                <c:pt idx="39">
                  <c:v>203.55288608368116</c:v>
                </c:pt>
                <c:pt idx="40">
                  <c:v>233.76690409827603</c:v>
                </c:pt>
                <c:pt idx="41">
                  <c:v>246.65691600501464</c:v>
                </c:pt>
                <c:pt idx="42">
                  <c:v>256.06068643573286</c:v>
                </c:pt>
              </c:numCache>
            </c:numRef>
          </c:val>
          <c:extLst>
            <c:ext xmlns:c16="http://schemas.microsoft.com/office/drawing/2014/chart" uri="{C3380CC4-5D6E-409C-BE32-E72D297353CC}">
              <c16:uniqueId val="{00000002-BE12-4C2E-A174-7F2E1BDBC43E}"/>
            </c:ext>
          </c:extLst>
        </c:ser>
        <c:dLbls>
          <c:showLegendKey val="0"/>
          <c:showVal val="0"/>
          <c:showCatName val="0"/>
          <c:showSerName val="0"/>
          <c:showPercent val="0"/>
          <c:showBubbleSize val="0"/>
        </c:dLbls>
        <c:gapWidth val="150"/>
        <c:overlap val="100"/>
        <c:axId val="181773440"/>
        <c:axId val="181775360"/>
      </c:barChart>
      <c:catAx>
        <c:axId val="181773440"/>
        <c:scaling>
          <c:orientation val="minMax"/>
        </c:scaling>
        <c:delete val="0"/>
        <c:axPos val="b"/>
        <c:title>
          <c:tx>
            <c:rich>
              <a:bodyPr/>
              <a:lstStyle/>
              <a:p>
                <a:pPr algn="ctr" rtl="0">
                  <a:defRPr sz="800" b="1" i="0" u="none" strike="noStrike" kern="1200" baseline="0">
                    <a:solidFill>
                      <a:srgbClr val="000000"/>
                    </a:solidFill>
                    <a:latin typeface="Verdana"/>
                    <a:ea typeface="Verdana"/>
                    <a:cs typeface="Verdana"/>
                  </a:defRPr>
                </a:pPr>
                <a:r>
                  <a:rPr lang="fi-FI" sz="800" b="1" i="0" u="none" strike="noStrike" kern="1200" baseline="0">
                    <a:solidFill>
                      <a:srgbClr val="000000"/>
                    </a:solidFill>
                    <a:latin typeface="Verdana"/>
                    <a:ea typeface="Verdana"/>
                    <a:cs typeface="Verdana"/>
                  </a:rPr>
                  <a:t>Lähde: Tilastokeskus
VM/KAO/MM / 28.10.2019</a:t>
                </a:r>
              </a:p>
            </c:rich>
          </c:tx>
          <c:layout>
            <c:manualLayout>
              <c:xMode val="edge"/>
              <c:yMode val="edge"/>
              <c:x val="0.71073298429319376"/>
              <c:y val="0.906941317801652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81775360"/>
        <c:crosses val="autoZero"/>
        <c:auto val="0"/>
        <c:lblAlgn val="ctr"/>
        <c:lblOffset val="100"/>
        <c:tickLblSkip val="1"/>
        <c:tickMarkSkip val="1"/>
        <c:noMultiLvlLbl val="0"/>
      </c:catAx>
      <c:valAx>
        <c:axId val="181775360"/>
        <c:scaling>
          <c:orientation val="minMax"/>
        </c:scaling>
        <c:delete val="0"/>
        <c:axPos val="l"/>
        <c:majorGridlines>
          <c:spPr>
            <a:ln w="3175">
              <a:solidFill>
                <a:srgbClr val="000000"/>
              </a:solidFill>
              <a:prstDash val="solid"/>
            </a:ln>
          </c:spPr>
        </c:majorGridlines>
        <c:title>
          <c:tx>
            <c:rich>
              <a:bodyPr rot="0" vert="horz"/>
              <a:lstStyle/>
              <a:p>
                <a:pPr algn="ctr">
                  <a:defRPr sz="925" b="1" i="0" u="none" strike="noStrike" baseline="0">
                    <a:solidFill>
                      <a:srgbClr val="000000"/>
                    </a:solidFill>
                    <a:latin typeface="Verdana"/>
                    <a:ea typeface="Verdana"/>
                    <a:cs typeface="Verdana"/>
                  </a:defRPr>
                </a:pPr>
                <a:r>
                  <a:rPr lang="fi-FI"/>
                  <a:t>€ / asukas</a:t>
                </a:r>
              </a:p>
            </c:rich>
          </c:tx>
          <c:layout>
            <c:manualLayout>
              <c:xMode val="edge"/>
              <c:yMode val="edge"/>
              <c:x val="0.10340314136125654"/>
              <c:y val="0.169197396963123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81773440"/>
        <c:crosses val="autoZero"/>
        <c:crossBetween val="between"/>
      </c:valAx>
      <c:spPr>
        <a:solidFill>
          <a:srgbClr val="FFFFFF"/>
        </a:solidFill>
        <a:ln w="12700">
          <a:solidFill>
            <a:srgbClr val="808080"/>
          </a:solidFill>
          <a:prstDash val="solid"/>
        </a:ln>
      </c:spPr>
    </c:plotArea>
    <c:legend>
      <c:legendPos val="b"/>
      <c:layout>
        <c:manualLayout>
          <c:xMode val="edge"/>
          <c:yMode val="edge"/>
          <c:x val="0.40183246073298429"/>
          <c:y val="0.1547360809833695"/>
          <c:w val="0.42146596858638741"/>
          <c:h val="3.9045553145336226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fi-FI"/>
    </a:p>
  </c:txPr>
  <c:printSettings>
    <c:headerFooter alignWithMargins="0">
      <c:oddHeader>&amp;A</c:oddHeader>
    </c:headerFooter>
    <c:pageMargins b="1" l="0.75" r="0.7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fi-FI"/>
              <a:t>Kunnan kaikkien</a:t>
            </a:r>
            <a:r>
              <a:rPr lang="fi-FI" baseline="0"/>
              <a:t> tulojen</a:t>
            </a:r>
            <a:r>
              <a:rPr lang="fi-FI"/>
              <a:t> ja toimintakulujen muutos tilinpäätösten 1998-2018 mukaan, %</a:t>
            </a:r>
          </a:p>
        </c:rich>
      </c:tx>
      <c:layout>
        <c:manualLayout>
          <c:xMode val="edge"/>
          <c:yMode val="edge"/>
          <c:x val="0.21307216990033109"/>
          <c:y val="1.8922852983988356E-2"/>
        </c:manualLayout>
      </c:layout>
      <c:overlay val="0"/>
      <c:spPr>
        <a:noFill/>
        <a:ln w="25400">
          <a:noFill/>
        </a:ln>
      </c:spPr>
    </c:title>
    <c:autoTitleDeleted val="0"/>
    <c:plotArea>
      <c:layout>
        <c:manualLayout>
          <c:layoutTarget val="inner"/>
          <c:xMode val="edge"/>
          <c:yMode val="edge"/>
          <c:x val="0.10588248810570888"/>
          <c:y val="0.23362445414847161"/>
          <c:w val="0.85751743453512375"/>
          <c:h val="0.50655021834061131"/>
        </c:manualLayout>
      </c:layout>
      <c:lineChart>
        <c:grouping val="standard"/>
        <c:varyColors val="0"/>
        <c:ser>
          <c:idx val="2"/>
          <c:order val="0"/>
          <c:tx>
            <c:strRef>
              <c:f>Laskelma!$A$68</c:f>
              <c:strCache>
                <c:ptCount val="1"/>
                <c:pt idx="0">
                  <c:v>Toimintakulujen muutos</c:v>
                </c:pt>
              </c:strCache>
            </c:strRef>
          </c:tx>
          <c:spPr>
            <a:ln w="38100">
              <a:solidFill>
                <a:srgbClr val="FF0000"/>
              </a:solidFill>
              <a:prstDash val="solid"/>
            </a:ln>
          </c:spPr>
          <c:marker>
            <c:symbol val="none"/>
          </c:marker>
          <c:cat>
            <c:multiLvlStrRef>
              <c:f>Laskelma!$C$63:$V$64</c:f>
              <c:multiLvlStrCache>
                <c:ptCount val="20"/>
                <c:lvl>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lvl>
                <c:lvl>
                  <c:pt idx="0">
                    <c:v>Akaa</c:v>
                  </c:pt>
                </c:lvl>
              </c:multiLvlStrCache>
            </c:multiLvlStrRef>
          </c:cat>
          <c:val>
            <c:numRef>
              <c:f>Laskelma!$C$68:$V$68</c:f>
              <c:numCache>
                <c:formatCode>0.0\ %</c:formatCode>
                <c:ptCount val="20"/>
                <c:pt idx="0">
                  <c:v>-5.3740604074798637E-2</c:v>
                </c:pt>
                <c:pt idx="1">
                  <c:v>5.0367590000258922E-2</c:v>
                </c:pt>
                <c:pt idx="2">
                  <c:v>9.62345165704383E-2</c:v>
                </c:pt>
                <c:pt idx="3">
                  <c:v>7.4423185540702624E-2</c:v>
                </c:pt>
                <c:pt idx="4">
                  <c:v>4.2483230460368747E-2</c:v>
                </c:pt>
                <c:pt idx="5">
                  <c:v>4.8600661552629314E-2</c:v>
                </c:pt>
                <c:pt idx="6">
                  <c:v>3.5226642745877071E-2</c:v>
                </c:pt>
                <c:pt idx="7">
                  <c:v>5.8429524338604884E-2</c:v>
                </c:pt>
                <c:pt idx="8">
                  <c:v>3.1751985035144509E-2</c:v>
                </c:pt>
                <c:pt idx="9">
                  <c:v>0.14667432638744529</c:v>
                </c:pt>
                <c:pt idx="10">
                  <c:v>4.9993704126028243E-2</c:v>
                </c:pt>
                <c:pt idx="11">
                  <c:v>0.10199586682118933</c:v>
                </c:pt>
                <c:pt idx="12">
                  <c:v>2.1488256461739473E-3</c:v>
                </c:pt>
                <c:pt idx="13">
                  <c:v>5.6524302529684115E-2</c:v>
                </c:pt>
                <c:pt idx="14">
                  <c:v>3.6644013029293605E-2</c:v>
                </c:pt>
                <c:pt idx="15">
                  <c:v>2.2115112945393523E-2</c:v>
                </c:pt>
                <c:pt idx="16">
                  <c:v>-1.8989567219557853E-2</c:v>
                </c:pt>
                <c:pt idx="17">
                  <c:v>-5.4638222175859277E-3</c:v>
                </c:pt>
                <c:pt idx="18">
                  <c:v>-1.592538599086132E-2</c:v>
                </c:pt>
                <c:pt idx="19">
                  <c:v>3.5203320984475837E-2</c:v>
                </c:pt>
              </c:numCache>
            </c:numRef>
          </c:val>
          <c:smooth val="0"/>
          <c:extLst>
            <c:ext xmlns:c16="http://schemas.microsoft.com/office/drawing/2014/chart" uri="{C3380CC4-5D6E-409C-BE32-E72D297353CC}">
              <c16:uniqueId val="{00000000-5314-4867-9687-EE37ADB34DA9}"/>
            </c:ext>
          </c:extLst>
        </c:ser>
        <c:ser>
          <c:idx val="0"/>
          <c:order val="1"/>
          <c:tx>
            <c:strRef>
              <c:f>Laskelma!$A$69</c:f>
              <c:strCache>
                <c:ptCount val="1"/>
                <c:pt idx="0">
                  <c:v>Tulojen muutos</c:v>
                </c:pt>
              </c:strCache>
            </c:strRef>
          </c:tx>
          <c:spPr>
            <a:ln>
              <a:prstDash val="sysDash"/>
            </a:ln>
          </c:spPr>
          <c:marker>
            <c:symbol val="none"/>
          </c:marker>
          <c:cat>
            <c:multiLvlStrRef>
              <c:f>Laskelma!$C$63:$V$64</c:f>
              <c:multiLvlStrCache>
                <c:ptCount val="20"/>
                <c:lvl>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lvl>
                <c:lvl>
                  <c:pt idx="0">
                    <c:v>Akaa</c:v>
                  </c:pt>
                </c:lvl>
              </c:multiLvlStrCache>
            </c:multiLvlStrRef>
          </c:cat>
          <c:val>
            <c:numRef>
              <c:f>Laskelma!$C$69:$V$69</c:f>
              <c:numCache>
                <c:formatCode>0.0\ %</c:formatCode>
                <c:ptCount val="20"/>
                <c:pt idx="0">
                  <c:v>2.0589306818936209E-2</c:v>
                </c:pt>
                <c:pt idx="1">
                  <c:v>1.3326760642185433E-3</c:v>
                </c:pt>
                <c:pt idx="2">
                  <c:v>0.14551775194596428</c:v>
                </c:pt>
                <c:pt idx="3">
                  <c:v>6.1215345122069838E-2</c:v>
                </c:pt>
                <c:pt idx="4">
                  <c:v>-3.3651917590945955E-2</c:v>
                </c:pt>
                <c:pt idx="5">
                  <c:v>4.3958366565640596E-2</c:v>
                </c:pt>
                <c:pt idx="6">
                  <c:v>3.6795754902304821E-2</c:v>
                </c:pt>
                <c:pt idx="7">
                  <c:v>6.3952778542697764E-2</c:v>
                </c:pt>
                <c:pt idx="8">
                  <c:v>6.8778701613615253E-2</c:v>
                </c:pt>
                <c:pt idx="9">
                  <c:v>0.14243099369349096</c:v>
                </c:pt>
                <c:pt idx="10">
                  <c:v>4.9050019580490885E-2</c:v>
                </c:pt>
                <c:pt idx="11">
                  <c:v>9.7871036359566455E-2</c:v>
                </c:pt>
                <c:pt idx="12">
                  <c:v>-1.4429916302509062E-2</c:v>
                </c:pt>
                <c:pt idx="13">
                  <c:v>6.534049898870283E-3</c:v>
                </c:pt>
                <c:pt idx="14">
                  <c:v>7.729518014733848E-2</c:v>
                </c:pt>
                <c:pt idx="15">
                  <c:v>-1.8964034111047641E-2</c:v>
                </c:pt>
                <c:pt idx="16">
                  <c:v>3.1558288085274965E-3</c:v>
                </c:pt>
                <c:pt idx="17">
                  <c:v>2.5791460616600769E-2</c:v>
                </c:pt>
                <c:pt idx="18">
                  <c:v>-3.5185430765472194E-3</c:v>
                </c:pt>
                <c:pt idx="19">
                  <c:v>-1.9296691810403888E-3</c:v>
                </c:pt>
              </c:numCache>
            </c:numRef>
          </c:val>
          <c:smooth val="0"/>
          <c:extLst>
            <c:ext xmlns:c16="http://schemas.microsoft.com/office/drawing/2014/chart" uri="{C3380CC4-5D6E-409C-BE32-E72D297353CC}">
              <c16:uniqueId val="{00000001-5314-4867-9687-EE37ADB34DA9}"/>
            </c:ext>
          </c:extLst>
        </c:ser>
        <c:dLbls>
          <c:showLegendKey val="0"/>
          <c:showVal val="0"/>
          <c:showCatName val="0"/>
          <c:showSerName val="0"/>
          <c:showPercent val="0"/>
          <c:showBubbleSize val="0"/>
        </c:dLbls>
        <c:smooth val="0"/>
        <c:axId val="181830016"/>
        <c:axId val="181831552"/>
      </c:lineChart>
      <c:catAx>
        <c:axId val="1818300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75" b="1" i="0" u="none" strike="noStrike" baseline="0">
                <a:solidFill>
                  <a:srgbClr val="000000"/>
                </a:solidFill>
                <a:latin typeface="Verdana"/>
                <a:ea typeface="Verdana"/>
                <a:cs typeface="Verdana"/>
              </a:defRPr>
            </a:pPr>
            <a:endParaRPr lang="fi-FI"/>
          </a:p>
        </c:txPr>
        <c:crossAx val="181831552"/>
        <c:crosses val="autoZero"/>
        <c:auto val="0"/>
        <c:lblAlgn val="ctr"/>
        <c:lblOffset val="100"/>
        <c:tickLblSkip val="1"/>
        <c:tickMarkSkip val="1"/>
        <c:noMultiLvlLbl val="0"/>
      </c:catAx>
      <c:valAx>
        <c:axId val="181831552"/>
        <c:scaling>
          <c:orientation val="minMax"/>
        </c:scaling>
        <c:delete val="0"/>
        <c:axPos val="l"/>
        <c:majorGridlines>
          <c:spPr>
            <a:ln w="3175">
              <a:solidFill>
                <a:srgbClr val="000000"/>
              </a:solidFill>
              <a:prstDash val="solid"/>
            </a:ln>
          </c:spPr>
        </c:majorGridlines>
        <c:title>
          <c:tx>
            <c:rich>
              <a:bodyPr rot="0" vert="horz"/>
              <a:lstStyle/>
              <a:p>
                <a:pPr algn="ctr">
                  <a:defRPr sz="950" b="1" i="0" u="none" strike="noStrike" baseline="0">
                    <a:solidFill>
                      <a:srgbClr val="000000"/>
                    </a:solidFill>
                    <a:latin typeface="Verdana"/>
                    <a:ea typeface="Verdana"/>
                    <a:cs typeface="Verdana"/>
                  </a:defRPr>
                </a:pPr>
                <a:r>
                  <a:rPr lang="fi-FI"/>
                  <a:t>%</a:t>
                </a:r>
              </a:p>
            </c:rich>
          </c:tx>
          <c:layout>
            <c:manualLayout>
              <c:xMode val="edge"/>
              <c:yMode val="edge"/>
              <c:x val="0.14640536599591716"/>
              <c:y val="0.181222707423580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Verdana"/>
                <a:ea typeface="Verdana"/>
                <a:cs typeface="Verdana"/>
              </a:defRPr>
            </a:pPr>
            <a:endParaRPr lang="fi-FI"/>
          </a:p>
        </c:txPr>
        <c:crossAx val="181830016"/>
        <c:crosses val="autoZero"/>
        <c:crossBetween val="between"/>
      </c:valAx>
      <c:spPr>
        <a:solidFill>
          <a:srgbClr val="FFFFFF"/>
        </a:solidFill>
        <a:ln w="12700">
          <a:solidFill>
            <a:srgbClr val="808080"/>
          </a:solidFill>
          <a:prstDash val="solid"/>
        </a:ln>
      </c:spPr>
    </c:plotArea>
    <c:legend>
      <c:legendPos val="t"/>
      <c:layout>
        <c:manualLayout>
          <c:xMode val="edge"/>
          <c:yMode val="edge"/>
          <c:x val="0.20305024617020911"/>
          <c:y val="0.1331877729257642"/>
          <c:w val="0.54761072512994702"/>
          <c:h val="9.0111749131795205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i-FI"/>
    </a:p>
  </c:txPr>
  <c:printSettings>
    <c:headerFooter alignWithMargins="0"/>
    <c:pageMargins b="1" l="0.75" r="0.75" t="1"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fi-FI"/>
              <a:t>Kunnan</a:t>
            </a:r>
            <a:r>
              <a:rPr lang="fi-FI" baseline="0"/>
              <a:t> lainakannan, tuloveroprosentin, kertyneen</a:t>
            </a:r>
          </a:p>
          <a:p>
            <a:pPr>
              <a:defRPr sz="1475" b="1" i="0" u="none" strike="noStrike" baseline="0">
                <a:solidFill>
                  <a:srgbClr val="000000"/>
                </a:solidFill>
                <a:latin typeface="Verdana"/>
                <a:ea typeface="Verdana"/>
                <a:cs typeface="Verdana"/>
              </a:defRPr>
            </a:pPr>
            <a:r>
              <a:rPr lang="fi-FI" baseline="0"/>
              <a:t>yli/alijäämän ja rahan riittävyyden yhteistarkastelua </a:t>
            </a:r>
            <a:r>
              <a:rPr lang="fi-FI"/>
              <a:t>tilinpäätösten 1998-2018 mukaan</a:t>
            </a:r>
          </a:p>
        </c:rich>
      </c:tx>
      <c:layout>
        <c:manualLayout>
          <c:xMode val="edge"/>
          <c:yMode val="edge"/>
          <c:x val="0.21425134710472352"/>
          <c:y val="4.366905117252501E-3"/>
        </c:manualLayout>
      </c:layout>
      <c:overlay val="0"/>
      <c:spPr>
        <a:noFill/>
        <a:ln w="25400">
          <a:noFill/>
        </a:ln>
      </c:spPr>
    </c:title>
    <c:autoTitleDeleted val="0"/>
    <c:plotArea>
      <c:layout>
        <c:manualLayout>
          <c:layoutTarget val="inner"/>
          <c:xMode val="edge"/>
          <c:yMode val="edge"/>
          <c:x val="8.3841279515493777E-2"/>
          <c:y val="0.23362452894034086"/>
          <c:w val="0.85751743453512375"/>
          <c:h val="0.50655021834061131"/>
        </c:manualLayout>
      </c:layout>
      <c:barChart>
        <c:barDir val="col"/>
        <c:grouping val="clustered"/>
        <c:varyColors val="0"/>
        <c:ser>
          <c:idx val="0"/>
          <c:order val="0"/>
          <c:tx>
            <c:strRef>
              <c:f>Laskelma!$A$81</c:f>
              <c:strCache>
                <c:ptCount val="1"/>
                <c:pt idx="0">
                  <c:v>Tulot - menot</c:v>
                </c:pt>
              </c:strCache>
            </c:strRef>
          </c:tx>
          <c:spPr>
            <a:solidFill>
              <a:schemeClr val="tx2">
                <a:lumMod val="40000"/>
                <a:lumOff val="60000"/>
              </a:schemeClr>
            </a:solidFill>
            <a:ln w="12700">
              <a:solidFill>
                <a:srgbClr val="000000"/>
              </a:solidFill>
              <a:prstDash val="solid"/>
            </a:ln>
          </c:spPr>
          <c:invertIfNegative val="0"/>
          <c:cat>
            <c:multiLvlStrRef>
              <c:f>Laskelma!$B$2:$V$3</c:f>
              <c:multiLvlStrCache>
                <c:ptCount val="21"/>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lvl>
                <c:lvl>
                  <c:pt idx="0">
                    <c:v>Akaa</c:v>
                  </c:pt>
                </c:lvl>
              </c:multiLvlStrCache>
            </c:multiLvlStrRef>
          </c:cat>
          <c:val>
            <c:numRef>
              <c:f>Laskelma!$B$81:$V$81</c:f>
              <c:numCache>
                <c:formatCode>#,##0</c:formatCode>
                <c:ptCount val="21"/>
                <c:pt idx="0">
                  <c:v>144.04072956602249</c:v>
                </c:pt>
                <c:pt idx="1">
                  <c:v>374.87915330093165</c:v>
                </c:pt>
                <c:pt idx="2">
                  <c:v>233.13133963365271</c:v>
                </c:pt>
                <c:pt idx="3">
                  <c:v>417.22480226861262</c:v>
                </c:pt>
                <c:pt idx="4">
                  <c:v>398.64739095365121</c:v>
                </c:pt>
                <c:pt idx="5">
                  <c:v>111.99213227610744</c:v>
                </c:pt>
                <c:pt idx="6">
                  <c:v>99.546679735359248</c:v>
                </c:pt>
                <c:pt idx="7">
                  <c:v>109.36548532456482</c:v>
                </c:pt>
                <c:pt idx="8">
                  <c:v>138.79175208006745</c:v>
                </c:pt>
                <c:pt idx="9">
                  <c:v>307.50388337913591</c:v>
                </c:pt>
                <c:pt idx="10">
                  <c:v>332.48203361644028</c:v>
                </c:pt>
                <c:pt idx="11">
                  <c:v>343.99098350931399</c:v>
                </c:pt>
                <c:pt idx="12">
                  <c:v>355.63131906889248</c:v>
                </c:pt>
                <c:pt idx="13">
                  <c:v>252.9401439354051</c:v>
                </c:pt>
                <c:pt idx="14">
                  <c:v>-40.212443095600065</c:v>
                </c:pt>
                <c:pt idx="15">
                  <c:v>209.96025251344417</c:v>
                </c:pt>
                <c:pt idx="16">
                  <c:v>-59.3478770818665</c:v>
                </c:pt>
                <c:pt idx="17">
                  <c:v>86.663146159713506</c:v>
                </c:pt>
                <c:pt idx="18">
                  <c:v>291.31950599775519</c:v>
                </c:pt>
                <c:pt idx="19">
                  <c:v>370.2069294531575</c:v>
                </c:pt>
                <c:pt idx="20">
                  <c:v>134.12798747817669</c:v>
                </c:pt>
              </c:numCache>
            </c:numRef>
          </c:val>
          <c:extLst>
            <c:ext xmlns:c16="http://schemas.microsoft.com/office/drawing/2014/chart" uri="{C3380CC4-5D6E-409C-BE32-E72D297353CC}">
              <c16:uniqueId val="{00000000-56D8-49B7-8321-8C776E4A5B72}"/>
            </c:ext>
          </c:extLst>
        </c:ser>
        <c:dLbls>
          <c:showLegendKey val="0"/>
          <c:showVal val="0"/>
          <c:showCatName val="0"/>
          <c:showSerName val="0"/>
          <c:showPercent val="0"/>
          <c:showBubbleSize val="0"/>
        </c:dLbls>
        <c:gapWidth val="150"/>
        <c:axId val="182208384"/>
        <c:axId val="182222848"/>
      </c:barChart>
      <c:lineChart>
        <c:grouping val="standard"/>
        <c:varyColors val="0"/>
        <c:ser>
          <c:idx val="4"/>
          <c:order val="1"/>
          <c:tx>
            <c:strRef>
              <c:f>Laskelma!$A$82</c:f>
              <c:strCache>
                <c:ptCount val="1"/>
                <c:pt idx="0">
                  <c:v>Lainakanta</c:v>
                </c:pt>
              </c:strCache>
            </c:strRef>
          </c:tx>
          <c:spPr>
            <a:ln w="38100">
              <a:solidFill>
                <a:schemeClr val="bg1">
                  <a:lumMod val="50000"/>
                </a:schemeClr>
              </a:solidFill>
              <a:prstDash val="sysDash"/>
            </a:ln>
          </c:spPr>
          <c:marker>
            <c:spPr>
              <a:ln>
                <a:noFill/>
              </a:ln>
            </c:spPr>
          </c:marker>
          <c:cat>
            <c:multiLvlStrRef>
              <c:f>Laskelma!$L$79:$P$80</c:f>
              <c:multiLvlStrCache>
                <c:ptCount val="5"/>
                <c:lvl>
                  <c:pt idx="0">
                    <c:v>2008</c:v>
                  </c:pt>
                  <c:pt idx="1">
                    <c:v>2009</c:v>
                  </c:pt>
                  <c:pt idx="2">
                    <c:v>2010</c:v>
                  </c:pt>
                  <c:pt idx="3">
                    <c:v>2011</c:v>
                  </c:pt>
                  <c:pt idx="4">
                    <c:v>2012</c:v>
                  </c:pt>
                </c:lvl>
                <c:lvl>
                  <c:pt idx="0">
                    <c:v>Akaa</c:v>
                  </c:pt>
                </c:lvl>
              </c:multiLvlStrCache>
            </c:multiLvlStrRef>
          </c:cat>
          <c:val>
            <c:numRef>
              <c:f>Laskelma!$B$39:$V$39</c:f>
              <c:numCache>
                <c:formatCode>#,##0</c:formatCode>
                <c:ptCount val="21"/>
                <c:pt idx="0">
                  <c:v>762.62849214857795</c:v>
                </c:pt>
                <c:pt idx="1">
                  <c:v>813.15030713300735</c:v>
                </c:pt>
                <c:pt idx="2">
                  <c:v>969.14393226716834</c:v>
                </c:pt>
                <c:pt idx="3">
                  <c:v>1115.653476469854</c:v>
                </c:pt>
                <c:pt idx="4">
                  <c:v>1112.5519637649686</c:v>
                </c:pt>
                <c:pt idx="5">
                  <c:v>1188.1492408875777</c:v>
                </c:pt>
                <c:pt idx="6">
                  <c:v>1446.5204606714042</c:v>
                </c:pt>
                <c:pt idx="7">
                  <c:v>1520.825721592985</c:v>
                </c:pt>
                <c:pt idx="8">
                  <c:v>1635.5962860243578</c:v>
                </c:pt>
                <c:pt idx="9">
                  <c:v>1736.5874059027362</c:v>
                </c:pt>
                <c:pt idx="10">
                  <c:v>1775.0193027261389</c:v>
                </c:pt>
                <c:pt idx="11">
                  <c:v>1809.4673152212599</c:v>
                </c:pt>
                <c:pt idx="12">
                  <c:v>1863.508111920997</c:v>
                </c:pt>
                <c:pt idx="13">
                  <c:v>1991.164940612018</c:v>
                </c:pt>
                <c:pt idx="14">
                  <c:v>2288.0238123030231</c:v>
                </c:pt>
                <c:pt idx="15">
                  <c:v>2390.577507598784</c:v>
                </c:pt>
                <c:pt idx="16">
                  <c:v>3061.4004222378608</c:v>
                </c:pt>
                <c:pt idx="17">
                  <c:v>3517.7492225547144</c:v>
                </c:pt>
                <c:pt idx="18">
                  <c:v>3415.588252673876</c:v>
                </c:pt>
                <c:pt idx="19">
                  <c:v>3139.1257677857952</c:v>
                </c:pt>
                <c:pt idx="20">
                  <c:v>3256.6973692131719</c:v>
                </c:pt>
              </c:numCache>
            </c:numRef>
          </c:val>
          <c:smooth val="0"/>
          <c:extLst>
            <c:ext xmlns:c16="http://schemas.microsoft.com/office/drawing/2014/chart" uri="{C3380CC4-5D6E-409C-BE32-E72D297353CC}">
              <c16:uniqueId val="{00000001-56D8-49B7-8321-8C776E4A5B72}"/>
            </c:ext>
          </c:extLst>
        </c:ser>
        <c:ser>
          <c:idx val="1"/>
          <c:order val="2"/>
          <c:tx>
            <c:strRef>
              <c:f>Laskelma!$A$84</c:f>
              <c:strCache>
                <c:ptCount val="1"/>
                <c:pt idx="0">
                  <c:v>Kertynyt yli/alijäämä</c:v>
                </c:pt>
              </c:strCache>
            </c:strRef>
          </c:tx>
          <c:marker>
            <c:symbol val="none"/>
          </c:marker>
          <c:val>
            <c:numRef>
              <c:f>Laskelma!$B$45:$V$45</c:f>
              <c:numCache>
                <c:formatCode>#,##0</c:formatCode>
                <c:ptCount val="21"/>
                <c:pt idx="0">
                  <c:v>-156.59497674703593</c:v>
                </c:pt>
                <c:pt idx="1">
                  <c:v>-142.82374499815418</c:v>
                </c:pt>
                <c:pt idx="2">
                  <c:v>-265.07134474617573</c:v>
                </c:pt>
                <c:pt idx="3">
                  <c:v>-301.39881067050959</c:v>
                </c:pt>
                <c:pt idx="4">
                  <c:v>-191.66097909040144</c:v>
                </c:pt>
                <c:pt idx="5">
                  <c:v>-211.07628004179728</c:v>
                </c:pt>
                <c:pt idx="6">
                  <c:v>-211.65155599117864</c:v>
                </c:pt>
                <c:pt idx="7">
                  <c:v>-253.7449762513701</c:v>
                </c:pt>
                <c:pt idx="8">
                  <c:v>-245.93030266489811</c:v>
                </c:pt>
                <c:pt idx="9">
                  <c:v>-162.86294658860078</c:v>
                </c:pt>
                <c:pt idx="10">
                  <c:v>-61.41236562332957</c:v>
                </c:pt>
                <c:pt idx="11">
                  <c:v>53.387115909360539</c:v>
                </c:pt>
                <c:pt idx="12">
                  <c:v>184.81072184340465</c:v>
                </c:pt>
                <c:pt idx="13">
                  <c:v>200.92446316774911</c:v>
                </c:pt>
                <c:pt idx="14">
                  <c:v>-12.197968950624489</c:v>
                </c:pt>
                <c:pt idx="15">
                  <c:v>-12.09960252513444</c:v>
                </c:pt>
                <c:pt idx="16">
                  <c:v>-307.4712643678161</c:v>
                </c:pt>
                <c:pt idx="17">
                  <c:v>-480.31449862113476</c:v>
                </c:pt>
                <c:pt idx="18">
                  <c:v>-478.93399515452342</c:v>
                </c:pt>
                <c:pt idx="19">
                  <c:v>-391.43657940246885</c:v>
                </c:pt>
                <c:pt idx="20">
                  <c:v>-534.9467220516525</c:v>
                </c:pt>
              </c:numCache>
            </c:numRef>
          </c:val>
          <c:smooth val="0"/>
          <c:extLst>
            <c:ext xmlns:c16="http://schemas.microsoft.com/office/drawing/2014/chart" uri="{C3380CC4-5D6E-409C-BE32-E72D297353CC}">
              <c16:uniqueId val="{00000002-56D8-49B7-8321-8C776E4A5B72}"/>
            </c:ext>
          </c:extLst>
        </c:ser>
        <c:dLbls>
          <c:showLegendKey val="0"/>
          <c:showVal val="0"/>
          <c:showCatName val="0"/>
          <c:showSerName val="0"/>
          <c:showPercent val="0"/>
          <c:showBubbleSize val="0"/>
        </c:dLbls>
        <c:marker val="1"/>
        <c:smooth val="0"/>
        <c:axId val="182208384"/>
        <c:axId val="182222848"/>
      </c:lineChart>
      <c:scatterChart>
        <c:scatterStyle val="lineMarker"/>
        <c:varyColors val="0"/>
        <c:ser>
          <c:idx val="2"/>
          <c:order val="3"/>
          <c:tx>
            <c:strRef>
              <c:f>Laskelma!$A$85</c:f>
              <c:strCache>
                <c:ptCount val="1"/>
                <c:pt idx="0">
                  <c:v>Tuloveroprosentti</c:v>
                </c:pt>
              </c:strCache>
            </c:strRef>
          </c:tx>
          <c:spPr>
            <a:ln w="28575">
              <a:noFill/>
            </a:ln>
          </c:spPr>
          <c:marker>
            <c:spPr>
              <a:solidFill>
                <a:schemeClr val="tx1"/>
              </a:solidFill>
            </c:spPr>
          </c:marker>
          <c:yVal>
            <c:numRef>
              <c:f>Laskelma!$B$46:$V$46</c:f>
              <c:numCache>
                <c:formatCode>#,##0.00</c:formatCode>
                <c:ptCount val="21"/>
                <c:pt idx="0">
                  <c:v>18</c:v>
                </c:pt>
                <c:pt idx="1">
                  <c:v>18.5</c:v>
                </c:pt>
                <c:pt idx="2">
                  <c:v>18.5</c:v>
                </c:pt>
                <c:pt idx="3">
                  <c:v>18.5</c:v>
                </c:pt>
                <c:pt idx="4">
                  <c:v>19</c:v>
                </c:pt>
                <c:pt idx="5">
                  <c:v>19.25</c:v>
                </c:pt>
                <c:pt idx="6">
                  <c:v>19.25</c:v>
                </c:pt>
                <c:pt idx="7">
                  <c:v>19.5</c:v>
                </c:pt>
                <c:pt idx="8">
                  <c:v>19.75</c:v>
                </c:pt>
                <c:pt idx="9">
                  <c:v>19.5</c:v>
                </c:pt>
                <c:pt idx="10">
                  <c:v>19.75</c:v>
                </c:pt>
                <c:pt idx="11">
                  <c:v>19.75</c:v>
                </c:pt>
                <c:pt idx="12">
                  <c:v>19.75</c:v>
                </c:pt>
                <c:pt idx="13">
                  <c:v>19.75</c:v>
                </c:pt>
                <c:pt idx="14">
                  <c:v>19.75</c:v>
                </c:pt>
                <c:pt idx="15">
                  <c:v>20.5</c:v>
                </c:pt>
                <c:pt idx="16">
                  <c:v>21</c:v>
                </c:pt>
                <c:pt idx="17">
                  <c:v>21.25</c:v>
                </c:pt>
                <c:pt idx="18">
                  <c:v>21.25</c:v>
                </c:pt>
                <c:pt idx="19">
                  <c:v>21.25</c:v>
                </c:pt>
                <c:pt idx="20">
                  <c:v>21.75</c:v>
                </c:pt>
              </c:numCache>
            </c:numRef>
          </c:yVal>
          <c:smooth val="0"/>
          <c:extLst>
            <c:ext xmlns:c16="http://schemas.microsoft.com/office/drawing/2014/chart" uri="{C3380CC4-5D6E-409C-BE32-E72D297353CC}">
              <c16:uniqueId val="{00000003-56D8-49B7-8321-8C776E4A5B72}"/>
            </c:ext>
          </c:extLst>
        </c:ser>
        <c:dLbls>
          <c:showLegendKey val="0"/>
          <c:showVal val="0"/>
          <c:showCatName val="0"/>
          <c:showSerName val="0"/>
          <c:showPercent val="0"/>
          <c:showBubbleSize val="0"/>
        </c:dLbls>
        <c:axId val="182224384"/>
        <c:axId val="182225920"/>
      </c:scatterChart>
      <c:catAx>
        <c:axId val="18220838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75" b="1" i="0" u="none" strike="noStrike" baseline="0">
                <a:solidFill>
                  <a:srgbClr val="000000"/>
                </a:solidFill>
                <a:latin typeface="Verdana"/>
                <a:ea typeface="Verdana"/>
                <a:cs typeface="Verdana"/>
              </a:defRPr>
            </a:pPr>
            <a:endParaRPr lang="fi-FI"/>
          </a:p>
        </c:txPr>
        <c:crossAx val="182222848"/>
        <c:crosses val="autoZero"/>
        <c:auto val="0"/>
        <c:lblAlgn val="ctr"/>
        <c:lblOffset val="100"/>
        <c:tickLblSkip val="1"/>
        <c:tickMarkSkip val="1"/>
        <c:noMultiLvlLbl val="0"/>
      </c:catAx>
      <c:valAx>
        <c:axId val="18222284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Verdana"/>
                <a:ea typeface="Verdana"/>
                <a:cs typeface="Verdana"/>
              </a:defRPr>
            </a:pPr>
            <a:endParaRPr lang="fi-FI"/>
          </a:p>
        </c:txPr>
        <c:crossAx val="182208384"/>
        <c:crosses val="autoZero"/>
        <c:crossBetween val="between"/>
      </c:valAx>
      <c:valAx>
        <c:axId val="182224384"/>
        <c:scaling>
          <c:orientation val="minMax"/>
        </c:scaling>
        <c:delete val="1"/>
        <c:axPos val="b"/>
        <c:majorTickMark val="out"/>
        <c:minorTickMark val="none"/>
        <c:tickLblPos val="nextTo"/>
        <c:crossAx val="182225920"/>
        <c:crosses val="autoZero"/>
        <c:crossBetween val="midCat"/>
      </c:valAx>
      <c:valAx>
        <c:axId val="182225920"/>
        <c:scaling>
          <c:orientation val="minMax"/>
        </c:scaling>
        <c:delete val="0"/>
        <c:axPos val="r"/>
        <c:numFmt formatCode="#,##0.00" sourceLinked="1"/>
        <c:majorTickMark val="out"/>
        <c:minorTickMark val="none"/>
        <c:tickLblPos val="nextTo"/>
        <c:txPr>
          <a:bodyPr/>
          <a:lstStyle/>
          <a:p>
            <a:pPr>
              <a:defRPr sz="1000" baseline="0">
                <a:latin typeface="Verdana" pitchFamily="34" charset="0"/>
              </a:defRPr>
            </a:pPr>
            <a:endParaRPr lang="fi-FI"/>
          </a:p>
        </c:txPr>
        <c:crossAx val="182224384"/>
        <c:crosses val="max"/>
        <c:crossBetween val="midCat"/>
        <c:majorUnit val="1"/>
        <c:minorUnit val="0.25"/>
      </c:valAx>
      <c:spPr>
        <a:solidFill>
          <a:srgbClr val="FFFFFF"/>
        </a:solidFill>
        <a:ln w="12700">
          <a:solidFill>
            <a:srgbClr val="808080"/>
          </a:solidFill>
          <a:prstDash val="solid"/>
        </a:ln>
      </c:spPr>
    </c:plotArea>
    <c:legend>
      <c:legendPos val="t"/>
      <c:layout>
        <c:manualLayout>
          <c:xMode val="edge"/>
          <c:yMode val="edge"/>
          <c:x val="0.15275152612687787"/>
          <c:y val="0.17976703892405607"/>
          <c:w val="0.77749729987246519"/>
          <c:h val="4.7136362856603692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i-FI"/>
    </a:p>
  </c:txPr>
  <c:printSettings>
    <c:headerFooter alignWithMargins="0"/>
    <c:pageMargins b="1" l="0.75" r="0.75" t="1" header="0.49212598450000011" footer="0.49212598450000011"/>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Verdana"/>
                <a:ea typeface="Verdana"/>
                <a:cs typeface="Verdana"/>
              </a:defRPr>
            </a:pPr>
            <a:r>
              <a:rPr lang="fi-FI"/>
              <a:t>Kuntien verotulot tilinpäätösten 1998-2018 mukaan</a:t>
            </a:r>
          </a:p>
        </c:rich>
      </c:tx>
      <c:layout>
        <c:manualLayout>
          <c:xMode val="edge"/>
          <c:yMode val="edge"/>
          <c:x val="0.11780104712041885"/>
          <c:y val="8.2429501084598705E-2"/>
        </c:manualLayout>
      </c:layout>
      <c:overlay val="0"/>
      <c:spPr>
        <a:noFill/>
        <a:ln w="25400">
          <a:noFill/>
        </a:ln>
      </c:spPr>
    </c:title>
    <c:autoTitleDeleted val="0"/>
    <c:plotArea>
      <c:layout>
        <c:manualLayout>
          <c:layoutTarget val="inner"/>
          <c:xMode val="edge"/>
          <c:yMode val="edge"/>
          <c:x val="9.7492862172716216E-2"/>
          <c:y val="0.21691976002999624"/>
          <c:w val="0.83638743455497377"/>
          <c:h val="0.51843817787418656"/>
        </c:manualLayout>
      </c:layout>
      <c:areaChart>
        <c:grouping val="stacked"/>
        <c:varyColors val="0"/>
        <c:ser>
          <c:idx val="1"/>
          <c:order val="3"/>
          <c:tx>
            <c:strRef>
              <c:f>Laskelma!$Y$63:$Z$63</c:f>
              <c:strCache>
                <c:ptCount val="2"/>
                <c:pt idx="0">
                  <c:v>Äänekoski</c:v>
                </c:pt>
                <c:pt idx="1">
                  <c:v>Verotulot yhteensä</c:v>
                </c:pt>
              </c:strCache>
            </c:strRef>
          </c:tx>
          <c:spPr>
            <a:solidFill>
              <a:schemeClr val="tx2">
                <a:lumMod val="20000"/>
                <a:lumOff val="80000"/>
                <a:alpha val="42000"/>
              </a:schemeClr>
            </a:solidFill>
            <a:ln w="12700" cmpd="sng">
              <a:solidFill>
                <a:schemeClr val="accent1">
                  <a:alpha val="52000"/>
                </a:schemeClr>
              </a:solidFill>
              <a:prstDash val="solid"/>
            </a:ln>
          </c:spPr>
          <c:val>
            <c:numRef>
              <c:f>Laskelma!$X$27:$AR$27</c:f>
              <c:numCache>
                <c:formatCode>#,##0</c:formatCode>
                <c:ptCount val="21"/>
                <c:pt idx="0">
                  <c:v>2101.2157330154946</c:v>
                </c:pt>
                <c:pt idx="1">
                  <c:v>2319.9827734711457</c:v>
                </c:pt>
                <c:pt idx="2">
                  <c:v>2326.7030367402112</c:v>
                </c:pt>
                <c:pt idx="3">
                  <c:v>2641.7757873728278</c:v>
                </c:pt>
                <c:pt idx="4">
                  <c:v>2617.0869033047734</c:v>
                </c:pt>
                <c:pt idx="5">
                  <c:v>2517.2801486043895</c:v>
                </c:pt>
                <c:pt idx="6">
                  <c:v>2485.6259811616956</c:v>
                </c:pt>
                <c:pt idx="7">
                  <c:v>2501.2533792086506</c:v>
                </c:pt>
                <c:pt idx="8">
                  <c:v>2599.0855906789243</c:v>
                </c:pt>
                <c:pt idx="9">
                  <c:v>2734.8069006077239</c:v>
                </c:pt>
                <c:pt idx="10">
                  <c:v>3017.2201722017221</c:v>
                </c:pt>
                <c:pt idx="11">
                  <c:v>3010.1269574667785</c:v>
                </c:pt>
                <c:pt idx="12">
                  <c:v>3048.7057893696897</c:v>
                </c:pt>
                <c:pt idx="13">
                  <c:v>3083.8005311301267</c:v>
                </c:pt>
                <c:pt idx="14">
                  <c:v>3268.837897853442</c:v>
                </c:pt>
                <c:pt idx="15">
                  <c:v>3579.8177018478855</c:v>
                </c:pt>
                <c:pt idx="16">
                  <c:v>3570.3450700688131</c:v>
                </c:pt>
                <c:pt idx="17">
                  <c:v>3720.2992975669349</c:v>
                </c:pt>
                <c:pt idx="18">
                  <c:v>3841.9531330649324</c:v>
                </c:pt>
                <c:pt idx="19">
                  <c:v>4006.2682824905974</c:v>
                </c:pt>
                <c:pt idx="20">
                  <c:v>3981.4333457111029</c:v>
                </c:pt>
              </c:numCache>
            </c:numRef>
          </c:val>
          <c:extLst>
            <c:ext xmlns:c16="http://schemas.microsoft.com/office/drawing/2014/chart" uri="{C3380CC4-5D6E-409C-BE32-E72D297353CC}">
              <c16:uniqueId val="{00000000-74A0-417D-829A-8714BEB8DA79}"/>
            </c:ext>
          </c:extLst>
        </c:ser>
        <c:dLbls>
          <c:showLegendKey val="0"/>
          <c:showVal val="0"/>
          <c:showCatName val="0"/>
          <c:showSerName val="0"/>
          <c:showPercent val="0"/>
          <c:showBubbleSize val="0"/>
        </c:dLbls>
        <c:axId val="181952896"/>
        <c:axId val="181954816"/>
      </c:areaChart>
      <c:barChart>
        <c:barDir val="col"/>
        <c:grouping val="stacked"/>
        <c:varyColors val="0"/>
        <c:ser>
          <c:idx val="2"/>
          <c:order val="0"/>
          <c:tx>
            <c:strRef>
              <c:f>Laskelma!$A$32</c:f>
              <c:strCache>
                <c:ptCount val="1"/>
                <c:pt idx="0">
                  <c:v>Kunnallisvero</c:v>
                </c:pt>
              </c:strCache>
            </c:strRef>
          </c:tx>
          <c:spPr>
            <a:solidFill>
              <a:srgbClr val="00CCFF"/>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Laskelma!$B$32:$V$32</c:f>
              <c:numCache>
                <c:formatCode>#,##0</c:formatCode>
                <c:ptCount val="21"/>
                <c:pt idx="0">
                  <c:v>1612.300353245525</c:v>
                </c:pt>
                <c:pt idx="1">
                  <c:v>1691.2511504509062</c:v>
                </c:pt>
                <c:pt idx="2">
                  <c:v>1631.6391207621043</c:v>
                </c:pt>
                <c:pt idx="3">
                  <c:v>1925.5398826613407</c:v>
                </c:pt>
                <c:pt idx="4">
                  <c:v>2121.1143513060742</c:v>
                </c:pt>
                <c:pt idx="5">
                  <c:v>2053.721802200504</c:v>
                </c:pt>
                <c:pt idx="6">
                  <c:v>2075.6554765988726</c:v>
                </c:pt>
                <c:pt idx="7">
                  <c:v>2149.2510047497258</c:v>
                </c:pt>
                <c:pt idx="8">
                  <c:v>2317.798143012179</c:v>
                </c:pt>
                <c:pt idx="9">
                  <c:v>2430.3381527064166</c:v>
                </c:pt>
                <c:pt idx="10">
                  <c:v>2658.3714438439151</c:v>
                </c:pt>
                <c:pt idx="11">
                  <c:v>2695.9900344050302</c:v>
                </c:pt>
                <c:pt idx="12">
                  <c:v>2619.1511873971313</c:v>
                </c:pt>
                <c:pt idx="13">
                  <c:v>2684.8048680592124</c:v>
                </c:pt>
                <c:pt idx="14">
                  <c:v>2773.6080308159217</c:v>
                </c:pt>
                <c:pt idx="15">
                  <c:v>3090.4255319148938</c:v>
                </c:pt>
                <c:pt idx="16">
                  <c:v>3113.4764250527796</c:v>
                </c:pt>
                <c:pt idx="17">
                  <c:v>3175.6732969547616</c:v>
                </c:pt>
                <c:pt idx="18">
                  <c:v>3259.7648171128048</c:v>
                </c:pt>
                <c:pt idx="19">
                  <c:v>3221.2415767189455</c:v>
                </c:pt>
                <c:pt idx="20">
                  <c:v>3292.5772078743003</c:v>
                </c:pt>
              </c:numCache>
            </c:numRef>
          </c:val>
          <c:extLst>
            <c:ext xmlns:c16="http://schemas.microsoft.com/office/drawing/2014/chart" uri="{C3380CC4-5D6E-409C-BE32-E72D297353CC}">
              <c16:uniqueId val="{00000001-74A0-417D-829A-8714BEB8DA79}"/>
            </c:ext>
          </c:extLst>
        </c:ser>
        <c:ser>
          <c:idx val="3"/>
          <c:order val="1"/>
          <c:tx>
            <c:strRef>
              <c:f>Laskelma!$A$33</c:f>
              <c:strCache>
                <c:ptCount val="1"/>
                <c:pt idx="0">
                  <c:v>Yhteisövero</c:v>
                </c:pt>
              </c:strCache>
            </c:strRef>
          </c:tx>
          <c:spPr>
            <a:solidFill>
              <a:srgbClr val="FFFFCC"/>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Laskelma!$B$33:$V$33</c:f>
              <c:numCache>
                <c:formatCode>#,##0</c:formatCode>
                <c:ptCount val="21"/>
                <c:pt idx="0">
                  <c:v>147.2612203437989</c:v>
                </c:pt>
                <c:pt idx="1">
                  <c:v>182.80975509396154</c:v>
                </c:pt>
                <c:pt idx="2">
                  <c:v>198.81933056588403</c:v>
                </c:pt>
                <c:pt idx="3">
                  <c:v>219.13618774185494</c:v>
                </c:pt>
                <c:pt idx="4">
                  <c:v>184.15337842030155</c:v>
                </c:pt>
                <c:pt idx="5">
                  <c:v>100.00614665929068</c:v>
                </c:pt>
                <c:pt idx="6">
                  <c:v>116.45430041656456</c:v>
                </c:pt>
                <c:pt idx="7">
                  <c:v>121.78784557301181</c:v>
                </c:pt>
                <c:pt idx="8">
                  <c:v>132.82286265525141</c:v>
                </c:pt>
                <c:pt idx="9">
                  <c:v>149.59971322738679</c:v>
                </c:pt>
                <c:pt idx="10">
                  <c:v>151.63033794618994</c:v>
                </c:pt>
                <c:pt idx="11">
                  <c:v>139.04377743504568</c:v>
                </c:pt>
                <c:pt idx="12">
                  <c:v>177.22783917234892</c:v>
                </c:pt>
                <c:pt idx="13">
                  <c:v>166.22783921362119</c:v>
                </c:pt>
                <c:pt idx="14">
                  <c:v>75.113808801213963</c:v>
                </c:pt>
                <c:pt idx="15">
                  <c:v>82.70984334814122</c:v>
                </c:pt>
                <c:pt idx="16">
                  <c:v>100.10555946516537</c:v>
                </c:pt>
                <c:pt idx="17">
                  <c:v>104.14833069295312</c:v>
                </c:pt>
                <c:pt idx="18">
                  <c:v>94.900431365597115</c:v>
                </c:pt>
                <c:pt idx="19">
                  <c:v>112.8868745900173</c:v>
                </c:pt>
                <c:pt idx="20">
                  <c:v>97.104328457046535</c:v>
                </c:pt>
              </c:numCache>
            </c:numRef>
          </c:val>
          <c:extLst>
            <c:ext xmlns:c16="http://schemas.microsoft.com/office/drawing/2014/chart" uri="{C3380CC4-5D6E-409C-BE32-E72D297353CC}">
              <c16:uniqueId val="{00000002-74A0-417D-829A-8714BEB8DA79}"/>
            </c:ext>
          </c:extLst>
        </c:ser>
        <c:ser>
          <c:idx val="0"/>
          <c:order val="2"/>
          <c:tx>
            <c:strRef>
              <c:f>Laskelma!$A$34</c:f>
              <c:strCache>
                <c:ptCount val="1"/>
                <c:pt idx="0">
                  <c:v>Kiinteistövero</c:v>
                </c:pt>
              </c:strCache>
            </c:strRef>
          </c:tx>
          <c:spPr>
            <a:solidFill>
              <a:srgbClr val="FF8080"/>
            </a:solidFill>
            <a:ln w="12700">
              <a:solidFill>
                <a:srgbClr val="000000"/>
              </a:solidFill>
              <a:prstDash val="solid"/>
            </a:ln>
          </c:spPr>
          <c:invertIfNegative val="0"/>
          <c:cat>
            <c:multiLvlStrRef>
              <c:f>Laskelma!$B$2:$AR$3</c:f>
              <c:multiLvlStrCache>
                <c:ptCount val="43"/>
                <c:lvl>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lvl>
                <c:lvl>
                  <c:pt idx="0">
                    <c:v>Akaa</c:v>
                  </c:pt>
                  <c:pt idx="22">
                    <c:v>Äänekoski</c:v>
                  </c:pt>
                </c:lvl>
              </c:multiLvlStrCache>
            </c:multiLvlStrRef>
          </c:cat>
          <c:val>
            <c:numRef>
              <c:f>Laskelma!$B$34:$V$34</c:f>
              <c:numCache>
                <c:formatCode>#,##0</c:formatCode>
                <c:ptCount val="21"/>
                <c:pt idx="0">
                  <c:v>60.160302635409636</c:v>
                </c:pt>
                <c:pt idx="1">
                  <c:v>66.414938993827207</c:v>
                </c:pt>
                <c:pt idx="2">
                  <c:v>70.112583705842823</c:v>
                </c:pt>
                <c:pt idx="3">
                  <c:v>75.521158407190114</c:v>
                </c:pt>
                <c:pt idx="4">
                  <c:v>76.06874728547497</c:v>
                </c:pt>
                <c:pt idx="5">
                  <c:v>76.280041797283175</c:v>
                </c:pt>
                <c:pt idx="6">
                  <c:v>78.718451359960795</c:v>
                </c:pt>
                <c:pt idx="7">
                  <c:v>92.680550481061985</c:v>
                </c:pt>
                <c:pt idx="8">
                  <c:v>93.452309176413848</c:v>
                </c:pt>
                <c:pt idx="9">
                  <c:v>89.795674513083995</c:v>
                </c:pt>
                <c:pt idx="10">
                  <c:v>99.899031894042878</c:v>
                </c:pt>
                <c:pt idx="11">
                  <c:v>101.61347728081623</c:v>
                </c:pt>
                <c:pt idx="12">
                  <c:v>129.96708205972254</c:v>
                </c:pt>
                <c:pt idx="13">
                  <c:v>125.97273418758411</c:v>
                </c:pt>
                <c:pt idx="14">
                  <c:v>129.97548733512315</c:v>
                </c:pt>
                <c:pt idx="15">
                  <c:v>165.01052139350011</c:v>
                </c:pt>
                <c:pt idx="16">
                  <c:v>185.60872624912034</c:v>
                </c:pt>
                <c:pt idx="17">
                  <c:v>187.40832013143225</c:v>
                </c:pt>
                <c:pt idx="18">
                  <c:v>199.55090704957749</c:v>
                </c:pt>
                <c:pt idx="19">
                  <c:v>208.06249627288449</c:v>
                </c:pt>
                <c:pt idx="20">
                  <c:v>199.80735657094695</c:v>
                </c:pt>
              </c:numCache>
            </c:numRef>
          </c:val>
          <c:extLst>
            <c:ext xmlns:c16="http://schemas.microsoft.com/office/drawing/2014/chart" uri="{C3380CC4-5D6E-409C-BE32-E72D297353CC}">
              <c16:uniqueId val="{00000003-74A0-417D-829A-8714BEB8DA79}"/>
            </c:ext>
          </c:extLst>
        </c:ser>
        <c:dLbls>
          <c:showLegendKey val="0"/>
          <c:showVal val="0"/>
          <c:showCatName val="0"/>
          <c:showSerName val="0"/>
          <c:showPercent val="0"/>
          <c:showBubbleSize val="0"/>
        </c:dLbls>
        <c:gapWidth val="150"/>
        <c:overlap val="100"/>
        <c:axId val="181952896"/>
        <c:axId val="181954816"/>
      </c:barChart>
      <c:catAx>
        <c:axId val="181952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1" i="0" u="none" strike="noStrike" baseline="0">
                <a:solidFill>
                  <a:srgbClr val="000000"/>
                </a:solidFill>
                <a:latin typeface="Verdana"/>
                <a:ea typeface="Verdana"/>
                <a:cs typeface="Verdana"/>
              </a:defRPr>
            </a:pPr>
            <a:endParaRPr lang="fi-FI"/>
          </a:p>
        </c:txPr>
        <c:crossAx val="181954816"/>
        <c:crosses val="autoZero"/>
        <c:auto val="0"/>
        <c:lblAlgn val="ctr"/>
        <c:lblOffset val="100"/>
        <c:tickLblSkip val="1"/>
        <c:tickMarkSkip val="1"/>
        <c:noMultiLvlLbl val="0"/>
      </c:catAx>
      <c:valAx>
        <c:axId val="181954816"/>
        <c:scaling>
          <c:orientation val="minMax"/>
        </c:scaling>
        <c:delete val="0"/>
        <c:axPos val="l"/>
        <c:majorGridlines>
          <c:spPr>
            <a:ln w="3175">
              <a:solidFill>
                <a:srgbClr val="000000"/>
              </a:solidFill>
              <a:prstDash val="solid"/>
            </a:ln>
          </c:spPr>
        </c:majorGridlines>
        <c:title>
          <c:tx>
            <c:rich>
              <a:bodyPr rot="0" vert="horz"/>
              <a:lstStyle/>
              <a:p>
                <a:pPr algn="ctr">
                  <a:defRPr sz="925" b="1" i="0" u="none" strike="noStrike" baseline="0">
                    <a:solidFill>
                      <a:srgbClr val="000000"/>
                    </a:solidFill>
                    <a:latin typeface="Verdana"/>
                    <a:ea typeface="Verdana"/>
                    <a:cs typeface="Verdana"/>
                  </a:defRPr>
                </a:pPr>
                <a:r>
                  <a:rPr lang="fi-FI"/>
                  <a:t>€ / asukas</a:t>
                </a:r>
              </a:p>
            </c:rich>
          </c:tx>
          <c:layout>
            <c:manualLayout>
              <c:xMode val="edge"/>
              <c:yMode val="edge"/>
              <c:x val="0.10340314136125654"/>
              <c:y val="0.169197396963123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Verdana"/>
                <a:ea typeface="Verdana"/>
                <a:cs typeface="Verdana"/>
              </a:defRPr>
            </a:pPr>
            <a:endParaRPr lang="fi-FI"/>
          </a:p>
        </c:txPr>
        <c:crossAx val="181952896"/>
        <c:crosses val="autoZero"/>
        <c:crossBetween val="between"/>
      </c:valAx>
      <c:spPr>
        <a:solidFill>
          <a:srgbClr val="FFFFFF"/>
        </a:solidFill>
        <a:ln w="12700">
          <a:solidFill>
            <a:srgbClr val="808080"/>
          </a:solidFill>
          <a:prstDash val="solid"/>
        </a:ln>
      </c:spPr>
    </c:plotArea>
    <c:legend>
      <c:legendPos val="b"/>
      <c:layout>
        <c:manualLayout>
          <c:xMode val="edge"/>
          <c:yMode val="edge"/>
          <c:x val="0.21484053517700527"/>
          <c:y val="0.15209057201183185"/>
          <c:w val="0.62800462794461853"/>
          <c:h val="3.8158008026774423E-2"/>
        </c:manualLayout>
      </c:layout>
      <c:overlay val="0"/>
      <c:spPr>
        <a:solidFill>
          <a:srgbClr val="FFFFFF"/>
        </a:solidFill>
        <a:ln w="25400">
          <a:noFill/>
        </a:ln>
      </c:spPr>
      <c:txPr>
        <a:bodyPr/>
        <a:lstStyle/>
        <a:p>
          <a:pPr>
            <a:defRPr sz="850" b="1" i="0" u="none" strike="noStrike" baseline="0">
              <a:solidFill>
                <a:srgbClr val="000000"/>
              </a:solidFill>
              <a:latin typeface="Verdana"/>
              <a:ea typeface="Verdana"/>
              <a:cs typeface="Verdana"/>
            </a:defRPr>
          </a:pPr>
          <a:endParaRPr lang="fi-FI"/>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fi-FI"/>
    </a:p>
  </c:txPr>
  <c:printSettings>
    <c:headerFooter alignWithMargins="0">
      <c:oddHeader>&amp;A</c:oddHeader>
    </c:headerFooter>
    <c:pageMargins b="1" l="0.75" r="0.75" t="1" header="0.5" footer="0.5"/>
    <c:pageSetup paperSize="9" orientation="landscape"/>
  </c:printSettings>
  <c:userShapes r:id="rId1"/>
</c:chartSpace>
</file>

<file path=xl/ctrlProps/ctrlProp1.xml><?xml version="1.0" encoding="utf-8"?>
<formControlPr xmlns="http://schemas.microsoft.com/office/spreadsheetml/2009/9/main" objectType="Drop" dropLines="15" dropStyle="combo" dx="16" fmlaLink="Laskelma!$B$1" fmlaRange="Perusaineisto!$B$3:$B$298" sel="1" val="0"/>
</file>

<file path=xl/ctrlProps/ctrlProp2.xml><?xml version="1.0" encoding="utf-8"?>
<formControlPr xmlns="http://schemas.microsoft.com/office/spreadsheetml/2009/9/main" objectType="Drop" dropLines="15" dropStyle="combo" dx="16" fmlaLink="Laskelma!$X$1" fmlaRange="Perusaineisto!$B$3:$B$298" noThreeD="1" sel="296" val="281"/>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xdr:colOff>
      <xdr:row>6</xdr:row>
      <xdr:rowOff>0</xdr:rowOff>
    </xdr:from>
    <xdr:to>
      <xdr:col>11</xdr:col>
      <xdr:colOff>581025</xdr:colOff>
      <xdr:row>32</xdr:row>
      <xdr:rowOff>142875</xdr:rowOff>
    </xdr:to>
    <xdr:graphicFrame macro="">
      <xdr:nvGraphicFramePr>
        <xdr:cNvPr id="139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581025</xdr:colOff>
      <xdr:row>32</xdr:row>
      <xdr:rowOff>142875</xdr:rowOff>
    </xdr:from>
    <xdr:to>
      <xdr:col>25</xdr:col>
      <xdr:colOff>495300</xdr:colOff>
      <xdr:row>60</xdr:row>
      <xdr:rowOff>0</xdr:rowOff>
    </xdr:to>
    <xdr:graphicFrame macro="">
      <xdr:nvGraphicFramePr>
        <xdr:cNvPr id="13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581025</xdr:colOff>
      <xdr:row>6</xdr:row>
      <xdr:rowOff>0</xdr:rowOff>
    </xdr:from>
    <xdr:to>
      <xdr:col>25</xdr:col>
      <xdr:colOff>495300</xdr:colOff>
      <xdr:row>32</xdr:row>
      <xdr:rowOff>142875</xdr:rowOff>
    </xdr:to>
    <xdr:graphicFrame macro="">
      <xdr:nvGraphicFramePr>
        <xdr:cNvPr id="13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60</xdr:row>
      <xdr:rowOff>0</xdr:rowOff>
    </xdr:from>
    <xdr:to>
      <xdr:col>11</xdr:col>
      <xdr:colOff>581025</xdr:colOff>
      <xdr:row>87</xdr:row>
      <xdr:rowOff>0</xdr:rowOff>
    </xdr:to>
    <xdr:graphicFrame macro="">
      <xdr:nvGraphicFramePr>
        <xdr:cNvPr id="139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581025</xdr:colOff>
      <xdr:row>60</xdr:row>
      <xdr:rowOff>0</xdr:rowOff>
    </xdr:from>
    <xdr:to>
      <xdr:col>25</xdr:col>
      <xdr:colOff>495300</xdr:colOff>
      <xdr:row>87</xdr:row>
      <xdr:rowOff>0</xdr:rowOff>
    </xdr:to>
    <xdr:graphicFrame macro="">
      <xdr:nvGraphicFramePr>
        <xdr:cNvPr id="139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32</xdr:row>
      <xdr:rowOff>142875</xdr:rowOff>
    </xdr:from>
    <xdr:to>
      <xdr:col>11</xdr:col>
      <xdr:colOff>581025</xdr:colOff>
      <xdr:row>60</xdr:row>
      <xdr:rowOff>0</xdr:rowOff>
    </xdr:to>
    <xdr:graphicFrame macro="">
      <xdr:nvGraphicFramePr>
        <xdr:cNvPr id="13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87</xdr:row>
      <xdr:rowOff>0</xdr:rowOff>
    </xdr:from>
    <xdr:to>
      <xdr:col>11</xdr:col>
      <xdr:colOff>581025</xdr:colOff>
      <xdr:row>111</xdr:row>
      <xdr:rowOff>133350</xdr:rowOff>
    </xdr:to>
    <xdr:graphicFrame macro="">
      <xdr:nvGraphicFramePr>
        <xdr:cNvPr id="140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581025</xdr:colOff>
      <xdr:row>87</xdr:row>
      <xdr:rowOff>0</xdr:rowOff>
    </xdr:from>
    <xdr:to>
      <xdr:col>25</xdr:col>
      <xdr:colOff>495300</xdr:colOff>
      <xdr:row>111</xdr:row>
      <xdr:rowOff>142875</xdr:rowOff>
    </xdr:to>
    <xdr:graphicFrame macro="">
      <xdr:nvGraphicFramePr>
        <xdr:cNvPr id="140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209550</xdr:colOff>
          <xdr:row>2</xdr:row>
          <xdr:rowOff>57150</xdr:rowOff>
        </xdr:from>
        <xdr:to>
          <xdr:col>5</xdr:col>
          <xdr:colOff>161925</xdr:colOff>
          <xdr:row>3</xdr:row>
          <xdr:rowOff>47625</xdr:rowOff>
        </xdr:to>
        <xdr:sp macro="" textlink="">
          <xdr:nvSpPr>
            <xdr:cNvPr id="1031" name="Drop Down 7" hidden="1">
              <a:extLst>
                <a:ext uri="{63B3BB69-23CF-44E3-9099-C40C66FF867C}">
                  <a14:compatExt spid="_x0000_s103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xdr:row>
          <xdr:rowOff>57150</xdr:rowOff>
        </xdr:from>
        <xdr:to>
          <xdr:col>10</xdr:col>
          <xdr:colOff>409575</xdr:colOff>
          <xdr:row>3</xdr:row>
          <xdr:rowOff>47625</xdr:rowOff>
        </xdr:to>
        <xdr:sp macro="" textlink="">
          <xdr:nvSpPr>
            <xdr:cNvPr id="1032" name="Drop Down 8" hidden="1">
              <a:extLst>
                <a:ext uri="{63B3BB69-23CF-44E3-9099-C40C66FF867C}">
                  <a14:compatExt spid="_x0000_s103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xdr:twoCellAnchor>
    <xdr:from>
      <xdr:col>11</xdr:col>
      <xdr:colOff>581025</xdr:colOff>
      <xdr:row>111</xdr:row>
      <xdr:rowOff>133349</xdr:rowOff>
    </xdr:from>
    <xdr:to>
      <xdr:col>25</xdr:col>
      <xdr:colOff>495300</xdr:colOff>
      <xdr:row>138</xdr:row>
      <xdr:rowOff>133349</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9525</xdr:colOff>
      <xdr:row>138</xdr:row>
      <xdr:rowOff>123825</xdr:rowOff>
    </xdr:from>
    <xdr:to>
      <xdr:col>11</xdr:col>
      <xdr:colOff>590550</xdr:colOff>
      <xdr:row>165</xdr:row>
      <xdr:rowOff>133350</xdr:rowOff>
    </xdr:to>
    <xdr:graphicFrame macro="">
      <xdr:nvGraphicFramePr>
        <xdr:cNvPr id="1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111</xdr:row>
      <xdr:rowOff>133350</xdr:rowOff>
    </xdr:from>
    <xdr:to>
      <xdr:col>11</xdr:col>
      <xdr:colOff>581025</xdr:colOff>
      <xdr:row>138</xdr:row>
      <xdr:rowOff>133350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581025</xdr:colOff>
      <xdr:row>138</xdr:row>
      <xdr:rowOff>133350</xdr:rowOff>
    </xdr:from>
    <xdr:to>
      <xdr:col>25</xdr:col>
      <xdr:colOff>495300</xdr:colOff>
      <xdr:row>165</xdr:row>
      <xdr:rowOff>133350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0.00654</cdr:x>
      <cdr:y>0.01082</cdr:y>
    </cdr:from>
    <cdr:to>
      <cdr:x>0.00654</cdr:x>
      <cdr:y>0.01082</cdr:y>
    </cdr:to>
    <cdr:pic>
      <cdr:nvPicPr>
        <cdr:cNvPr id="2049"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2052"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0.74147</cdr:x>
      <cdr:y>0.88066</cdr:y>
    </cdr:from>
    <cdr:to>
      <cdr:x>0.935</cdr:x>
      <cdr:y>0.94394</cdr:y>
    </cdr:to>
    <cdr:sp macro="" textlink="">
      <cdr:nvSpPr>
        <cdr:cNvPr id="5" name="Tekstiruutu 4"/>
        <cdr:cNvSpPr txBox="1"/>
      </cdr:nvSpPr>
      <cdr:spPr>
        <a:xfrm xmlns:a="http://schemas.openxmlformats.org/drawingml/2006/main">
          <a:off x="6264476" y="4756158"/>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0.00653</cdr:x>
      <cdr:y>0.01085</cdr:y>
    </cdr:from>
    <cdr:to>
      <cdr:x>0.00653</cdr:x>
      <cdr:y>0.01085</cdr:y>
    </cdr:to>
    <cdr:pic>
      <cdr:nvPicPr>
        <cdr:cNvPr id="23553"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0.00653</cdr:x>
      <cdr:y>0.01085</cdr:y>
    </cdr:from>
    <cdr:to>
      <cdr:x>0.2128</cdr:x>
      <cdr:y>0.09767</cdr:y>
    </cdr:to>
    <cdr:pic>
      <cdr:nvPicPr>
        <cdr:cNvPr id="2355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988" cy="38125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0.71764</cdr:x>
      <cdr:y>0.90662</cdr:y>
    </cdr:from>
    <cdr:to>
      <cdr:x>0.94202</cdr:x>
      <cdr:y>0.96979</cdr:y>
    </cdr:to>
    <cdr:sp macro="" textlink="">
      <cdr:nvSpPr>
        <cdr:cNvPr id="5" name="Tekstiruutu 4"/>
        <cdr:cNvSpPr txBox="1"/>
      </cdr:nvSpPr>
      <cdr:spPr>
        <a:xfrm xmlns:a="http://schemas.openxmlformats.org/drawingml/2006/main">
          <a:off x="5229161" y="4904996"/>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0.00653</cdr:x>
      <cdr:y>0.01089</cdr:y>
    </cdr:from>
    <cdr:to>
      <cdr:x>0.00653</cdr:x>
      <cdr:y>0.01089</cdr:y>
    </cdr:to>
    <cdr:pic>
      <cdr:nvPicPr>
        <cdr:cNvPr id="72705"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0.00878</cdr:x>
      <cdr:y>0.01089</cdr:y>
    </cdr:from>
    <cdr:to>
      <cdr:x>0.20913</cdr:x>
      <cdr:y>0.09795</cdr:y>
    </cdr:to>
    <cdr:pic>
      <cdr:nvPicPr>
        <cdr:cNvPr id="72706" name="Picture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74220" y="47507"/>
          <a:ext cx="1692692" cy="379795"/>
        </a:xfrm>
        <a:prstGeom xmlns:a="http://schemas.openxmlformats.org/drawingml/2006/main" prst="rect">
          <a:avLst/>
        </a:prstGeom>
        <a:noFill xmlns:a="http://schemas.openxmlformats.org/drawingml/2006/main"/>
      </cdr:spPr>
    </cdr:pic>
  </cdr:relSizeAnchor>
  <cdr:relSizeAnchor xmlns:cdr="http://schemas.openxmlformats.org/drawingml/2006/chartDrawing">
    <cdr:from>
      <cdr:x>0.94025</cdr:x>
      <cdr:y>0.14379</cdr:y>
    </cdr:from>
    <cdr:to>
      <cdr:x>0.96392</cdr:x>
      <cdr:y>0.18954</cdr:y>
    </cdr:to>
    <cdr:sp macro="" textlink="">
      <cdr:nvSpPr>
        <cdr:cNvPr id="2" name="Tekstiruutu 1"/>
        <cdr:cNvSpPr txBox="1"/>
      </cdr:nvSpPr>
      <cdr:spPr>
        <a:xfrm xmlns:a="http://schemas.openxmlformats.org/drawingml/2006/main">
          <a:off x="7943850" y="628650"/>
          <a:ext cx="2000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i-FI" sz="1100"/>
            <a:t>%</a:t>
          </a:r>
        </a:p>
      </cdr:txBody>
    </cdr:sp>
  </cdr:relSizeAnchor>
  <cdr:relSizeAnchor xmlns:cdr="http://schemas.openxmlformats.org/drawingml/2006/chartDrawing">
    <cdr:from>
      <cdr:x>0.00174</cdr:x>
      <cdr:y>0.15033</cdr:y>
    </cdr:from>
    <cdr:to>
      <cdr:x>0.11503</cdr:x>
      <cdr:y>0.20044</cdr:y>
    </cdr:to>
    <cdr:sp macro="" textlink="">
      <cdr:nvSpPr>
        <cdr:cNvPr id="8" name="Tekstiruutu 1"/>
        <cdr:cNvSpPr txBox="1"/>
      </cdr:nvSpPr>
      <cdr:spPr>
        <a:xfrm xmlns:a="http://schemas.openxmlformats.org/drawingml/2006/main">
          <a:off x="12700" y="657226"/>
          <a:ext cx="825500"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i-FI" sz="1100"/>
            <a:t>Asukasluku</a:t>
          </a:r>
        </a:p>
      </cdr:txBody>
    </cdr:sp>
  </cdr:relSizeAnchor>
  <cdr:relSizeAnchor xmlns:cdr="http://schemas.openxmlformats.org/drawingml/2006/chartDrawing">
    <cdr:from>
      <cdr:x>0.74765</cdr:x>
      <cdr:y>0.88848</cdr:y>
    </cdr:from>
    <cdr:to>
      <cdr:x>0.97203</cdr:x>
      <cdr:y>0.95176</cdr:y>
    </cdr:to>
    <cdr:sp macro="" textlink="">
      <cdr:nvSpPr>
        <cdr:cNvPr id="7" name="Tekstiruutu 4"/>
        <cdr:cNvSpPr txBox="1"/>
      </cdr:nvSpPr>
      <cdr:spPr>
        <a:xfrm xmlns:a="http://schemas.openxmlformats.org/drawingml/2006/main">
          <a:off x="5447832" y="4798392"/>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0.00653</cdr:x>
      <cdr:y>0.01089</cdr:y>
    </cdr:from>
    <cdr:to>
      <cdr:x>0.00653</cdr:x>
      <cdr:y>0.01089</cdr:y>
    </cdr:to>
    <cdr:pic>
      <cdr:nvPicPr>
        <cdr:cNvPr id="72705"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0.00878</cdr:x>
      <cdr:y>0.01089</cdr:y>
    </cdr:from>
    <cdr:to>
      <cdr:x>0.20913</cdr:x>
      <cdr:y>0.09795</cdr:y>
    </cdr:to>
    <cdr:pic>
      <cdr:nvPicPr>
        <cdr:cNvPr id="72706" name="Picture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74220" y="47507"/>
          <a:ext cx="1692692" cy="379795"/>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0.0699</cdr:x>
      <cdr:y>0.17467</cdr:y>
    </cdr:from>
    <cdr:to>
      <cdr:x>0.17164</cdr:x>
      <cdr:y>0.21939</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90550" y="762000"/>
          <a:ext cx="859611" cy="195089"/>
        </a:xfrm>
        <a:prstGeom xmlns:a="http://schemas.openxmlformats.org/drawingml/2006/main" prst="rect">
          <a:avLst/>
        </a:prstGeom>
      </cdr:spPr>
    </cdr:pic>
  </cdr:relSizeAnchor>
  <cdr:relSizeAnchor xmlns:cdr="http://schemas.openxmlformats.org/drawingml/2006/chartDrawing">
    <cdr:from>
      <cdr:x>0.77417</cdr:x>
      <cdr:y>0.88066</cdr:y>
    </cdr:from>
    <cdr:to>
      <cdr:x>0.9677</cdr:x>
      <cdr:y>0.94394</cdr:y>
    </cdr:to>
    <cdr:sp macro="" textlink="">
      <cdr:nvSpPr>
        <cdr:cNvPr id="8" name="Tekstiruutu 4"/>
        <cdr:cNvSpPr txBox="1"/>
      </cdr:nvSpPr>
      <cdr:spPr>
        <a:xfrm xmlns:a="http://schemas.openxmlformats.org/drawingml/2006/main">
          <a:off x="6540747" y="4756158"/>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0.00654</cdr:x>
      <cdr:y>0.01092</cdr:y>
    </cdr:from>
    <cdr:to>
      <cdr:x>0.00654</cdr:x>
      <cdr:y>0.01092</cdr:y>
    </cdr:to>
    <cdr:pic>
      <cdr:nvPicPr>
        <cdr:cNvPr id="4097"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0.01092</cdr:y>
    </cdr:from>
    <cdr:to>
      <cdr:x>0.21305</cdr:x>
      <cdr:y>0.09822</cdr:y>
    </cdr:to>
    <cdr:pic>
      <cdr:nvPicPr>
        <cdr:cNvPr id="4100"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0848"/>
        </a:xfrm>
        <a:prstGeom xmlns:a="http://schemas.openxmlformats.org/drawingml/2006/main" prst="rect">
          <a:avLst/>
        </a:prstGeom>
        <a:noFill xmlns:a="http://schemas.openxmlformats.org/drawingml/2006/main"/>
      </cdr:spPr>
    </cdr:pic>
  </cdr:relSizeAnchor>
</c:userShapes>
</file>

<file path=xl/drawings/drawing3.xml><?xml version="1.0" encoding="utf-8"?>
<c:userShapes xmlns:c="http://schemas.openxmlformats.org/drawingml/2006/chart">
  <cdr:relSizeAnchor xmlns:cdr="http://schemas.openxmlformats.org/drawingml/2006/chartDrawing">
    <cdr:from>
      <cdr:x>0.00563</cdr:x>
      <cdr:y>0.01082</cdr:y>
    </cdr:from>
    <cdr:to>
      <cdr:x>0.00563</cdr:x>
      <cdr:y>0.01082</cdr:y>
    </cdr:to>
    <cdr:pic>
      <cdr:nvPicPr>
        <cdr:cNvPr id="3073"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0.00563</cdr:x>
      <cdr:y>0.01082</cdr:y>
    </cdr:from>
    <cdr:to>
      <cdr:x>0.00563</cdr:x>
      <cdr:y>0.01082</cdr:y>
    </cdr:to>
    <cdr:pic>
      <cdr:nvPicPr>
        <cdr:cNvPr id="3074" name="Kuva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0.00563</cdr:x>
      <cdr:y>0.01082</cdr:y>
    </cdr:from>
    <cdr:to>
      <cdr:x>0.1836</cdr:x>
      <cdr:y>0.09741</cdr:y>
    </cdr:to>
    <cdr:pic>
      <cdr:nvPicPr>
        <cdr:cNvPr id="307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5331"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0.74652</cdr:x>
      <cdr:y>0.88868</cdr:y>
    </cdr:from>
    <cdr:to>
      <cdr:x>0.94005</cdr:x>
      <cdr:y>0.9513</cdr:y>
    </cdr:to>
    <cdr:sp macro="" textlink="">
      <cdr:nvSpPr>
        <cdr:cNvPr id="7" name="Tekstiruutu 4"/>
        <cdr:cNvSpPr txBox="1"/>
      </cdr:nvSpPr>
      <cdr:spPr>
        <a:xfrm xmlns:a="http://schemas.openxmlformats.org/drawingml/2006/main">
          <a:off x="6307141" y="4850260"/>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0.00563</cdr:x>
      <cdr:y>0.01092</cdr:y>
    </cdr:from>
    <cdr:to>
      <cdr:x>0.00563</cdr:x>
      <cdr:y>0.01092</cdr:y>
    </cdr:to>
    <cdr:pic>
      <cdr:nvPicPr>
        <cdr:cNvPr id="5121"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0.00563</cdr:x>
      <cdr:y>0.01092</cdr:y>
    </cdr:from>
    <cdr:to>
      <cdr:x>0.00563</cdr:x>
      <cdr:y>0.01092</cdr:y>
    </cdr:to>
    <cdr:pic>
      <cdr:nvPicPr>
        <cdr:cNvPr id="5122" name="Kuva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0.00563</cdr:x>
      <cdr:y>0.01092</cdr:y>
    </cdr:from>
    <cdr:to>
      <cdr:x>0.1836</cdr:x>
      <cdr:y>0.09822</cdr:y>
    </cdr:to>
    <cdr:pic>
      <cdr:nvPicPr>
        <cdr:cNvPr id="5125"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5331" cy="380848"/>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0.01092</cdr:y>
    </cdr:from>
    <cdr:to>
      <cdr:x>0.00654</cdr:x>
      <cdr:y>0.01092</cdr:y>
    </cdr:to>
    <cdr:pic>
      <cdr:nvPicPr>
        <cdr:cNvPr id="4097"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0.01092</cdr:y>
    </cdr:from>
    <cdr:to>
      <cdr:x>0.21305</cdr:x>
      <cdr:y>0.09822</cdr:y>
    </cdr:to>
    <cdr:pic>
      <cdr:nvPicPr>
        <cdr:cNvPr id="4100"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0848"/>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0.01092</cdr:y>
    </cdr:from>
    <cdr:to>
      <cdr:x>0.00654</cdr:x>
      <cdr:y>0.01092</cdr:y>
    </cdr:to>
    <cdr:pic>
      <cdr:nvPicPr>
        <cdr:cNvPr id="2"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0.01092</cdr:y>
    </cdr:from>
    <cdr:to>
      <cdr:x>0.21305</cdr:x>
      <cdr:y>0.09822</cdr:y>
    </cdr:to>
    <cdr:pic>
      <cdr:nvPicPr>
        <cdr:cNvPr id="3"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0848"/>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0.01092</cdr:y>
    </cdr:from>
    <cdr:to>
      <cdr:x>0.00654</cdr:x>
      <cdr:y>0.01092</cdr:y>
    </cdr:to>
    <cdr:pic>
      <cdr:nvPicPr>
        <cdr:cNvPr id="4"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0.01092</cdr:y>
    </cdr:from>
    <cdr:to>
      <cdr:x>0.21305</cdr:x>
      <cdr:y>0.09822</cdr:y>
    </cdr:to>
    <cdr:pic>
      <cdr:nvPicPr>
        <cdr:cNvPr id="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0848"/>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0.75932</cdr:x>
      <cdr:y>0.8891</cdr:y>
    </cdr:from>
    <cdr:to>
      <cdr:x>0.95284</cdr:x>
      <cdr:y>0.95306</cdr:y>
    </cdr:to>
    <cdr:sp macro="" textlink="">
      <cdr:nvSpPr>
        <cdr:cNvPr id="12" name="Tekstiruutu 4"/>
        <cdr:cNvSpPr txBox="1"/>
      </cdr:nvSpPr>
      <cdr:spPr>
        <a:xfrm xmlns:a="http://schemas.openxmlformats.org/drawingml/2006/main">
          <a:off x="6415242" y="4750928"/>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0.00654</cdr:x>
      <cdr:y>0.01087</cdr:y>
    </cdr:from>
    <cdr:to>
      <cdr:x>0.00654</cdr:x>
      <cdr:y>0.01087</cdr:y>
    </cdr:to>
    <cdr:pic>
      <cdr:nvPicPr>
        <cdr:cNvPr id="6145"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0.01087</cdr:y>
    </cdr:from>
    <cdr:to>
      <cdr:x>0.21305</cdr:x>
      <cdr:y>0.09793</cdr:y>
    </cdr:to>
    <cdr:pic>
      <cdr:nvPicPr>
        <cdr:cNvPr id="6148"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476"/>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2049"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2052"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2"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3"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4"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5"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6"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8"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9"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10"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11"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12"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13"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14"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15"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1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17"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18"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19"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20"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0.00654</cdr:x>
      <cdr:y>0.01082</cdr:y>
    </cdr:from>
    <cdr:to>
      <cdr:x>0.00654</cdr:x>
      <cdr:y>0.01082</cdr:y>
    </cdr:to>
    <cdr:pic>
      <cdr:nvPicPr>
        <cdr:cNvPr id="21"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22"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0.72951</cdr:x>
      <cdr:y>0.87243</cdr:y>
    </cdr:from>
    <cdr:to>
      <cdr:x>0.95418</cdr:x>
      <cdr:y>0.93571</cdr:y>
    </cdr:to>
    <cdr:sp macro="" textlink="">
      <cdr:nvSpPr>
        <cdr:cNvPr id="37" name="Tekstiruutu 4"/>
        <cdr:cNvSpPr txBox="1"/>
      </cdr:nvSpPr>
      <cdr:spPr>
        <a:xfrm xmlns:a="http://schemas.openxmlformats.org/drawingml/2006/main">
          <a:off x="5308691" y="4711711"/>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0.00563</cdr:x>
      <cdr:y>0.01087</cdr:y>
    </cdr:from>
    <cdr:to>
      <cdr:x>0.00563</cdr:x>
      <cdr:y>0.01087</cdr:y>
    </cdr:to>
    <cdr:pic>
      <cdr:nvPicPr>
        <cdr:cNvPr id="7169"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0.00563</cdr:x>
      <cdr:y>0.01087</cdr:y>
    </cdr:from>
    <cdr:to>
      <cdr:x>0.00563</cdr:x>
      <cdr:y>0.01087</cdr:y>
    </cdr:to>
    <cdr:pic>
      <cdr:nvPicPr>
        <cdr:cNvPr id="7170" name="Kuva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0.00563</cdr:x>
      <cdr:y>0.01087</cdr:y>
    </cdr:from>
    <cdr:to>
      <cdr:x>0.1836</cdr:x>
      <cdr:y>0.09793</cdr:y>
    </cdr:to>
    <cdr:pic>
      <cdr:nvPicPr>
        <cdr:cNvPr id="7173"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5331" cy="381476"/>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0.77191</cdr:x>
      <cdr:y>0.88595</cdr:y>
    </cdr:from>
    <cdr:to>
      <cdr:x>0.96544</cdr:x>
      <cdr:y>0.94923</cdr:y>
    </cdr:to>
    <cdr:sp macro="" textlink="">
      <cdr:nvSpPr>
        <cdr:cNvPr id="6" name="Tekstiruutu 4"/>
        <cdr:cNvSpPr txBox="1"/>
      </cdr:nvSpPr>
      <cdr:spPr>
        <a:xfrm xmlns:a="http://schemas.openxmlformats.org/drawingml/2006/main">
          <a:off x="6521653" y="4784728"/>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0.00654</cdr:x>
      <cdr:y>0.01082</cdr:y>
    </cdr:from>
    <cdr:to>
      <cdr:x>0.00654</cdr:x>
      <cdr:y>0.01082</cdr:y>
    </cdr:to>
    <cdr:pic>
      <cdr:nvPicPr>
        <cdr:cNvPr id="2049"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0.00654</cdr:x>
      <cdr:y>0.01082</cdr:y>
    </cdr:from>
    <cdr:to>
      <cdr:x>0.21305</cdr:x>
      <cdr:y>0.09741</cdr:y>
    </cdr:to>
    <cdr:pic>
      <cdr:nvPicPr>
        <cdr:cNvPr id="2052"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795" cy="381019"/>
        </a:xfrm>
        <a:prstGeom xmlns:a="http://schemas.openxmlformats.org/drawingml/2006/main" prst="rect">
          <a:avLst/>
        </a:prstGeom>
        <a:noFill xmlns:a="http://schemas.openxmlformats.org/drawingml/2006/main"/>
      </cdr:spPr>
    </cdr:pic>
  </cdr:relSizeAnchor>
</c:userShapes>
</file>

<file path=xl/drawings/drawing8.xml><?xml version="1.0" encoding="utf-8"?>
<c:userShapes xmlns:c="http://schemas.openxmlformats.org/drawingml/2006/chart">
  <cdr:relSizeAnchor xmlns:cdr="http://schemas.openxmlformats.org/drawingml/2006/chartDrawing">
    <cdr:from>
      <cdr:x>0.00653</cdr:x>
      <cdr:y>0.01089</cdr:y>
    </cdr:from>
    <cdr:to>
      <cdr:x>0.00653</cdr:x>
      <cdr:y>0.01089</cdr:y>
    </cdr:to>
    <cdr:pic>
      <cdr:nvPicPr>
        <cdr:cNvPr id="72705"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0.00653</cdr:x>
      <cdr:y>0.01089</cdr:y>
    </cdr:from>
    <cdr:to>
      <cdr:x>0.19529</cdr:x>
      <cdr:y>0.09795</cdr:y>
    </cdr:to>
    <cdr:pic>
      <cdr:nvPicPr>
        <cdr:cNvPr id="72706" name="Picture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0800" y="50800"/>
          <a:ext cx="1504988" cy="38062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0.74674</cdr:x>
      <cdr:y>0.88592</cdr:y>
    </cdr:from>
    <cdr:to>
      <cdr:x>0.97112</cdr:x>
      <cdr:y>0.954</cdr:y>
    </cdr:to>
    <cdr:sp macro="" textlink="">
      <cdr:nvSpPr>
        <cdr:cNvPr id="6" name="Tekstiruutu 4"/>
        <cdr:cNvSpPr txBox="1"/>
      </cdr:nvSpPr>
      <cdr:spPr>
        <a:xfrm xmlns:a="http://schemas.openxmlformats.org/drawingml/2006/main">
          <a:off x="5441202" y="4447030"/>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0.00653</cdr:x>
      <cdr:y>0.01089</cdr:y>
    </cdr:from>
    <cdr:to>
      <cdr:x>0.00653</cdr:x>
      <cdr:y>0.01089</cdr:y>
    </cdr:to>
    <cdr:pic>
      <cdr:nvPicPr>
        <cdr:cNvPr id="72705" name="Kuva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dr:relSizeAnchor xmlns:cdr="http://schemas.openxmlformats.org/drawingml/2006/chartDrawing">
    <cdr:from>
      <cdr:x>0.00878</cdr:x>
      <cdr:y>0.01089</cdr:y>
    </cdr:from>
    <cdr:to>
      <cdr:x>0.20913</cdr:x>
      <cdr:y>0.09795</cdr:y>
    </cdr:to>
    <cdr:pic>
      <cdr:nvPicPr>
        <cdr:cNvPr id="72706" name="Picture 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74220" y="47507"/>
          <a:ext cx="1692692" cy="379795"/>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0.0699</cdr:x>
      <cdr:y>0.17467</cdr:y>
    </cdr:from>
    <cdr:to>
      <cdr:x>0.17164</cdr:x>
      <cdr:y>0.21939</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90550" y="762000"/>
          <a:ext cx="859611" cy="195089"/>
        </a:xfrm>
        <a:prstGeom xmlns:a="http://schemas.openxmlformats.org/drawingml/2006/main" prst="rect">
          <a:avLst/>
        </a:prstGeom>
      </cdr:spPr>
    </cdr:pic>
  </cdr:relSizeAnchor>
  <cdr:relSizeAnchor xmlns:cdr="http://schemas.openxmlformats.org/drawingml/2006/chartDrawing">
    <cdr:from>
      <cdr:x>0.7629</cdr:x>
      <cdr:y>0.88889</cdr:y>
    </cdr:from>
    <cdr:to>
      <cdr:x>0.95642</cdr:x>
      <cdr:y>0.95685</cdr:y>
    </cdr:to>
    <cdr:sp macro="" textlink="">
      <cdr:nvSpPr>
        <cdr:cNvPr id="7" name="Tekstiruutu 4"/>
        <cdr:cNvSpPr txBox="1"/>
      </cdr:nvSpPr>
      <cdr:spPr>
        <a:xfrm xmlns:a="http://schemas.openxmlformats.org/drawingml/2006/main">
          <a:off x="6445488" y="4470406"/>
          <a:ext cx="1634999" cy="3417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Lähde: Tilastokeskus</a:t>
          </a:r>
        </a:p>
        <a:p xmlns:a="http://schemas.openxmlformats.org/drawingml/2006/main">
          <a:pPr algn="ctr"/>
          <a:r>
            <a:rPr lang="fi-FI" sz="800" b="1" dirty="0" smtClean="0">
              <a:latin typeface="Verdana" panose="020B0604030504040204" pitchFamily="34" charset="0"/>
              <a:ea typeface="Verdana" panose="020B0604030504040204" pitchFamily="34" charset="0"/>
              <a:cs typeface="Verdana" panose="020B0604030504040204" pitchFamily="34" charset="0"/>
            </a:rPr>
            <a:t>VM/KAO/MM 28.10.2019</a:t>
          </a:r>
          <a:endParaRPr lang="fi-FI" sz="800" b="1" dirty="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markku.mollari@vm.fi"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J110"/>
  <sheetViews>
    <sheetView topLeftCell="HB20" workbookViewId="0">
      <selection activeCell="HN24" sqref="HN24"/>
    </sheetView>
  </sheetViews>
  <sheetFormatPr defaultRowHeight="12.75" x14ac:dyDescent="0.2"/>
  <cols>
    <col min="2" max="2" width="9.140625" bestFit="1" customWidth="1"/>
    <col min="167" max="167" width="9.85546875" customWidth="1"/>
    <col min="206" max="206" width="12.7109375" customWidth="1"/>
    <col min="222" max="222" width="8.85546875" style="174"/>
  </cols>
  <sheetData>
    <row r="2" spans="1:348" x14ac:dyDescent="0.2">
      <c r="B2" t="s">
        <v>1</v>
      </c>
      <c r="C2" t="s">
        <v>2</v>
      </c>
      <c r="D2" t="s">
        <v>3</v>
      </c>
      <c r="E2" t="s">
        <v>4</v>
      </c>
      <c r="F2" t="s">
        <v>5</v>
      </c>
      <c r="G2" t="s">
        <v>6</v>
      </c>
      <c r="H2" t="s">
        <v>7</v>
      </c>
      <c r="I2" t="s">
        <v>8</v>
      </c>
      <c r="J2" t="s">
        <v>453</v>
      </c>
      <c r="K2" t="s">
        <v>466</v>
      </c>
      <c r="L2" t="s">
        <v>479</v>
      </c>
      <c r="M2" t="s">
        <v>9</v>
      </c>
      <c r="N2" t="s">
        <v>10</v>
      </c>
      <c r="O2" t="s">
        <v>11</v>
      </c>
      <c r="P2" t="s">
        <v>12</v>
      </c>
      <c r="Q2" t="s">
        <v>13</v>
      </c>
      <c r="R2" t="s">
        <v>14</v>
      </c>
      <c r="S2" t="s">
        <v>15</v>
      </c>
      <c r="T2" t="s">
        <v>16</v>
      </c>
      <c r="U2" t="s">
        <v>17</v>
      </c>
      <c r="V2" t="s">
        <v>18</v>
      </c>
      <c r="W2" t="s">
        <v>19</v>
      </c>
      <c r="X2" t="s">
        <v>20</v>
      </c>
      <c r="Y2" t="s">
        <v>21</v>
      </c>
      <c r="Z2" t="s">
        <v>22</v>
      </c>
      <c r="AA2" t="s">
        <v>23</v>
      </c>
      <c r="AB2" t="s">
        <v>24</v>
      </c>
      <c r="AC2" t="s">
        <v>25</v>
      </c>
      <c r="AD2" t="s">
        <v>26</v>
      </c>
      <c r="AE2" t="s">
        <v>27</v>
      </c>
      <c r="AF2" t="s">
        <v>28</v>
      </c>
      <c r="AG2" t="s">
        <v>29</v>
      </c>
      <c r="AH2" t="s">
        <v>30</v>
      </c>
      <c r="AI2" t="s">
        <v>31</v>
      </c>
      <c r="AJ2" t="s">
        <v>32</v>
      </c>
      <c r="AK2" t="s">
        <v>33</v>
      </c>
      <c r="AL2" t="s">
        <v>34</v>
      </c>
      <c r="AM2" t="s">
        <v>35</v>
      </c>
      <c r="AN2" t="s">
        <v>36</v>
      </c>
      <c r="AO2" t="s">
        <v>37</v>
      </c>
      <c r="AP2" t="s">
        <v>38</v>
      </c>
      <c r="AQ2" t="s">
        <v>39</v>
      </c>
      <c r="AR2" t="s">
        <v>40</v>
      </c>
      <c r="AS2" t="s">
        <v>454</v>
      </c>
      <c r="AT2" t="s">
        <v>455</v>
      </c>
      <c r="AU2" t="s">
        <v>456</v>
      </c>
      <c r="AV2" t="s">
        <v>457</v>
      </c>
      <c r="AW2" t="s">
        <v>467</v>
      </c>
      <c r="AX2" t="s">
        <v>468</v>
      </c>
      <c r="AY2" t="s">
        <v>469</v>
      </c>
      <c r="AZ2" t="s">
        <v>470</v>
      </c>
      <c r="BA2" t="s">
        <v>480</v>
      </c>
      <c r="BB2" t="s">
        <v>481</v>
      </c>
      <c r="BC2" t="s">
        <v>482</v>
      </c>
      <c r="BD2" t="s">
        <v>483</v>
      </c>
      <c r="BE2" t="s">
        <v>41</v>
      </c>
      <c r="BF2" t="s">
        <v>42</v>
      </c>
      <c r="BG2" t="s">
        <v>43</v>
      </c>
      <c r="BH2" t="s">
        <v>44</v>
      </c>
      <c r="BI2" t="s">
        <v>45</v>
      </c>
      <c r="BJ2" t="s">
        <v>46</v>
      </c>
      <c r="BK2" t="s">
        <v>47</v>
      </c>
      <c r="BL2" t="s">
        <v>48</v>
      </c>
      <c r="BM2" t="s">
        <v>49</v>
      </c>
      <c r="BN2" t="s">
        <v>50</v>
      </c>
      <c r="BO2" t="s">
        <v>51</v>
      </c>
      <c r="BP2" t="s">
        <v>52</v>
      </c>
      <c r="BQ2" t="s">
        <v>53</v>
      </c>
      <c r="BR2" t="s">
        <v>54</v>
      </c>
      <c r="BS2" t="s">
        <v>55</v>
      </c>
      <c r="BT2" t="s">
        <v>56</v>
      </c>
      <c r="BU2" t="s">
        <v>57</v>
      </c>
      <c r="BV2" t="s">
        <v>58</v>
      </c>
      <c r="BW2" t="s">
        <v>59</v>
      </c>
      <c r="BX2" t="s">
        <v>60</v>
      </c>
      <c r="BY2" t="s">
        <v>61</v>
      </c>
      <c r="BZ2" t="s">
        <v>62</v>
      </c>
      <c r="CA2" t="s">
        <v>63</v>
      </c>
      <c r="CB2" t="s">
        <v>64</v>
      </c>
      <c r="CC2" t="s">
        <v>458</v>
      </c>
      <c r="CD2" t="s">
        <v>459</v>
      </c>
      <c r="CE2" t="s">
        <v>460</v>
      </c>
      <c r="CF2" t="s">
        <v>471</v>
      </c>
      <c r="CG2" t="s">
        <v>472</v>
      </c>
      <c r="CH2" t="s">
        <v>473</v>
      </c>
      <c r="CI2" t="s">
        <v>484</v>
      </c>
      <c r="CJ2" t="s">
        <v>485</v>
      </c>
      <c r="CK2" t="s">
        <v>486</v>
      </c>
      <c r="CL2" t="s">
        <v>65</v>
      </c>
      <c r="CM2" t="s">
        <v>66</v>
      </c>
      <c r="CN2" t="s">
        <v>67</v>
      </c>
      <c r="CO2" t="s">
        <v>68</v>
      </c>
      <c r="CP2" t="s">
        <v>69</v>
      </c>
      <c r="CQ2" t="s">
        <v>70</v>
      </c>
      <c r="CR2" t="s">
        <v>71</v>
      </c>
      <c r="CS2" t="s">
        <v>72</v>
      </c>
      <c r="CT2" t="s">
        <v>73</v>
      </c>
      <c r="CU2" t="s">
        <v>74</v>
      </c>
      <c r="CV2" t="s">
        <v>75</v>
      </c>
      <c r="CW2" t="s">
        <v>76</v>
      </c>
      <c r="CX2" t="s">
        <v>77</v>
      </c>
      <c r="CY2" t="s">
        <v>78</v>
      </c>
      <c r="CZ2" t="s">
        <v>79</v>
      </c>
      <c r="DA2" t="s">
        <v>80</v>
      </c>
      <c r="DB2" t="s">
        <v>81</v>
      </c>
      <c r="DC2" t="s">
        <v>82</v>
      </c>
      <c r="DD2" t="s">
        <v>83</v>
      </c>
      <c r="DE2" t="s">
        <v>84</v>
      </c>
      <c r="DF2" t="s">
        <v>85</v>
      </c>
      <c r="DG2" t="s">
        <v>86</v>
      </c>
      <c r="DH2" t="s">
        <v>87</v>
      </c>
      <c r="DI2" t="s">
        <v>88</v>
      </c>
      <c r="DJ2" t="s">
        <v>89</v>
      </c>
      <c r="DK2" t="s">
        <v>90</v>
      </c>
      <c r="DL2" t="s">
        <v>91</v>
      </c>
      <c r="DM2" t="s">
        <v>92</v>
      </c>
      <c r="DN2" t="s">
        <v>93</v>
      </c>
      <c r="DO2" t="s">
        <v>94</v>
      </c>
      <c r="DP2" t="s">
        <v>95</v>
      </c>
      <c r="DQ2" t="s">
        <v>96</v>
      </c>
      <c r="DR2" t="s">
        <v>461</v>
      </c>
      <c r="DS2" t="s">
        <v>462</v>
      </c>
      <c r="DT2" t="s">
        <v>463</v>
      </c>
      <c r="DU2" t="s">
        <v>464</v>
      </c>
      <c r="DV2" t="s">
        <v>474</v>
      </c>
      <c r="DW2" t="s">
        <v>475</v>
      </c>
      <c r="DX2" t="s">
        <v>476</v>
      </c>
      <c r="DY2" t="s">
        <v>477</v>
      </c>
      <c r="DZ2" t="s">
        <v>487</v>
      </c>
      <c r="EA2" t="s">
        <v>489</v>
      </c>
      <c r="EB2" t="s">
        <v>488</v>
      </c>
      <c r="EC2" t="s">
        <v>490</v>
      </c>
      <c r="ED2" t="s">
        <v>491</v>
      </c>
      <c r="EE2" t="s">
        <v>492</v>
      </c>
      <c r="EF2" t="s">
        <v>493</v>
      </c>
      <c r="EG2" t="s">
        <v>494</v>
      </c>
      <c r="EH2" t="s">
        <v>495</v>
      </c>
      <c r="EI2" t="s">
        <v>496</v>
      </c>
      <c r="EJ2" t="s">
        <v>497</v>
      </c>
      <c r="EK2" t="s">
        <v>498</v>
      </c>
      <c r="EL2" t="s">
        <v>499</v>
      </c>
      <c r="EM2" t="s">
        <v>500</v>
      </c>
      <c r="EN2" t="s">
        <v>501</v>
      </c>
      <c r="EO2" t="s">
        <v>502</v>
      </c>
      <c r="EP2" t="s">
        <v>503</v>
      </c>
      <c r="EQ2" t="s">
        <v>504</v>
      </c>
      <c r="ER2" t="s">
        <v>505</v>
      </c>
      <c r="ES2" t="s">
        <v>506</v>
      </c>
      <c r="ET2" t="s">
        <v>507</v>
      </c>
      <c r="EU2" t="s">
        <v>508</v>
      </c>
      <c r="EV2" t="s">
        <v>509</v>
      </c>
      <c r="EW2" t="s">
        <v>510</v>
      </c>
      <c r="EX2" t="s">
        <v>511</v>
      </c>
      <c r="EY2" t="s">
        <v>512</v>
      </c>
      <c r="EZ2" t="s">
        <v>513</v>
      </c>
      <c r="FA2" t="s">
        <v>514</v>
      </c>
      <c r="FB2" t="s">
        <v>527</v>
      </c>
      <c r="FC2" t="s">
        <v>528</v>
      </c>
      <c r="FD2" t="s">
        <v>529</v>
      </c>
      <c r="FE2" t="s">
        <v>530</v>
      </c>
      <c r="FF2" t="s">
        <v>531</v>
      </c>
      <c r="FG2" t="s">
        <v>532</v>
      </c>
      <c r="FH2" t="s">
        <v>533</v>
      </c>
      <c r="FI2" t="s">
        <v>534</v>
      </c>
      <c r="FJ2" t="s">
        <v>535</v>
      </c>
      <c r="FK2" t="s">
        <v>536</v>
      </c>
      <c r="FL2" t="s">
        <v>537</v>
      </c>
      <c r="FM2" t="s">
        <v>538</v>
      </c>
      <c r="FN2" t="s">
        <v>541</v>
      </c>
      <c r="FO2" t="s">
        <v>539</v>
      </c>
      <c r="FP2" t="s">
        <v>540</v>
      </c>
      <c r="FQ2" t="s">
        <v>543</v>
      </c>
      <c r="FR2" t="s">
        <v>544</v>
      </c>
      <c r="FS2" t="s">
        <v>545</v>
      </c>
      <c r="FT2" t="s">
        <v>546</v>
      </c>
      <c r="FU2" t="s">
        <v>547</v>
      </c>
      <c r="FV2" t="s">
        <v>548</v>
      </c>
      <c r="FW2" t="s">
        <v>549</v>
      </c>
      <c r="FX2" t="s">
        <v>550</v>
      </c>
      <c r="FY2" t="s">
        <v>551</v>
      </c>
      <c r="FZ2" t="s">
        <v>552</v>
      </c>
      <c r="GA2" t="s">
        <v>553</v>
      </c>
      <c r="GB2" t="s">
        <v>554</v>
      </c>
      <c r="GC2" t="s">
        <v>555</v>
      </c>
      <c r="GD2" t="s">
        <v>556</v>
      </c>
      <c r="GE2" t="s">
        <v>557</v>
      </c>
      <c r="GF2" t="s">
        <v>558</v>
      </c>
      <c r="GG2" t="s">
        <v>605</v>
      </c>
      <c r="GH2" t="s">
        <v>564</v>
      </c>
      <c r="GI2" t="s">
        <v>567</v>
      </c>
      <c r="GJ2" t="s">
        <v>568</v>
      </c>
      <c r="GK2" t="s">
        <v>565</v>
      </c>
      <c r="GL2" t="s">
        <v>571</v>
      </c>
      <c r="GM2" t="s">
        <v>573</v>
      </c>
      <c r="GN2" t="s">
        <v>574</v>
      </c>
      <c r="GO2" t="s">
        <v>575</v>
      </c>
      <c r="GP2" t="s">
        <v>569</v>
      </c>
      <c r="GQ2" t="s">
        <v>592</v>
      </c>
      <c r="GR2" t="s">
        <v>570</v>
      </c>
      <c r="GS2" t="s">
        <v>576</v>
      </c>
      <c r="GT2" t="s">
        <v>593</v>
      </c>
      <c r="GU2" t="s">
        <v>566</v>
      </c>
      <c r="GV2" t="s">
        <v>572</v>
      </c>
      <c r="GW2" t="s">
        <v>577</v>
      </c>
      <c r="GX2" t="s">
        <v>580</v>
      </c>
      <c r="GY2" t="s">
        <v>581</v>
      </c>
      <c r="GZ2" t="s">
        <v>578</v>
      </c>
      <c r="HA2" t="s">
        <v>584</v>
      </c>
      <c r="HB2" t="s">
        <v>587</v>
      </c>
      <c r="HC2" t="s">
        <v>588</v>
      </c>
      <c r="HD2" t="s">
        <v>589</v>
      </c>
      <c r="HE2" t="s">
        <v>582</v>
      </c>
      <c r="HF2" t="s">
        <v>594</v>
      </c>
      <c r="HG2" t="s">
        <v>583</v>
      </c>
      <c r="HH2" t="s">
        <v>590</v>
      </c>
      <c r="HI2" t="s">
        <v>595</v>
      </c>
      <c r="HJ2" t="s">
        <v>579</v>
      </c>
      <c r="HK2" t="s">
        <v>585</v>
      </c>
      <c r="HL2" t="s">
        <v>586</v>
      </c>
      <c r="HM2" t="s">
        <v>591</v>
      </c>
      <c r="HN2" s="174" t="s">
        <v>606</v>
      </c>
      <c r="HO2" t="s">
        <v>607</v>
      </c>
      <c r="HP2" t="s">
        <v>608</v>
      </c>
      <c r="HQ2" t="s">
        <v>609</v>
      </c>
      <c r="HR2" t="s">
        <v>610</v>
      </c>
      <c r="HS2" t="s">
        <v>611</v>
      </c>
      <c r="HT2" t="s">
        <v>612</v>
      </c>
      <c r="HU2" t="s">
        <v>613</v>
      </c>
      <c r="HV2" t="s">
        <v>614</v>
      </c>
      <c r="HW2" t="s">
        <v>615</v>
      </c>
      <c r="HX2" t="s">
        <v>514</v>
      </c>
      <c r="HY2" t="s">
        <v>616</v>
      </c>
      <c r="HZ2" t="s">
        <v>617</v>
      </c>
      <c r="IA2" t="s">
        <v>618</v>
      </c>
      <c r="IB2" t="s">
        <v>586</v>
      </c>
      <c r="IC2" t="s">
        <v>619</v>
      </c>
      <c r="ID2" t="s">
        <v>620</v>
      </c>
      <c r="IE2" t="s">
        <v>621</v>
      </c>
      <c r="IF2" t="s">
        <v>622</v>
      </c>
      <c r="IG2" t="s">
        <v>623</v>
      </c>
      <c r="IH2" t="s">
        <v>624</v>
      </c>
      <c r="II2" t="s">
        <v>625</v>
      </c>
      <c r="IJ2" t="s">
        <v>626</v>
      </c>
      <c r="IK2" t="s">
        <v>627</v>
      </c>
      <c r="IL2" t="s">
        <v>628</v>
      </c>
      <c r="IM2" t="s">
        <v>629</v>
      </c>
      <c r="IN2" t="s">
        <v>630</v>
      </c>
      <c r="IO2" t="s">
        <v>631</v>
      </c>
      <c r="IP2" t="s">
        <v>632</v>
      </c>
      <c r="IQ2" t="s">
        <v>633</v>
      </c>
      <c r="IR2" t="s">
        <v>559</v>
      </c>
      <c r="IS2" t="s">
        <v>634</v>
      </c>
      <c r="IT2" t="s">
        <v>591</v>
      </c>
      <c r="IU2" t="s">
        <v>635</v>
      </c>
      <c r="IV2" t="s">
        <v>636</v>
      </c>
      <c r="IW2" t="s">
        <v>637</v>
      </c>
      <c r="IX2" t="s">
        <v>638</v>
      </c>
      <c r="IY2" t="s">
        <v>639</v>
      </c>
      <c r="IZ2" t="s">
        <v>640</v>
      </c>
      <c r="JA2" t="s">
        <v>641</v>
      </c>
      <c r="JB2" t="s">
        <v>642</v>
      </c>
      <c r="JC2" t="s">
        <v>643</v>
      </c>
      <c r="JD2" t="s">
        <v>644</v>
      </c>
      <c r="JE2" t="s">
        <v>645</v>
      </c>
      <c r="JF2" t="s">
        <v>646</v>
      </c>
      <c r="JG2" t="s">
        <v>647</v>
      </c>
      <c r="JH2" t="s">
        <v>648</v>
      </c>
      <c r="JI2" t="s">
        <v>649</v>
      </c>
      <c r="JJ2" t="s">
        <v>650</v>
      </c>
      <c r="JK2" t="s">
        <v>651</v>
      </c>
      <c r="JL2" t="s">
        <v>652</v>
      </c>
      <c r="JM2" t="s">
        <v>653</v>
      </c>
      <c r="JN2" t="s">
        <v>654</v>
      </c>
      <c r="JO2" t="s">
        <v>655</v>
      </c>
      <c r="JP2" t="s">
        <v>656</v>
      </c>
      <c r="JQ2" t="s">
        <v>657</v>
      </c>
      <c r="JR2" t="s">
        <v>658</v>
      </c>
      <c r="JS2" t="s">
        <v>659</v>
      </c>
      <c r="JT2" t="s">
        <v>660</v>
      </c>
      <c r="JU2" t="s">
        <v>661</v>
      </c>
      <c r="JV2" t="s">
        <v>662</v>
      </c>
      <c r="JW2" t="s">
        <v>663</v>
      </c>
      <c r="JX2" t="s">
        <v>664</v>
      </c>
      <c r="JY2" t="s">
        <v>665</v>
      </c>
      <c r="JZ2" t="s">
        <v>666</v>
      </c>
      <c r="KA2" t="s">
        <v>667</v>
      </c>
      <c r="KB2" t="s">
        <v>668</v>
      </c>
      <c r="KC2" t="s">
        <v>669</v>
      </c>
      <c r="KD2" t="s">
        <v>670</v>
      </c>
      <c r="KE2" t="s">
        <v>671</v>
      </c>
      <c r="KF2" t="s">
        <v>672</v>
      </c>
      <c r="KG2" t="s">
        <v>673</v>
      </c>
      <c r="KH2" t="s">
        <v>674</v>
      </c>
      <c r="KI2" t="s">
        <v>675</v>
      </c>
      <c r="KJ2" t="s">
        <v>676</v>
      </c>
      <c r="KK2" t="s">
        <v>677</v>
      </c>
      <c r="KL2" t="s">
        <v>678</v>
      </c>
      <c r="KM2" t="s">
        <v>679</v>
      </c>
      <c r="KN2" t="s">
        <v>680</v>
      </c>
      <c r="KO2" t="s">
        <v>691</v>
      </c>
      <c r="KP2" t="s">
        <v>692</v>
      </c>
      <c r="KQ2" t="s">
        <v>693</v>
      </c>
      <c r="KR2" t="s">
        <v>694</v>
      </c>
      <c r="KS2" t="s">
        <v>695</v>
      </c>
      <c r="KT2" t="s">
        <v>696</v>
      </c>
      <c r="KU2" t="s">
        <v>697</v>
      </c>
      <c r="KV2" t="s">
        <v>698</v>
      </c>
      <c r="KW2" t="s">
        <v>699</v>
      </c>
      <c r="KX2" t="s">
        <v>700</v>
      </c>
      <c r="KY2" t="s">
        <v>701</v>
      </c>
      <c r="KZ2" t="s">
        <v>702</v>
      </c>
      <c r="LA2" t="s">
        <v>703</v>
      </c>
      <c r="LB2" t="s">
        <v>704</v>
      </c>
      <c r="LC2" t="s">
        <v>705</v>
      </c>
      <c r="LD2" t="s">
        <v>706</v>
      </c>
      <c r="LE2" t="s">
        <v>710</v>
      </c>
      <c r="LF2" t="s">
        <v>711</v>
      </c>
      <c r="LG2" t="s">
        <v>712</v>
      </c>
      <c r="LH2" t="s">
        <v>713</v>
      </c>
      <c r="LI2" t="s">
        <v>715</v>
      </c>
      <c r="LJ2" t="s">
        <v>720</v>
      </c>
      <c r="LK2" t="s">
        <v>721</v>
      </c>
      <c r="LL2" t="s">
        <v>722</v>
      </c>
      <c r="LM2" t="s">
        <v>716</v>
      </c>
      <c r="LN2" t="s">
        <v>724</v>
      </c>
      <c r="LO2" t="s">
        <v>717</v>
      </c>
      <c r="LP2" t="s">
        <v>725</v>
      </c>
      <c r="LQ2" t="s">
        <v>714</v>
      </c>
      <c r="LR2" t="s">
        <v>718</v>
      </c>
      <c r="LS2" t="s">
        <v>719</v>
      </c>
      <c r="LT2" t="s">
        <v>723</v>
      </c>
      <c r="LU2" t="s">
        <v>727</v>
      </c>
      <c r="LV2" t="s">
        <v>728</v>
      </c>
      <c r="LW2" t="s">
        <v>729</v>
      </c>
      <c r="LX2" t="s">
        <v>730</v>
      </c>
      <c r="LY2" t="s">
        <v>731</v>
      </c>
      <c r="LZ2" t="s">
        <v>732</v>
      </c>
      <c r="MA2" t="s">
        <v>733</v>
      </c>
      <c r="MB2" t="s">
        <v>734</v>
      </c>
      <c r="MC2" t="s">
        <v>735</v>
      </c>
      <c r="MD2" t="s">
        <v>736</v>
      </c>
      <c r="ME2" t="s">
        <v>737</v>
      </c>
      <c r="MF2" t="s">
        <v>738</v>
      </c>
      <c r="MG2" t="s">
        <v>739</v>
      </c>
      <c r="MH2" t="s">
        <v>740</v>
      </c>
      <c r="MI2" t="s">
        <v>741</v>
      </c>
      <c r="MJ2" t="s">
        <v>742</v>
      </c>
    </row>
    <row r="3" spans="1:348" x14ac:dyDescent="0.2">
      <c r="A3" t="s">
        <v>105</v>
      </c>
      <c r="B3" s="34">
        <v>137238</v>
      </c>
      <c r="C3" s="34">
        <v>136525</v>
      </c>
      <c r="D3" s="34">
        <v>136299</v>
      </c>
      <c r="E3" s="34">
        <v>136161</v>
      </c>
      <c r="F3" s="34">
        <v>135840</v>
      </c>
      <c r="G3" s="34">
        <v>135458</v>
      </c>
      <c r="H3" s="34">
        <v>134962</v>
      </c>
      <c r="I3" s="34">
        <v>134790</v>
      </c>
      <c r="J3" s="34">
        <v>134441</v>
      </c>
      <c r="K3" s="34">
        <v>133899</v>
      </c>
      <c r="L3" s="34">
        <v>133647</v>
      </c>
      <c r="M3" s="34">
        <v>293973</v>
      </c>
      <c r="N3" s="34">
        <v>72714</v>
      </c>
      <c r="O3" s="34">
        <v>124829</v>
      </c>
      <c r="P3" s="34">
        <v>7667.5193794538272</v>
      </c>
      <c r="Q3" s="34">
        <v>307558</v>
      </c>
      <c r="R3" s="34">
        <v>74155</v>
      </c>
      <c r="S3" s="34">
        <v>128942</v>
      </c>
      <c r="T3" s="34">
        <v>7884.8181804420983</v>
      </c>
      <c r="U3" s="34">
        <v>315347</v>
      </c>
      <c r="V3" s="34">
        <v>79313</v>
      </c>
      <c r="W3" s="34">
        <v>144591</v>
      </c>
      <c r="X3" s="34">
        <v>4856.7627524290547</v>
      </c>
      <c r="Y3" s="34">
        <v>355358</v>
      </c>
      <c r="Z3" s="34">
        <v>88260</v>
      </c>
      <c r="AA3" s="34">
        <v>154257</v>
      </c>
      <c r="AB3" s="34">
        <v>4179.1335967156265</v>
      </c>
      <c r="AC3" s="34">
        <v>361969</v>
      </c>
      <c r="AD3" s="34">
        <v>95426</v>
      </c>
      <c r="AE3" s="34">
        <v>159424</v>
      </c>
      <c r="AF3" s="34">
        <v>4187</v>
      </c>
      <c r="AG3" s="34">
        <v>332997</v>
      </c>
      <c r="AH3" s="34">
        <v>100583</v>
      </c>
      <c r="AI3" s="34">
        <v>132507</v>
      </c>
      <c r="AJ3" s="34">
        <v>10098</v>
      </c>
      <c r="AK3" s="34">
        <v>335370</v>
      </c>
      <c r="AL3" s="34">
        <v>118604</v>
      </c>
      <c r="AM3" s="34">
        <v>136268</v>
      </c>
      <c r="AN3" s="34">
        <v>10475</v>
      </c>
      <c r="AO3" s="34">
        <v>338178</v>
      </c>
      <c r="AP3" s="34">
        <v>128142</v>
      </c>
      <c r="AQ3" s="34">
        <v>130827</v>
      </c>
      <c r="AR3" s="34">
        <v>10102</v>
      </c>
      <c r="AS3" s="34">
        <v>351817</v>
      </c>
      <c r="AT3" s="34">
        <v>141094</v>
      </c>
      <c r="AU3" s="34">
        <v>162694</v>
      </c>
      <c r="AV3" s="34">
        <v>10056</v>
      </c>
      <c r="AW3" s="34">
        <v>373776</v>
      </c>
      <c r="AX3" s="34">
        <v>151780</v>
      </c>
      <c r="AY3" s="34">
        <v>170213</v>
      </c>
      <c r="AZ3" s="34">
        <v>17696</v>
      </c>
      <c r="BA3" s="34">
        <v>401663</v>
      </c>
      <c r="BB3" s="34">
        <v>168518</v>
      </c>
      <c r="BC3" s="34">
        <v>169285</v>
      </c>
      <c r="BD3" s="34">
        <v>26097</v>
      </c>
      <c r="BE3" s="34">
        <v>242604.18821574477</v>
      </c>
      <c r="BF3" s="34">
        <v>42300.945384334635</v>
      </c>
      <c r="BG3" s="34">
        <v>8954.4933927373077</v>
      </c>
      <c r="BH3" s="34">
        <v>250209.47806240784</v>
      </c>
      <c r="BI3" s="34">
        <v>45871.911438965442</v>
      </c>
      <c r="BJ3" s="34">
        <v>11378.249600974144</v>
      </c>
      <c r="BK3" s="34">
        <v>233296.66836536472</v>
      </c>
      <c r="BL3" s="34">
        <v>68820.31306500631</v>
      </c>
      <c r="BM3" s="34">
        <v>13134.299741158778</v>
      </c>
      <c r="BN3" s="34">
        <v>272994</v>
      </c>
      <c r="BO3" s="34">
        <v>68388</v>
      </c>
      <c r="BP3" s="34">
        <v>13889</v>
      </c>
      <c r="BQ3" s="34">
        <v>297433</v>
      </c>
      <c r="BR3" s="34">
        <v>50459</v>
      </c>
      <c r="BS3" s="34">
        <v>14036</v>
      </c>
      <c r="BT3" s="34">
        <v>285836</v>
      </c>
      <c r="BU3" s="34">
        <v>31268</v>
      </c>
      <c r="BV3" s="34">
        <v>15887</v>
      </c>
      <c r="BW3" s="34">
        <v>290153</v>
      </c>
      <c r="BX3" s="34">
        <v>28960</v>
      </c>
      <c r="BY3" s="34">
        <v>16257</v>
      </c>
      <c r="BZ3" s="34">
        <v>297503</v>
      </c>
      <c r="CA3" s="34">
        <v>23776</v>
      </c>
      <c r="CB3" s="34">
        <v>16899</v>
      </c>
      <c r="CC3" s="34">
        <v>307915</v>
      </c>
      <c r="CD3" s="34">
        <v>25857</v>
      </c>
      <c r="CE3" s="34">
        <v>18045</v>
      </c>
      <c r="CF3" s="34">
        <v>324720</v>
      </c>
      <c r="CG3" s="34">
        <v>30009</v>
      </c>
      <c r="CH3" s="34">
        <v>19047</v>
      </c>
      <c r="CI3" s="34">
        <v>351370</v>
      </c>
      <c r="CJ3" s="34">
        <v>29733</v>
      </c>
      <c r="CK3" s="34">
        <v>20560</v>
      </c>
      <c r="CL3" s="34">
        <v>23568.005947125082</v>
      </c>
      <c r="CM3" s="34">
        <v>-37131.521271700003</v>
      </c>
      <c r="CN3" s="34">
        <v>26793.009437024553</v>
      </c>
      <c r="CO3" s="34">
        <v>108572</v>
      </c>
      <c r="CP3" s="34">
        <v>37225.706515432074</v>
      </c>
      <c r="CQ3" s="34">
        <v>-36195.219092299994</v>
      </c>
      <c r="CR3" s="34">
        <v>30396.435761462428</v>
      </c>
      <c r="CS3" s="34">
        <v>101156</v>
      </c>
      <c r="CT3" s="34">
        <v>26499.016941569833</v>
      </c>
      <c r="CU3" s="34">
        <v>-37193.919003689996</v>
      </c>
      <c r="CV3" s="34">
        <v>28298.964130560926</v>
      </c>
      <c r="CW3" s="34">
        <v>85947</v>
      </c>
      <c r="CX3" s="34">
        <v>44611.847493915797</v>
      </c>
      <c r="CY3" s="34">
        <v>-39719</v>
      </c>
      <c r="CZ3" s="34">
        <v>28192.669361037249</v>
      </c>
      <c r="DA3" s="34">
        <v>89941</v>
      </c>
      <c r="DB3" s="34">
        <v>54737</v>
      </c>
      <c r="DC3" s="34">
        <v>-23212</v>
      </c>
      <c r="DD3" s="34">
        <v>28936</v>
      </c>
      <c r="DE3" s="34">
        <v>90571</v>
      </c>
      <c r="DF3" s="34">
        <v>9169</v>
      </c>
      <c r="DG3" s="34">
        <v>-30004</v>
      </c>
      <c r="DH3" s="34">
        <v>26223</v>
      </c>
      <c r="DI3" s="34">
        <v>124435</v>
      </c>
      <c r="DJ3" s="34">
        <v>13239</v>
      </c>
      <c r="DK3" s="34">
        <v>-34993</v>
      </c>
      <c r="DL3" s="34">
        <v>28123</v>
      </c>
      <c r="DM3" s="34">
        <v>151490</v>
      </c>
      <c r="DN3" s="34">
        <v>10084</v>
      </c>
      <c r="DO3" s="34">
        <v>-31430</v>
      </c>
      <c r="DP3" s="34">
        <v>27417</v>
      </c>
      <c r="DQ3" s="34">
        <v>159955</v>
      </c>
      <c r="DR3" s="34">
        <v>20956</v>
      </c>
      <c r="DS3" s="34">
        <v>-34265</v>
      </c>
      <c r="DT3" s="34">
        <v>28604</v>
      </c>
      <c r="DU3" s="34">
        <v>176867</v>
      </c>
      <c r="DV3" s="34">
        <v>30091</v>
      </c>
      <c r="DW3" s="34">
        <v>-12725</v>
      </c>
      <c r="DX3" s="34">
        <v>29123</v>
      </c>
      <c r="DY3" s="34">
        <v>186861</v>
      </c>
      <c r="DZ3" s="34">
        <v>30322</v>
      </c>
      <c r="EA3" s="34">
        <v>-47301</v>
      </c>
      <c r="EB3" s="34">
        <v>29848</v>
      </c>
      <c r="EC3" s="34">
        <v>230726</v>
      </c>
      <c r="ED3" s="34">
        <v>447313.45015666704</v>
      </c>
      <c r="EE3" s="34">
        <v>8227.5851745706586</v>
      </c>
      <c r="EF3" s="34">
        <v>454443.10454729694</v>
      </c>
      <c r="EG3" s="34">
        <v>7565.9338718710742</v>
      </c>
      <c r="EH3" s="34">
        <v>490184.88898755913</v>
      </c>
      <c r="EI3" s="34">
        <v>-1603.5036908840461</v>
      </c>
      <c r="EJ3" s="34">
        <v>528956.5789230254</v>
      </c>
      <c r="EK3" s="34">
        <v>14987.394314911709</v>
      </c>
      <c r="EL3" s="34">
        <v>561465</v>
      </c>
      <c r="EM3" s="34">
        <v>66764</v>
      </c>
      <c r="EN3" s="34">
        <v>562588</v>
      </c>
      <c r="EO3" s="34">
        <v>-17308</v>
      </c>
      <c r="EP3" s="34">
        <v>582045</v>
      </c>
      <c r="EQ3" s="34">
        <v>-16075</v>
      </c>
      <c r="ER3" s="34">
        <v>606181</v>
      </c>
      <c r="ES3" s="34">
        <v>-17045</v>
      </c>
      <c r="ET3" s="34">
        <v>639395</v>
      </c>
      <c r="EU3" s="34">
        <v>-6437</v>
      </c>
      <c r="EV3" s="34">
        <v>668550</v>
      </c>
      <c r="EW3" s="34">
        <v>6768</v>
      </c>
      <c r="EX3" s="34">
        <v>712588</v>
      </c>
      <c r="EY3" s="34">
        <v>17983</v>
      </c>
      <c r="EZ3" s="34">
        <v>80033</v>
      </c>
      <c r="FA3" s="34">
        <v>98181</v>
      </c>
      <c r="FB3" s="34">
        <v>133210</v>
      </c>
      <c r="FC3" s="34">
        <v>404779</v>
      </c>
      <c r="FD3" s="34">
        <v>184212</v>
      </c>
      <c r="FE3" s="34">
        <v>169593</v>
      </c>
      <c r="FF3" s="34">
        <v>7782</v>
      </c>
      <c r="FG3" s="34">
        <v>358429</v>
      </c>
      <c r="FH3" s="34">
        <v>24300</v>
      </c>
      <c r="FI3" s="34">
        <v>22050</v>
      </c>
      <c r="FJ3" s="34">
        <v>25538</v>
      </c>
      <c r="FK3" s="34">
        <v>-39124</v>
      </c>
      <c r="FL3" s="34">
        <v>30972</v>
      </c>
      <c r="FM3" s="34">
        <v>251588</v>
      </c>
      <c r="FN3" s="34">
        <v>39124</v>
      </c>
      <c r="FO3" s="34">
        <v>737909</v>
      </c>
      <c r="FP3" s="34">
        <v>-6051</v>
      </c>
      <c r="FQ3" s="34">
        <v>132899</v>
      </c>
      <c r="FR3" s="34">
        <v>422004</v>
      </c>
      <c r="FS3" s="34">
        <v>199919</v>
      </c>
      <c r="FT3" s="34">
        <v>167197</v>
      </c>
      <c r="FU3" s="34">
        <v>7726</v>
      </c>
      <c r="FV3" s="34">
        <v>367841</v>
      </c>
      <c r="FW3" s="34">
        <v>28197</v>
      </c>
      <c r="FX3" s="34">
        <v>25966</v>
      </c>
      <c r="FY3" s="34">
        <v>48232</v>
      </c>
      <c r="FZ3" s="34">
        <v>-33856</v>
      </c>
      <c r="GA3" s="34">
        <v>30241</v>
      </c>
      <c r="GB3" s="34">
        <v>285396</v>
      </c>
      <c r="GC3" s="34">
        <v>33856</v>
      </c>
      <c r="GD3" s="34">
        <v>746685</v>
      </c>
      <c r="GE3" s="34">
        <v>17083</v>
      </c>
      <c r="GF3" s="34">
        <v>120362</v>
      </c>
      <c r="GG3" s="57">
        <v>172.25</v>
      </c>
      <c r="GH3" s="34">
        <v>132527</v>
      </c>
      <c r="GI3" s="34">
        <v>432103</v>
      </c>
      <c r="GJ3">
        <v>207614</v>
      </c>
      <c r="GK3">
        <v>179623</v>
      </c>
      <c r="GL3">
        <v>6649</v>
      </c>
      <c r="GM3">
        <v>375357</v>
      </c>
      <c r="GN3">
        <v>30345</v>
      </c>
      <c r="GO3">
        <v>26401</v>
      </c>
      <c r="GP3">
        <v>40149</v>
      </c>
      <c r="GQ3">
        <v>-57308</v>
      </c>
      <c r="GR3">
        <v>32061</v>
      </c>
      <c r="GS3">
        <v>283396</v>
      </c>
      <c r="GT3">
        <v>57308</v>
      </c>
      <c r="GU3">
        <v>783549</v>
      </c>
      <c r="GV3">
        <v>8548</v>
      </c>
      <c r="GW3" s="34">
        <v>132355</v>
      </c>
      <c r="GX3" s="34">
        <v>441154</v>
      </c>
      <c r="GY3">
        <v>219346</v>
      </c>
      <c r="GZ3">
        <v>171832</v>
      </c>
      <c r="HA3">
        <v>8975</v>
      </c>
      <c r="HB3">
        <v>388529</v>
      </c>
      <c r="HC3">
        <v>23174</v>
      </c>
      <c r="HD3">
        <v>29451</v>
      </c>
      <c r="HE3">
        <v>31171</v>
      </c>
      <c r="HF3">
        <v>-58530</v>
      </c>
      <c r="HG3">
        <v>31816</v>
      </c>
      <c r="HH3">
        <v>304813</v>
      </c>
      <c r="HI3">
        <v>58530</v>
      </c>
      <c r="HJ3">
        <v>808143</v>
      </c>
      <c r="HK3">
        <v>-1743</v>
      </c>
      <c r="HL3">
        <v>128425</v>
      </c>
      <c r="HM3" s="57">
        <v>19.138888888888889</v>
      </c>
      <c r="HN3" s="190">
        <v>34506.780496255298</v>
      </c>
      <c r="HO3" s="34">
        <v>43171.822467552345</v>
      </c>
      <c r="HP3" s="34">
        <v>44309.277414211552</v>
      </c>
      <c r="HQ3" s="34">
        <v>55132.338669936231</v>
      </c>
      <c r="HR3">
        <v>121627</v>
      </c>
      <c r="HS3">
        <v>104845</v>
      </c>
      <c r="HT3">
        <v>94514</v>
      </c>
      <c r="HU3">
        <v>78917</v>
      </c>
      <c r="HV3">
        <v>69849</v>
      </c>
      <c r="HW3">
        <v>75626</v>
      </c>
      <c r="HX3">
        <v>73763</v>
      </c>
      <c r="HY3">
        <v>105919</v>
      </c>
      <c r="HZ3">
        <v>120362</v>
      </c>
      <c r="IA3" s="34">
        <v>128928</v>
      </c>
      <c r="IB3">
        <v>128425</v>
      </c>
      <c r="IC3">
        <v>274760</v>
      </c>
      <c r="ID3">
        <v>308662</v>
      </c>
      <c r="IE3">
        <v>324432</v>
      </c>
      <c r="IF3" s="57">
        <v>17.166666666666668</v>
      </c>
      <c r="IG3" s="57">
        <v>17.222222222222221</v>
      </c>
      <c r="IH3" s="57">
        <v>17.388888888888889</v>
      </c>
      <c r="II3" s="57">
        <v>17.388888888888889</v>
      </c>
      <c r="IJ3" s="57">
        <v>17.555555555555557</v>
      </c>
      <c r="IK3" s="57">
        <v>17.666666666666668</v>
      </c>
      <c r="IL3" s="57">
        <v>17.722222222222221</v>
      </c>
      <c r="IM3" s="57">
        <v>17.805555555555557</v>
      </c>
      <c r="IN3" s="57">
        <v>17.805555555555557</v>
      </c>
      <c r="IO3" s="57">
        <v>17.916666666666668</v>
      </c>
      <c r="IP3" s="57">
        <v>18.055555555555557</v>
      </c>
      <c r="IQ3" s="57">
        <v>18.388888888888889</v>
      </c>
      <c r="IR3" s="57">
        <v>19.138888888888889</v>
      </c>
      <c r="IS3" s="57">
        <v>19.138888888888889</v>
      </c>
      <c r="IT3" s="57">
        <v>19.138888888888889</v>
      </c>
      <c r="IU3" s="57">
        <v>19.416666666666668</v>
      </c>
      <c r="IV3" s="57">
        <v>20</v>
      </c>
      <c r="IW3" s="57">
        <v>20.361111111111111</v>
      </c>
      <c r="IX3">
        <v>132252</v>
      </c>
      <c r="IY3">
        <v>169625</v>
      </c>
      <c r="IZ3">
        <v>820112</v>
      </c>
      <c r="JA3" s="34">
        <v>936710</v>
      </c>
      <c r="JB3" s="34">
        <v>227053</v>
      </c>
      <c r="JC3">
        <v>10688</v>
      </c>
      <c r="JD3">
        <v>53982</v>
      </c>
      <c r="JE3">
        <v>44589</v>
      </c>
      <c r="JF3">
        <v>-55410</v>
      </c>
      <c r="JG3">
        <v>9629</v>
      </c>
      <c r="JH3">
        <v>8958</v>
      </c>
      <c r="JI3" s="34">
        <v>407318</v>
      </c>
      <c r="JJ3" s="173">
        <v>29311</v>
      </c>
      <c r="JK3" s="34">
        <v>31726</v>
      </c>
      <c r="JL3">
        <v>316934</v>
      </c>
      <c r="JM3">
        <v>131764</v>
      </c>
      <c r="JN3">
        <v>136945</v>
      </c>
      <c r="JO3" s="173">
        <v>825937</v>
      </c>
      <c r="JP3" s="34">
        <v>997398</v>
      </c>
      <c r="JQ3" s="34">
        <v>232629</v>
      </c>
      <c r="JR3" s="34">
        <v>18973</v>
      </c>
      <c r="JS3" s="173">
        <v>49928</v>
      </c>
      <c r="JT3">
        <v>40583</v>
      </c>
      <c r="JU3">
        <v>-38327</v>
      </c>
      <c r="JV3" s="173">
        <v>16237</v>
      </c>
      <c r="JW3" s="34">
        <v>427302</v>
      </c>
      <c r="JX3" s="173">
        <v>31928</v>
      </c>
      <c r="JY3" s="34">
        <v>39469</v>
      </c>
      <c r="JZ3">
        <v>325731</v>
      </c>
      <c r="KA3">
        <v>131155</v>
      </c>
      <c r="KB3">
        <v>128719</v>
      </c>
      <c r="KC3" s="173">
        <v>828687</v>
      </c>
      <c r="KD3" s="34">
        <v>1024742</v>
      </c>
      <c r="KE3" s="34">
        <v>224898</v>
      </c>
      <c r="KF3" s="34">
        <v>19160</v>
      </c>
      <c r="KG3" s="173">
        <v>48479</v>
      </c>
      <c r="KH3">
        <v>41657</v>
      </c>
      <c r="KI3" s="173">
        <v>-70745</v>
      </c>
      <c r="KJ3" s="173">
        <v>7415</v>
      </c>
      <c r="KK3" s="34">
        <v>434377</v>
      </c>
      <c r="KL3" s="173">
        <v>35899</v>
      </c>
      <c r="KM3" s="34">
        <v>42095</v>
      </c>
      <c r="KN3">
        <v>337305</v>
      </c>
      <c r="KO3">
        <v>130506</v>
      </c>
      <c r="KP3">
        <v>510864</v>
      </c>
      <c r="KQ3">
        <v>239869</v>
      </c>
      <c r="KR3">
        <v>129778</v>
      </c>
      <c r="KS3">
        <v>12238</v>
      </c>
      <c r="KT3">
        <v>433783</v>
      </c>
      <c r="KU3">
        <v>39209</v>
      </c>
      <c r="KV3">
        <v>37872</v>
      </c>
      <c r="KW3">
        <v>51343</v>
      </c>
      <c r="KX3">
        <v>-39599</v>
      </c>
      <c r="KY3">
        <v>43698</v>
      </c>
      <c r="KZ3">
        <v>334313</v>
      </c>
      <c r="LA3">
        <v>840522</v>
      </c>
      <c r="LB3">
        <v>9212</v>
      </c>
      <c r="LC3">
        <v>171426</v>
      </c>
      <c r="LD3" s="57">
        <v>20.361111111111111</v>
      </c>
      <c r="LE3">
        <v>129865</v>
      </c>
      <c r="LF3" s="34">
        <v>508360</v>
      </c>
      <c r="LG3" s="34">
        <v>237431</v>
      </c>
      <c r="LH3">
        <v>124571</v>
      </c>
      <c r="LI3" s="173">
        <v>10566</v>
      </c>
      <c r="LJ3" s="34">
        <v>425141</v>
      </c>
      <c r="LK3" s="173">
        <v>39424</v>
      </c>
      <c r="LL3" s="34">
        <v>43795</v>
      </c>
      <c r="LM3" s="173">
        <v>61559</v>
      </c>
      <c r="LN3" s="173">
        <v>-28240</v>
      </c>
      <c r="LO3">
        <v>52038</v>
      </c>
      <c r="LP3">
        <v>331907</v>
      </c>
      <c r="LQ3" s="173">
        <v>818515</v>
      </c>
      <c r="LR3" s="173">
        <v>10766</v>
      </c>
      <c r="LS3" s="173">
        <v>182143</v>
      </c>
      <c r="LT3" s="57">
        <v>20.388888888888889</v>
      </c>
      <c r="LU3">
        <v>128756</v>
      </c>
      <c r="LV3" s="34">
        <v>499118</v>
      </c>
      <c r="LW3" s="34">
        <v>237083</v>
      </c>
      <c r="LX3" s="172">
        <v>94296</v>
      </c>
      <c r="LY3" s="173">
        <v>9957</v>
      </c>
      <c r="LZ3" s="34">
        <v>420012</v>
      </c>
      <c r="MA3" s="173">
        <v>34855</v>
      </c>
      <c r="MB3" s="34">
        <v>44251</v>
      </c>
      <c r="MC3" s="173">
        <v>34421</v>
      </c>
      <c r="MD3" s="34">
        <v>-52804</v>
      </c>
      <c r="ME3">
        <v>42157</v>
      </c>
      <c r="MF3">
        <v>326684</v>
      </c>
      <c r="MG3" s="173">
        <v>805821</v>
      </c>
      <c r="MH3" s="173">
        <v>-5913</v>
      </c>
      <c r="MI3" s="173">
        <v>176337</v>
      </c>
      <c r="MJ3" s="57">
        <v>20.527777777777779</v>
      </c>
    </row>
    <row r="4" spans="1:348" x14ac:dyDescent="0.2">
      <c r="A4" t="s">
        <v>106</v>
      </c>
      <c r="B4" s="34">
        <v>197703</v>
      </c>
      <c r="C4" s="34">
        <v>196795</v>
      </c>
      <c r="D4" s="34">
        <v>195615</v>
      </c>
      <c r="E4" s="34">
        <v>194542</v>
      </c>
      <c r="F4" s="34">
        <v>194105</v>
      </c>
      <c r="G4" s="34">
        <v>193954</v>
      </c>
      <c r="H4" s="34">
        <v>194076</v>
      </c>
      <c r="I4" s="34">
        <v>193812</v>
      </c>
      <c r="J4" s="34">
        <v>193585</v>
      </c>
      <c r="K4" s="34">
        <v>193815</v>
      </c>
      <c r="L4" s="34">
        <v>193511</v>
      </c>
      <c r="M4" s="34">
        <v>359269</v>
      </c>
      <c r="N4" s="34">
        <v>194233</v>
      </c>
      <c r="O4" s="34">
        <v>116415</v>
      </c>
      <c r="P4" s="34">
        <v>14605.103158064694</v>
      </c>
      <c r="Q4" s="34">
        <v>365661</v>
      </c>
      <c r="R4" s="34">
        <v>197402</v>
      </c>
      <c r="S4" s="34">
        <v>117995</v>
      </c>
      <c r="T4" s="34">
        <v>15668.050853301444</v>
      </c>
      <c r="U4" s="34">
        <v>361323</v>
      </c>
      <c r="V4" s="34">
        <v>215570</v>
      </c>
      <c r="W4" s="34">
        <v>129329</v>
      </c>
      <c r="X4" s="34">
        <v>13750.708491640218</v>
      </c>
      <c r="Y4" s="34">
        <v>399068</v>
      </c>
      <c r="Z4" s="34">
        <v>241688</v>
      </c>
      <c r="AA4" s="34">
        <v>132008</v>
      </c>
      <c r="AB4" s="34">
        <v>12697.011132358854</v>
      </c>
      <c r="AC4" s="34">
        <v>411548</v>
      </c>
      <c r="AD4" s="34">
        <v>256512</v>
      </c>
      <c r="AE4" s="34">
        <v>144053</v>
      </c>
      <c r="AF4" s="34">
        <v>16200</v>
      </c>
      <c r="AG4" s="34">
        <v>392222</v>
      </c>
      <c r="AH4" s="34">
        <v>271056</v>
      </c>
      <c r="AI4" s="34">
        <v>151336</v>
      </c>
      <c r="AJ4" s="34">
        <v>14605</v>
      </c>
      <c r="AK4" s="34">
        <v>401546</v>
      </c>
      <c r="AL4" s="34">
        <v>285365</v>
      </c>
      <c r="AM4" s="34">
        <v>165963</v>
      </c>
      <c r="AN4" s="34">
        <v>15915</v>
      </c>
      <c r="AO4" s="34">
        <v>416840</v>
      </c>
      <c r="AP4" s="34">
        <v>292463</v>
      </c>
      <c r="AQ4" s="34">
        <v>177596</v>
      </c>
      <c r="AR4" s="34">
        <v>48793</v>
      </c>
      <c r="AS4" s="34">
        <v>444837</v>
      </c>
      <c r="AT4" s="34">
        <v>304969</v>
      </c>
      <c r="AU4" s="34">
        <v>192988</v>
      </c>
      <c r="AV4" s="34">
        <v>23556</v>
      </c>
      <c r="AW4" s="34">
        <v>484035</v>
      </c>
      <c r="AX4" s="34">
        <v>316295</v>
      </c>
      <c r="AY4" s="34">
        <v>203580</v>
      </c>
      <c r="AZ4" s="34">
        <v>31451</v>
      </c>
      <c r="BA4" s="34">
        <v>526845</v>
      </c>
      <c r="BB4" s="34">
        <v>349842</v>
      </c>
      <c r="BC4" s="34">
        <v>218048</v>
      </c>
      <c r="BD4" s="34">
        <v>11393</v>
      </c>
      <c r="BE4" s="34">
        <v>288818.19389713294</v>
      </c>
      <c r="BF4" s="34">
        <v>58655.202977599052</v>
      </c>
      <c r="BG4" s="34">
        <v>11685.02437883994</v>
      </c>
      <c r="BH4" s="34">
        <v>295472.21283172967</v>
      </c>
      <c r="BI4" s="34">
        <v>56369.024493207726</v>
      </c>
      <c r="BJ4" s="34">
        <v>13711.520704774684</v>
      </c>
      <c r="BK4" s="34">
        <v>289935.46629261679</v>
      </c>
      <c r="BL4" s="34">
        <v>56280.221268036054</v>
      </c>
      <c r="BM4" s="34">
        <v>14996.812838793554</v>
      </c>
      <c r="BN4" s="34">
        <v>335844</v>
      </c>
      <c r="BO4" s="34">
        <v>46609</v>
      </c>
      <c r="BP4" s="34">
        <v>16511</v>
      </c>
      <c r="BQ4" s="34">
        <v>361262</v>
      </c>
      <c r="BR4" s="34">
        <v>32768</v>
      </c>
      <c r="BS4" s="34">
        <v>17437</v>
      </c>
      <c r="BT4" s="34">
        <v>355779</v>
      </c>
      <c r="BU4" s="34">
        <v>18891</v>
      </c>
      <c r="BV4" s="34">
        <v>17483</v>
      </c>
      <c r="BW4" s="34">
        <v>360472</v>
      </c>
      <c r="BX4" s="34">
        <v>23091</v>
      </c>
      <c r="BY4" s="34">
        <v>17909</v>
      </c>
      <c r="BZ4" s="34">
        <v>370923</v>
      </c>
      <c r="CA4" s="34">
        <v>26827</v>
      </c>
      <c r="CB4" s="34">
        <v>19018</v>
      </c>
      <c r="CC4" s="34">
        <v>393408</v>
      </c>
      <c r="CD4" s="34">
        <v>29742</v>
      </c>
      <c r="CE4" s="34">
        <v>21649</v>
      </c>
      <c r="CF4" s="34">
        <v>423052</v>
      </c>
      <c r="CG4" s="34">
        <v>38010</v>
      </c>
      <c r="CH4" s="34">
        <v>22960</v>
      </c>
      <c r="CI4" s="34">
        <v>461234</v>
      </c>
      <c r="CJ4" s="34">
        <v>39913</v>
      </c>
      <c r="CK4" s="34">
        <v>25686</v>
      </c>
      <c r="CL4" s="34">
        <v>21547.396198616483</v>
      </c>
      <c r="CM4" s="34">
        <v>-57870.774485600006</v>
      </c>
      <c r="CN4" s="34">
        <v>31266.640092974285</v>
      </c>
      <c r="CO4" s="34">
        <v>107582</v>
      </c>
      <c r="CP4" s="34">
        <v>14511.422483025633</v>
      </c>
      <c r="CQ4" s="34">
        <v>-56325.96838340001</v>
      </c>
      <c r="CR4" s="34">
        <v>31789.872732196047</v>
      </c>
      <c r="CS4" s="34">
        <v>128877</v>
      </c>
      <c r="CT4" s="34">
        <v>11539.037258671349</v>
      </c>
      <c r="CU4" s="34">
        <v>-44895.580526300007</v>
      </c>
      <c r="CV4" s="34">
        <v>33900.799397214469</v>
      </c>
      <c r="CW4" s="34">
        <v>152580</v>
      </c>
      <c r="CX4" s="34">
        <v>26343.94767337232</v>
      </c>
      <c r="CY4" s="34">
        <v>-55022</v>
      </c>
      <c r="CZ4" s="34">
        <v>33563.750792585597</v>
      </c>
      <c r="DA4" s="34">
        <v>170670</v>
      </c>
      <c r="DB4" s="34">
        <v>69687</v>
      </c>
      <c r="DC4" s="34">
        <v>-42434</v>
      </c>
      <c r="DD4" s="34">
        <v>34346</v>
      </c>
      <c r="DE4" s="34">
        <v>167480</v>
      </c>
      <c r="DF4" s="34">
        <v>34261</v>
      </c>
      <c r="DG4" s="34">
        <v>-62282</v>
      </c>
      <c r="DH4" s="34">
        <v>34927</v>
      </c>
      <c r="DI4" s="34">
        <v>178354</v>
      </c>
      <c r="DJ4" s="34">
        <v>18521</v>
      </c>
      <c r="DK4" s="34">
        <v>-60765</v>
      </c>
      <c r="DL4" s="34">
        <v>36104</v>
      </c>
      <c r="DM4" s="34">
        <v>211041</v>
      </c>
      <c r="DN4" s="34">
        <v>40248</v>
      </c>
      <c r="DO4" s="34">
        <v>-53286</v>
      </c>
      <c r="DP4" s="34">
        <v>38319</v>
      </c>
      <c r="DQ4" s="34">
        <v>253894</v>
      </c>
      <c r="DR4" s="34">
        <v>37026</v>
      </c>
      <c r="DS4" s="34">
        <v>-57260</v>
      </c>
      <c r="DT4" s="34">
        <v>38681</v>
      </c>
      <c r="DU4" s="34">
        <v>287295</v>
      </c>
      <c r="DV4" s="34">
        <v>49183</v>
      </c>
      <c r="DW4" s="34">
        <v>-60554</v>
      </c>
      <c r="DX4" s="34">
        <v>39632</v>
      </c>
      <c r="DY4" s="34">
        <v>304713</v>
      </c>
      <c r="DZ4" s="34">
        <v>50323</v>
      </c>
      <c r="EA4" s="34">
        <v>-65443</v>
      </c>
      <c r="EB4" s="34">
        <v>42037</v>
      </c>
      <c r="EC4" s="34">
        <v>305790</v>
      </c>
      <c r="ED4" s="34">
        <v>625353.48897444061</v>
      </c>
      <c r="EE4" s="34">
        <v>-4950.4434274681162</v>
      </c>
      <c r="EF4" s="34">
        <v>645840.46029671701</v>
      </c>
      <c r="EG4" s="34">
        <v>-11801.07404809838</v>
      </c>
      <c r="EH4" s="34">
        <v>668580.14070601924</v>
      </c>
      <c r="EI4" s="34">
        <v>-8702.8842547508884</v>
      </c>
      <c r="EJ4" s="34">
        <v>715295.17822033621</v>
      </c>
      <c r="EK4" s="34">
        <v>-7774.6550886098084</v>
      </c>
      <c r="EL4" s="34">
        <v>747888</v>
      </c>
      <c r="EM4" s="34">
        <v>36574</v>
      </c>
      <c r="EN4" s="34">
        <v>787958</v>
      </c>
      <c r="EO4" s="34">
        <v>594</v>
      </c>
      <c r="EP4" s="34">
        <v>842228</v>
      </c>
      <c r="EQ4" s="34">
        <v>-12132</v>
      </c>
      <c r="ER4" s="34">
        <v>883547</v>
      </c>
      <c r="ES4" s="34">
        <v>7223</v>
      </c>
      <c r="ET4" s="34">
        <v>920741</v>
      </c>
      <c r="EU4" s="34">
        <v>3081</v>
      </c>
      <c r="EV4" s="34">
        <v>972578</v>
      </c>
      <c r="EW4" s="34">
        <v>11746</v>
      </c>
      <c r="EX4" s="34">
        <v>1046695</v>
      </c>
      <c r="EY4" s="34">
        <v>9409</v>
      </c>
      <c r="EZ4" s="34">
        <v>93214</v>
      </c>
      <c r="FA4" s="34">
        <v>102537</v>
      </c>
      <c r="FB4" s="34">
        <v>193524</v>
      </c>
      <c r="FC4" s="34">
        <v>528129</v>
      </c>
      <c r="FD4" s="34">
        <v>373726</v>
      </c>
      <c r="FE4" s="34">
        <v>284113</v>
      </c>
      <c r="FF4" s="34">
        <v>22404</v>
      </c>
      <c r="FG4" s="34">
        <v>470659</v>
      </c>
      <c r="FH4" s="34">
        <v>30340</v>
      </c>
      <c r="FI4" s="34">
        <v>27130</v>
      </c>
      <c r="FJ4" s="34">
        <v>56275</v>
      </c>
      <c r="FK4" s="34">
        <v>-69090</v>
      </c>
      <c r="FL4" s="34">
        <v>43540</v>
      </c>
      <c r="FM4" s="34">
        <v>330651</v>
      </c>
      <c r="FN4" s="34">
        <v>69090</v>
      </c>
      <c r="FO4" s="34">
        <v>1143708</v>
      </c>
      <c r="FP4" s="34">
        <v>14993</v>
      </c>
      <c r="FQ4" s="34">
        <v>193504</v>
      </c>
      <c r="FR4" s="34">
        <v>541456</v>
      </c>
      <c r="FS4" s="34">
        <v>406803</v>
      </c>
      <c r="FT4" s="34">
        <v>278594</v>
      </c>
      <c r="FU4" s="34">
        <v>14645</v>
      </c>
      <c r="FV4" s="34">
        <v>470244</v>
      </c>
      <c r="FW4" s="34">
        <v>39286</v>
      </c>
      <c r="FX4" s="34">
        <v>31926</v>
      </c>
      <c r="FY4" s="34">
        <v>63865</v>
      </c>
      <c r="FZ4" s="34">
        <v>-66385</v>
      </c>
      <c r="GA4" s="34">
        <v>44597</v>
      </c>
      <c r="GB4" s="34">
        <v>332651</v>
      </c>
      <c r="GC4" s="34">
        <v>66385</v>
      </c>
      <c r="GD4" s="34">
        <v>1172183</v>
      </c>
      <c r="GE4" s="34">
        <v>20393</v>
      </c>
      <c r="GF4" s="34">
        <v>135091</v>
      </c>
      <c r="GG4" s="57">
        <v>339.25</v>
      </c>
      <c r="GH4" s="34">
        <v>193735</v>
      </c>
      <c r="GI4" s="34">
        <v>561561</v>
      </c>
      <c r="GJ4">
        <v>386789</v>
      </c>
      <c r="GK4">
        <v>280605</v>
      </c>
      <c r="GL4">
        <v>36773</v>
      </c>
      <c r="GM4">
        <v>481529</v>
      </c>
      <c r="GN4">
        <v>46517</v>
      </c>
      <c r="GO4">
        <v>33515</v>
      </c>
      <c r="GP4">
        <v>-985</v>
      </c>
      <c r="GQ4">
        <v>-5302</v>
      </c>
      <c r="GR4">
        <v>43710</v>
      </c>
      <c r="GS4">
        <v>355660</v>
      </c>
      <c r="GT4">
        <v>5302</v>
      </c>
      <c r="GU4">
        <v>1231161</v>
      </c>
      <c r="GV4">
        <v>-11483</v>
      </c>
      <c r="GW4" s="34">
        <v>194058</v>
      </c>
      <c r="GX4" s="34">
        <v>573449</v>
      </c>
      <c r="GY4">
        <v>428584</v>
      </c>
      <c r="GZ4">
        <v>281420</v>
      </c>
      <c r="HA4">
        <v>17635</v>
      </c>
      <c r="HB4">
        <v>505788</v>
      </c>
      <c r="HC4">
        <v>31642</v>
      </c>
      <c r="HD4">
        <v>36019</v>
      </c>
      <c r="HE4">
        <v>9337</v>
      </c>
      <c r="HF4">
        <v>-84137</v>
      </c>
      <c r="HG4">
        <v>47298</v>
      </c>
      <c r="HH4">
        <v>432373</v>
      </c>
      <c r="HI4">
        <v>84137</v>
      </c>
      <c r="HJ4">
        <v>1286490</v>
      </c>
      <c r="HK4">
        <v>-37087</v>
      </c>
      <c r="HL4">
        <v>85970</v>
      </c>
      <c r="HM4" s="57">
        <v>20.308823529411764</v>
      </c>
      <c r="HN4" s="190">
        <v>12583.820657850256</v>
      </c>
      <c r="HO4" s="34">
        <v>4105.4672849254857</v>
      </c>
      <c r="HP4" s="34">
        <v>17688.660601810039</v>
      </c>
      <c r="HQ4" s="34">
        <v>12161.837150358329</v>
      </c>
      <c r="HR4">
        <v>52364</v>
      </c>
      <c r="HS4">
        <v>55992</v>
      </c>
      <c r="HT4">
        <v>58750</v>
      </c>
      <c r="HU4">
        <v>71214</v>
      </c>
      <c r="HV4">
        <v>74584</v>
      </c>
      <c r="HW4">
        <v>87555</v>
      </c>
      <c r="HX4">
        <v>97185</v>
      </c>
      <c r="HY4">
        <v>113706</v>
      </c>
      <c r="HZ4">
        <v>135091</v>
      </c>
      <c r="IA4" s="34">
        <v>123059</v>
      </c>
      <c r="IB4">
        <v>85970</v>
      </c>
      <c r="IC4">
        <v>142268</v>
      </c>
      <c r="ID4">
        <v>150160</v>
      </c>
      <c r="IE4">
        <v>141122</v>
      </c>
      <c r="IF4" s="57">
        <v>18.264705882352942</v>
      </c>
      <c r="IG4" s="57">
        <v>18.411764705882351</v>
      </c>
      <c r="IH4" s="57">
        <v>18.5</v>
      </c>
      <c r="II4" s="57">
        <v>18.588235294117649</v>
      </c>
      <c r="IJ4" s="57">
        <v>18.676470588235293</v>
      </c>
      <c r="IK4" s="57">
        <v>18.735294117647058</v>
      </c>
      <c r="IL4" s="57">
        <v>18.764705882352942</v>
      </c>
      <c r="IM4" s="57">
        <v>19</v>
      </c>
      <c r="IN4" s="57">
        <v>19.132352941176471</v>
      </c>
      <c r="IO4" s="57">
        <v>19.367647058823529</v>
      </c>
      <c r="IP4" s="57">
        <v>19.5</v>
      </c>
      <c r="IQ4" s="57">
        <v>19.647058823529413</v>
      </c>
      <c r="IR4" s="57">
        <v>19.955882352941178</v>
      </c>
      <c r="IS4" s="57">
        <v>20</v>
      </c>
      <c r="IT4" s="57">
        <v>20.308823529411764</v>
      </c>
      <c r="IU4" s="57">
        <v>20.647058823529413</v>
      </c>
      <c r="IV4" s="57">
        <v>21.117647058823529</v>
      </c>
      <c r="IW4" s="57">
        <v>21.264705882352942</v>
      </c>
      <c r="IX4">
        <v>193977</v>
      </c>
      <c r="IY4">
        <v>277014</v>
      </c>
      <c r="IZ4">
        <v>1319490</v>
      </c>
      <c r="JA4" s="34">
        <v>1219366</v>
      </c>
      <c r="JB4" s="34">
        <v>431277</v>
      </c>
      <c r="JC4">
        <v>43267</v>
      </c>
      <c r="JD4">
        <v>18750</v>
      </c>
      <c r="JE4">
        <v>51029</v>
      </c>
      <c r="JF4">
        <v>-89035</v>
      </c>
      <c r="JG4">
        <v>-13888</v>
      </c>
      <c r="JH4">
        <v>-14309</v>
      </c>
      <c r="JI4" s="34">
        <v>535654</v>
      </c>
      <c r="JJ4" s="173">
        <v>33461</v>
      </c>
      <c r="JK4" s="34">
        <v>40568</v>
      </c>
      <c r="JL4">
        <v>529201</v>
      </c>
      <c r="JM4">
        <v>193400</v>
      </c>
      <c r="JN4">
        <v>274078</v>
      </c>
      <c r="JO4" s="173">
        <v>1333760</v>
      </c>
      <c r="JP4" s="34">
        <v>1288316</v>
      </c>
      <c r="JQ4" s="34">
        <v>442838</v>
      </c>
      <c r="JR4" s="34">
        <v>24165</v>
      </c>
      <c r="JS4" s="173">
        <v>40627</v>
      </c>
      <c r="JT4">
        <v>51459</v>
      </c>
      <c r="JU4">
        <v>-66625</v>
      </c>
      <c r="JV4" s="173">
        <v>-2594</v>
      </c>
      <c r="JW4" s="34">
        <v>561357</v>
      </c>
      <c r="JX4" s="173">
        <v>37733</v>
      </c>
      <c r="JY4" s="34">
        <v>45068</v>
      </c>
      <c r="JZ4">
        <v>579438</v>
      </c>
      <c r="KA4">
        <v>192586</v>
      </c>
      <c r="KB4">
        <v>265172</v>
      </c>
      <c r="KC4" s="173">
        <v>1341372</v>
      </c>
      <c r="KD4" s="34">
        <v>1314786</v>
      </c>
      <c r="KE4" s="34">
        <v>450732</v>
      </c>
      <c r="KF4" s="34">
        <v>33260</v>
      </c>
      <c r="KG4" s="173">
        <v>47431</v>
      </c>
      <c r="KH4">
        <v>52841</v>
      </c>
      <c r="KI4" s="173">
        <v>-83869</v>
      </c>
      <c r="KJ4" s="173">
        <v>-4443</v>
      </c>
      <c r="KK4" s="34">
        <v>565807</v>
      </c>
      <c r="KL4" s="173">
        <v>48684</v>
      </c>
      <c r="KM4" s="34">
        <v>42902</v>
      </c>
      <c r="KN4">
        <v>630690</v>
      </c>
      <c r="KO4">
        <v>191860</v>
      </c>
      <c r="KP4">
        <v>651839</v>
      </c>
      <c r="KQ4">
        <v>481194</v>
      </c>
      <c r="KR4">
        <v>265663</v>
      </c>
      <c r="KS4">
        <v>16222</v>
      </c>
      <c r="KT4">
        <v>562410</v>
      </c>
      <c r="KU4">
        <v>47253</v>
      </c>
      <c r="KV4">
        <v>42176</v>
      </c>
      <c r="KW4">
        <v>78789</v>
      </c>
      <c r="KX4">
        <v>-67179</v>
      </c>
      <c r="KY4">
        <v>59354</v>
      </c>
      <c r="KZ4">
        <v>660464</v>
      </c>
      <c r="LA4">
        <v>1333212</v>
      </c>
      <c r="LB4">
        <v>20320</v>
      </c>
      <c r="LC4">
        <v>90879</v>
      </c>
      <c r="LD4" s="57">
        <v>21.455882352941178</v>
      </c>
      <c r="LE4">
        <v>190910</v>
      </c>
      <c r="LF4" s="34">
        <v>662563</v>
      </c>
      <c r="LG4" s="34">
        <v>483330</v>
      </c>
      <c r="LH4">
        <v>238095</v>
      </c>
      <c r="LI4" s="173">
        <v>17416</v>
      </c>
      <c r="LJ4" s="34">
        <v>565110</v>
      </c>
      <c r="LK4" s="173">
        <v>52535</v>
      </c>
      <c r="LL4" s="34">
        <v>44918</v>
      </c>
      <c r="LM4" s="173">
        <v>93333</v>
      </c>
      <c r="LN4" s="173">
        <v>-83832</v>
      </c>
      <c r="LO4">
        <v>58843</v>
      </c>
      <c r="LP4">
        <v>695239</v>
      </c>
      <c r="LQ4" s="173">
        <v>1308071</v>
      </c>
      <c r="LR4" s="173">
        <v>35623</v>
      </c>
      <c r="LS4" s="173">
        <v>126502</v>
      </c>
      <c r="LT4" s="57">
        <v>21.5</v>
      </c>
      <c r="LU4">
        <v>189715</v>
      </c>
      <c r="LV4" s="34">
        <v>647839</v>
      </c>
      <c r="LW4" s="34">
        <v>479547</v>
      </c>
      <c r="LX4" s="172">
        <v>239049</v>
      </c>
      <c r="LY4" s="173">
        <v>18914</v>
      </c>
      <c r="LZ4" s="34">
        <v>552216</v>
      </c>
      <c r="MA4" s="173">
        <v>50576</v>
      </c>
      <c r="MB4" s="34">
        <v>45047</v>
      </c>
      <c r="MC4" s="173">
        <v>45064</v>
      </c>
      <c r="MD4" s="34">
        <v>-90064</v>
      </c>
      <c r="ME4">
        <v>62544</v>
      </c>
      <c r="MF4">
        <v>730525</v>
      </c>
      <c r="MG4" s="173">
        <v>1340285</v>
      </c>
      <c r="MH4" s="173">
        <v>-16452</v>
      </c>
      <c r="MI4" s="173">
        <v>112049</v>
      </c>
      <c r="MJ4" s="57">
        <v>21.588235294117649</v>
      </c>
    </row>
    <row r="5" spans="1:348" x14ac:dyDescent="0.2">
      <c r="A5" t="s">
        <v>107</v>
      </c>
      <c r="B5" s="34">
        <v>169521</v>
      </c>
      <c r="C5" s="34">
        <v>167958</v>
      </c>
      <c r="D5" s="34">
        <v>166575</v>
      </c>
      <c r="E5" s="34">
        <v>165329</v>
      </c>
      <c r="F5" s="34">
        <v>164130</v>
      </c>
      <c r="G5" s="34">
        <v>163139</v>
      </c>
      <c r="H5" s="34">
        <v>162219</v>
      </c>
      <c r="I5" s="34">
        <v>161325</v>
      </c>
      <c r="J5" s="34">
        <v>160306</v>
      </c>
      <c r="K5" s="34">
        <v>158679</v>
      </c>
      <c r="L5" s="34">
        <v>157433</v>
      </c>
      <c r="M5" s="34">
        <v>335257</v>
      </c>
      <c r="N5" s="34">
        <v>136763</v>
      </c>
      <c r="O5" s="34">
        <v>114303</v>
      </c>
      <c r="P5" s="34">
        <v>11842.280090081451</v>
      </c>
      <c r="Q5" s="34">
        <v>335389</v>
      </c>
      <c r="R5" s="34">
        <v>137906</v>
      </c>
      <c r="S5" s="34">
        <v>115551</v>
      </c>
      <c r="T5" s="34">
        <v>13193.838267126157</v>
      </c>
      <c r="U5" s="34">
        <v>333830</v>
      </c>
      <c r="V5" s="34">
        <v>147776</v>
      </c>
      <c r="W5" s="34">
        <v>122809</v>
      </c>
      <c r="X5" s="34">
        <v>10301.174119914629</v>
      </c>
      <c r="Y5" s="34">
        <v>357074</v>
      </c>
      <c r="Z5" s="34">
        <v>178400</v>
      </c>
      <c r="AA5" s="34">
        <v>131921</v>
      </c>
      <c r="AB5" s="34">
        <v>10312.442710987549</v>
      </c>
      <c r="AC5" s="34">
        <v>364650</v>
      </c>
      <c r="AD5" s="34">
        <v>193679</v>
      </c>
      <c r="AE5" s="34">
        <v>143166</v>
      </c>
      <c r="AF5" s="34">
        <v>7908</v>
      </c>
      <c r="AG5" s="34">
        <v>352565</v>
      </c>
      <c r="AH5" s="34">
        <v>206700</v>
      </c>
      <c r="AI5" s="34">
        <v>149574</v>
      </c>
      <c r="AJ5" s="34">
        <v>9882</v>
      </c>
      <c r="AK5" s="34">
        <v>360616</v>
      </c>
      <c r="AL5" s="34">
        <v>213566</v>
      </c>
      <c r="AM5" s="34">
        <v>163590</v>
      </c>
      <c r="AN5" s="34">
        <v>12874</v>
      </c>
      <c r="AO5" s="34">
        <v>373486</v>
      </c>
      <c r="AP5" s="34">
        <v>219390</v>
      </c>
      <c r="AQ5" s="34">
        <v>160490</v>
      </c>
      <c r="AR5" s="34">
        <v>10802</v>
      </c>
      <c r="AS5" s="34">
        <v>396150</v>
      </c>
      <c r="AT5" s="34">
        <v>233365</v>
      </c>
      <c r="AU5" s="34">
        <v>168137</v>
      </c>
      <c r="AV5" s="34">
        <v>10484</v>
      </c>
      <c r="AW5" s="34">
        <v>419373</v>
      </c>
      <c r="AX5" s="34">
        <v>243161</v>
      </c>
      <c r="AY5" s="34">
        <v>178380</v>
      </c>
      <c r="AZ5" s="34">
        <v>16549</v>
      </c>
      <c r="BA5" s="34">
        <v>449326</v>
      </c>
      <c r="BB5" s="34">
        <v>273316</v>
      </c>
      <c r="BC5" s="34">
        <v>205224</v>
      </c>
      <c r="BD5" s="34">
        <v>9033</v>
      </c>
      <c r="BE5" s="34">
        <v>256703.55027893963</v>
      </c>
      <c r="BF5" s="34">
        <v>65102.182574721686</v>
      </c>
      <c r="BG5" s="34">
        <v>13404.74592690889</v>
      </c>
      <c r="BH5" s="34">
        <v>260226.58277452894</v>
      </c>
      <c r="BI5" s="34">
        <v>60882.515687728832</v>
      </c>
      <c r="BJ5" s="34">
        <v>14233.912404364139</v>
      </c>
      <c r="BK5" s="34">
        <v>247881.925348107</v>
      </c>
      <c r="BL5" s="34">
        <v>69689.508268959398</v>
      </c>
      <c r="BM5" s="34">
        <v>16213.988862595514</v>
      </c>
      <c r="BN5" s="34">
        <v>284751</v>
      </c>
      <c r="BO5" s="34">
        <v>54829</v>
      </c>
      <c r="BP5" s="34">
        <v>17454</v>
      </c>
      <c r="BQ5" s="34">
        <v>312335</v>
      </c>
      <c r="BR5" s="34">
        <v>33687</v>
      </c>
      <c r="BS5" s="34">
        <v>18597</v>
      </c>
      <c r="BT5" s="34">
        <v>311299</v>
      </c>
      <c r="BU5" s="34">
        <v>20862</v>
      </c>
      <c r="BV5" s="34">
        <v>20374</v>
      </c>
      <c r="BW5" s="34">
        <v>314452</v>
      </c>
      <c r="BX5" s="34">
        <v>25474</v>
      </c>
      <c r="BY5" s="34">
        <v>20679</v>
      </c>
      <c r="BZ5" s="34">
        <v>320657</v>
      </c>
      <c r="CA5" s="34">
        <v>30832</v>
      </c>
      <c r="CB5" s="34">
        <v>21987</v>
      </c>
      <c r="CC5" s="34">
        <v>337354</v>
      </c>
      <c r="CD5" s="34">
        <v>34986</v>
      </c>
      <c r="CE5" s="34">
        <v>23810</v>
      </c>
      <c r="CF5" s="34">
        <v>354292</v>
      </c>
      <c r="CG5" s="34">
        <v>39992</v>
      </c>
      <c r="CH5" s="34">
        <v>25089</v>
      </c>
      <c r="CI5" s="34">
        <v>383396</v>
      </c>
      <c r="CJ5" s="34">
        <v>39169</v>
      </c>
      <c r="CK5" s="34">
        <v>26761</v>
      </c>
      <c r="CL5" s="34">
        <v>17975.757392279836</v>
      </c>
      <c r="CM5" s="34">
        <v>-32208.997045740001</v>
      </c>
      <c r="CN5" s="34">
        <v>29101.556915635258</v>
      </c>
      <c r="CO5" s="34">
        <v>132630</v>
      </c>
      <c r="CP5" s="34">
        <v>9928.4696748759197</v>
      </c>
      <c r="CQ5" s="34">
        <v>-38365.684278820001</v>
      </c>
      <c r="CR5" s="34">
        <v>29245.021216906927</v>
      </c>
      <c r="CS5" s="34">
        <v>149746</v>
      </c>
      <c r="CT5" s="34">
        <v>203.0028272390438</v>
      </c>
      <c r="CU5" s="34">
        <v>-43021.630648060003</v>
      </c>
      <c r="CV5" s="34">
        <v>27937.191900742211</v>
      </c>
      <c r="CW5" s="34">
        <v>182505</v>
      </c>
      <c r="CX5" s="34">
        <v>11394.90020569383</v>
      </c>
      <c r="CY5" s="34">
        <v>-48530</v>
      </c>
      <c r="CZ5" s="34">
        <v>26797.550511039015</v>
      </c>
      <c r="DA5" s="34">
        <v>196579</v>
      </c>
      <c r="DB5" s="34">
        <v>34224</v>
      </c>
      <c r="DC5" s="34">
        <v>-47509</v>
      </c>
      <c r="DD5" s="34">
        <v>29194</v>
      </c>
      <c r="DE5" s="34">
        <v>218388</v>
      </c>
      <c r="DF5" s="34">
        <v>22842</v>
      </c>
      <c r="DG5" s="34">
        <v>-38165</v>
      </c>
      <c r="DH5" s="34">
        <v>28602</v>
      </c>
      <c r="DI5" s="34">
        <v>220844</v>
      </c>
      <c r="DJ5" s="34">
        <v>17568</v>
      </c>
      <c r="DK5" s="34">
        <v>-34764</v>
      </c>
      <c r="DL5" s="34">
        <v>29872</v>
      </c>
      <c r="DM5" s="34">
        <v>238765</v>
      </c>
      <c r="DN5" s="34">
        <v>13272</v>
      </c>
      <c r="DO5" s="34">
        <v>-39121</v>
      </c>
      <c r="DP5" s="34">
        <v>30546</v>
      </c>
      <c r="DQ5" s="34">
        <v>277129</v>
      </c>
      <c r="DR5" s="34">
        <v>22113</v>
      </c>
      <c r="DS5" s="34">
        <v>-39419</v>
      </c>
      <c r="DT5" s="34">
        <v>29499</v>
      </c>
      <c r="DU5" s="34">
        <v>299461</v>
      </c>
      <c r="DV5" s="34">
        <v>31732</v>
      </c>
      <c r="DW5" s="34">
        <v>-39417</v>
      </c>
      <c r="DX5" s="34">
        <v>29591</v>
      </c>
      <c r="DY5" s="34">
        <v>317884</v>
      </c>
      <c r="DZ5" s="34">
        <v>41451</v>
      </c>
      <c r="EA5" s="34">
        <v>-48408</v>
      </c>
      <c r="EB5" s="34">
        <v>30102</v>
      </c>
      <c r="EC5" s="34">
        <v>317754</v>
      </c>
      <c r="ED5" s="34">
        <v>546887.43013893999</v>
      </c>
      <c r="EE5" s="34">
        <v>-7946.7113373799339</v>
      </c>
      <c r="EF5" s="34">
        <v>560148.71176457719</v>
      </c>
      <c r="EG5" s="34">
        <v>-14782.541420481586</v>
      </c>
      <c r="EH5" s="34">
        <v>579280.5929633535</v>
      </c>
      <c r="EI5" s="34">
        <v>-27394.113086197991</v>
      </c>
      <c r="EJ5" s="34">
        <v>627653.62705672812</v>
      </c>
      <c r="EK5" s="34">
        <v>-13047.178395251718</v>
      </c>
      <c r="EL5" s="34">
        <v>665460</v>
      </c>
      <c r="EM5" s="34">
        <v>6567</v>
      </c>
      <c r="EN5" s="34">
        <v>686293</v>
      </c>
      <c r="EO5" s="34">
        <v>-4812</v>
      </c>
      <c r="EP5" s="34">
        <v>722166</v>
      </c>
      <c r="EQ5" s="34">
        <v>-9547</v>
      </c>
      <c r="ER5" s="34">
        <v>748582</v>
      </c>
      <c r="ES5" s="34">
        <v>-17839</v>
      </c>
      <c r="ET5" s="34">
        <v>776382</v>
      </c>
      <c r="EU5" s="34">
        <v>-3026</v>
      </c>
      <c r="EV5" s="34">
        <v>807239</v>
      </c>
      <c r="EW5" s="34">
        <v>5816</v>
      </c>
      <c r="EX5" s="34">
        <v>883771</v>
      </c>
      <c r="EY5" s="34">
        <v>13080</v>
      </c>
      <c r="EZ5" s="34">
        <v>-33595</v>
      </c>
      <c r="FA5" s="34">
        <v>-21234</v>
      </c>
      <c r="FB5" s="34">
        <v>156377</v>
      </c>
      <c r="FC5" s="34">
        <v>446840</v>
      </c>
      <c r="FD5" s="34">
        <v>297849</v>
      </c>
      <c r="FE5" s="34">
        <v>211123</v>
      </c>
      <c r="FF5" s="34">
        <v>9498</v>
      </c>
      <c r="FG5" s="34">
        <v>387333</v>
      </c>
      <c r="FH5" s="34">
        <v>30792</v>
      </c>
      <c r="FI5" s="34">
        <v>28715</v>
      </c>
      <c r="FJ5" s="34">
        <v>54900</v>
      </c>
      <c r="FK5" s="34">
        <v>-50564</v>
      </c>
      <c r="FL5" s="34">
        <v>30917</v>
      </c>
      <c r="FM5" s="34">
        <v>325488</v>
      </c>
      <c r="FN5" s="34">
        <v>50564</v>
      </c>
      <c r="FO5" s="34">
        <v>903943</v>
      </c>
      <c r="FP5" s="34">
        <v>25107</v>
      </c>
      <c r="FQ5" s="34">
        <v>155472</v>
      </c>
      <c r="FR5" s="34">
        <v>459466</v>
      </c>
      <c r="FS5" s="34">
        <v>320898</v>
      </c>
      <c r="FT5" s="34">
        <v>225195</v>
      </c>
      <c r="FU5" s="34">
        <v>6723</v>
      </c>
      <c r="FV5" s="34">
        <v>388737</v>
      </c>
      <c r="FW5" s="34">
        <v>37700</v>
      </c>
      <c r="FX5" s="34">
        <v>33029</v>
      </c>
      <c r="FY5" s="34">
        <v>62241</v>
      </c>
      <c r="FZ5" s="34">
        <v>-60434</v>
      </c>
      <c r="GA5" s="34">
        <v>32357</v>
      </c>
      <c r="GB5" s="34">
        <v>321289</v>
      </c>
      <c r="GC5" s="34">
        <v>60434</v>
      </c>
      <c r="GD5" s="34">
        <v>946406</v>
      </c>
      <c r="GE5" s="34">
        <v>26839</v>
      </c>
      <c r="GF5" s="34">
        <v>30988</v>
      </c>
      <c r="GG5" s="57">
        <v>277.75</v>
      </c>
      <c r="GH5" s="34">
        <v>154522</v>
      </c>
      <c r="GI5" s="34">
        <v>467790</v>
      </c>
      <c r="GJ5">
        <v>327859</v>
      </c>
      <c r="GK5">
        <v>222362</v>
      </c>
      <c r="GL5">
        <v>9335</v>
      </c>
      <c r="GM5">
        <v>393156</v>
      </c>
      <c r="GN5">
        <v>40693</v>
      </c>
      <c r="GO5">
        <v>33941</v>
      </c>
      <c r="GP5">
        <v>27811</v>
      </c>
      <c r="GQ5">
        <v>-61651</v>
      </c>
      <c r="GR5">
        <v>34780</v>
      </c>
      <c r="GS5">
        <v>361884</v>
      </c>
      <c r="GT5">
        <v>61651</v>
      </c>
      <c r="GU5">
        <v>992830</v>
      </c>
      <c r="GV5">
        <v>-2838</v>
      </c>
      <c r="GW5" s="34">
        <v>153426</v>
      </c>
      <c r="GX5" s="34">
        <v>472104</v>
      </c>
      <c r="GY5">
        <v>347288</v>
      </c>
      <c r="GZ5">
        <v>245300</v>
      </c>
      <c r="HA5">
        <v>20213</v>
      </c>
      <c r="HB5">
        <v>408395</v>
      </c>
      <c r="HC5">
        <v>27682</v>
      </c>
      <c r="HD5">
        <v>36027</v>
      </c>
      <c r="HE5">
        <v>30010</v>
      </c>
      <c r="HF5">
        <v>-56343</v>
      </c>
      <c r="HG5">
        <v>40459</v>
      </c>
      <c r="HH5">
        <v>393744</v>
      </c>
      <c r="HI5">
        <v>56343</v>
      </c>
      <c r="HJ5">
        <v>1043908</v>
      </c>
      <c r="HK5">
        <v>-6090</v>
      </c>
      <c r="HL5">
        <v>20565</v>
      </c>
      <c r="HM5" s="57">
        <v>19.964285714285715</v>
      </c>
      <c r="HN5" s="190">
        <v>-14444.315500367491</v>
      </c>
      <c r="HO5" s="34">
        <v>-26138.926591015737</v>
      </c>
      <c r="HP5" s="34">
        <v>-31163.204518200459</v>
      </c>
      <c r="HQ5" s="34">
        <v>-39803.186488454739</v>
      </c>
      <c r="HR5">
        <v>-25238</v>
      </c>
      <c r="HS5">
        <v>-26240</v>
      </c>
      <c r="HT5">
        <v>-30498</v>
      </c>
      <c r="HU5">
        <v>-46545</v>
      </c>
      <c r="HV5">
        <v>-35472</v>
      </c>
      <c r="HW5">
        <v>-33960</v>
      </c>
      <c r="HX5">
        <v>-20655</v>
      </c>
      <c r="HY5">
        <v>4092</v>
      </c>
      <c r="HZ5">
        <v>30988</v>
      </c>
      <c r="IA5" s="34">
        <v>26651</v>
      </c>
      <c r="IB5">
        <v>20565</v>
      </c>
      <c r="IC5">
        <v>34588</v>
      </c>
      <c r="ID5">
        <v>59766</v>
      </c>
      <c r="IE5">
        <v>63330</v>
      </c>
      <c r="IF5" s="57">
        <v>17.767857142857142</v>
      </c>
      <c r="IG5" s="57">
        <v>17.821428571428573</v>
      </c>
      <c r="IH5" s="57">
        <v>17.892857142857142</v>
      </c>
      <c r="II5" s="57">
        <v>17.964285714285715</v>
      </c>
      <c r="IJ5" s="57">
        <v>18.303571428571427</v>
      </c>
      <c r="IK5" s="57">
        <v>18.482142857142858</v>
      </c>
      <c r="IL5" s="57">
        <v>18.535714285714285</v>
      </c>
      <c r="IM5" s="57">
        <v>18.696428571428573</v>
      </c>
      <c r="IN5" s="57">
        <v>18.928571428571427</v>
      </c>
      <c r="IO5" s="57">
        <v>19.089285714285715</v>
      </c>
      <c r="IP5" s="57">
        <v>19.375</v>
      </c>
      <c r="IQ5" s="57">
        <v>19.446428571428573</v>
      </c>
      <c r="IR5" s="57">
        <v>19.839285714285715</v>
      </c>
      <c r="IS5" s="57">
        <v>19.857142857142858</v>
      </c>
      <c r="IT5" s="57">
        <v>19.964285714285715</v>
      </c>
      <c r="IU5" s="57">
        <v>20.25</v>
      </c>
      <c r="IV5" s="57">
        <v>20.5</v>
      </c>
      <c r="IW5" s="57">
        <v>20.571428571428573</v>
      </c>
      <c r="IX5">
        <v>152518</v>
      </c>
      <c r="IY5">
        <v>219733</v>
      </c>
      <c r="IZ5">
        <v>1049154</v>
      </c>
      <c r="JA5" s="34">
        <v>1003822</v>
      </c>
      <c r="JB5" s="34">
        <v>357410</v>
      </c>
      <c r="JC5">
        <v>13768</v>
      </c>
      <c r="JD5">
        <v>33497</v>
      </c>
      <c r="JE5">
        <v>43119</v>
      </c>
      <c r="JF5">
        <v>-74156</v>
      </c>
      <c r="JG5">
        <v>-2999</v>
      </c>
      <c r="JH5">
        <v>-2646</v>
      </c>
      <c r="JI5" s="34">
        <v>430038</v>
      </c>
      <c r="JJ5" s="173">
        <v>32456</v>
      </c>
      <c r="JK5" s="34">
        <v>39417</v>
      </c>
      <c r="JL5">
        <v>419045</v>
      </c>
      <c r="JM5">
        <v>151562</v>
      </c>
      <c r="JN5">
        <v>217309</v>
      </c>
      <c r="JO5" s="173">
        <v>1059378</v>
      </c>
      <c r="JP5" s="34">
        <v>1049002</v>
      </c>
      <c r="JQ5" s="34">
        <v>361561</v>
      </c>
      <c r="JR5" s="34">
        <v>17173</v>
      </c>
      <c r="JS5" s="173">
        <v>51499</v>
      </c>
      <c r="JT5">
        <v>45532</v>
      </c>
      <c r="JU5">
        <v>-48126</v>
      </c>
      <c r="JV5" s="173">
        <v>12743</v>
      </c>
      <c r="JW5" s="34">
        <v>441725</v>
      </c>
      <c r="JX5" s="173">
        <v>37477</v>
      </c>
      <c r="JY5" s="34">
        <v>45299</v>
      </c>
      <c r="JZ5">
        <v>440791</v>
      </c>
      <c r="KA5">
        <v>150305</v>
      </c>
      <c r="KB5">
        <v>199595</v>
      </c>
      <c r="KC5" s="173">
        <v>1061011</v>
      </c>
      <c r="KD5" s="34">
        <v>1077280</v>
      </c>
      <c r="KE5" s="34">
        <v>358986</v>
      </c>
      <c r="KF5" s="34">
        <v>20385</v>
      </c>
      <c r="KG5" s="173">
        <v>39803</v>
      </c>
      <c r="KH5">
        <v>46136</v>
      </c>
      <c r="KI5" s="173">
        <v>-45811</v>
      </c>
      <c r="KJ5" s="173">
        <v>1661</v>
      </c>
      <c r="KK5" s="34">
        <v>447336</v>
      </c>
      <c r="KL5" s="173">
        <v>42932</v>
      </c>
      <c r="KM5" s="34">
        <v>48372</v>
      </c>
      <c r="KN5">
        <v>460516</v>
      </c>
      <c r="KO5">
        <v>148975</v>
      </c>
      <c r="KP5">
        <v>535846</v>
      </c>
      <c r="KQ5">
        <v>379490</v>
      </c>
      <c r="KR5">
        <v>198047</v>
      </c>
      <c r="KS5">
        <v>6129</v>
      </c>
      <c r="KT5">
        <v>446059</v>
      </c>
      <c r="KU5">
        <v>38918</v>
      </c>
      <c r="KV5">
        <v>50869</v>
      </c>
      <c r="KW5">
        <v>61070</v>
      </c>
      <c r="KX5">
        <v>-59282</v>
      </c>
      <c r="KY5">
        <v>45460</v>
      </c>
      <c r="KZ5">
        <v>487142</v>
      </c>
      <c r="LA5">
        <v>1055827</v>
      </c>
      <c r="LB5">
        <v>16329</v>
      </c>
      <c r="LC5">
        <v>48120</v>
      </c>
      <c r="LD5" s="57">
        <v>20.642857142857142</v>
      </c>
      <c r="LE5">
        <v>147194</v>
      </c>
      <c r="LF5" s="34">
        <v>541660</v>
      </c>
      <c r="LG5" s="34">
        <v>380934</v>
      </c>
      <c r="LH5">
        <v>168476</v>
      </c>
      <c r="LI5" s="173">
        <v>8975</v>
      </c>
      <c r="LJ5" s="34">
        <v>445245</v>
      </c>
      <c r="LK5" s="173">
        <v>44781</v>
      </c>
      <c r="LL5" s="34">
        <v>51634</v>
      </c>
      <c r="LM5" s="173">
        <v>74574</v>
      </c>
      <c r="LN5" s="173">
        <v>-52765</v>
      </c>
      <c r="LO5">
        <v>53306</v>
      </c>
      <c r="LP5">
        <v>478789</v>
      </c>
      <c r="LQ5" s="173">
        <v>1024727</v>
      </c>
      <c r="LR5" s="173">
        <v>21310</v>
      </c>
      <c r="LS5" s="173">
        <v>62479</v>
      </c>
      <c r="LT5" s="57">
        <v>20.767857142857142</v>
      </c>
      <c r="LU5">
        <v>144615</v>
      </c>
      <c r="LV5" s="34">
        <v>526450</v>
      </c>
      <c r="LW5" s="34">
        <v>376575</v>
      </c>
      <c r="LX5" s="172">
        <v>152121</v>
      </c>
      <c r="LY5" s="173">
        <v>5147</v>
      </c>
      <c r="LZ5" s="34">
        <v>431629</v>
      </c>
      <c r="MA5" s="173">
        <v>44158</v>
      </c>
      <c r="MB5" s="34">
        <v>50663</v>
      </c>
      <c r="MC5" s="173">
        <v>24015</v>
      </c>
      <c r="MD5" s="34">
        <v>-78753</v>
      </c>
      <c r="ME5">
        <v>45994</v>
      </c>
      <c r="MF5">
        <v>510548</v>
      </c>
      <c r="MG5" s="173">
        <v>1036147</v>
      </c>
      <c r="MH5" s="173">
        <v>-22716</v>
      </c>
      <c r="MI5" s="173">
        <v>39763</v>
      </c>
      <c r="MJ5" s="57">
        <v>20.892857142857142</v>
      </c>
    </row>
    <row r="6" spans="1:348" x14ac:dyDescent="0.2">
      <c r="A6" t="s">
        <v>108</v>
      </c>
      <c r="B6" s="34">
        <v>87843</v>
      </c>
      <c r="C6" s="34">
        <v>86943</v>
      </c>
      <c r="D6" s="34">
        <v>85736</v>
      </c>
      <c r="E6" s="34">
        <v>84497</v>
      </c>
      <c r="F6" s="34">
        <v>83477</v>
      </c>
      <c r="G6" s="34">
        <v>82744</v>
      </c>
      <c r="H6" s="34">
        <v>82214</v>
      </c>
      <c r="I6" s="34">
        <v>81585</v>
      </c>
      <c r="J6" s="34">
        <v>80738</v>
      </c>
      <c r="K6" s="34">
        <v>80218</v>
      </c>
      <c r="L6" s="34">
        <v>79690</v>
      </c>
      <c r="M6" s="34">
        <v>173367</v>
      </c>
      <c r="N6" s="34">
        <v>105684</v>
      </c>
      <c r="O6" s="34">
        <v>69866</v>
      </c>
      <c r="P6" s="34">
        <v>6885.7818972607229</v>
      </c>
      <c r="Q6" s="34">
        <v>172621</v>
      </c>
      <c r="R6" s="34">
        <v>108777</v>
      </c>
      <c r="S6" s="34">
        <v>73377</v>
      </c>
      <c r="T6" s="34">
        <v>7767.7593836248861</v>
      </c>
      <c r="U6" s="34">
        <v>172200</v>
      </c>
      <c r="V6" s="34">
        <v>111910</v>
      </c>
      <c r="W6" s="34">
        <v>74325</v>
      </c>
      <c r="X6" s="34">
        <v>7330.4707748249575</v>
      </c>
      <c r="Y6" s="34">
        <v>183827</v>
      </c>
      <c r="Z6" s="34">
        <v>121651</v>
      </c>
      <c r="AA6" s="34">
        <v>74971</v>
      </c>
      <c r="AB6" s="34">
        <v>6038.7874996005548</v>
      </c>
      <c r="AC6" s="34">
        <v>188702</v>
      </c>
      <c r="AD6" s="34">
        <v>135864</v>
      </c>
      <c r="AE6" s="34">
        <v>79390</v>
      </c>
      <c r="AF6" s="34">
        <v>5017</v>
      </c>
      <c r="AG6" s="34">
        <v>178289</v>
      </c>
      <c r="AH6" s="34">
        <v>141596</v>
      </c>
      <c r="AI6" s="34">
        <v>90190</v>
      </c>
      <c r="AJ6" s="34">
        <v>6681</v>
      </c>
      <c r="AK6" s="34">
        <v>181491</v>
      </c>
      <c r="AL6" s="34">
        <v>146829</v>
      </c>
      <c r="AM6" s="34">
        <v>98368</v>
      </c>
      <c r="AN6" s="34">
        <v>8931</v>
      </c>
      <c r="AO6" s="34">
        <v>186340</v>
      </c>
      <c r="AP6" s="34">
        <v>127265</v>
      </c>
      <c r="AQ6" s="34">
        <v>75191</v>
      </c>
      <c r="AR6" s="34">
        <v>6811</v>
      </c>
      <c r="AS6" s="34">
        <v>195879</v>
      </c>
      <c r="AT6" s="34">
        <v>137899</v>
      </c>
      <c r="AU6" s="34">
        <v>75713</v>
      </c>
      <c r="AV6" s="34">
        <v>5799</v>
      </c>
      <c r="AW6" s="34">
        <v>205724</v>
      </c>
      <c r="AX6" s="34">
        <v>144389</v>
      </c>
      <c r="AY6" s="34">
        <v>79933</v>
      </c>
      <c r="AZ6" s="34">
        <v>7868</v>
      </c>
      <c r="BA6" s="34">
        <v>220064</v>
      </c>
      <c r="BB6" s="34">
        <v>158937</v>
      </c>
      <c r="BC6" s="34">
        <v>82762</v>
      </c>
      <c r="BD6" s="34">
        <v>7429</v>
      </c>
      <c r="BE6" s="34">
        <v>140363.25228357155</v>
      </c>
      <c r="BF6" s="34">
        <v>25984.025510744683</v>
      </c>
      <c r="BG6" s="34">
        <v>6980.6398877850152</v>
      </c>
      <c r="BH6" s="34">
        <v>139163.23142826869</v>
      </c>
      <c r="BI6" s="34">
        <v>24585.542902217217</v>
      </c>
      <c r="BJ6" s="34">
        <v>8801.6105675837953</v>
      </c>
      <c r="BK6" s="34">
        <v>131031.17699592817</v>
      </c>
      <c r="BL6" s="34">
        <v>31995.062002479091</v>
      </c>
      <c r="BM6" s="34">
        <v>9172.8013212843489</v>
      </c>
      <c r="BN6" s="34">
        <v>149359</v>
      </c>
      <c r="BO6" s="34">
        <v>25037</v>
      </c>
      <c r="BP6" s="34">
        <v>9433</v>
      </c>
      <c r="BQ6" s="34">
        <v>163739</v>
      </c>
      <c r="BR6" s="34">
        <v>15350</v>
      </c>
      <c r="BS6" s="34">
        <v>9613</v>
      </c>
      <c r="BT6" s="34">
        <v>158511</v>
      </c>
      <c r="BU6" s="34">
        <v>10074</v>
      </c>
      <c r="BV6" s="34">
        <v>9704</v>
      </c>
      <c r="BW6" s="34">
        <v>160722</v>
      </c>
      <c r="BX6" s="34">
        <v>11016</v>
      </c>
      <c r="BY6" s="34">
        <v>9753</v>
      </c>
      <c r="BZ6" s="34">
        <v>162677</v>
      </c>
      <c r="CA6" s="34">
        <v>13677</v>
      </c>
      <c r="CB6" s="34">
        <v>9986</v>
      </c>
      <c r="CC6" s="34">
        <v>168458</v>
      </c>
      <c r="CD6" s="34">
        <v>15670</v>
      </c>
      <c r="CE6" s="34">
        <v>11751</v>
      </c>
      <c r="CF6" s="34">
        <v>175640</v>
      </c>
      <c r="CG6" s="34">
        <v>17061</v>
      </c>
      <c r="CH6" s="34">
        <v>13016</v>
      </c>
      <c r="CI6" s="34">
        <v>189749</v>
      </c>
      <c r="CJ6" s="34">
        <v>17362</v>
      </c>
      <c r="CK6" s="34">
        <v>12953</v>
      </c>
      <c r="CL6" s="34">
        <v>9634.1408035682744</v>
      </c>
      <c r="CM6" s="34">
        <v>-20763.640462399999</v>
      </c>
      <c r="CN6" s="34">
        <v>17412.664214486704</v>
      </c>
      <c r="CO6" s="34">
        <v>44986</v>
      </c>
      <c r="CP6" s="34">
        <v>13380.358677571972</v>
      </c>
      <c r="CQ6" s="34">
        <v>-20685.769451709999</v>
      </c>
      <c r="CR6" s="34">
        <v>18344.929890862852</v>
      </c>
      <c r="CS6" s="34">
        <v>45134</v>
      </c>
      <c r="CT6" s="34">
        <v>6020.286827689788</v>
      </c>
      <c r="CU6" s="34">
        <v>-21080.84289</v>
      </c>
      <c r="CV6" s="34">
        <v>18744.712592061864</v>
      </c>
      <c r="CW6" s="34">
        <v>45713</v>
      </c>
      <c r="CX6" s="34">
        <v>11158.932544868334</v>
      </c>
      <c r="CY6" s="34">
        <v>-23554</v>
      </c>
      <c r="CZ6" s="34">
        <v>19408.045774026064</v>
      </c>
      <c r="DA6" s="34">
        <v>60572</v>
      </c>
      <c r="DB6" s="34">
        <v>31229</v>
      </c>
      <c r="DC6" s="34">
        <v>-3797</v>
      </c>
      <c r="DD6" s="34">
        <v>18849</v>
      </c>
      <c r="DE6" s="34">
        <v>59896</v>
      </c>
      <c r="DF6" s="34">
        <v>14267</v>
      </c>
      <c r="DG6" s="34">
        <v>-25285</v>
      </c>
      <c r="DH6" s="34">
        <v>19844</v>
      </c>
      <c r="DI6" s="34">
        <v>65967</v>
      </c>
      <c r="DJ6" s="34">
        <v>7870</v>
      </c>
      <c r="DK6" s="34">
        <v>-25760</v>
      </c>
      <c r="DL6" s="34">
        <v>20981</v>
      </c>
      <c r="DM6" s="34">
        <v>81632</v>
      </c>
      <c r="DN6" s="34">
        <v>13071</v>
      </c>
      <c r="DO6" s="34">
        <v>-25049</v>
      </c>
      <c r="DP6" s="34">
        <v>19479</v>
      </c>
      <c r="DQ6" s="34">
        <v>104413</v>
      </c>
      <c r="DR6" s="34">
        <v>18818</v>
      </c>
      <c r="DS6" s="34">
        <v>-21766</v>
      </c>
      <c r="DT6" s="34">
        <v>19265</v>
      </c>
      <c r="DU6" s="34">
        <v>111197</v>
      </c>
      <c r="DV6" s="34">
        <v>22366</v>
      </c>
      <c r="DW6" s="34">
        <v>-23836</v>
      </c>
      <c r="DX6" s="34">
        <v>18482</v>
      </c>
      <c r="DY6" s="34">
        <v>110768</v>
      </c>
      <c r="DZ6" s="34">
        <v>17878</v>
      </c>
      <c r="EA6" s="34">
        <v>-31838</v>
      </c>
      <c r="EB6" s="34">
        <v>19466</v>
      </c>
      <c r="EC6" s="34">
        <v>118281</v>
      </c>
      <c r="ED6" s="34">
        <v>328181.90533374372</v>
      </c>
      <c r="EE6" s="34">
        <v>-8843.9939250520929</v>
      </c>
      <c r="EF6" s="34">
        <v>332262.14442969998</v>
      </c>
      <c r="EG6" s="34">
        <v>-4957.6755083059597</v>
      </c>
      <c r="EH6" s="34">
        <v>342793.23144508747</v>
      </c>
      <c r="EI6" s="34">
        <v>-10322.702174501701</v>
      </c>
      <c r="EJ6" s="34">
        <v>355700.81386137614</v>
      </c>
      <c r="EK6" s="34">
        <v>-8704.9025098684269</v>
      </c>
      <c r="EL6" s="34">
        <v>372827</v>
      </c>
      <c r="EM6" s="34">
        <v>13490</v>
      </c>
      <c r="EN6" s="34">
        <v>399050</v>
      </c>
      <c r="EO6" s="34">
        <v>-3431</v>
      </c>
      <c r="EP6" s="34">
        <v>423241</v>
      </c>
      <c r="EQ6" s="34">
        <v>-10969</v>
      </c>
      <c r="ER6" s="34">
        <v>377836</v>
      </c>
      <c r="ES6" s="34">
        <v>-5899</v>
      </c>
      <c r="ET6" s="34">
        <v>393648</v>
      </c>
      <c r="EU6" s="34">
        <v>-261</v>
      </c>
      <c r="EV6" s="34">
        <v>410374</v>
      </c>
      <c r="EW6" s="34">
        <v>4715</v>
      </c>
      <c r="EX6" s="34">
        <v>442651</v>
      </c>
      <c r="EY6" s="34">
        <v>4618</v>
      </c>
      <c r="EZ6" s="34">
        <v>-17534</v>
      </c>
      <c r="FA6" s="34">
        <v>-12915</v>
      </c>
      <c r="FB6" s="34">
        <v>79234</v>
      </c>
      <c r="FC6" s="34">
        <v>221721</v>
      </c>
      <c r="FD6" s="34">
        <v>172069</v>
      </c>
      <c r="FE6" s="34">
        <v>81891</v>
      </c>
      <c r="FF6" s="34">
        <v>7498</v>
      </c>
      <c r="FG6" s="34">
        <v>193821</v>
      </c>
      <c r="FH6" s="34">
        <v>14251</v>
      </c>
      <c r="FI6" s="34">
        <v>13649</v>
      </c>
      <c r="FJ6" s="34">
        <v>23423</v>
      </c>
      <c r="FK6" s="34">
        <v>-24848</v>
      </c>
      <c r="FL6" s="34">
        <v>20338</v>
      </c>
      <c r="FM6" s="34">
        <v>126970</v>
      </c>
      <c r="FN6" s="34">
        <v>24848</v>
      </c>
      <c r="FO6" s="34">
        <v>456970</v>
      </c>
      <c r="FP6" s="34">
        <v>3471</v>
      </c>
      <c r="FQ6" s="34">
        <v>78703</v>
      </c>
      <c r="FR6" s="34">
        <v>235197</v>
      </c>
      <c r="FS6" s="34">
        <v>186079</v>
      </c>
      <c r="FT6" s="34">
        <v>84341</v>
      </c>
      <c r="FU6" s="34">
        <v>4582</v>
      </c>
      <c r="FV6" s="34">
        <v>200256</v>
      </c>
      <c r="FW6" s="34">
        <v>17989</v>
      </c>
      <c r="FX6" s="34">
        <v>16952</v>
      </c>
      <c r="FY6" s="34">
        <v>37645</v>
      </c>
      <c r="FZ6" s="34">
        <v>-27978</v>
      </c>
      <c r="GA6" s="34">
        <v>21372</v>
      </c>
      <c r="GB6" s="34">
        <v>118719</v>
      </c>
      <c r="GC6" s="34">
        <v>27978</v>
      </c>
      <c r="GD6" s="34">
        <v>470854</v>
      </c>
      <c r="GE6" s="34">
        <v>16526</v>
      </c>
      <c r="GF6" s="34">
        <v>1549</v>
      </c>
      <c r="GG6" s="57">
        <v>160</v>
      </c>
      <c r="GH6" s="34">
        <v>77984</v>
      </c>
      <c r="GI6" s="34">
        <v>235438</v>
      </c>
      <c r="GJ6">
        <v>187188</v>
      </c>
      <c r="GK6">
        <v>85675</v>
      </c>
      <c r="GL6">
        <v>5826</v>
      </c>
      <c r="GM6">
        <v>199444</v>
      </c>
      <c r="GN6">
        <v>18781</v>
      </c>
      <c r="GO6">
        <v>17213</v>
      </c>
      <c r="GP6">
        <v>15993</v>
      </c>
      <c r="GQ6">
        <v>-32217</v>
      </c>
      <c r="GR6">
        <v>21998</v>
      </c>
      <c r="GS6">
        <v>120731</v>
      </c>
      <c r="GT6">
        <v>32217</v>
      </c>
      <c r="GU6">
        <v>495017</v>
      </c>
      <c r="GV6">
        <v>-5217</v>
      </c>
      <c r="GW6" s="34">
        <v>77435</v>
      </c>
      <c r="GX6" s="34">
        <v>232068</v>
      </c>
      <c r="GY6">
        <v>196383</v>
      </c>
      <c r="GZ6">
        <v>89440</v>
      </c>
      <c r="HA6">
        <v>8897</v>
      </c>
      <c r="HB6">
        <v>202465</v>
      </c>
      <c r="HC6">
        <v>12028</v>
      </c>
      <c r="HD6">
        <v>17575</v>
      </c>
      <c r="HE6">
        <v>11805</v>
      </c>
      <c r="HF6">
        <v>-36201</v>
      </c>
      <c r="HG6">
        <v>22713</v>
      </c>
      <c r="HH6">
        <v>144730</v>
      </c>
      <c r="HI6">
        <v>36201</v>
      </c>
      <c r="HJ6">
        <v>512927</v>
      </c>
      <c r="HK6">
        <v>-7726</v>
      </c>
      <c r="HL6">
        <v>-11201</v>
      </c>
      <c r="HM6" s="57">
        <v>20</v>
      </c>
      <c r="HN6" s="190">
        <v>-10696.752122952101</v>
      </c>
      <c r="HO6" s="34">
        <v>-15476.316617135317</v>
      </c>
      <c r="HP6" s="34">
        <v>-5102.6535009157824</v>
      </c>
      <c r="HQ6" s="34">
        <v>-12683.387910315469</v>
      </c>
      <c r="HR6">
        <v>2145</v>
      </c>
      <c r="HS6">
        <v>-1780</v>
      </c>
      <c r="HT6">
        <v>-12007</v>
      </c>
      <c r="HU6">
        <v>-17510</v>
      </c>
      <c r="HV6">
        <v>-16417</v>
      </c>
      <c r="HW6">
        <v>-17534</v>
      </c>
      <c r="HX6">
        <v>-12915</v>
      </c>
      <c r="HY6">
        <v>-15817</v>
      </c>
      <c r="HZ6">
        <v>1549</v>
      </c>
      <c r="IA6" s="34">
        <v>-3473</v>
      </c>
      <c r="IB6">
        <v>-11201</v>
      </c>
      <c r="IC6">
        <v>210700</v>
      </c>
      <c r="ID6">
        <v>238526</v>
      </c>
      <c r="IE6">
        <v>222456</v>
      </c>
      <c r="IF6" s="57">
        <v>18.59375</v>
      </c>
      <c r="IG6" s="57">
        <v>18.5625</v>
      </c>
      <c r="IH6" s="57">
        <v>18.625</v>
      </c>
      <c r="II6" s="57">
        <v>18.6875</v>
      </c>
      <c r="IJ6" s="57">
        <v>18.96875</v>
      </c>
      <c r="IK6" s="57">
        <v>18.96875</v>
      </c>
      <c r="IL6" s="57">
        <v>18.96875</v>
      </c>
      <c r="IM6" s="57">
        <v>18.96875</v>
      </c>
      <c r="IN6" s="57">
        <v>19.09375</v>
      </c>
      <c r="IO6" s="57">
        <v>19.125</v>
      </c>
      <c r="IP6" s="57">
        <v>19.5</v>
      </c>
      <c r="IQ6" s="57">
        <v>19.5</v>
      </c>
      <c r="IR6" s="57">
        <v>20</v>
      </c>
      <c r="IS6" s="57">
        <v>20</v>
      </c>
      <c r="IT6" s="57">
        <v>20</v>
      </c>
      <c r="IU6" s="57">
        <v>20.78125</v>
      </c>
      <c r="IV6" s="57">
        <v>21.25</v>
      </c>
      <c r="IW6" s="57">
        <v>21.375</v>
      </c>
      <c r="IX6">
        <v>76782</v>
      </c>
      <c r="IY6">
        <v>97077</v>
      </c>
      <c r="IZ6">
        <v>570729</v>
      </c>
      <c r="JA6" s="34">
        <v>510178</v>
      </c>
      <c r="JB6" s="34">
        <v>244670</v>
      </c>
      <c r="JC6">
        <v>112622</v>
      </c>
      <c r="JD6">
        <v>32603</v>
      </c>
      <c r="JE6">
        <v>24623</v>
      </c>
      <c r="JF6">
        <v>38466</v>
      </c>
      <c r="JG6">
        <v>112930</v>
      </c>
      <c r="JH6">
        <v>114144</v>
      </c>
      <c r="JI6" s="34">
        <v>221694</v>
      </c>
      <c r="JJ6" s="173">
        <v>14595</v>
      </c>
      <c r="JK6" s="34">
        <v>18800</v>
      </c>
      <c r="JL6">
        <v>155861</v>
      </c>
      <c r="JM6">
        <v>76119</v>
      </c>
      <c r="JN6">
        <v>94695</v>
      </c>
      <c r="JO6" s="173">
        <v>562203</v>
      </c>
      <c r="JP6" s="34">
        <v>528554</v>
      </c>
      <c r="JQ6" s="34">
        <v>233083</v>
      </c>
      <c r="JR6" s="34">
        <v>12574</v>
      </c>
      <c r="JS6" s="173">
        <v>37731</v>
      </c>
      <c r="JT6">
        <v>24385</v>
      </c>
      <c r="JU6">
        <v>-24837</v>
      </c>
      <c r="JV6" s="173">
        <v>15748</v>
      </c>
      <c r="JW6" s="34">
        <v>226186</v>
      </c>
      <c r="JX6" s="173">
        <v>16467</v>
      </c>
      <c r="JY6" s="34">
        <v>21624</v>
      </c>
      <c r="JZ6">
        <v>154268</v>
      </c>
      <c r="KA6">
        <v>75324</v>
      </c>
      <c r="KB6">
        <v>96142</v>
      </c>
      <c r="KC6" s="173">
        <v>581889</v>
      </c>
      <c r="KD6" s="34">
        <v>534900</v>
      </c>
      <c r="KE6" s="34">
        <v>232034</v>
      </c>
      <c r="KF6" s="34">
        <v>8928</v>
      </c>
      <c r="KG6" s="173">
        <v>21102</v>
      </c>
      <c r="KH6">
        <v>24434</v>
      </c>
      <c r="KI6" s="173">
        <v>-50457</v>
      </c>
      <c r="KJ6" s="173">
        <v>-2136</v>
      </c>
      <c r="KK6" s="34">
        <v>227859</v>
      </c>
      <c r="KL6" s="173">
        <v>17897</v>
      </c>
      <c r="KM6" s="34">
        <v>21694</v>
      </c>
      <c r="KN6">
        <v>174223</v>
      </c>
      <c r="KO6">
        <v>74803</v>
      </c>
      <c r="KP6">
        <v>263386</v>
      </c>
      <c r="KQ6">
        <v>240067</v>
      </c>
      <c r="KR6">
        <v>88923</v>
      </c>
      <c r="KS6">
        <v>8624</v>
      </c>
      <c r="KT6">
        <v>225287</v>
      </c>
      <c r="KU6">
        <v>15715</v>
      </c>
      <c r="KV6">
        <v>22384</v>
      </c>
      <c r="KW6">
        <v>26310</v>
      </c>
      <c r="KX6">
        <v>-49985</v>
      </c>
      <c r="KY6">
        <v>25091</v>
      </c>
      <c r="KZ6">
        <v>207508</v>
      </c>
      <c r="LA6">
        <v>573577</v>
      </c>
      <c r="LB6">
        <v>2873</v>
      </c>
      <c r="LC6">
        <v>116806</v>
      </c>
      <c r="LD6" s="57">
        <v>21.375</v>
      </c>
      <c r="LE6">
        <v>73959</v>
      </c>
      <c r="LF6" s="34">
        <v>267169</v>
      </c>
      <c r="LG6" s="34">
        <v>238253</v>
      </c>
      <c r="LH6">
        <v>92874</v>
      </c>
      <c r="LI6" s="173">
        <v>8461</v>
      </c>
      <c r="LJ6" s="34">
        <v>226820</v>
      </c>
      <c r="LK6" s="173">
        <v>17605</v>
      </c>
      <c r="LL6" s="34">
        <v>22744</v>
      </c>
      <c r="LM6" s="173">
        <v>28328</v>
      </c>
      <c r="LN6" s="173">
        <v>-44430</v>
      </c>
      <c r="LO6">
        <v>28740</v>
      </c>
      <c r="LP6">
        <v>230599</v>
      </c>
      <c r="LQ6" s="173">
        <v>578235</v>
      </c>
      <c r="LR6" s="173">
        <v>2006</v>
      </c>
      <c r="LS6" s="173">
        <v>110902</v>
      </c>
      <c r="LT6" s="57">
        <v>21.375</v>
      </c>
      <c r="LU6">
        <v>73061</v>
      </c>
      <c r="LV6" s="34">
        <v>259785</v>
      </c>
      <c r="LW6" s="34">
        <v>237094</v>
      </c>
      <c r="LX6" s="172">
        <v>87723</v>
      </c>
      <c r="LY6" s="173">
        <v>5149</v>
      </c>
      <c r="LZ6" s="34">
        <v>219907</v>
      </c>
      <c r="MA6" s="173">
        <v>16381</v>
      </c>
      <c r="MB6" s="34">
        <v>23497</v>
      </c>
      <c r="MC6" s="173">
        <v>564</v>
      </c>
      <c r="MD6" s="34">
        <v>-29834</v>
      </c>
      <c r="ME6">
        <v>28622</v>
      </c>
      <c r="MF6">
        <v>237663</v>
      </c>
      <c r="MG6" s="173">
        <v>589187</v>
      </c>
      <c r="MH6" s="173">
        <v>-25762</v>
      </c>
      <c r="MI6" s="173">
        <v>84992</v>
      </c>
      <c r="MJ6" s="57">
        <v>21.375</v>
      </c>
    </row>
    <row r="7" spans="1:348" x14ac:dyDescent="0.2">
      <c r="A7" t="s">
        <v>109</v>
      </c>
      <c r="B7" s="34">
        <v>164914</v>
      </c>
      <c r="C7" s="34">
        <v>165190</v>
      </c>
      <c r="D7" s="34">
        <v>165307</v>
      </c>
      <c r="E7" s="34">
        <v>165509</v>
      </c>
      <c r="F7" s="34">
        <v>165886</v>
      </c>
      <c r="G7" s="34">
        <v>166648</v>
      </c>
      <c r="H7" s="34">
        <v>167630</v>
      </c>
      <c r="I7" s="34">
        <v>168381</v>
      </c>
      <c r="J7" s="34">
        <v>169952</v>
      </c>
      <c r="K7" s="34">
        <v>171449</v>
      </c>
      <c r="L7" s="34">
        <v>173041</v>
      </c>
      <c r="M7" s="34">
        <v>349390</v>
      </c>
      <c r="N7" s="34">
        <v>106589</v>
      </c>
      <c r="O7" s="34">
        <v>95360</v>
      </c>
      <c r="P7" s="34">
        <v>10345.575732500467</v>
      </c>
      <c r="Q7" s="34">
        <v>353639</v>
      </c>
      <c r="R7" s="34">
        <v>105951</v>
      </c>
      <c r="S7" s="34">
        <v>100464</v>
      </c>
      <c r="T7" s="34">
        <v>11214.098184747711</v>
      </c>
      <c r="U7" s="34">
        <v>354022</v>
      </c>
      <c r="V7" s="34">
        <v>109047</v>
      </c>
      <c r="W7" s="34">
        <v>103174</v>
      </c>
      <c r="X7" s="34">
        <v>6971.8941156090177</v>
      </c>
      <c r="Y7" s="34">
        <v>383510</v>
      </c>
      <c r="Z7" s="34">
        <v>124931</v>
      </c>
      <c r="AA7" s="34">
        <v>107958</v>
      </c>
      <c r="AB7" s="34">
        <v>8947.4294998259265</v>
      </c>
      <c r="AC7" s="34">
        <v>410990</v>
      </c>
      <c r="AD7" s="34">
        <v>140185</v>
      </c>
      <c r="AE7" s="34">
        <v>105587</v>
      </c>
      <c r="AF7" s="34">
        <v>8710</v>
      </c>
      <c r="AG7" s="34">
        <v>391499</v>
      </c>
      <c r="AH7" s="34">
        <v>148430</v>
      </c>
      <c r="AI7" s="34">
        <v>114293</v>
      </c>
      <c r="AJ7" s="34">
        <v>9392</v>
      </c>
      <c r="AK7" s="34">
        <v>403374</v>
      </c>
      <c r="AL7" s="34">
        <v>161774</v>
      </c>
      <c r="AM7" s="34">
        <v>120565</v>
      </c>
      <c r="AN7" s="34">
        <v>10438</v>
      </c>
      <c r="AO7" s="34">
        <v>419222</v>
      </c>
      <c r="AP7" s="34">
        <v>171484</v>
      </c>
      <c r="AQ7" s="34">
        <v>121259</v>
      </c>
      <c r="AR7" s="34">
        <v>16485</v>
      </c>
      <c r="AS7" s="34">
        <v>447136</v>
      </c>
      <c r="AT7" s="34">
        <v>182494</v>
      </c>
      <c r="AU7" s="34">
        <v>133735</v>
      </c>
      <c r="AV7" s="34">
        <v>7150</v>
      </c>
      <c r="AW7" s="34">
        <v>487199</v>
      </c>
      <c r="AX7" s="34">
        <v>191100</v>
      </c>
      <c r="AY7" s="34">
        <v>147554</v>
      </c>
      <c r="AZ7" s="34">
        <v>12851</v>
      </c>
      <c r="BA7" s="34">
        <v>525040</v>
      </c>
      <c r="BB7" s="34">
        <v>214260</v>
      </c>
      <c r="BC7" s="34">
        <v>149646</v>
      </c>
      <c r="BD7" s="34">
        <v>5734</v>
      </c>
      <c r="BE7" s="34">
        <v>288160.07454088907</v>
      </c>
      <c r="BF7" s="34">
        <v>48066.932067214613</v>
      </c>
      <c r="BG7" s="34">
        <v>13043.814636722487</v>
      </c>
      <c r="BH7" s="34">
        <v>293364.81811316696</v>
      </c>
      <c r="BI7" s="34">
        <v>46339.642062454899</v>
      </c>
      <c r="BJ7" s="34">
        <v>13818.82460185713</v>
      </c>
      <c r="BK7" s="34">
        <v>285398.59697631747</v>
      </c>
      <c r="BL7" s="34">
        <v>53629.074983223254</v>
      </c>
      <c r="BM7" s="34">
        <v>14851.330282404348</v>
      </c>
      <c r="BN7" s="34">
        <v>330419</v>
      </c>
      <c r="BO7" s="34">
        <v>37260</v>
      </c>
      <c r="BP7" s="34">
        <v>15712</v>
      </c>
      <c r="BQ7" s="34">
        <v>359813</v>
      </c>
      <c r="BR7" s="34">
        <v>34065</v>
      </c>
      <c r="BS7" s="34">
        <v>17001</v>
      </c>
      <c r="BT7" s="34">
        <v>356546</v>
      </c>
      <c r="BU7" s="34">
        <v>17329</v>
      </c>
      <c r="BV7" s="34">
        <v>17512</v>
      </c>
      <c r="BW7" s="34">
        <v>362934</v>
      </c>
      <c r="BX7" s="34">
        <v>22404</v>
      </c>
      <c r="BY7" s="34">
        <v>17930</v>
      </c>
      <c r="BZ7" s="34">
        <v>373509</v>
      </c>
      <c r="CA7" s="34">
        <v>26957</v>
      </c>
      <c r="CB7" s="34">
        <v>18674</v>
      </c>
      <c r="CC7" s="34">
        <v>397598</v>
      </c>
      <c r="CD7" s="34">
        <v>29458</v>
      </c>
      <c r="CE7" s="34">
        <v>20000</v>
      </c>
      <c r="CF7" s="34">
        <v>428611</v>
      </c>
      <c r="CG7" s="34">
        <v>36866</v>
      </c>
      <c r="CH7" s="34">
        <v>21678</v>
      </c>
      <c r="CI7" s="34">
        <v>461927</v>
      </c>
      <c r="CJ7" s="34">
        <v>39001</v>
      </c>
      <c r="CK7" s="34">
        <v>24070</v>
      </c>
      <c r="CL7" s="34">
        <v>23886.890255696104</v>
      </c>
      <c r="CM7" s="34">
        <v>-35603.197586299997</v>
      </c>
      <c r="CN7" s="34">
        <v>27500.239667795202</v>
      </c>
      <c r="CO7" s="34">
        <v>148061</v>
      </c>
      <c r="CP7" s="34">
        <v>26217.470352673259</v>
      </c>
      <c r="CQ7" s="34">
        <v>-11447.711214700004</v>
      </c>
      <c r="CR7" s="34">
        <v>26756.176281129487</v>
      </c>
      <c r="CS7" s="34">
        <v>120324</v>
      </c>
      <c r="CT7" s="34">
        <v>9682.0743626098047</v>
      </c>
      <c r="CU7" s="34">
        <v>41407.531122500019</v>
      </c>
      <c r="CV7" s="34">
        <v>27184.887305679873</v>
      </c>
      <c r="CW7" s="34">
        <v>124841</v>
      </c>
      <c r="CX7" s="34">
        <v>28390.626550482448</v>
      </c>
      <c r="CY7" s="34">
        <v>26293</v>
      </c>
      <c r="CZ7" s="34">
        <v>26394.572239237234</v>
      </c>
      <c r="DA7" s="34">
        <v>125474</v>
      </c>
      <c r="DB7" s="34">
        <v>67626</v>
      </c>
      <c r="DC7" s="34">
        <v>-36017</v>
      </c>
      <c r="DD7" s="34">
        <v>27094</v>
      </c>
      <c r="DE7" s="34">
        <v>127340</v>
      </c>
      <c r="DF7" s="34">
        <v>29990</v>
      </c>
      <c r="DG7" s="34">
        <v>-42375</v>
      </c>
      <c r="DH7" s="34">
        <v>27150</v>
      </c>
      <c r="DI7" s="34">
        <v>128073</v>
      </c>
      <c r="DJ7" s="34">
        <v>22023</v>
      </c>
      <c r="DK7" s="34">
        <v>-43387</v>
      </c>
      <c r="DL7" s="34">
        <v>28680</v>
      </c>
      <c r="DM7" s="34">
        <v>147885</v>
      </c>
      <c r="DN7" s="34">
        <v>18970</v>
      </c>
      <c r="DO7" s="34">
        <v>-60448</v>
      </c>
      <c r="DP7" s="34">
        <v>30323</v>
      </c>
      <c r="DQ7" s="34">
        <v>192234</v>
      </c>
      <c r="DR7" s="34">
        <v>23065</v>
      </c>
      <c r="DS7" s="34">
        <v>-59834</v>
      </c>
      <c r="DT7" s="34">
        <v>30586</v>
      </c>
      <c r="DU7" s="34">
        <v>242549</v>
      </c>
      <c r="DV7" s="34">
        <v>38923</v>
      </c>
      <c r="DW7" s="34">
        <v>-74067</v>
      </c>
      <c r="DX7" s="34">
        <v>33054</v>
      </c>
      <c r="DY7" s="34">
        <v>289447</v>
      </c>
      <c r="DZ7" s="34">
        <v>17159</v>
      </c>
      <c r="EA7" s="34">
        <v>-81838</v>
      </c>
      <c r="EB7" s="34">
        <v>36333</v>
      </c>
      <c r="EC7" s="34">
        <v>336578</v>
      </c>
      <c r="ED7" s="34">
        <v>504513.6593824476</v>
      </c>
      <c r="EE7" s="34">
        <v>798.89265069217697</v>
      </c>
      <c r="EF7" s="34">
        <v>513096.79383355792</v>
      </c>
      <c r="EG7" s="34">
        <v>28422.582256510137</v>
      </c>
      <c r="EH7" s="34">
        <v>528569.57850423735</v>
      </c>
      <c r="EI7" s="34">
        <v>-9711.5072497405708</v>
      </c>
      <c r="EJ7" s="34">
        <v>558755.10660591722</v>
      </c>
      <c r="EK7" s="34">
        <v>60179.994718899106</v>
      </c>
      <c r="EL7" s="34">
        <v>586472</v>
      </c>
      <c r="EM7" s="34">
        <v>30540</v>
      </c>
      <c r="EN7" s="34">
        <v>628826</v>
      </c>
      <c r="EO7" s="34">
        <v>4426</v>
      </c>
      <c r="EP7" s="34">
        <v>667479</v>
      </c>
      <c r="EQ7" s="34">
        <v>-5655</v>
      </c>
      <c r="ER7" s="34">
        <v>701355</v>
      </c>
      <c r="ES7" s="34">
        <v>-7812</v>
      </c>
      <c r="ET7" s="34">
        <v>743599</v>
      </c>
      <c r="EU7" s="34">
        <v>-7505</v>
      </c>
      <c r="EV7" s="34">
        <v>787687</v>
      </c>
      <c r="EW7" s="34">
        <v>5096</v>
      </c>
      <c r="EX7" s="34">
        <v>858365</v>
      </c>
      <c r="EY7" s="34">
        <v>-8388</v>
      </c>
      <c r="EZ7" s="34">
        <v>51487</v>
      </c>
      <c r="FA7" s="34">
        <v>41796</v>
      </c>
      <c r="FB7" s="34">
        <v>173828</v>
      </c>
      <c r="FC7" s="34">
        <v>527512</v>
      </c>
      <c r="FD7" s="34">
        <v>227192</v>
      </c>
      <c r="FE7" s="34">
        <v>172541</v>
      </c>
      <c r="FF7" s="34">
        <v>9453</v>
      </c>
      <c r="FG7" s="34">
        <v>474508</v>
      </c>
      <c r="FH7" s="34">
        <v>26943</v>
      </c>
      <c r="FI7" s="34">
        <v>26061</v>
      </c>
      <c r="FJ7" s="34">
        <v>28648</v>
      </c>
      <c r="FK7" s="34">
        <v>-53736</v>
      </c>
      <c r="FL7" s="34">
        <v>40228</v>
      </c>
      <c r="FM7" s="34">
        <v>399355</v>
      </c>
      <c r="FN7" s="34">
        <v>53736</v>
      </c>
      <c r="FO7" s="34">
        <v>899837</v>
      </c>
      <c r="FP7" s="34">
        <v>-10538</v>
      </c>
      <c r="FQ7" s="34">
        <v>174555</v>
      </c>
      <c r="FR7" s="34">
        <v>553930</v>
      </c>
      <c r="FS7" s="34">
        <v>241896</v>
      </c>
      <c r="FT7" s="34">
        <v>174977</v>
      </c>
      <c r="FU7" s="34">
        <v>14185</v>
      </c>
      <c r="FV7" s="34">
        <v>491577</v>
      </c>
      <c r="FW7" s="34">
        <v>33022</v>
      </c>
      <c r="FX7" s="34">
        <v>29331</v>
      </c>
      <c r="FY7" s="34">
        <v>48216</v>
      </c>
      <c r="FZ7" s="34">
        <v>-36555</v>
      </c>
      <c r="GA7" s="34">
        <v>42905</v>
      </c>
      <c r="GB7" s="34">
        <v>414268</v>
      </c>
      <c r="GC7" s="34">
        <v>36555</v>
      </c>
      <c r="GD7" s="34">
        <v>921828</v>
      </c>
      <c r="GE7" s="34">
        <v>13914</v>
      </c>
      <c r="GF7" s="34">
        <v>42573</v>
      </c>
      <c r="GG7" s="57">
        <v>215.75</v>
      </c>
      <c r="GH7" s="34">
        <v>175230</v>
      </c>
      <c r="GI7" s="34">
        <v>569671</v>
      </c>
      <c r="GJ7">
        <v>255816</v>
      </c>
      <c r="GK7">
        <v>176882</v>
      </c>
      <c r="GL7">
        <v>2524</v>
      </c>
      <c r="GM7">
        <v>499877</v>
      </c>
      <c r="GN7">
        <v>38165</v>
      </c>
      <c r="GO7">
        <v>31629</v>
      </c>
      <c r="GP7">
        <v>32561</v>
      </c>
      <c r="GQ7">
        <v>-81918</v>
      </c>
      <c r="GR7">
        <v>40035</v>
      </c>
      <c r="GS7">
        <v>423215</v>
      </c>
      <c r="GT7">
        <v>81918</v>
      </c>
      <c r="GU7">
        <v>965322</v>
      </c>
      <c r="GV7">
        <v>-9225</v>
      </c>
      <c r="GW7" s="34">
        <v>175472</v>
      </c>
      <c r="GX7" s="34">
        <v>588004</v>
      </c>
      <c r="GY7">
        <v>268220</v>
      </c>
      <c r="GZ7">
        <v>184637</v>
      </c>
      <c r="HA7">
        <v>6916</v>
      </c>
      <c r="HB7">
        <v>525362</v>
      </c>
      <c r="HC7">
        <v>26417</v>
      </c>
      <c r="HD7">
        <v>36225</v>
      </c>
      <c r="HE7">
        <v>28777</v>
      </c>
      <c r="HF7">
        <v>-62797</v>
      </c>
      <c r="HG7">
        <v>38242</v>
      </c>
      <c r="HH7">
        <v>446314</v>
      </c>
      <c r="HI7">
        <v>62797</v>
      </c>
      <c r="HJ7">
        <v>1011472</v>
      </c>
      <c r="HK7">
        <v>-7949</v>
      </c>
      <c r="HL7">
        <v>22168</v>
      </c>
      <c r="HM7" s="57">
        <v>19.818181818181817</v>
      </c>
      <c r="HN7" s="190">
        <v>-6124.899717948847</v>
      </c>
      <c r="HO7" s="34">
        <v>23782.445553363501</v>
      </c>
      <c r="HP7" s="34">
        <v>-1547.8334872252879</v>
      </c>
      <c r="HQ7" s="34">
        <v>58074.954631306835</v>
      </c>
      <c r="HR7">
        <v>49036</v>
      </c>
      <c r="HS7">
        <v>52769</v>
      </c>
      <c r="HT7">
        <v>54281</v>
      </c>
      <c r="HU7">
        <v>45268</v>
      </c>
      <c r="HV7">
        <v>39241</v>
      </c>
      <c r="HW7">
        <v>44519</v>
      </c>
      <c r="HX7">
        <v>37689</v>
      </c>
      <c r="HY7">
        <v>28504</v>
      </c>
      <c r="HZ7">
        <v>42573</v>
      </c>
      <c r="IA7" s="34">
        <v>30382</v>
      </c>
      <c r="IB7">
        <v>22168</v>
      </c>
      <c r="IC7">
        <v>73704</v>
      </c>
      <c r="ID7">
        <v>144850</v>
      </c>
      <c r="IE7">
        <v>119934</v>
      </c>
      <c r="IF7" s="57">
        <v>17.886363636363637</v>
      </c>
      <c r="IG7" s="57">
        <v>18.022727272727273</v>
      </c>
      <c r="IH7" s="57">
        <v>18.09090909090909</v>
      </c>
      <c r="II7" s="57">
        <v>18.136363636363637</v>
      </c>
      <c r="IJ7" s="57">
        <v>18.227272727272727</v>
      </c>
      <c r="IK7" s="57">
        <v>18.272727272727273</v>
      </c>
      <c r="IL7" s="57">
        <v>18.318181818181817</v>
      </c>
      <c r="IM7" s="57">
        <v>18.40909090909091</v>
      </c>
      <c r="IN7" s="57">
        <v>18.704545454545453</v>
      </c>
      <c r="IO7" s="57">
        <v>18.795454545454547</v>
      </c>
      <c r="IP7" s="57">
        <v>18.931818181818183</v>
      </c>
      <c r="IQ7" s="57">
        <v>19.045454545454547</v>
      </c>
      <c r="IR7" s="57">
        <v>19.613636363636363</v>
      </c>
      <c r="IS7" s="57">
        <v>19.636363636363637</v>
      </c>
      <c r="IT7" s="57">
        <v>19.818181818181817</v>
      </c>
      <c r="IU7" s="57">
        <v>19.977272727272727</v>
      </c>
      <c r="IV7" s="57">
        <v>20.318181818181817</v>
      </c>
      <c r="IW7" s="57">
        <v>20.5</v>
      </c>
      <c r="IX7">
        <v>175481</v>
      </c>
      <c r="IY7">
        <v>198755</v>
      </c>
      <c r="IZ7">
        <v>1039183</v>
      </c>
      <c r="JA7" s="34">
        <v>1264090</v>
      </c>
      <c r="JB7" s="34">
        <v>267360</v>
      </c>
      <c r="JC7">
        <v>5766</v>
      </c>
      <c r="JD7">
        <v>58274</v>
      </c>
      <c r="JE7">
        <v>41243</v>
      </c>
      <c r="JF7">
        <v>-68656</v>
      </c>
      <c r="JG7">
        <v>14524</v>
      </c>
      <c r="JH7">
        <v>15170</v>
      </c>
      <c r="JI7" s="34">
        <v>563337</v>
      </c>
      <c r="JJ7" s="173">
        <v>28927</v>
      </c>
      <c r="JK7" s="34">
        <v>39781</v>
      </c>
      <c r="JL7">
        <v>478571</v>
      </c>
      <c r="JM7">
        <v>175350</v>
      </c>
      <c r="JN7">
        <v>188651</v>
      </c>
      <c r="JO7" s="173">
        <v>1056437</v>
      </c>
      <c r="JP7" s="34">
        <v>1308990</v>
      </c>
      <c r="JQ7" s="34">
        <v>265909</v>
      </c>
      <c r="JR7" s="34">
        <v>38496</v>
      </c>
      <c r="JS7" s="173">
        <v>52516</v>
      </c>
      <c r="JT7">
        <v>47102</v>
      </c>
      <c r="JU7">
        <v>-71192</v>
      </c>
      <c r="JV7" s="173">
        <v>35030</v>
      </c>
      <c r="JW7" s="34">
        <v>575737</v>
      </c>
      <c r="JX7" s="173">
        <v>32398</v>
      </c>
      <c r="JY7" s="34">
        <v>46360</v>
      </c>
      <c r="JZ7">
        <v>496177</v>
      </c>
      <c r="KA7">
        <v>174710</v>
      </c>
      <c r="KB7">
        <v>197273</v>
      </c>
      <c r="KC7" s="173">
        <v>1075700</v>
      </c>
      <c r="KD7" s="34">
        <v>1349812</v>
      </c>
      <c r="KE7" s="34">
        <v>257034</v>
      </c>
      <c r="KF7" s="34">
        <v>11212</v>
      </c>
      <c r="KG7" s="173">
        <v>56193</v>
      </c>
      <c r="KH7">
        <v>47240</v>
      </c>
      <c r="KI7" s="173">
        <v>-54101</v>
      </c>
      <c r="KJ7" s="173">
        <v>10954</v>
      </c>
      <c r="KK7" s="34">
        <v>589406</v>
      </c>
      <c r="KL7" s="173">
        <v>37544</v>
      </c>
      <c r="KM7" s="34">
        <v>47956</v>
      </c>
      <c r="KN7">
        <v>515826</v>
      </c>
      <c r="KO7">
        <v>173781</v>
      </c>
      <c r="KP7">
        <v>669979</v>
      </c>
      <c r="KQ7">
        <v>267985</v>
      </c>
      <c r="KR7">
        <v>194702</v>
      </c>
      <c r="KS7">
        <v>7909</v>
      </c>
      <c r="KT7">
        <v>585493</v>
      </c>
      <c r="KU7">
        <v>32356</v>
      </c>
      <c r="KV7">
        <v>52130</v>
      </c>
      <c r="KW7">
        <v>49884</v>
      </c>
      <c r="KX7">
        <v>-70241</v>
      </c>
      <c r="KY7">
        <v>48801</v>
      </c>
      <c r="KZ7">
        <v>562003</v>
      </c>
      <c r="LA7">
        <v>1084618</v>
      </c>
      <c r="LB7">
        <v>-1627</v>
      </c>
      <c r="LC7">
        <v>58344</v>
      </c>
      <c r="LD7" s="57">
        <v>20.636363636363637</v>
      </c>
      <c r="LE7">
        <v>172720</v>
      </c>
      <c r="LF7" s="34">
        <v>683973</v>
      </c>
      <c r="LG7" s="34">
        <v>263443</v>
      </c>
      <c r="LH7">
        <v>189720</v>
      </c>
      <c r="LI7" s="173">
        <v>441</v>
      </c>
      <c r="LJ7" s="34">
        <v>590484</v>
      </c>
      <c r="LK7" s="173">
        <v>38902</v>
      </c>
      <c r="LL7" s="34">
        <v>54587</v>
      </c>
      <c r="LM7" s="173">
        <v>73462</v>
      </c>
      <c r="LN7" s="173">
        <v>-40625</v>
      </c>
      <c r="LO7">
        <v>55539</v>
      </c>
      <c r="LP7">
        <v>542420</v>
      </c>
      <c r="LQ7" s="173">
        <v>1064115</v>
      </c>
      <c r="LR7" s="173">
        <v>18350</v>
      </c>
      <c r="LS7" s="173">
        <v>76693</v>
      </c>
      <c r="LT7" s="57">
        <v>20.954545454545453</v>
      </c>
      <c r="LU7">
        <v>171364</v>
      </c>
      <c r="LV7" s="34">
        <v>677113</v>
      </c>
      <c r="LW7" s="34">
        <v>259510</v>
      </c>
      <c r="LX7" s="172">
        <v>194567</v>
      </c>
      <c r="LY7" s="173">
        <v>-1242</v>
      </c>
      <c r="LZ7" s="34">
        <v>584721</v>
      </c>
      <c r="MA7" s="173">
        <v>37081</v>
      </c>
      <c r="MB7" s="34">
        <v>55311</v>
      </c>
      <c r="MC7" s="173">
        <v>45082</v>
      </c>
      <c r="MD7" s="34">
        <v>-55240</v>
      </c>
      <c r="ME7">
        <v>68157</v>
      </c>
      <c r="MF7">
        <v>552005</v>
      </c>
      <c r="MG7" s="173">
        <v>1084204</v>
      </c>
      <c r="MH7" s="173">
        <v>-12457</v>
      </c>
      <c r="MI7" s="173">
        <v>67248</v>
      </c>
      <c r="MJ7" s="57">
        <v>21.022727272727273</v>
      </c>
    </row>
    <row r="8" spans="1:348" x14ac:dyDescent="0.2">
      <c r="A8" t="s">
        <v>110</v>
      </c>
      <c r="B8" s="34">
        <v>68773</v>
      </c>
      <c r="C8" s="34">
        <v>68345</v>
      </c>
      <c r="D8" s="34">
        <v>68052</v>
      </c>
      <c r="E8" s="34">
        <v>67671</v>
      </c>
      <c r="F8" s="34">
        <v>67497</v>
      </c>
      <c r="G8" s="34">
        <v>67441</v>
      </c>
      <c r="H8" s="34">
        <v>67369</v>
      </c>
      <c r="I8" s="34">
        <v>67612</v>
      </c>
      <c r="J8" s="34">
        <v>67632</v>
      </c>
      <c r="K8" s="34">
        <v>67898</v>
      </c>
      <c r="L8" s="34">
        <v>67991</v>
      </c>
      <c r="M8" s="34">
        <v>130106</v>
      </c>
      <c r="N8" s="34">
        <v>62808</v>
      </c>
      <c r="O8" s="34">
        <v>67352</v>
      </c>
      <c r="P8" s="34">
        <v>2033.3920309196685</v>
      </c>
      <c r="Q8" s="34">
        <v>133141</v>
      </c>
      <c r="R8" s="34">
        <v>63038</v>
      </c>
      <c r="S8" s="34">
        <v>67477</v>
      </c>
      <c r="T8" s="34">
        <v>2449.8253368383694</v>
      </c>
      <c r="U8" s="34">
        <v>131850</v>
      </c>
      <c r="V8" s="34">
        <v>69022</v>
      </c>
      <c r="W8" s="34">
        <v>69028</v>
      </c>
      <c r="X8" s="34">
        <v>1376.6181780874676</v>
      </c>
      <c r="Y8" s="34">
        <v>152839</v>
      </c>
      <c r="Z8" s="34">
        <v>78240</v>
      </c>
      <c r="AA8" s="34">
        <v>75727</v>
      </c>
      <c r="AB8" s="34">
        <v>1683.729331806187</v>
      </c>
      <c r="AC8" s="34">
        <v>154872</v>
      </c>
      <c r="AD8" s="34">
        <v>78286</v>
      </c>
      <c r="AE8" s="34">
        <v>75425</v>
      </c>
      <c r="AF8" s="34">
        <v>1550</v>
      </c>
      <c r="AG8" s="34">
        <v>149112</v>
      </c>
      <c r="AH8" s="34">
        <v>84556</v>
      </c>
      <c r="AI8" s="34">
        <v>81590</v>
      </c>
      <c r="AJ8" s="34">
        <v>1708</v>
      </c>
      <c r="AK8" s="34">
        <v>150326</v>
      </c>
      <c r="AL8" s="34">
        <v>85803</v>
      </c>
      <c r="AM8" s="34">
        <v>91945</v>
      </c>
      <c r="AN8" s="34">
        <v>1833</v>
      </c>
      <c r="AO8" s="34">
        <v>155318</v>
      </c>
      <c r="AP8" s="34">
        <v>89434</v>
      </c>
      <c r="AQ8" s="34">
        <v>91299</v>
      </c>
      <c r="AR8" s="34">
        <v>4937</v>
      </c>
      <c r="AS8" s="34">
        <v>164679</v>
      </c>
      <c r="AT8" s="34">
        <v>97009</v>
      </c>
      <c r="AU8" s="34">
        <v>106368</v>
      </c>
      <c r="AV8" s="34">
        <v>1286</v>
      </c>
      <c r="AW8" s="34">
        <v>182025</v>
      </c>
      <c r="AX8" s="34">
        <v>103473</v>
      </c>
      <c r="AY8" s="34">
        <v>106352</v>
      </c>
      <c r="AZ8" s="34">
        <v>1531</v>
      </c>
      <c r="BA8" s="34">
        <v>204626</v>
      </c>
      <c r="BB8" s="34">
        <v>112593</v>
      </c>
      <c r="BC8" s="34">
        <v>111236</v>
      </c>
      <c r="BD8" s="34">
        <v>1034</v>
      </c>
      <c r="BE8" s="34">
        <v>108395.43672517923</v>
      </c>
      <c r="BF8" s="34">
        <v>16324.32014235426</v>
      </c>
      <c r="BG8" s="34">
        <v>5321.2978053157485</v>
      </c>
      <c r="BH8" s="34">
        <v>109978.25330110852</v>
      </c>
      <c r="BI8" s="34">
        <v>17737.435100483875</v>
      </c>
      <c r="BJ8" s="34">
        <v>5373.4360625188156</v>
      </c>
      <c r="BK8" s="34">
        <v>107759.34998730182</v>
      </c>
      <c r="BL8" s="34">
        <v>18285.054989042557</v>
      </c>
      <c r="BM8" s="34">
        <v>5749.840641939677</v>
      </c>
      <c r="BN8" s="34">
        <v>124262</v>
      </c>
      <c r="BO8" s="34">
        <v>21975</v>
      </c>
      <c r="BP8" s="34">
        <v>6556</v>
      </c>
      <c r="BQ8" s="34">
        <v>135064</v>
      </c>
      <c r="BR8" s="34">
        <v>12694</v>
      </c>
      <c r="BS8" s="34">
        <v>7070</v>
      </c>
      <c r="BT8" s="34">
        <v>133130</v>
      </c>
      <c r="BU8" s="34">
        <v>8758</v>
      </c>
      <c r="BV8" s="34">
        <v>7199</v>
      </c>
      <c r="BW8" s="34">
        <v>135261</v>
      </c>
      <c r="BX8" s="34">
        <v>7922</v>
      </c>
      <c r="BY8" s="34">
        <v>7124</v>
      </c>
      <c r="BZ8" s="34">
        <v>139193</v>
      </c>
      <c r="CA8" s="34">
        <v>8239</v>
      </c>
      <c r="CB8" s="34">
        <v>7868</v>
      </c>
      <c r="CC8" s="34">
        <v>146397</v>
      </c>
      <c r="CD8" s="34">
        <v>10061</v>
      </c>
      <c r="CE8" s="34">
        <v>8199</v>
      </c>
      <c r="CF8" s="34">
        <v>157332</v>
      </c>
      <c r="CG8" s="34">
        <v>15908</v>
      </c>
      <c r="CH8" s="34">
        <v>8769</v>
      </c>
      <c r="CI8" s="34">
        <v>173127</v>
      </c>
      <c r="CJ8" s="34">
        <v>22106</v>
      </c>
      <c r="CK8" s="34">
        <v>9378</v>
      </c>
      <c r="CL8" s="34">
        <v>14214.738980747525</v>
      </c>
      <c r="CM8" s="34">
        <v>-22322.91072648</v>
      </c>
      <c r="CN8" s="34">
        <v>11491.271887556279</v>
      </c>
      <c r="CO8" s="34">
        <v>89796</v>
      </c>
      <c r="CP8" s="34">
        <v>13976.584876878031</v>
      </c>
      <c r="CQ8" s="34">
        <v>-17669.150801999996</v>
      </c>
      <c r="CR8" s="34">
        <v>12378.126823787827</v>
      </c>
      <c r="CS8" s="34">
        <v>95075</v>
      </c>
      <c r="CT8" s="34">
        <v>7997.5040911713131</v>
      </c>
      <c r="CU8" s="34">
        <v>-17021.459099979995</v>
      </c>
      <c r="CV8" s="34">
        <v>12677.837708742241</v>
      </c>
      <c r="CW8" s="34">
        <v>104876</v>
      </c>
      <c r="CX8" s="34">
        <v>21969.379706108415</v>
      </c>
      <c r="CY8" s="34">
        <v>-24788</v>
      </c>
      <c r="CZ8" s="34">
        <v>12970.316512858808</v>
      </c>
      <c r="DA8" s="34">
        <v>110598</v>
      </c>
      <c r="DB8" s="34">
        <v>23021</v>
      </c>
      <c r="DC8" s="34">
        <v>-23037</v>
      </c>
      <c r="DD8" s="34">
        <v>13468</v>
      </c>
      <c r="DE8" s="34">
        <v>101498</v>
      </c>
      <c r="DF8" s="34">
        <v>16296</v>
      </c>
      <c r="DG8" s="34">
        <v>-28594</v>
      </c>
      <c r="DH8" s="34">
        <v>14744</v>
      </c>
      <c r="DI8" s="34">
        <v>117951</v>
      </c>
      <c r="DJ8" s="34">
        <v>5863</v>
      </c>
      <c r="DK8" s="34">
        <v>-36291</v>
      </c>
      <c r="DL8" s="34">
        <v>15273</v>
      </c>
      <c r="DM8" s="34">
        <v>150203</v>
      </c>
      <c r="DN8" s="34">
        <v>5019</v>
      </c>
      <c r="DO8" s="34">
        <v>-24153</v>
      </c>
      <c r="DP8" s="34">
        <v>16026</v>
      </c>
      <c r="DQ8" s="34">
        <v>160835</v>
      </c>
      <c r="DR8" s="34">
        <v>16293</v>
      </c>
      <c r="DS8" s="34">
        <v>-21643</v>
      </c>
      <c r="DT8" s="34">
        <v>16610</v>
      </c>
      <c r="DU8" s="34">
        <v>170552</v>
      </c>
      <c r="DV8" s="34">
        <v>21791</v>
      </c>
      <c r="DW8" s="34">
        <v>-25334</v>
      </c>
      <c r="DX8" s="34">
        <v>17556</v>
      </c>
      <c r="DY8" s="34">
        <v>176311</v>
      </c>
      <c r="DZ8" s="34">
        <v>30338</v>
      </c>
      <c r="EA8" s="34">
        <v>-29903</v>
      </c>
      <c r="EB8" s="34">
        <v>18640</v>
      </c>
      <c r="EC8" s="34">
        <v>175551</v>
      </c>
      <c r="ED8" s="34">
        <v>232401.23584488363</v>
      </c>
      <c r="EE8" s="34">
        <v>4747.4406002290725</v>
      </c>
      <c r="EF8" s="34">
        <v>236635.53508147862</v>
      </c>
      <c r="EG8" s="34">
        <v>1804.488263005552</v>
      </c>
      <c r="EH8" s="34">
        <v>246368.73857373276</v>
      </c>
      <c r="EI8" s="34">
        <v>-3362.5812137449898</v>
      </c>
      <c r="EJ8" s="34">
        <v>268001.57423899171</v>
      </c>
      <c r="EK8" s="34">
        <v>4295.0150780476069</v>
      </c>
      <c r="EL8" s="34">
        <v>279834</v>
      </c>
      <c r="EM8" s="34">
        <v>6730</v>
      </c>
      <c r="EN8" s="34">
        <v>296862</v>
      </c>
      <c r="EO8" s="34">
        <v>-736</v>
      </c>
      <c r="EP8" s="34">
        <v>319469</v>
      </c>
      <c r="EQ8" s="34">
        <v>-6930</v>
      </c>
      <c r="ER8" s="34">
        <v>333829</v>
      </c>
      <c r="ES8" s="34">
        <v>-6512</v>
      </c>
      <c r="ET8" s="34">
        <v>348268</v>
      </c>
      <c r="EU8" s="34">
        <v>-599</v>
      </c>
      <c r="EV8" s="34">
        <v>364386</v>
      </c>
      <c r="EW8" s="34">
        <v>4863</v>
      </c>
      <c r="EX8" s="34">
        <v>391538</v>
      </c>
      <c r="EY8" s="34">
        <v>7097</v>
      </c>
      <c r="EZ8" s="34">
        <v>14991</v>
      </c>
      <c r="FA8" s="34">
        <v>21993</v>
      </c>
      <c r="FB8" s="34">
        <v>68131</v>
      </c>
      <c r="FC8" s="34">
        <v>204815</v>
      </c>
      <c r="FD8" s="34">
        <v>119066</v>
      </c>
      <c r="FE8" s="34">
        <v>140549</v>
      </c>
      <c r="FF8" s="34">
        <v>1106</v>
      </c>
      <c r="FG8" s="34">
        <v>174620</v>
      </c>
      <c r="FH8" s="34">
        <v>20082</v>
      </c>
      <c r="FI8" s="34">
        <v>10113</v>
      </c>
      <c r="FJ8" s="34">
        <v>28708</v>
      </c>
      <c r="FK8" s="34">
        <v>-37880</v>
      </c>
      <c r="FL8" s="34">
        <v>19332</v>
      </c>
      <c r="FM8" s="34">
        <v>189340</v>
      </c>
      <c r="FN8" s="34">
        <v>37880</v>
      </c>
      <c r="FO8" s="34">
        <v>431661</v>
      </c>
      <c r="FP8" s="34">
        <v>5130</v>
      </c>
      <c r="FQ8" s="34">
        <v>68321</v>
      </c>
      <c r="FR8" s="34">
        <v>205881</v>
      </c>
      <c r="FS8" s="34">
        <v>123221</v>
      </c>
      <c r="FT8" s="34">
        <v>162217</v>
      </c>
      <c r="FU8" s="34">
        <v>1461</v>
      </c>
      <c r="FV8" s="34">
        <v>174934</v>
      </c>
      <c r="FW8" s="34">
        <v>20267</v>
      </c>
      <c r="FX8" s="34">
        <v>10680</v>
      </c>
      <c r="FY8" s="34">
        <v>26395</v>
      </c>
      <c r="FZ8" s="34">
        <v>-38413</v>
      </c>
      <c r="GA8" s="34">
        <v>20065</v>
      </c>
      <c r="GB8" s="34">
        <v>206435</v>
      </c>
      <c r="GC8" s="34">
        <v>38413</v>
      </c>
      <c r="GD8" s="34">
        <v>462796</v>
      </c>
      <c r="GE8" s="34">
        <v>2529</v>
      </c>
      <c r="GF8" s="34">
        <v>29548</v>
      </c>
      <c r="GG8" s="57">
        <v>160</v>
      </c>
      <c r="GH8" s="34">
        <v>68484</v>
      </c>
      <c r="GI8" s="34">
        <v>214955</v>
      </c>
      <c r="GJ8">
        <v>126444</v>
      </c>
      <c r="GK8">
        <v>164423</v>
      </c>
      <c r="GL8">
        <v>2065</v>
      </c>
      <c r="GM8">
        <v>181520</v>
      </c>
      <c r="GN8">
        <v>20757</v>
      </c>
      <c r="GO8">
        <v>12678</v>
      </c>
      <c r="GP8">
        <v>16044</v>
      </c>
      <c r="GQ8">
        <v>-66595</v>
      </c>
      <c r="GR8">
        <v>21353</v>
      </c>
      <c r="GS8">
        <v>250887</v>
      </c>
      <c r="GT8">
        <v>66595</v>
      </c>
      <c r="GU8">
        <v>486961</v>
      </c>
      <c r="GV8">
        <v>-4295</v>
      </c>
      <c r="GW8" s="34">
        <v>68610</v>
      </c>
      <c r="GX8" s="34">
        <v>215035</v>
      </c>
      <c r="GY8">
        <v>132395</v>
      </c>
      <c r="GZ8">
        <v>169921</v>
      </c>
      <c r="HA8">
        <v>7809</v>
      </c>
      <c r="HB8">
        <v>186217</v>
      </c>
      <c r="HC8">
        <v>15382</v>
      </c>
      <c r="HD8">
        <v>13436</v>
      </c>
      <c r="HE8">
        <v>9748</v>
      </c>
      <c r="HF8">
        <v>-50380</v>
      </c>
      <c r="HG8">
        <v>23646</v>
      </c>
      <c r="HH8">
        <v>296108</v>
      </c>
      <c r="HI8">
        <v>50380</v>
      </c>
      <c r="HJ8">
        <v>510312</v>
      </c>
      <c r="HK8">
        <v>-12605</v>
      </c>
      <c r="HL8">
        <v>12700</v>
      </c>
      <c r="HM8" s="57">
        <v>20.34375</v>
      </c>
      <c r="HN8" s="190">
        <v>13647.945668572236</v>
      </c>
      <c r="HO8" s="34">
        <v>15822.783745646037</v>
      </c>
      <c r="HP8" s="34">
        <v>13903.759504720194</v>
      </c>
      <c r="HQ8" s="34">
        <v>17798.991881568792</v>
      </c>
      <c r="HR8">
        <v>22403</v>
      </c>
      <c r="HS8">
        <v>20369</v>
      </c>
      <c r="HT8">
        <v>16844</v>
      </c>
      <c r="HU8">
        <v>11552</v>
      </c>
      <c r="HV8">
        <v>12324</v>
      </c>
      <c r="HW8">
        <v>16129</v>
      </c>
      <c r="HX8">
        <v>22717</v>
      </c>
      <c r="HY8">
        <v>27017</v>
      </c>
      <c r="HZ8">
        <v>29548</v>
      </c>
      <c r="IA8" s="34">
        <v>25253</v>
      </c>
      <c r="IB8">
        <v>12700</v>
      </c>
      <c r="IC8">
        <v>32722</v>
      </c>
      <c r="ID8">
        <v>73230</v>
      </c>
      <c r="IE8">
        <v>64442</v>
      </c>
      <c r="IF8" s="57">
        <v>18.875</v>
      </c>
      <c r="IG8" s="57">
        <v>18.96875</v>
      </c>
      <c r="IH8" s="57">
        <v>19</v>
      </c>
      <c r="II8" s="57">
        <v>19.125</v>
      </c>
      <c r="IJ8" s="57">
        <v>19.1875</v>
      </c>
      <c r="IK8" s="57">
        <v>19.1875</v>
      </c>
      <c r="IL8" s="57">
        <v>19.21875</v>
      </c>
      <c r="IM8" s="57">
        <v>19.25</v>
      </c>
      <c r="IN8" s="57">
        <v>19.40625</v>
      </c>
      <c r="IO8" s="57">
        <v>19.53125</v>
      </c>
      <c r="IP8" s="57">
        <v>19.59375</v>
      </c>
      <c r="IQ8" s="57">
        <v>19.625</v>
      </c>
      <c r="IR8" s="57">
        <v>20</v>
      </c>
      <c r="IS8" s="57">
        <v>20.125</v>
      </c>
      <c r="IT8" s="57">
        <v>20.34375</v>
      </c>
      <c r="IU8" s="57">
        <v>20.6875</v>
      </c>
      <c r="IV8" s="57">
        <v>21</v>
      </c>
      <c r="IW8" s="57">
        <v>21.125</v>
      </c>
      <c r="IX8">
        <v>68677</v>
      </c>
      <c r="IY8">
        <v>178531</v>
      </c>
      <c r="IZ8">
        <v>520968</v>
      </c>
      <c r="JA8" s="34">
        <v>470554</v>
      </c>
      <c r="JB8" s="34">
        <v>137159</v>
      </c>
      <c r="JC8">
        <v>1587</v>
      </c>
      <c r="JD8">
        <v>28209</v>
      </c>
      <c r="JE8">
        <v>27383</v>
      </c>
      <c r="JF8">
        <v>-49430</v>
      </c>
      <c r="JG8">
        <v>826</v>
      </c>
      <c r="JH8">
        <v>3656</v>
      </c>
      <c r="JI8" s="34">
        <v>202565</v>
      </c>
      <c r="JJ8" s="173">
        <v>17609</v>
      </c>
      <c r="JK8" s="34">
        <v>15103</v>
      </c>
      <c r="JL8">
        <v>326303</v>
      </c>
      <c r="JM8">
        <v>68832</v>
      </c>
      <c r="JN8">
        <v>173963</v>
      </c>
      <c r="JO8" s="173">
        <v>514478</v>
      </c>
      <c r="JP8" s="34">
        <v>486260</v>
      </c>
      <c r="JQ8" s="34">
        <v>137831</v>
      </c>
      <c r="JR8" s="34">
        <v>10856</v>
      </c>
      <c r="JS8" s="173">
        <v>37890</v>
      </c>
      <c r="JT8">
        <v>28364</v>
      </c>
      <c r="JU8">
        <v>-55897</v>
      </c>
      <c r="JV8" s="173">
        <v>20178</v>
      </c>
      <c r="JW8" s="34">
        <v>207186</v>
      </c>
      <c r="JX8" s="173">
        <v>17741</v>
      </c>
      <c r="JY8" s="34">
        <v>18203</v>
      </c>
      <c r="JZ8">
        <v>363683</v>
      </c>
      <c r="KA8">
        <v>69032</v>
      </c>
      <c r="KB8">
        <v>120496</v>
      </c>
      <c r="KC8" s="173">
        <v>489675</v>
      </c>
      <c r="KD8" s="34">
        <v>501092</v>
      </c>
      <c r="KE8" s="34">
        <v>138400</v>
      </c>
      <c r="KF8" s="34">
        <v>1915</v>
      </c>
      <c r="KG8" s="173">
        <v>17844</v>
      </c>
      <c r="KH8">
        <v>22640</v>
      </c>
      <c r="KI8" s="173">
        <v>-72572</v>
      </c>
      <c r="KJ8" s="173">
        <v>-4386</v>
      </c>
      <c r="KK8" s="34">
        <v>211665</v>
      </c>
      <c r="KL8" s="173">
        <v>20051</v>
      </c>
      <c r="KM8" s="34">
        <v>18830</v>
      </c>
      <c r="KN8">
        <v>333676</v>
      </c>
      <c r="KO8">
        <v>69027</v>
      </c>
      <c r="KP8">
        <v>249213</v>
      </c>
      <c r="KQ8">
        <v>148601</v>
      </c>
      <c r="KR8">
        <v>119043</v>
      </c>
      <c r="KS8">
        <v>2065</v>
      </c>
      <c r="KT8">
        <v>211956</v>
      </c>
      <c r="KU8">
        <v>17940</v>
      </c>
      <c r="KV8">
        <v>19317</v>
      </c>
      <c r="KW8">
        <v>16314</v>
      </c>
      <c r="KX8">
        <v>-24885</v>
      </c>
      <c r="KY8">
        <v>22112</v>
      </c>
      <c r="KZ8">
        <v>328407</v>
      </c>
      <c r="LA8">
        <v>499377</v>
      </c>
      <c r="LB8">
        <v>-5686</v>
      </c>
      <c r="LC8">
        <v>26536</v>
      </c>
      <c r="LD8" s="57">
        <v>21.3125</v>
      </c>
      <c r="LE8">
        <v>68780</v>
      </c>
      <c r="LF8" s="34">
        <v>256441</v>
      </c>
      <c r="LG8" s="34">
        <v>149510</v>
      </c>
      <c r="LH8">
        <v>75646</v>
      </c>
      <c r="LI8" s="173">
        <v>23544</v>
      </c>
      <c r="LJ8" s="34">
        <v>214316</v>
      </c>
      <c r="LK8" s="173">
        <v>21591</v>
      </c>
      <c r="LL8" s="34">
        <v>20534</v>
      </c>
      <c r="LM8" s="173">
        <v>26942</v>
      </c>
      <c r="LN8" s="173">
        <v>-23021</v>
      </c>
      <c r="LO8">
        <v>23924</v>
      </c>
      <c r="LP8">
        <v>338524</v>
      </c>
      <c r="LQ8" s="173">
        <v>453728</v>
      </c>
      <c r="LR8" s="173">
        <v>2422</v>
      </c>
      <c r="LS8" s="173">
        <v>29831</v>
      </c>
      <c r="LT8" s="57">
        <v>21.46875</v>
      </c>
      <c r="LU8">
        <v>68437</v>
      </c>
      <c r="LV8" s="34">
        <v>252909</v>
      </c>
      <c r="LW8" s="34">
        <v>150639</v>
      </c>
      <c r="LX8" s="172">
        <v>77232</v>
      </c>
      <c r="LY8" s="173">
        <v>466</v>
      </c>
      <c r="LZ8" s="34">
        <v>211875</v>
      </c>
      <c r="MA8" s="173">
        <v>20551</v>
      </c>
      <c r="MB8" s="34">
        <v>20483</v>
      </c>
      <c r="MC8" s="173">
        <v>14693</v>
      </c>
      <c r="MD8" s="34">
        <v>-18645</v>
      </c>
      <c r="ME8">
        <v>21606</v>
      </c>
      <c r="MF8">
        <v>319435</v>
      </c>
      <c r="MG8" s="173">
        <v>466553</v>
      </c>
      <c r="MH8" s="173">
        <v>-4089</v>
      </c>
      <c r="MI8" s="173">
        <v>25745</v>
      </c>
      <c r="MJ8" s="57">
        <v>21.625</v>
      </c>
    </row>
    <row r="9" spans="1:348" x14ac:dyDescent="0.2">
      <c r="A9" t="s">
        <v>111</v>
      </c>
      <c r="B9" s="34">
        <v>262992</v>
      </c>
      <c r="C9" s="34">
        <v>263332</v>
      </c>
      <c r="D9" s="34">
        <v>263886</v>
      </c>
      <c r="E9" s="34">
        <v>264762</v>
      </c>
      <c r="F9" s="34">
        <v>265078</v>
      </c>
      <c r="G9" s="34">
        <v>266082</v>
      </c>
      <c r="H9" s="34">
        <v>267182</v>
      </c>
      <c r="I9" s="34">
        <v>267902</v>
      </c>
      <c r="J9" s="34">
        <v>268568</v>
      </c>
      <c r="K9" s="34">
        <v>270701</v>
      </c>
      <c r="L9" s="34">
        <v>271747</v>
      </c>
      <c r="M9" s="34">
        <v>549534</v>
      </c>
      <c r="N9" s="34">
        <v>194143</v>
      </c>
      <c r="O9" s="34">
        <v>176009</v>
      </c>
      <c r="P9" s="34">
        <v>16914.659764234166</v>
      </c>
      <c r="Q9" s="34">
        <v>563560</v>
      </c>
      <c r="R9" s="34">
        <v>188865</v>
      </c>
      <c r="S9" s="34">
        <v>182518</v>
      </c>
      <c r="T9" s="34">
        <v>21522.168009647263</v>
      </c>
      <c r="U9" s="34">
        <v>569270</v>
      </c>
      <c r="V9" s="34">
        <v>197889</v>
      </c>
      <c r="W9" s="34">
        <v>194507</v>
      </c>
      <c r="X9" s="34">
        <v>23435.810236926332</v>
      </c>
      <c r="Y9" s="34">
        <v>632173</v>
      </c>
      <c r="Z9" s="34">
        <v>225268</v>
      </c>
      <c r="AA9" s="34">
        <v>203135</v>
      </c>
      <c r="AB9" s="34">
        <v>21395.354313095278</v>
      </c>
      <c r="AC9" s="34">
        <v>642432</v>
      </c>
      <c r="AD9" s="34">
        <v>246033</v>
      </c>
      <c r="AE9" s="34">
        <v>211520</v>
      </c>
      <c r="AF9" s="34">
        <v>22875</v>
      </c>
      <c r="AG9" s="34">
        <v>620656</v>
      </c>
      <c r="AH9" s="34">
        <v>265909</v>
      </c>
      <c r="AI9" s="34">
        <v>218486</v>
      </c>
      <c r="AJ9" s="34">
        <v>40877</v>
      </c>
      <c r="AK9" s="34">
        <v>628860</v>
      </c>
      <c r="AL9" s="34">
        <v>280006</v>
      </c>
      <c r="AM9" s="34">
        <v>245663</v>
      </c>
      <c r="AN9" s="34">
        <v>24106</v>
      </c>
      <c r="AO9" s="34">
        <v>649215</v>
      </c>
      <c r="AP9" s="34">
        <v>291631</v>
      </c>
      <c r="AQ9" s="34">
        <v>241403</v>
      </c>
      <c r="AR9" s="34">
        <v>143073</v>
      </c>
      <c r="AS9" s="34">
        <v>687572</v>
      </c>
      <c r="AT9" s="34">
        <v>318991</v>
      </c>
      <c r="AU9" s="34">
        <v>257933</v>
      </c>
      <c r="AV9" s="34">
        <v>22825</v>
      </c>
      <c r="AW9" s="34">
        <v>726034</v>
      </c>
      <c r="AX9" s="34">
        <v>339272</v>
      </c>
      <c r="AY9" s="34">
        <v>278274</v>
      </c>
      <c r="AZ9" s="34">
        <v>30959</v>
      </c>
      <c r="BA9" s="34">
        <v>786350</v>
      </c>
      <c r="BB9" s="34">
        <v>379949</v>
      </c>
      <c r="BC9" s="34">
        <v>276256</v>
      </c>
      <c r="BD9" s="34">
        <v>21657</v>
      </c>
      <c r="BE9" s="34">
        <v>445835.07828307035</v>
      </c>
      <c r="BF9" s="34">
        <v>81788.779510674067</v>
      </c>
      <c r="BG9" s="34">
        <v>21897.899837362274</v>
      </c>
      <c r="BH9" s="34">
        <v>448589.49195473042</v>
      </c>
      <c r="BI9" s="34">
        <v>88290.924747676065</v>
      </c>
      <c r="BJ9" s="34">
        <v>26668.045807663661</v>
      </c>
      <c r="BK9" s="34">
        <v>436646.29910877213</v>
      </c>
      <c r="BL9" s="34">
        <v>104103.95359358736</v>
      </c>
      <c r="BM9" s="34">
        <v>28504.657964623355</v>
      </c>
      <c r="BN9" s="34">
        <v>502199</v>
      </c>
      <c r="BO9" s="34">
        <v>99564</v>
      </c>
      <c r="BP9" s="34">
        <v>30395</v>
      </c>
      <c r="BQ9" s="34">
        <v>554584</v>
      </c>
      <c r="BR9" s="34">
        <v>55806</v>
      </c>
      <c r="BS9" s="34">
        <v>32042</v>
      </c>
      <c r="BT9" s="34">
        <v>545531</v>
      </c>
      <c r="BU9" s="34">
        <v>40961</v>
      </c>
      <c r="BV9" s="34">
        <v>34164</v>
      </c>
      <c r="BW9" s="34">
        <v>552381</v>
      </c>
      <c r="BX9" s="34">
        <v>42548</v>
      </c>
      <c r="BY9" s="34">
        <v>33931</v>
      </c>
      <c r="BZ9" s="34">
        <v>565554</v>
      </c>
      <c r="CA9" s="34">
        <v>46912</v>
      </c>
      <c r="CB9" s="34">
        <v>36749</v>
      </c>
      <c r="CC9" s="34">
        <v>598880</v>
      </c>
      <c r="CD9" s="34">
        <v>49697</v>
      </c>
      <c r="CE9" s="34">
        <v>38995</v>
      </c>
      <c r="CF9" s="34">
        <v>628327</v>
      </c>
      <c r="CG9" s="34">
        <v>56677</v>
      </c>
      <c r="CH9" s="34">
        <v>41030</v>
      </c>
      <c r="CI9" s="34">
        <v>684666</v>
      </c>
      <c r="CJ9" s="34">
        <v>57818</v>
      </c>
      <c r="CK9" s="34">
        <v>43866</v>
      </c>
      <c r="CL9" s="34">
        <v>43825.568937708253</v>
      </c>
      <c r="CM9" s="34">
        <v>-60142.657003030006</v>
      </c>
      <c r="CN9" s="34">
        <v>47999.152332850645</v>
      </c>
      <c r="CO9" s="34">
        <v>220028</v>
      </c>
      <c r="CP9" s="34">
        <v>44488.565743819512</v>
      </c>
      <c r="CQ9" s="34">
        <v>-55582.409560519998</v>
      </c>
      <c r="CR9" s="34">
        <v>50165.917389454284</v>
      </c>
      <c r="CS9" s="34">
        <v>225280</v>
      </c>
      <c r="CT9" s="34">
        <v>24311.56477001142</v>
      </c>
      <c r="CU9" s="34">
        <v>24318.124103880004</v>
      </c>
      <c r="CV9" s="34">
        <v>52188.377205153956</v>
      </c>
      <c r="CW9" s="34">
        <v>221628</v>
      </c>
      <c r="CX9" s="34">
        <v>48317.363889715809</v>
      </c>
      <c r="CY9" s="34">
        <v>-89986</v>
      </c>
      <c r="CZ9" s="34">
        <v>53024.439387594124</v>
      </c>
      <c r="DA9" s="34">
        <v>264928</v>
      </c>
      <c r="DB9" s="34">
        <v>74318</v>
      </c>
      <c r="DC9" s="34">
        <v>-82807</v>
      </c>
      <c r="DD9" s="34">
        <v>56860</v>
      </c>
      <c r="DE9" s="34">
        <v>277798</v>
      </c>
      <c r="DF9" s="34">
        <v>30721</v>
      </c>
      <c r="DG9" s="34">
        <v>-83063</v>
      </c>
      <c r="DH9" s="34">
        <v>58110</v>
      </c>
      <c r="DI9" s="34">
        <v>305099</v>
      </c>
      <c r="DJ9" s="34">
        <v>11951</v>
      </c>
      <c r="DK9" s="34">
        <v>-86370</v>
      </c>
      <c r="DL9" s="34">
        <v>59889</v>
      </c>
      <c r="DM9" s="34">
        <v>375192</v>
      </c>
      <c r="DN9" s="34">
        <v>25611</v>
      </c>
      <c r="DO9" s="34">
        <v>71114</v>
      </c>
      <c r="DP9" s="34">
        <v>69872</v>
      </c>
      <c r="DQ9" s="34">
        <v>428892</v>
      </c>
      <c r="DR9" s="34">
        <v>49398</v>
      </c>
      <c r="DS9" s="34">
        <v>-63461</v>
      </c>
      <c r="DT9" s="34">
        <v>59755</v>
      </c>
      <c r="DU9" s="34">
        <v>462601</v>
      </c>
      <c r="DV9" s="34">
        <v>54515</v>
      </c>
      <c r="DW9" s="34">
        <v>-61508</v>
      </c>
      <c r="DX9" s="34">
        <v>59707</v>
      </c>
      <c r="DY9" s="34">
        <v>473117</v>
      </c>
      <c r="DZ9" s="34">
        <v>48532</v>
      </c>
      <c r="EA9" s="34">
        <v>-73158</v>
      </c>
      <c r="EB9" s="34">
        <v>81177</v>
      </c>
      <c r="EC9" s="34">
        <v>511869</v>
      </c>
      <c r="ED9" s="34">
        <v>840389.56528466637</v>
      </c>
      <c r="EE9" s="34">
        <v>8390.8872417684634</v>
      </c>
      <c r="EF9" s="34">
        <v>863761.99390150572</v>
      </c>
      <c r="EG9" s="34">
        <v>1164.4322900636253</v>
      </c>
      <c r="EH9" s="34">
        <v>908129.27092215756</v>
      </c>
      <c r="EI9" s="34">
        <v>38062.94601335749</v>
      </c>
      <c r="EJ9" s="34">
        <v>975390.75100954727</v>
      </c>
      <c r="EK9" s="34">
        <v>-1548.0437221333641</v>
      </c>
      <c r="EL9" s="34">
        <v>1031605.6</v>
      </c>
      <c r="EM9" s="34">
        <v>21926.05</v>
      </c>
      <c r="EN9" s="34">
        <v>1089371.55</v>
      </c>
      <c r="EO9" s="34">
        <v>-1548.5500000000002</v>
      </c>
      <c r="EP9" s="34">
        <v>1155918.8500000001</v>
      </c>
      <c r="EQ9" s="34">
        <v>-45873.65</v>
      </c>
      <c r="ER9" s="34">
        <v>1187707.25</v>
      </c>
      <c r="ES9" s="34">
        <v>79436.3</v>
      </c>
      <c r="ET9" s="34">
        <v>1230585.2</v>
      </c>
      <c r="EU9" s="34">
        <v>4605.8500000000004</v>
      </c>
      <c r="EV9" s="34">
        <v>1295314</v>
      </c>
      <c r="EW9" s="34">
        <v>-621</v>
      </c>
      <c r="EX9" s="34">
        <v>1393058</v>
      </c>
      <c r="EY9" s="34">
        <v>-799</v>
      </c>
      <c r="EZ9" s="34">
        <v>116558</v>
      </c>
      <c r="FA9" s="34">
        <v>147511</v>
      </c>
      <c r="FB9" s="34">
        <v>272784</v>
      </c>
      <c r="FC9" s="34">
        <v>793051</v>
      </c>
      <c r="FD9" s="34">
        <v>414698</v>
      </c>
      <c r="FE9" s="34">
        <v>286631</v>
      </c>
      <c r="FF9" s="34">
        <v>60846</v>
      </c>
      <c r="FG9" s="34">
        <v>698262</v>
      </c>
      <c r="FH9" s="34">
        <v>46343</v>
      </c>
      <c r="FI9" s="34">
        <v>48446</v>
      </c>
      <c r="FJ9" s="34">
        <v>67710</v>
      </c>
      <c r="FK9" s="34">
        <v>-33329</v>
      </c>
      <c r="FL9" s="34">
        <v>70810</v>
      </c>
      <c r="FM9" s="34">
        <v>519437</v>
      </c>
      <c r="FN9" s="34">
        <v>33329</v>
      </c>
      <c r="FO9" s="34">
        <v>1441705</v>
      </c>
      <c r="FP9" s="34">
        <v>39732</v>
      </c>
      <c r="FQ9" s="34">
        <v>273637</v>
      </c>
      <c r="FR9" s="34">
        <v>829597</v>
      </c>
      <c r="FS9" s="34">
        <v>442987</v>
      </c>
      <c r="FT9" s="34">
        <v>309557</v>
      </c>
      <c r="FU9" s="34">
        <v>18385</v>
      </c>
      <c r="FV9" s="34">
        <v>718553</v>
      </c>
      <c r="FW9" s="34">
        <v>53382</v>
      </c>
      <c r="FX9" s="34">
        <v>57662</v>
      </c>
      <c r="FY9" s="34">
        <v>99880</v>
      </c>
      <c r="FZ9" s="34">
        <v>-107837</v>
      </c>
      <c r="GA9" s="34">
        <v>75223</v>
      </c>
      <c r="GB9" s="34">
        <v>531086</v>
      </c>
      <c r="GC9" s="34">
        <v>107837</v>
      </c>
      <c r="GD9" s="34">
        <v>1497349</v>
      </c>
      <c r="GE9" s="34">
        <v>25996</v>
      </c>
      <c r="GF9" s="34">
        <v>214253</v>
      </c>
      <c r="GG9" s="57">
        <v>450.25</v>
      </c>
      <c r="GH9" s="34">
        <v>274379</v>
      </c>
      <c r="GI9" s="34">
        <v>841069</v>
      </c>
      <c r="GJ9">
        <v>448348</v>
      </c>
      <c r="GK9">
        <v>332183</v>
      </c>
      <c r="GL9">
        <v>16758</v>
      </c>
      <c r="GM9">
        <v>724760</v>
      </c>
      <c r="GN9">
        <v>55884</v>
      </c>
      <c r="GO9">
        <v>60425</v>
      </c>
      <c r="GP9">
        <v>42122</v>
      </c>
      <c r="GQ9">
        <v>-142109</v>
      </c>
      <c r="GR9">
        <v>76570</v>
      </c>
      <c r="GS9">
        <v>606763</v>
      </c>
      <c r="GT9">
        <v>142109</v>
      </c>
      <c r="GU9">
        <v>1591438</v>
      </c>
      <c r="GV9">
        <v>-29778</v>
      </c>
      <c r="GW9" s="34">
        <v>275161</v>
      </c>
      <c r="GX9" s="34">
        <v>860537</v>
      </c>
      <c r="GY9">
        <v>474190</v>
      </c>
      <c r="GZ9">
        <v>372146</v>
      </c>
      <c r="HA9">
        <v>19755</v>
      </c>
      <c r="HB9">
        <v>758010</v>
      </c>
      <c r="HC9">
        <v>40061</v>
      </c>
      <c r="HD9">
        <v>62466</v>
      </c>
      <c r="HE9">
        <v>24249</v>
      </c>
      <c r="HF9">
        <v>-153509</v>
      </c>
      <c r="HG9">
        <v>93170</v>
      </c>
      <c r="HH9">
        <v>733866</v>
      </c>
      <c r="HI9">
        <v>153509</v>
      </c>
      <c r="HJ9">
        <v>1694258</v>
      </c>
      <c r="HK9">
        <v>-62387</v>
      </c>
      <c r="HL9">
        <v>136300</v>
      </c>
      <c r="HM9" s="57">
        <v>19.945652173913043</v>
      </c>
      <c r="HN9" s="190">
        <v>-4822.2842275044441</v>
      </c>
      <c r="HO9" s="34">
        <v>-3871.8542550704451</v>
      </c>
      <c r="HP9" s="34">
        <v>40178.918316169744</v>
      </c>
      <c r="HQ9" s="34">
        <v>38261.744142434996</v>
      </c>
      <c r="HR9">
        <v>48703</v>
      </c>
      <c r="HS9">
        <v>52890</v>
      </c>
      <c r="HT9">
        <v>17798</v>
      </c>
      <c r="HU9">
        <v>109791</v>
      </c>
      <c r="HV9">
        <v>115646</v>
      </c>
      <c r="HW9">
        <v>101574</v>
      </c>
      <c r="HX9">
        <v>126282</v>
      </c>
      <c r="HY9">
        <v>188255</v>
      </c>
      <c r="HZ9">
        <v>214253</v>
      </c>
      <c r="IA9" s="34">
        <v>198835</v>
      </c>
      <c r="IB9">
        <v>136300</v>
      </c>
      <c r="IC9">
        <v>213570</v>
      </c>
      <c r="ID9">
        <v>249150</v>
      </c>
      <c r="IE9">
        <v>266220</v>
      </c>
      <c r="IF9" s="57">
        <v>18.282608695652176</v>
      </c>
      <c r="IG9" s="57">
        <v>18.282608695652176</v>
      </c>
      <c r="IH9" s="57">
        <v>18.358695652173914</v>
      </c>
      <c r="II9" s="57">
        <v>18.380434782608695</v>
      </c>
      <c r="IJ9" s="57">
        <v>18.478260869565219</v>
      </c>
      <c r="IK9" s="57">
        <v>18.684782608695652</v>
      </c>
      <c r="IL9" s="57">
        <v>18.684782608695652</v>
      </c>
      <c r="IM9" s="57">
        <v>18.815217391304348</v>
      </c>
      <c r="IN9" s="57">
        <v>18.945652173913043</v>
      </c>
      <c r="IO9" s="57">
        <v>18.978260869565219</v>
      </c>
      <c r="IP9" s="57">
        <v>19.086956521739129</v>
      </c>
      <c r="IQ9" s="57">
        <v>19.163043478260871</v>
      </c>
      <c r="IR9" s="57">
        <v>19.576086956521738</v>
      </c>
      <c r="IS9" s="57">
        <v>19.663043478260871</v>
      </c>
      <c r="IT9" s="57">
        <v>19.945652173913043</v>
      </c>
      <c r="IU9" s="57">
        <v>20.271739130434781</v>
      </c>
      <c r="IV9" s="57">
        <v>20.543478260869566</v>
      </c>
      <c r="IW9" s="57">
        <v>20.782608695652176</v>
      </c>
      <c r="IX9">
        <v>275320</v>
      </c>
      <c r="IY9">
        <v>383275</v>
      </c>
      <c r="IZ9">
        <v>1745511</v>
      </c>
      <c r="JA9" s="34">
        <v>1862758</v>
      </c>
      <c r="JB9" s="34">
        <v>496530</v>
      </c>
      <c r="JC9">
        <v>16274</v>
      </c>
      <c r="JD9">
        <v>79323</v>
      </c>
      <c r="JE9">
        <v>118345</v>
      </c>
      <c r="JF9">
        <v>-181183</v>
      </c>
      <c r="JG9">
        <v>-39603</v>
      </c>
      <c r="JH9">
        <v>-36360</v>
      </c>
      <c r="JI9" s="34">
        <v>816211</v>
      </c>
      <c r="JJ9" s="173">
        <v>49210</v>
      </c>
      <c r="JK9" s="34">
        <v>65958</v>
      </c>
      <c r="JL9">
        <v>783433</v>
      </c>
      <c r="JM9">
        <v>275360</v>
      </c>
      <c r="JN9">
        <v>387084</v>
      </c>
      <c r="JO9" s="173">
        <v>1743840</v>
      </c>
      <c r="JP9" s="34">
        <v>1893818</v>
      </c>
      <c r="JQ9" s="34">
        <v>497973</v>
      </c>
      <c r="JR9" s="34">
        <v>17118</v>
      </c>
      <c r="JS9" s="173">
        <v>101612</v>
      </c>
      <c r="JT9">
        <v>99429</v>
      </c>
      <c r="JU9">
        <v>-104963</v>
      </c>
      <c r="JV9" s="173">
        <v>4720</v>
      </c>
      <c r="JW9" s="34">
        <v>820035</v>
      </c>
      <c r="JX9" s="173">
        <v>54683</v>
      </c>
      <c r="JY9" s="34">
        <v>72191</v>
      </c>
      <c r="JZ9">
        <v>821515</v>
      </c>
      <c r="KA9">
        <v>275780</v>
      </c>
      <c r="KB9">
        <v>390371</v>
      </c>
      <c r="KC9" s="173">
        <v>1779420</v>
      </c>
      <c r="KD9" s="34">
        <v>1936726</v>
      </c>
      <c r="KE9" s="34">
        <v>506308</v>
      </c>
      <c r="KF9" s="34">
        <v>35529</v>
      </c>
      <c r="KG9" s="173">
        <v>101733</v>
      </c>
      <c r="KH9">
        <v>104820</v>
      </c>
      <c r="KI9" s="173">
        <v>-161365</v>
      </c>
      <c r="KJ9" s="173">
        <v>8079</v>
      </c>
      <c r="KK9" s="34">
        <v>831294</v>
      </c>
      <c r="KL9" s="173">
        <v>61361</v>
      </c>
      <c r="KM9" s="34">
        <v>75708</v>
      </c>
      <c r="KN9">
        <v>841915</v>
      </c>
      <c r="KO9">
        <v>276196</v>
      </c>
      <c r="KP9">
        <v>983692</v>
      </c>
      <c r="KQ9">
        <v>542112</v>
      </c>
      <c r="KR9">
        <v>395209</v>
      </c>
      <c r="KS9">
        <v>12738</v>
      </c>
      <c r="KT9">
        <v>842906</v>
      </c>
      <c r="KU9">
        <v>59085</v>
      </c>
      <c r="KV9">
        <v>81701</v>
      </c>
      <c r="KW9">
        <v>117861</v>
      </c>
      <c r="KX9">
        <v>-94365</v>
      </c>
      <c r="KY9">
        <v>106740</v>
      </c>
      <c r="KZ9">
        <v>839171</v>
      </c>
      <c r="LA9">
        <v>1813682</v>
      </c>
      <c r="LB9">
        <v>12022</v>
      </c>
      <c r="LC9">
        <v>144773</v>
      </c>
      <c r="LD9" s="57">
        <v>20.793478260869566</v>
      </c>
      <c r="LE9">
        <v>276031</v>
      </c>
      <c r="LF9" s="34">
        <v>997814</v>
      </c>
      <c r="LG9" s="34">
        <v>535035</v>
      </c>
      <c r="LH9">
        <v>382802</v>
      </c>
      <c r="LI9" s="173">
        <v>12893</v>
      </c>
      <c r="LJ9" s="34">
        <v>844427</v>
      </c>
      <c r="LK9" s="173">
        <v>70728</v>
      </c>
      <c r="LL9" s="34">
        <v>82659</v>
      </c>
      <c r="LM9" s="173">
        <v>137881</v>
      </c>
      <c r="LN9" s="173">
        <v>-79259</v>
      </c>
      <c r="LO9">
        <v>110648</v>
      </c>
      <c r="LP9">
        <v>815109</v>
      </c>
      <c r="LQ9" s="173">
        <v>1789304</v>
      </c>
      <c r="LR9" s="173">
        <v>28579</v>
      </c>
      <c r="LS9" s="173">
        <v>173424</v>
      </c>
      <c r="LT9" s="57">
        <v>20.836956521739129</v>
      </c>
      <c r="LU9">
        <v>275521</v>
      </c>
      <c r="LV9" s="34">
        <v>987642</v>
      </c>
      <c r="LW9" s="34">
        <v>525185</v>
      </c>
      <c r="LX9" s="172">
        <v>383648</v>
      </c>
      <c r="LY9" s="173">
        <v>34247</v>
      </c>
      <c r="LZ9" s="34">
        <v>834488</v>
      </c>
      <c r="MA9" s="173">
        <v>68101</v>
      </c>
      <c r="MB9" s="34">
        <v>85053</v>
      </c>
      <c r="MC9" s="173">
        <v>88801</v>
      </c>
      <c r="MD9" s="34">
        <v>-84406</v>
      </c>
      <c r="ME9">
        <v>103157</v>
      </c>
      <c r="MF9">
        <v>782425</v>
      </c>
      <c r="MG9" s="173">
        <v>1826494</v>
      </c>
      <c r="MH9" s="173">
        <v>1538</v>
      </c>
      <c r="MI9" s="173">
        <v>175134</v>
      </c>
      <c r="MJ9" s="57">
        <v>21.032608695652176</v>
      </c>
    </row>
    <row r="10" spans="1:348" x14ac:dyDescent="0.2">
      <c r="A10" t="s">
        <v>112</v>
      </c>
      <c r="B10" s="34">
        <v>189802</v>
      </c>
      <c r="C10" s="34">
        <v>188633</v>
      </c>
      <c r="D10" s="34">
        <v>187474</v>
      </c>
      <c r="E10" s="34">
        <v>186707</v>
      </c>
      <c r="F10" s="34">
        <v>186111</v>
      </c>
      <c r="G10" s="34">
        <v>185662</v>
      </c>
      <c r="H10" s="34">
        <v>185541</v>
      </c>
      <c r="I10" s="34">
        <v>185196</v>
      </c>
      <c r="J10" s="34">
        <v>184241</v>
      </c>
      <c r="K10" s="34">
        <v>183564</v>
      </c>
      <c r="L10" s="34">
        <v>182754</v>
      </c>
      <c r="M10" s="34">
        <v>422371</v>
      </c>
      <c r="N10" s="34">
        <v>98873</v>
      </c>
      <c r="O10" s="34">
        <v>140169</v>
      </c>
      <c r="P10" s="34">
        <v>9742.9583919888719</v>
      </c>
      <c r="Q10" s="34">
        <v>434052</v>
      </c>
      <c r="R10" s="34">
        <v>99781</v>
      </c>
      <c r="S10" s="34">
        <v>132573</v>
      </c>
      <c r="T10" s="34">
        <v>15142.631771035685</v>
      </c>
      <c r="U10" s="34">
        <v>442539</v>
      </c>
      <c r="V10" s="34">
        <v>110965</v>
      </c>
      <c r="W10" s="34">
        <v>141404</v>
      </c>
      <c r="X10" s="34">
        <v>9915.8555803913059</v>
      </c>
      <c r="Y10" s="34">
        <v>479277</v>
      </c>
      <c r="Z10" s="34">
        <v>124379</v>
      </c>
      <c r="AA10" s="34">
        <v>137948</v>
      </c>
      <c r="AB10" s="34">
        <v>8567.4929739493746</v>
      </c>
      <c r="AC10" s="34">
        <v>502002</v>
      </c>
      <c r="AD10" s="34">
        <v>139167</v>
      </c>
      <c r="AE10" s="34">
        <v>146285</v>
      </c>
      <c r="AF10" s="34">
        <v>7446</v>
      </c>
      <c r="AG10" s="34">
        <v>474512</v>
      </c>
      <c r="AH10" s="34">
        <v>150558</v>
      </c>
      <c r="AI10" s="34">
        <v>165677</v>
      </c>
      <c r="AJ10" s="34">
        <v>33816</v>
      </c>
      <c r="AK10" s="34">
        <v>477641</v>
      </c>
      <c r="AL10" s="34">
        <v>170356</v>
      </c>
      <c r="AM10" s="34">
        <v>170981</v>
      </c>
      <c r="AN10" s="34">
        <v>11463</v>
      </c>
      <c r="AO10" s="34">
        <v>492809</v>
      </c>
      <c r="AP10" s="34">
        <v>187185</v>
      </c>
      <c r="AQ10" s="34">
        <v>169071</v>
      </c>
      <c r="AR10" s="34">
        <v>16953</v>
      </c>
      <c r="AS10" s="34">
        <v>518132</v>
      </c>
      <c r="AT10" s="34">
        <v>186313</v>
      </c>
      <c r="AU10" s="34">
        <v>172634</v>
      </c>
      <c r="AV10" s="34">
        <v>13855</v>
      </c>
      <c r="AW10" s="34">
        <v>547552</v>
      </c>
      <c r="AX10" s="34">
        <v>198106</v>
      </c>
      <c r="AY10" s="34">
        <v>166469</v>
      </c>
      <c r="AZ10" s="34">
        <v>14798</v>
      </c>
      <c r="BA10" s="34">
        <v>585807</v>
      </c>
      <c r="BB10" s="34">
        <v>223301</v>
      </c>
      <c r="BC10" s="34">
        <v>191227</v>
      </c>
      <c r="BD10" s="34">
        <v>16478</v>
      </c>
      <c r="BE10" s="34">
        <v>352897.79387896863</v>
      </c>
      <c r="BF10" s="34">
        <v>55126.788468363004</v>
      </c>
      <c r="BG10" s="34">
        <v>14286.723413273054</v>
      </c>
      <c r="BH10" s="34">
        <v>356948.2637119412</v>
      </c>
      <c r="BI10" s="34">
        <v>59757.002083848405</v>
      </c>
      <c r="BJ10" s="34">
        <v>17280.132128435031</v>
      </c>
      <c r="BK10" s="34">
        <v>342011.99852667376</v>
      </c>
      <c r="BL10" s="34">
        <v>81548.270775834069</v>
      </c>
      <c r="BM10" s="34">
        <v>18909.200384141226</v>
      </c>
      <c r="BN10" s="34">
        <v>390462</v>
      </c>
      <c r="BO10" s="34">
        <v>69240</v>
      </c>
      <c r="BP10" s="34">
        <v>19525</v>
      </c>
      <c r="BQ10" s="34">
        <v>430491</v>
      </c>
      <c r="BR10" s="34">
        <v>50197</v>
      </c>
      <c r="BS10" s="34">
        <v>21261</v>
      </c>
      <c r="BT10" s="34">
        <v>421201</v>
      </c>
      <c r="BU10" s="34">
        <v>31646</v>
      </c>
      <c r="BV10" s="34">
        <v>21614</v>
      </c>
      <c r="BW10" s="34">
        <v>426626</v>
      </c>
      <c r="BX10" s="34">
        <v>29811</v>
      </c>
      <c r="BY10" s="34">
        <v>21156</v>
      </c>
      <c r="BZ10" s="34">
        <v>442642</v>
      </c>
      <c r="CA10" s="34">
        <v>27951</v>
      </c>
      <c r="CB10" s="34">
        <v>22175</v>
      </c>
      <c r="CC10" s="34">
        <v>460788</v>
      </c>
      <c r="CD10" s="34">
        <v>32127</v>
      </c>
      <c r="CE10" s="34">
        <v>25174</v>
      </c>
      <c r="CF10" s="34">
        <v>483763</v>
      </c>
      <c r="CG10" s="34">
        <v>36556</v>
      </c>
      <c r="CH10" s="34">
        <v>27190</v>
      </c>
      <c r="CI10" s="34">
        <v>520205</v>
      </c>
      <c r="CJ10" s="34">
        <v>36766</v>
      </c>
      <c r="CK10" s="34">
        <v>28798</v>
      </c>
      <c r="CL10" s="34">
        <v>29988.075476013877</v>
      </c>
      <c r="CM10" s="34">
        <v>-46578.805297599989</v>
      </c>
      <c r="CN10" s="34">
        <v>35403.726708074537</v>
      </c>
      <c r="CO10" s="34">
        <v>152923</v>
      </c>
      <c r="CP10" s="34">
        <v>34389.217135658699</v>
      </c>
      <c r="CQ10" s="34">
        <v>-23565.483127399999</v>
      </c>
      <c r="CR10" s="34">
        <v>43693.541415435946</v>
      </c>
      <c r="CS10" s="34">
        <v>157555</v>
      </c>
      <c r="CT10" s="34">
        <v>34363.484382910079</v>
      </c>
      <c r="CU10" s="34">
        <v>-45866.361239999998</v>
      </c>
      <c r="CV10" s="34">
        <v>35174.654752233953</v>
      </c>
      <c r="CW10" s="34">
        <v>154164</v>
      </c>
      <c r="CX10" s="34">
        <v>32228.170468554737</v>
      </c>
      <c r="CY10" s="34">
        <v>-50187</v>
      </c>
      <c r="CZ10" s="34">
        <v>36077.823917332273</v>
      </c>
      <c r="DA10" s="34">
        <v>149616</v>
      </c>
      <c r="DB10" s="34">
        <v>72315</v>
      </c>
      <c r="DC10" s="34">
        <v>-46870</v>
      </c>
      <c r="DD10" s="34">
        <v>40718</v>
      </c>
      <c r="DE10" s="34">
        <v>155810</v>
      </c>
      <c r="DF10" s="34">
        <v>27469</v>
      </c>
      <c r="DG10" s="34">
        <v>-50453</v>
      </c>
      <c r="DH10" s="34">
        <v>39637</v>
      </c>
      <c r="DI10" s="34">
        <v>172973</v>
      </c>
      <c r="DJ10" s="34">
        <v>11745</v>
      </c>
      <c r="DK10" s="34">
        <v>-67587</v>
      </c>
      <c r="DL10" s="34">
        <v>40321</v>
      </c>
      <c r="DM10" s="34">
        <v>215801</v>
      </c>
      <c r="DN10" s="34">
        <v>16721</v>
      </c>
      <c r="DO10" s="34">
        <v>-61831</v>
      </c>
      <c r="DP10" s="34">
        <v>43928</v>
      </c>
      <c r="DQ10" s="34">
        <v>270510</v>
      </c>
      <c r="DR10" s="34">
        <v>33191</v>
      </c>
      <c r="DS10" s="34">
        <v>-96239</v>
      </c>
      <c r="DT10" s="34">
        <v>42161</v>
      </c>
      <c r="DU10" s="34">
        <v>327865</v>
      </c>
      <c r="DV10" s="34">
        <v>42302</v>
      </c>
      <c r="DW10" s="34">
        <v>-79745</v>
      </c>
      <c r="DX10" s="34">
        <v>38038</v>
      </c>
      <c r="DY10" s="34">
        <v>373906</v>
      </c>
      <c r="DZ10" s="34">
        <v>34329</v>
      </c>
      <c r="EA10" s="34">
        <v>-72774</v>
      </c>
      <c r="EB10" s="34">
        <v>40670</v>
      </c>
      <c r="EC10" s="34">
        <v>405319</v>
      </c>
      <c r="ED10" s="34">
        <v>601765.4686640664</v>
      </c>
      <c r="EE10" s="34">
        <v>1965.1077327762939</v>
      </c>
      <c r="EF10" s="34">
        <v>610753.43145416956</v>
      </c>
      <c r="EG10" s="34">
        <v>4006.5727841661155</v>
      </c>
      <c r="EH10" s="34">
        <v>632280.47691368416</v>
      </c>
      <c r="EI10" s="34">
        <v>1692.3069160557236</v>
      </c>
      <c r="EJ10" s="34">
        <v>638936.17772754561</v>
      </c>
      <c r="EK10" s="34">
        <v>3822.575192617222</v>
      </c>
      <c r="EL10" s="34">
        <v>673157</v>
      </c>
      <c r="EM10" s="34">
        <v>20912</v>
      </c>
      <c r="EN10" s="34">
        <v>761233</v>
      </c>
      <c r="EO10" s="34">
        <v>-1461</v>
      </c>
      <c r="EP10" s="34">
        <v>812039</v>
      </c>
      <c r="EQ10" s="34">
        <v>-27505</v>
      </c>
      <c r="ER10" s="34">
        <v>847309</v>
      </c>
      <c r="ES10" s="34">
        <v>-27550</v>
      </c>
      <c r="ET10" s="34">
        <v>851224</v>
      </c>
      <c r="EU10" s="34">
        <v>-8467</v>
      </c>
      <c r="EV10" s="34">
        <v>870040</v>
      </c>
      <c r="EW10" s="34">
        <v>5209</v>
      </c>
      <c r="EX10" s="34">
        <v>958548</v>
      </c>
      <c r="EY10" s="34">
        <v>3453</v>
      </c>
      <c r="EZ10" s="34">
        <v>6526</v>
      </c>
      <c r="FA10" s="34">
        <v>9982</v>
      </c>
      <c r="FB10" s="34">
        <v>182447</v>
      </c>
      <c r="FC10" s="34">
        <v>589861</v>
      </c>
      <c r="FD10" s="34">
        <v>269552</v>
      </c>
      <c r="FE10" s="34">
        <v>203902</v>
      </c>
      <c r="FF10" s="34">
        <v>54845</v>
      </c>
      <c r="FG10" s="34">
        <v>529076</v>
      </c>
      <c r="FH10" s="34">
        <v>29799</v>
      </c>
      <c r="FI10" s="34">
        <v>30986</v>
      </c>
      <c r="FJ10" s="34">
        <v>29801</v>
      </c>
      <c r="FK10" s="34">
        <v>-34452</v>
      </c>
      <c r="FL10" s="34">
        <v>49377</v>
      </c>
      <c r="FM10" s="34">
        <v>443934</v>
      </c>
      <c r="FN10" s="34">
        <v>34452</v>
      </c>
      <c r="FO10" s="34">
        <v>1033277</v>
      </c>
      <c r="FP10" s="34">
        <v>-1587</v>
      </c>
      <c r="FQ10" s="34">
        <v>182382</v>
      </c>
      <c r="FR10" s="34">
        <v>595955</v>
      </c>
      <c r="FS10" s="34">
        <v>287961</v>
      </c>
      <c r="FT10" s="34">
        <v>236835</v>
      </c>
      <c r="FU10" s="34">
        <v>10739</v>
      </c>
      <c r="FV10" s="34">
        <v>522411</v>
      </c>
      <c r="FW10" s="34">
        <v>35260</v>
      </c>
      <c r="FX10" s="34">
        <v>38284</v>
      </c>
      <c r="FY10" s="34">
        <v>54444</v>
      </c>
      <c r="FZ10" s="34">
        <v>-53994</v>
      </c>
      <c r="GA10" s="34">
        <v>47458</v>
      </c>
      <c r="GB10" s="34">
        <v>464102</v>
      </c>
      <c r="GC10" s="34">
        <v>53994</v>
      </c>
      <c r="GD10" s="34">
        <v>1069133</v>
      </c>
      <c r="GE10" s="34">
        <v>10426</v>
      </c>
      <c r="GF10" s="34">
        <v>13472</v>
      </c>
      <c r="GG10" s="57">
        <v>136.25</v>
      </c>
      <c r="GH10" s="34">
        <v>181829</v>
      </c>
      <c r="GI10" s="34">
        <v>623386</v>
      </c>
      <c r="GJ10">
        <v>301944</v>
      </c>
      <c r="GK10">
        <v>245972</v>
      </c>
      <c r="GL10">
        <v>17213</v>
      </c>
      <c r="GM10">
        <v>541528</v>
      </c>
      <c r="GN10">
        <v>40784</v>
      </c>
      <c r="GO10">
        <v>41074</v>
      </c>
      <c r="GP10">
        <v>39632</v>
      </c>
      <c r="GQ10">
        <v>-67348</v>
      </c>
      <c r="GR10">
        <v>50059</v>
      </c>
      <c r="GS10">
        <v>469427</v>
      </c>
      <c r="GT10">
        <v>67348</v>
      </c>
      <c r="GU10">
        <v>1133405</v>
      </c>
      <c r="GV10">
        <v>-1480</v>
      </c>
      <c r="GW10" s="34">
        <v>181421</v>
      </c>
      <c r="GX10" s="34">
        <v>628450</v>
      </c>
      <c r="GY10">
        <v>317634</v>
      </c>
      <c r="GZ10">
        <v>250265</v>
      </c>
      <c r="HA10">
        <v>14298</v>
      </c>
      <c r="HB10">
        <v>556306</v>
      </c>
      <c r="HC10">
        <v>27720</v>
      </c>
      <c r="HD10">
        <v>44424</v>
      </c>
      <c r="HE10">
        <v>-953</v>
      </c>
      <c r="HF10">
        <v>-84339</v>
      </c>
      <c r="HG10">
        <v>53217</v>
      </c>
      <c r="HH10">
        <v>519261</v>
      </c>
      <c r="HI10">
        <v>84339</v>
      </c>
      <c r="HJ10">
        <v>1200905</v>
      </c>
      <c r="HK10">
        <v>-48657</v>
      </c>
      <c r="HL10">
        <v>-26971</v>
      </c>
      <c r="HM10" s="57">
        <v>19.75</v>
      </c>
      <c r="HN10" s="190">
        <v>3747.2270015624654</v>
      </c>
      <c r="HO10" s="34">
        <v>10636.372657352418</v>
      </c>
      <c r="HP10" s="34">
        <v>7360.5764136615708</v>
      </c>
      <c r="HQ10" s="34">
        <v>9913.1645735679249</v>
      </c>
      <c r="HR10">
        <v>33027</v>
      </c>
      <c r="HS10">
        <v>44186</v>
      </c>
      <c r="HT10">
        <v>32950</v>
      </c>
      <c r="HU10">
        <v>14848</v>
      </c>
      <c r="HV10">
        <v>9329</v>
      </c>
      <c r="HW10">
        <v>9282</v>
      </c>
      <c r="HX10">
        <v>16087</v>
      </c>
      <c r="HY10">
        <v>91</v>
      </c>
      <c r="HZ10">
        <v>13472</v>
      </c>
      <c r="IA10" s="34">
        <v>12404</v>
      </c>
      <c r="IB10">
        <v>-26971</v>
      </c>
      <c r="IC10">
        <v>-75170</v>
      </c>
      <c r="ID10">
        <v>-23442</v>
      </c>
      <c r="IE10">
        <v>-52136</v>
      </c>
      <c r="IF10" s="57">
        <v>17.642857142857142</v>
      </c>
      <c r="IG10" s="57">
        <v>17.75</v>
      </c>
      <c r="IH10" s="57">
        <v>18</v>
      </c>
      <c r="II10" s="57">
        <v>18</v>
      </c>
      <c r="IJ10" s="57">
        <v>18</v>
      </c>
      <c r="IK10" s="57">
        <v>18.321428571428573</v>
      </c>
      <c r="IL10" s="57">
        <v>18.392857142857142</v>
      </c>
      <c r="IM10" s="57">
        <v>18.571428571428573</v>
      </c>
      <c r="IN10" s="57">
        <v>18.785714285714285</v>
      </c>
      <c r="IO10" s="57">
        <v>18.785714285714285</v>
      </c>
      <c r="IP10" s="57">
        <v>19.035714285714285</v>
      </c>
      <c r="IQ10" s="57">
        <v>19.25</v>
      </c>
      <c r="IR10" s="57">
        <v>19.464285714285715</v>
      </c>
      <c r="IS10" s="57">
        <v>19.607142857142858</v>
      </c>
      <c r="IT10" s="57">
        <v>19.75</v>
      </c>
      <c r="IU10" s="57">
        <v>20</v>
      </c>
      <c r="IV10" s="57">
        <v>20.142857142857142</v>
      </c>
      <c r="IW10" s="57">
        <v>20.285714285714285</v>
      </c>
      <c r="IX10">
        <v>180845</v>
      </c>
      <c r="IY10">
        <v>242315</v>
      </c>
      <c r="IZ10">
        <v>1205597</v>
      </c>
      <c r="JA10" s="34">
        <v>1338428</v>
      </c>
      <c r="JB10" s="34">
        <v>327742</v>
      </c>
      <c r="JC10">
        <v>18311</v>
      </c>
      <c r="JD10">
        <v>43907</v>
      </c>
      <c r="JE10">
        <v>55754</v>
      </c>
      <c r="JF10">
        <v>-59108</v>
      </c>
      <c r="JG10">
        <v>-12011</v>
      </c>
      <c r="JH10">
        <v>-10613</v>
      </c>
      <c r="JI10" s="34">
        <v>590914</v>
      </c>
      <c r="JJ10" s="173">
        <v>31488</v>
      </c>
      <c r="JK10" s="34">
        <v>46812</v>
      </c>
      <c r="JL10">
        <v>556030</v>
      </c>
      <c r="JM10">
        <v>179858</v>
      </c>
      <c r="JN10">
        <v>246569</v>
      </c>
      <c r="JO10" s="173">
        <v>1224675</v>
      </c>
      <c r="JP10" s="34">
        <v>1344158</v>
      </c>
      <c r="JQ10" s="34">
        <v>329233</v>
      </c>
      <c r="JR10" s="34">
        <v>59824</v>
      </c>
      <c r="JS10" s="173">
        <v>31868</v>
      </c>
      <c r="JT10">
        <v>57130</v>
      </c>
      <c r="JU10">
        <v>-38236</v>
      </c>
      <c r="JV10" s="173">
        <v>23853</v>
      </c>
      <c r="JW10" s="34">
        <v>585330</v>
      </c>
      <c r="JX10" s="173">
        <v>36782</v>
      </c>
      <c r="JY10" s="34">
        <v>49967</v>
      </c>
      <c r="JZ10">
        <v>566694</v>
      </c>
      <c r="KA10">
        <v>178688</v>
      </c>
      <c r="KB10">
        <v>225554</v>
      </c>
      <c r="KC10" s="173">
        <v>1222226</v>
      </c>
      <c r="KD10" s="34">
        <v>1375038</v>
      </c>
      <c r="KE10" s="34">
        <v>337423</v>
      </c>
      <c r="KF10" s="34">
        <v>34788</v>
      </c>
      <c r="KG10" s="173">
        <v>40579</v>
      </c>
      <c r="KH10">
        <v>54020</v>
      </c>
      <c r="KI10" s="173">
        <v>-63527</v>
      </c>
      <c r="KJ10" s="173">
        <v>-11012</v>
      </c>
      <c r="KK10" s="34">
        <v>597066</v>
      </c>
      <c r="KL10" s="173">
        <v>38515</v>
      </c>
      <c r="KM10" s="34">
        <v>51938</v>
      </c>
      <c r="KN10">
        <v>613474</v>
      </c>
      <c r="KO10">
        <v>177659</v>
      </c>
      <c r="KP10">
        <v>693724</v>
      </c>
      <c r="KQ10">
        <v>361410</v>
      </c>
      <c r="KR10">
        <v>229744</v>
      </c>
      <c r="KS10">
        <v>15486</v>
      </c>
      <c r="KT10">
        <v>602839</v>
      </c>
      <c r="KU10">
        <v>33857</v>
      </c>
      <c r="KV10">
        <v>57028</v>
      </c>
      <c r="KW10">
        <v>57186</v>
      </c>
      <c r="KX10">
        <v>-51857</v>
      </c>
      <c r="KY10">
        <v>57062</v>
      </c>
      <c r="KZ10">
        <v>621828</v>
      </c>
      <c r="LA10">
        <v>1238107</v>
      </c>
      <c r="LB10">
        <v>2335</v>
      </c>
      <c r="LC10">
        <v>-22094</v>
      </c>
      <c r="LD10" s="57">
        <v>20.392857142857142</v>
      </c>
      <c r="LE10">
        <v>175511</v>
      </c>
      <c r="LF10" s="34">
        <v>698720</v>
      </c>
      <c r="LG10" s="34">
        <v>354436</v>
      </c>
      <c r="LH10">
        <v>213583</v>
      </c>
      <c r="LI10" s="173">
        <v>52453</v>
      </c>
      <c r="LJ10" s="34">
        <v>601970</v>
      </c>
      <c r="LK10" s="173">
        <v>41214</v>
      </c>
      <c r="LL10" s="34">
        <v>55536</v>
      </c>
      <c r="LM10" s="173">
        <v>75526</v>
      </c>
      <c r="LN10" s="173">
        <v>-24993</v>
      </c>
      <c r="LO10">
        <v>67355</v>
      </c>
      <c r="LP10">
        <v>633242</v>
      </c>
      <c r="LQ10" s="173">
        <v>1201815</v>
      </c>
      <c r="LR10" s="173">
        <v>47811</v>
      </c>
      <c r="LS10" s="173">
        <v>25819</v>
      </c>
      <c r="LT10" s="57">
        <v>20.535714285714285</v>
      </c>
      <c r="LU10">
        <v>173388</v>
      </c>
      <c r="LV10" s="34">
        <v>684664</v>
      </c>
      <c r="LW10" s="34">
        <v>360483</v>
      </c>
      <c r="LX10" s="172">
        <v>212790</v>
      </c>
      <c r="LY10" s="173">
        <v>16790</v>
      </c>
      <c r="LZ10" s="34">
        <v>589719</v>
      </c>
      <c r="MA10" s="173">
        <v>46658</v>
      </c>
      <c r="MB10" s="34">
        <v>48287</v>
      </c>
      <c r="MC10" s="173">
        <v>17950</v>
      </c>
      <c r="MD10" s="34">
        <v>-65526</v>
      </c>
      <c r="ME10">
        <v>55004</v>
      </c>
      <c r="MF10">
        <v>689203</v>
      </c>
      <c r="MG10" s="173">
        <v>1248843</v>
      </c>
      <c r="MH10" s="173">
        <v>-28672</v>
      </c>
      <c r="MI10" s="173">
        <v>31033</v>
      </c>
      <c r="MJ10" s="57">
        <v>20.607142857142858</v>
      </c>
    </row>
    <row r="11" spans="1:348" x14ac:dyDescent="0.2">
      <c r="A11" t="s">
        <v>113</v>
      </c>
      <c r="B11" s="34">
        <v>196647</v>
      </c>
      <c r="C11" s="34">
        <v>194352</v>
      </c>
      <c r="D11" s="34">
        <v>191768</v>
      </c>
      <c r="E11" s="34">
        <v>189288</v>
      </c>
      <c r="F11" s="34">
        <v>187777</v>
      </c>
      <c r="G11" s="34">
        <v>186917</v>
      </c>
      <c r="H11" s="34">
        <v>186443</v>
      </c>
      <c r="I11" s="34">
        <v>185800</v>
      </c>
      <c r="J11" s="34">
        <v>184935</v>
      </c>
      <c r="K11" s="34">
        <v>184390</v>
      </c>
      <c r="L11" s="34">
        <v>183963</v>
      </c>
      <c r="M11" s="34">
        <v>401463</v>
      </c>
      <c r="N11" s="34">
        <v>210728</v>
      </c>
      <c r="O11" s="34">
        <v>180765</v>
      </c>
      <c r="P11" s="34">
        <v>10336.829960324465</v>
      </c>
      <c r="Q11" s="34">
        <v>403163</v>
      </c>
      <c r="R11" s="34">
        <v>201118</v>
      </c>
      <c r="S11" s="34">
        <v>178683</v>
      </c>
      <c r="T11" s="34">
        <v>12223.225743516778</v>
      </c>
      <c r="U11" s="34">
        <v>405496</v>
      </c>
      <c r="V11" s="34">
        <v>213813</v>
      </c>
      <c r="W11" s="34">
        <v>168351</v>
      </c>
      <c r="X11" s="34">
        <v>9694.0157053885705</v>
      </c>
      <c r="Y11" s="34">
        <v>441456</v>
      </c>
      <c r="Z11" s="34">
        <v>229488</v>
      </c>
      <c r="AA11" s="34">
        <v>173948</v>
      </c>
      <c r="AB11" s="34">
        <v>10369.122042205079</v>
      </c>
      <c r="AC11" s="34">
        <v>460739</v>
      </c>
      <c r="AD11" s="34">
        <v>248379</v>
      </c>
      <c r="AE11" s="34">
        <v>184785</v>
      </c>
      <c r="AF11" s="34">
        <v>7478</v>
      </c>
      <c r="AG11" s="34">
        <v>442149</v>
      </c>
      <c r="AH11" s="34">
        <v>249875</v>
      </c>
      <c r="AI11" s="34">
        <v>178065</v>
      </c>
      <c r="AJ11" s="34">
        <v>57654</v>
      </c>
      <c r="AK11" s="34">
        <v>448297</v>
      </c>
      <c r="AL11" s="34">
        <v>260333</v>
      </c>
      <c r="AM11" s="34">
        <v>172053</v>
      </c>
      <c r="AN11" s="34">
        <v>23492</v>
      </c>
      <c r="AO11" s="34">
        <v>454851</v>
      </c>
      <c r="AP11" s="34">
        <v>262542</v>
      </c>
      <c r="AQ11" s="34">
        <v>175519</v>
      </c>
      <c r="AR11" s="34">
        <v>39881</v>
      </c>
      <c r="AS11" s="34">
        <v>480264</v>
      </c>
      <c r="AT11" s="34">
        <v>287419</v>
      </c>
      <c r="AU11" s="34">
        <v>178398</v>
      </c>
      <c r="AV11" s="34">
        <v>12741</v>
      </c>
      <c r="AW11" s="34">
        <v>515285</v>
      </c>
      <c r="AX11" s="34">
        <v>300735</v>
      </c>
      <c r="AY11" s="34">
        <v>193504</v>
      </c>
      <c r="AZ11" s="34">
        <v>22831</v>
      </c>
      <c r="BA11" s="34">
        <v>557891</v>
      </c>
      <c r="BB11" s="34">
        <v>336568</v>
      </c>
      <c r="BC11" s="34">
        <v>195351</v>
      </c>
      <c r="BD11" s="34">
        <v>10961</v>
      </c>
      <c r="BE11" s="34">
        <v>332139.36724338308</v>
      </c>
      <c r="BF11" s="34">
        <v>47279.6443834483</v>
      </c>
      <c r="BG11" s="34">
        <v>21950.542658344722</v>
      </c>
      <c r="BH11" s="34">
        <v>330340.76555780368</v>
      </c>
      <c r="BI11" s="34">
        <v>44814.682133228387</v>
      </c>
      <c r="BJ11" s="34">
        <v>27930.632571610218</v>
      </c>
      <c r="BK11" s="34">
        <v>314936.09699734091</v>
      </c>
      <c r="BL11" s="34">
        <v>61018.243344383285</v>
      </c>
      <c r="BM11" s="34">
        <v>29459.797198998276</v>
      </c>
      <c r="BN11" s="34">
        <v>358587</v>
      </c>
      <c r="BO11" s="34">
        <v>51745</v>
      </c>
      <c r="BP11" s="34">
        <v>31051</v>
      </c>
      <c r="BQ11" s="34">
        <v>387832</v>
      </c>
      <c r="BR11" s="34">
        <v>39498</v>
      </c>
      <c r="BS11" s="34">
        <v>33367</v>
      </c>
      <c r="BT11" s="34">
        <v>386013</v>
      </c>
      <c r="BU11" s="34">
        <v>22365</v>
      </c>
      <c r="BV11" s="34">
        <v>33747</v>
      </c>
      <c r="BW11" s="34">
        <v>390390</v>
      </c>
      <c r="BX11" s="34">
        <v>23221</v>
      </c>
      <c r="BY11" s="34">
        <v>34659</v>
      </c>
      <c r="BZ11" s="34">
        <v>395560</v>
      </c>
      <c r="CA11" s="34">
        <v>23108</v>
      </c>
      <c r="CB11" s="34">
        <v>36158</v>
      </c>
      <c r="CC11" s="34">
        <v>409547</v>
      </c>
      <c r="CD11" s="34">
        <v>25524</v>
      </c>
      <c r="CE11" s="34">
        <v>45167</v>
      </c>
      <c r="CF11" s="34">
        <v>437622</v>
      </c>
      <c r="CG11" s="34">
        <v>30054</v>
      </c>
      <c r="CH11" s="34">
        <v>47600</v>
      </c>
      <c r="CI11" s="34">
        <v>473298</v>
      </c>
      <c r="CJ11" s="34">
        <v>32266</v>
      </c>
      <c r="CK11" s="34">
        <v>52317</v>
      </c>
      <c r="CL11" s="34">
        <v>27753.698872972705</v>
      </c>
      <c r="CM11" s="34">
        <v>-52951.445829999997</v>
      </c>
      <c r="CN11" s="34">
        <v>40909.863044571481</v>
      </c>
      <c r="CO11" s="34">
        <v>223625</v>
      </c>
      <c r="CP11" s="34">
        <v>21600.87995923125</v>
      </c>
      <c r="CQ11" s="34">
        <v>-35884.575988870005</v>
      </c>
      <c r="CR11" s="34">
        <v>44108.4610300165</v>
      </c>
      <c r="CS11" s="34">
        <v>240604</v>
      </c>
      <c r="CT11" s="34">
        <v>7273.6232556809673</v>
      </c>
      <c r="CU11" s="34">
        <v>-42787.6812393</v>
      </c>
      <c r="CV11" s="34">
        <v>40972.092577362244</v>
      </c>
      <c r="CW11" s="34">
        <v>247535</v>
      </c>
      <c r="CX11" s="34">
        <v>24049.023416805001</v>
      </c>
      <c r="CY11" s="34">
        <v>-51351</v>
      </c>
      <c r="CZ11" s="34">
        <v>38182.02306529224</v>
      </c>
      <c r="DA11" s="34">
        <v>274888</v>
      </c>
      <c r="DB11" s="34">
        <v>68550</v>
      </c>
      <c r="DC11" s="34">
        <v>-37331</v>
      </c>
      <c r="DD11" s="34">
        <v>40237</v>
      </c>
      <c r="DE11" s="34">
        <v>269824</v>
      </c>
      <c r="DF11" s="34">
        <v>25564</v>
      </c>
      <c r="DG11" s="34">
        <v>33732</v>
      </c>
      <c r="DH11" s="34">
        <v>37795</v>
      </c>
      <c r="DI11" s="34">
        <v>242455</v>
      </c>
      <c r="DJ11" s="34">
        <v>18027</v>
      </c>
      <c r="DK11" s="34">
        <v>-52370</v>
      </c>
      <c r="DL11" s="34">
        <v>37558</v>
      </c>
      <c r="DM11" s="34">
        <v>283605</v>
      </c>
      <c r="DN11" s="34">
        <v>-5425</v>
      </c>
      <c r="DO11" s="34">
        <v>-25765</v>
      </c>
      <c r="DP11" s="34">
        <v>37411</v>
      </c>
      <c r="DQ11" s="34">
        <v>325245</v>
      </c>
      <c r="DR11" s="34">
        <v>11121</v>
      </c>
      <c r="DS11" s="34">
        <v>-46874</v>
      </c>
      <c r="DT11" s="34">
        <v>36947</v>
      </c>
      <c r="DU11" s="34">
        <v>352642</v>
      </c>
      <c r="DV11" s="34">
        <v>37306</v>
      </c>
      <c r="DW11" s="34">
        <v>-51715</v>
      </c>
      <c r="DX11" s="34">
        <v>39170</v>
      </c>
      <c r="DY11" s="34">
        <v>367502</v>
      </c>
      <c r="DZ11" s="34">
        <v>67590</v>
      </c>
      <c r="EA11" s="34">
        <v>-53302</v>
      </c>
      <c r="EB11" s="34">
        <v>41014</v>
      </c>
      <c r="EC11" s="34">
        <v>362721</v>
      </c>
      <c r="ED11" s="34">
        <v>732061.32804550475</v>
      </c>
      <c r="EE11" s="34">
        <v>-8802.7878830690261</v>
      </c>
      <c r="EF11" s="34">
        <v>732743.66646315914</v>
      </c>
      <c r="EG11" s="34">
        <v>-19723.734511994324</v>
      </c>
      <c r="EH11" s="34">
        <v>746083.32366252749</v>
      </c>
      <c r="EI11" s="34">
        <v>-10135.34082442358</v>
      </c>
      <c r="EJ11" s="34">
        <v>783097.44976647082</v>
      </c>
      <c r="EK11" s="34">
        <v>-4132.8819169387116</v>
      </c>
      <c r="EL11" s="34">
        <v>819674</v>
      </c>
      <c r="EM11" s="34">
        <v>42592</v>
      </c>
      <c r="EN11" s="34">
        <v>844799</v>
      </c>
      <c r="EO11" s="34">
        <v>-4883</v>
      </c>
      <c r="EP11" s="34">
        <v>868116</v>
      </c>
      <c r="EQ11" s="34">
        <v>-8037</v>
      </c>
      <c r="ER11" s="34">
        <v>905571</v>
      </c>
      <c r="ES11" s="34">
        <v>-13916</v>
      </c>
      <c r="ET11" s="34">
        <v>938433</v>
      </c>
      <c r="EU11" s="34">
        <v>-21686</v>
      </c>
      <c r="EV11" s="34">
        <v>972117</v>
      </c>
      <c r="EW11" s="34">
        <v>205</v>
      </c>
      <c r="EX11" s="34">
        <v>1020239</v>
      </c>
      <c r="EY11" s="34">
        <v>29811</v>
      </c>
      <c r="EZ11" s="34">
        <v>-29147</v>
      </c>
      <c r="FA11" s="34">
        <v>473</v>
      </c>
      <c r="FB11" s="34">
        <v>183748</v>
      </c>
      <c r="FC11" s="34">
        <v>564477</v>
      </c>
      <c r="FD11" s="34">
        <v>360011</v>
      </c>
      <c r="FE11" s="34">
        <v>194482</v>
      </c>
      <c r="FF11" s="34">
        <v>15159</v>
      </c>
      <c r="FG11" s="34">
        <v>482367</v>
      </c>
      <c r="FH11" s="34">
        <v>26505</v>
      </c>
      <c r="FI11" s="34">
        <v>55605</v>
      </c>
      <c r="FJ11" s="34">
        <v>65310</v>
      </c>
      <c r="FK11" s="34">
        <v>-49206</v>
      </c>
      <c r="FL11" s="34">
        <v>41072</v>
      </c>
      <c r="FM11" s="34">
        <v>360588</v>
      </c>
      <c r="FN11" s="34">
        <v>49206</v>
      </c>
      <c r="FO11" s="34">
        <v>1054367</v>
      </c>
      <c r="FP11" s="34">
        <v>30862</v>
      </c>
      <c r="FQ11" s="34">
        <v>183488</v>
      </c>
      <c r="FR11" s="34">
        <v>580153</v>
      </c>
      <c r="FS11" s="34">
        <v>394389</v>
      </c>
      <c r="FT11" s="34">
        <v>208559</v>
      </c>
      <c r="FU11" s="34">
        <v>12674</v>
      </c>
      <c r="FV11" s="34">
        <v>487281</v>
      </c>
      <c r="FW11" s="34">
        <v>30753</v>
      </c>
      <c r="FX11" s="34">
        <v>62080</v>
      </c>
      <c r="FY11" s="34">
        <v>84872</v>
      </c>
      <c r="FZ11" s="34">
        <v>-66200</v>
      </c>
      <c r="GA11" s="34">
        <v>42347</v>
      </c>
      <c r="GB11" s="34">
        <v>357599</v>
      </c>
      <c r="GC11" s="34">
        <v>66200</v>
      </c>
      <c r="GD11" s="34">
        <v>1103662</v>
      </c>
      <c r="GE11" s="34">
        <v>34424</v>
      </c>
      <c r="GF11" s="34">
        <v>64429</v>
      </c>
      <c r="GG11" s="57">
        <v>420</v>
      </c>
      <c r="GH11" s="34">
        <v>183330</v>
      </c>
      <c r="GI11" s="34">
        <v>596538</v>
      </c>
      <c r="GJ11">
        <v>401752</v>
      </c>
      <c r="GK11">
        <v>212943</v>
      </c>
      <c r="GL11">
        <v>32794</v>
      </c>
      <c r="GM11">
        <v>498982</v>
      </c>
      <c r="GN11">
        <v>34254</v>
      </c>
      <c r="GO11">
        <v>63302</v>
      </c>
      <c r="GP11">
        <v>56351</v>
      </c>
      <c r="GQ11">
        <v>-61944</v>
      </c>
      <c r="GR11">
        <v>42723</v>
      </c>
      <c r="GS11">
        <v>350843</v>
      </c>
      <c r="GT11">
        <v>61944</v>
      </c>
      <c r="GU11">
        <v>1158843</v>
      </c>
      <c r="GV11">
        <v>32658</v>
      </c>
      <c r="GW11" s="34">
        <v>182844</v>
      </c>
      <c r="GX11" s="34">
        <v>603836</v>
      </c>
      <c r="GY11">
        <v>429944</v>
      </c>
      <c r="GZ11">
        <v>214693</v>
      </c>
      <c r="HA11">
        <v>12870</v>
      </c>
      <c r="HB11">
        <v>512392</v>
      </c>
      <c r="HC11">
        <v>25835</v>
      </c>
      <c r="HD11">
        <v>65609</v>
      </c>
      <c r="HE11">
        <v>27480</v>
      </c>
      <c r="HF11">
        <v>-61504</v>
      </c>
      <c r="HG11">
        <v>45727</v>
      </c>
      <c r="HH11">
        <v>359000</v>
      </c>
      <c r="HI11">
        <v>61504</v>
      </c>
      <c r="HJ11">
        <v>1226537</v>
      </c>
      <c r="HK11">
        <v>-14611</v>
      </c>
      <c r="HL11">
        <v>111031</v>
      </c>
      <c r="HM11" s="57">
        <v>19.988095238095237</v>
      </c>
      <c r="HN11" s="190">
        <v>-18187.842367547804</v>
      </c>
      <c r="HO11" s="34">
        <v>-38864.025107093657</v>
      </c>
      <c r="HP11" s="34">
        <v>-49749.988647314967</v>
      </c>
      <c r="HQ11" s="34">
        <v>-47418.735798631962</v>
      </c>
      <c r="HR11">
        <v>2975</v>
      </c>
      <c r="HS11">
        <v>-1610</v>
      </c>
      <c r="HT11">
        <v>-3135</v>
      </c>
      <c r="HU11">
        <v>-14239</v>
      </c>
      <c r="HV11">
        <v>-28991</v>
      </c>
      <c r="HW11">
        <v>-29147</v>
      </c>
      <c r="HX11">
        <v>485</v>
      </c>
      <c r="HY11">
        <v>30440</v>
      </c>
      <c r="HZ11">
        <v>64429</v>
      </c>
      <c r="IA11" s="34">
        <v>91972</v>
      </c>
      <c r="IB11">
        <v>111031</v>
      </c>
      <c r="IC11">
        <v>255874</v>
      </c>
      <c r="ID11">
        <v>248466</v>
      </c>
      <c r="IE11">
        <v>284712</v>
      </c>
      <c r="IF11" s="57">
        <v>18.488095238095237</v>
      </c>
      <c r="IG11" s="57">
        <v>18.547619047619047</v>
      </c>
      <c r="IH11" s="57">
        <v>18.702380952380953</v>
      </c>
      <c r="II11" s="57">
        <v>18.738095238095237</v>
      </c>
      <c r="IJ11" s="57">
        <v>18.916666666666668</v>
      </c>
      <c r="IK11" s="57">
        <v>19.047619047619047</v>
      </c>
      <c r="IL11" s="57">
        <v>19.071428571428573</v>
      </c>
      <c r="IM11" s="57">
        <v>19.154761904761905</v>
      </c>
      <c r="IN11" s="57">
        <v>19.25</v>
      </c>
      <c r="IO11" s="57">
        <v>19.654761904761905</v>
      </c>
      <c r="IP11" s="57">
        <v>19.88095238095238</v>
      </c>
      <c r="IQ11" s="57">
        <v>19.916666666666668</v>
      </c>
      <c r="IR11" s="57">
        <v>20</v>
      </c>
      <c r="IS11" s="57">
        <v>20.011904761904763</v>
      </c>
      <c r="IT11" s="57">
        <v>19.988095238095237</v>
      </c>
      <c r="IU11" s="57">
        <v>20.071428571428573</v>
      </c>
      <c r="IV11" s="57">
        <v>20.321428571428573</v>
      </c>
      <c r="IW11" s="57">
        <v>20.416666666666668</v>
      </c>
      <c r="IX11">
        <v>182514</v>
      </c>
      <c r="IY11">
        <v>216277</v>
      </c>
      <c r="IZ11">
        <v>1261530</v>
      </c>
      <c r="JA11" s="34">
        <v>1296054</v>
      </c>
      <c r="JB11" s="34">
        <v>444193</v>
      </c>
      <c r="JC11">
        <v>32057</v>
      </c>
      <c r="JD11">
        <v>52693</v>
      </c>
      <c r="JE11">
        <v>47496</v>
      </c>
      <c r="JF11">
        <v>-72878</v>
      </c>
      <c r="JG11">
        <v>25599</v>
      </c>
      <c r="JH11">
        <v>18681</v>
      </c>
      <c r="JI11" s="34">
        <v>546862</v>
      </c>
      <c r="JJ11" s="173">
        <v>31458</v>
      </c>
      <c r="JK11" s="34">
        <v>69707</v>
      </c>
      <c r="JL11">
        <v>413502</v>
      </c>
      <c r="JM11">
        <v>181748</v>
      </c>
      <c r="JN11">
        <v>225588</v>
      </c>
      <c r="JO11" s="173">
        <v>1300658</v>
      </c>
      <c r="JP11" s="34">
        <v>1334376</v>
      </c>
      <c r="JQ11" s="34">
        <v>444505</v>
      </c>
      <c r="JR11" s="34">
        <v>12385</v>
      </c>
      <c r="JS11" s="173">
        <v>42583</v>
      </c>
      <c r="JT11">
        <v>45653</v>
      </c>
      <c r="JU11">
        <v>-84635</v>
      </c>
      <c r="JV11" s="173">
        <v>-4824</v>
      </c>
      <c r="JW11" s="34">
        <v>556950</v>
      </c>
      <c r="JX11" s="173">
        <v>34760</v>
      </c>
      <c r="JY11" s="34">
        <v>75478</v>
      </c>
      <c r="JZ11">
        <v>428967</v>
      </c>
      <c r="KA11">
        <v>180858</v>
      </c>
      <c r="KB11">
        <v>213436</v>
      </c>
      <c r="KC11" s="173">
        <v>1306402</v>
      </c>
      <c r="KD11" s="34">
        <v>1364370</v>
      </c>
      <c r="KE11" s="34">
        <v>435412</v>
      </c>
      <c r="KF11" s="34">
        <v>75626</v>
      </c>
      <c r="KG11" s="173">
        <v>34977</v>
      </c>
      <c r="KH11">
        <v>54844</v>
      </c>
      <c r="KI11" s="173">
        <v>11061</v>
      </c>
      <c r="KJ11" s="173">
        <v>22478</v>
      </c>
      <c r="KK11" s="34">
        <v>567740</v>
      </c>
      <c r="KL11" s="173">
        <v>41842</v>
      </c>
      <c r="KM11" s="34">
        <v>72603</v>
      </c>
      <c r="KN11">
        <v>465501</v>
      </c>
      <c r="KO11">
        <v>180207</v>
      </c>
      <c r="KP11">
        <v>693164</v>
      </c>
      <c r="KQ11">
        <v>457443</v>
      </c>
      <c r="KR11">
        <v>201190</v>
      </c>
      <c r="KS11">
        <v>20535</v>
      </c>
      <c r="KT11">
        <v>572216</v>
      </c>
      <c r="KU11">
        <v>39463</v>
      </c>
      <c r="KV11">
        <v>81485</v>
      </c>
      <c r="KW11">
        <v>68876</v>
      </c>
      <c r="KX11">
        <v>-32044</v>
      </c>
      <c r="KY11">
        <v>53093</v>
      </c>
      <c r="KZ11">
        <v>482664</v>
      </c>
      <c r="LA11">
        <v>1295994</v>
      </c>
      <c r="LB11">
        <v>16887</v>
      </c>
      <c r="LC11">
        <v>161579</v>
      </c>
      <c r="LD11" s="57">
        <v>20.642857142857142</v>
      </c>
      <c r="LE11">
        <v>179223</v>
      </c>
      <c r="LF11" s="34">
        <v>698940</v>
      </c>
      <c r="LG11" s="34">
        <v>446948</v>
      </c>
      <c r="LH11">
        <v>190770</v>
      </c>
      <c r="LI11" s="173">
        <v>17422</v>
      </c>
      <c r="LJ11" s="34">
        <v>569328</v>
      </c>
      <c r="LK11" s="173">
        <v>49271</v>
      </c>
      <c r="LL11" s="34">
        <v>80341</v>
      </c>
      <c r="LM11" s="173">
        <v>74683</v>
      </c>
      <c r="LN11" s="173">
        <v>-45274</v>
      </c>
      <c r="LO11">
        <v>53117</v>
      </c>
      <c r="LP11">
        <v>479290</v>
      </c>
      <c r="LQ11" s="173">
        <v>1278353</v>
      </c>
      <c r="LR11" s="173">
        <v>21405</v>
      </c>
      <c r="LS11" s="173">
        <v>182779</v>
      </c>
      <c r="LT11" s="57">
        <v>20.714285714285715</v>
      </c>
      <c r="LU11">
        <v>178522</v>
      </c>
      <c r="LV11" s="34">
        <v>692958</v>
      </c>
      <c r="LW11" s="34">
        <v>443852</v>
      </c>
      <c r="LX11" s="172">
        <v>189638</v>
      </c>
      <c r="LY11" s="173">
        <v>18147</v>
      </c>
      <c r="LZ11" s="34">
        <v>565196</v>
      </c>
      <c r="MA11" s="173">
        <v>37812</v>
      </c>
      <c r="MB11" s="34">
        <v>89950</v>
      </c>
      <c r="MC11" s="173">
        <v>20557</v>
      </c>
      <c r="MD11" s="34">
        <v>-46583</v>
      </c>
      <c r="ME11">
        <v>55876</v>
      </c>
      <c r="MF11">
        <v>531654</v>
      </c>
      <c r="MG11" s="173">
        <v>1322085</v>
      </c>
      <c r="MH11" s="173">
        <v>-30097</v>
      </c>
      <c r="MI11" s="173">
        <v>152877</v>
      </c>
      <c r="MJ11" s="57">
        <v>20.857142857142858</v>
      </c>
    </row>
    <row r="12" spans="1:348" x14ac:dyDescent="0.2">
      <c r="A12" t="s">
        <v>114</v>
      </c>
      <c r="B12" s="34">
        <v>444992</v>
      </c>
      <c r="C12" s="34">
        <v>447524</v>
      </c>
      <c r="D12" s="34">
        <v>450346</v>
      </c>
      <c r="E12" s="34">
        <v>453986</v>
      </c>
      <c r="F12" s="34">
        <v>457186</v>
      </c>
      <c r="G12" s="34">
        <v>460450</v>
      </c>
      <c r="H12" s="34">
        <v>464586</v>
      </c>
      <c r="I12" s="34">
        <v>468604</v>
      </c>
      <c r="J12" s="34">
        <v>472914</v>
      </c>
      <c r="K12" s="34">
        <v>477931</v>
      </c>
      <c r="L12" s="34">
        <v>481999</v>
      </c>
      <c r="M12" s="34">
        <v>949088</v>
      </c>
      <c r="N12" s="34">
        <v>254925</v>
      </c>
      <c r="O12" s="34">
        <v>421239</v>
      </c>
      <c r="P12" s="34">
        <v>35427.777581558526</v>
      </c>
      <c r="Q12" s="34">
        <v>995544</v>
      </c>
      <c r="R12" s="34">
        <v>270863</v>
      </c>
      <c r="S12" s="34">
        <v>435011</v>
      </c>
      <c r="T12" s="34">
        <v>34134.748802922426</v>
      </c>
      <c r="U12" s="34">
        <v>1028909</v>
      </c>
      <c r="V12" s="34">
        <v>287006</v>
      </c>
      <c r="W12" s="34">
        <v>510541</v>
      </c>
      <c r="X12" s="34">
        <v>33607.816029318521</v>
      </c>
      <c r="Y12" s="34">
        <v>1152285</v>
      </c>
      <c r="Z12" s="34">
        <v>313119</v>
      </c>
      <c r="AA12" s="34">
        <v>552501</v>
      </c>
      <c r="AB12" s="34">
        <v>27918.523040904984</v>
      </c>
      <c r="AC12" s="34">
        <v>1188897</v>
      </c>
      <c r="AD12" s="34">
        <v>341093</v>
      </c>
      <c r="AE12" s="34">
        <v>561644</v>
      </c>
      <c r="AF12" s="34">
        <v>19667</v>
      </c>
      <c r="AG12" s="34">
        <v>1133719</v>
      </c>
      <c r="AH12" s="34">
        <v>362990</v>
      </c>
      <c r="AI12" s="34">
        <v>616512</v>
      </c>
      <c r="AJ12" s="34">
        <v>31141</v>
      </c>
      <c r="AK12" s="34">
        <v>1180548</v>
      </c>
      <c r="AL12" s="34">
        <v>403795</v>
      </c>
      <c r="AM12" s="34">
        <v>639464</v>
      </c>
      <c r="AN12" s="34">
        <v>35141</v>
      </c>
      <c r="AO12" s="34">
        <v>1235250</v>
      </c>
      <c r="AP12" s="34">
        <v>436797</v>
      </c>
      <c r="AQ12" s="34">
        <v>561701</v>
      </c>
      <c r="AR12" s="34">
        <v>90180</v>
      </c>
      <c r="AS12" s="34">
        <v>1325659</v>
      </c>
      <c r="AT12" s="34">
        <v>473881</v>
      </c>
      <c r="AU12" s="34">
        <v>681108</v>
      </c>
      <c r="AV12" s="34">
        <v>31681</v>
      </c>
      <c r="AW12" s="34">
        <v>1413053</v>
      </c>
      <c r="AX12" s="34">
        <v>496036</v>
      </c>
      <c r="AY12" s="34">
        <v>744725</v>
      </c>
      <c r="AZ12" s="34">
        <v>38822</v>
      </c>
      <c r="BA12" s="34">
        <v>1540890</v>
      </c>
      <c r="BB12" s="34">
        <v>558416</v>
      </c>
      <c r="BC12" s="34">
        <v>845574</v>
      </c>
      <c r="BD12" s="34">
        <v>161327</v>
      </c>
      <c r="BE12" s="34">
        <v>784571.78512983269</v>
      </c>
      <c r="BF12" s="34">
        <v>130320.58300662828</v>
      </c>
      <c r="BG12" s="34">
        <v>33860.266106937248</v>
      </c>
      <c r="BH12" s="34">
        <v>804510.63199977123</v>
      </c>
      <c r="BI12" s="34">
        <v>147823.05957384541</v>
      </c>
      <c r="BJ12" s="34">
        <v>42885.734804641324</v>
      </c>
      <c r="BK12" s="34">
        <v>799559.34763267066</v>
      </c>
      <c r="BL12" s="34">
        <v>183403.88816848394</v>
      </c>
      <c r="BM12" s="34">
        <v>45631.570892051946</v>
      </c>
      <c r="BN12" s="34">
        <v>925946</v>
      </c>
      <c r="BO12" s="34">
        <v>178687</v>
      </c>
      <c r="BP12" s="34">
        <v>47350</v>
      </c>
      <c r="BQ12" s="34">
        <v>1019298</v>
      </c>
      <c r="BR12" s="34">
        <v>119525</v>
      </c>
      <c r="BS12" s="34">
        <v>49771</v>
      </c>
      <c r="BT12" s="34">
        <v>1004386</v>
      </c>
      <c r="BU12" s="34">
        <v>78408</v>
      </c>
      <c r="BV12" s="34">
        <v>50635</v>
      </c>
      <c r="BW12" s="34">
        <v>1040767</v>
      </c>
      <c r="BX12" s="34">
        <v>88227</v>
      </c>
      <c r="BY12" s="34">
        <v>51274</v>
      </c>
      <c r="BZ12" s="34">
        <v>1077572</v>
      </c>
      <c r="CA12" s="34">
        <v>102760</v>
      </c>
      <c r="CB12" s="34">
        <v>54682</v>
      </c>
      <c r="CC12" s="34">
        <v>1157691</v>
      </c>
      <c r="CD12" s="34">
        <v>107569</v>
      </c>
      <c r="CE12" s="34">
        <v>60168</v>
      </c>
      <c r="CF12" s="34">
        <v>1225165</v>
      </c>
      <c r="CG12" s="34">
        <v>122040</v>
      </c>
      <c r="CH12" s="34">
        <v>65626</v>
      </c>
      <c r="CI12" s="34">
        <v>1346226</v>
      </c>
      <c r="CJ12" s="34">
        <v>123765</v>
      </c>
      <c r="CK12" s="34">
        <v>70701</v>
      </c>
      <c r="CL12" s="34">
        <v>121754.09916023767</v>
      </c>
      <c r="CM12" s="34">
        <v>-150962.45541990001</v>
      </c>
      <c r="CN12" s="34">
        <v>97231.12216666415</v>
      </c>
      <c r="CO12" s="34">
        <v>226011</v>
      </c>
      <c r="CP12" s="34">
        <v>135395.65368760438</v>
      </c>
      <c r="CQ12" s="34">
        <v>-151577.01409548</v>
      </c>
      <c r="CR12" s="34">
        <v>101887.74128660402</v>
      </c>
      <c r="CS12" s="34">
        <v>247266</v>
      </c>
      <c r="CT12" s="34">
        <v>123128.86727113408</v>
      </c>
      <c r="CU12" s="34">
        <v>-190333.39894275999</v>
      </c>
      <c r="CV12" s="34">
        <v>108093.87577303375</v>
      </c>
      <c r="CW12" s="34">
        <v>228531</v>
      </c>
      <c r="CX12" s="34">
        <v>155927.36299831979</v>
      </c>
      <c r="CY12" s="34">
        <v>-216285</v>
      </c>
      <c r="CZ12" s="34">
        <v>114014.59534825833</v>
      </c>
      <c r="DA12" s="34">
        <v>262652</v>
      </c>
      <c r="DB12" s="34">
        <v>230091</v>
      </c>
      <c r="DC12" s="34">
        <v>-201510</v>
      </c>
      <c r="DD12" s="34">
        <v>124120</v>
      </c>
      <c r="DE12" s="34">
        <v>274142</v>
      </c>
      <c r="DF12" s="34">
        <v>132483</v>
      </c>
      <c r="DG12" s="34">
        <v>-176750</v>
      </c>
      <c r="DH12" s="34">
        <v>130919</v>
      </c>
      <c r="DI12" s="34">
        <v>341489</v>
      </c>
      <c r="DJ12" s="34">
        <v>131276</v>
      </c>
      <c r="DK12" s="34">
        <v>-184774</v>
      </c>
      <c r="DL12" s="34">
        <v>133871</v>
      </c>
      <c r="DM12" s="34">
        <v>386655</v>
      </c>
      <c r="DN12" s="34">
        <v>127204</v>
      </c>
      <c r="DO12" s="34">
        <v>-101063</v>
      </c>
      <c r="DP12" s="34">
        <v>135511</v>
      </c>
      <c r="DQ12" s="34">
        <v>471421</v>
      </c>
      <c r="DR12" s="34">
        <v>139780</v>
      </c>
      <c r="DS12" s="34">
        <v>-185326</v>
      </c>
      <c r="DT12" s="34">
        <v>136632</v>
      </c>
      <c r="DU12" s="34">
        <v>542647</v>
      </c>
      <c r="DV12" s="34">
        <v>183094</v>
      </c>
      <c r="DW12" s="34">
        <v>-165720</v>
      </c>
      <c r="DX12" s="34">
        <v>144230</v>
      </c>
      <c r="DY12" s="34">
        <v>549282</v>
      </c>
      <c r="DZ12" s="34">
        <v>212927</v>
      </c>
      <c r="EA12" s="34">
        <v>-50312</v>
      </c>
      <c r="EB12" s="34">
        <v>155629</v>
      </c>
      <c r="EC12" s="34">
        <v>589927</v>
      </c>
      <c r="ED12" s="34">
        <v>1461749.9533278504</v>
      </c>
      <c r="EE12" s="34">
        <v>36402.435024799313</v>
      </c>
      <c r="EF12" s="34">
        <v>1522448.2780079143</v>
      </c>
      <c r="EG12" s="34">
        <v>33296.096526414753</v>
      </c>
      <c r="EH12" s="34">
        <v>1654641.3224280281</v>
      </c>
      <c r="EI12" s="34">
        <v>17445.12448429377</v>
      </c>
      <c r="EJ12" s="34">
        <v>1799364.7457923584</v>
      </c>
      <c r="EK12" s="34">
        <v>41529.34122471085</v>
      </c>
      <c r="EL12" s="34">
        <v>1878167.4</v>
      </c>
      <c r="EM12" s="34">
        <v>97167.95</v>
      </c>
      <c r="EN12" s="34">
        <v>1987600.45</v>
      </c>
      <c r="EO12" s="34">
        <v>12670.55</v>
      </c>
      <c r="EP12" s="34">
        <v>2100496.15</v>
      </c>
      <c r="EQ12" s="34">
        <v>10888.65</v>
      </c>
      <c r="ER12" s="34">
        <v>2198599.75</v>
      </c>
      <c r="ES12" s="34">
        <v>50361.7</v>
      </c>
      <c r="ET12" s="34">
        <v>2359156.7999999998</v>
      </c>
      <c r="EU12" s="34">
        <v>68.149999999999636</v>
      </c>
      <c r="EV12" s="34">
        <v>2485095</v>
      </c>
      <c r="EW12" s="34">
        <v>31423</v>
      </c>
      <c r="EX12" s="34">
        <v>2723363</v>
      </c>
      <c r="EY12" s="34">
        <v>201355</v>
      </c>
      <c r="EZ12" s="34">
        <v>407058</v>
      </c>
      <c r="FA12" s="34">
        <v>741926</v>
      </c>
      <c r="FB12" s="34">
        <v>485706</v>
      </c>
      <c r="FC12" s="34">
        <v>1550132</v>
      </c>
      <c r="FD12" s="34">
        <v>604624</v>
      </c>
      <c r="FE12" s="34">
        <v>654606</v>
      </c>
      <c r="FF12" s="34">
        <v>40732</v>
      </c>
      <c r="FG12" s="34">
        <v>1374580</v>
      </c>
      <c r="FH12" s="34">
        <v>100167</v>
      </c>
      <c r="FI12" s="34">
        <v>75195</v>
      </c>
      <c r="FJ12" s="34">
        <v>166278</v>
      </c>
      <c r="FK12" s="34">
        <v>-224692</v>
      </c>
      <c r="FL12" s="34">
        <v>153051</v>
      </c>
      <c r="FM12" s="34">
        <v>723966</v>
      </c>
      <c r="FN12" s="34">
        <v>224692</v>
      </c>
      <c r="FO12" s="34">
        <v>2670946</v>
      </c>
      <c r="FP12" s="34">
        <v>12499</v>
      </c>
      <c r="FQ12" s="34">
        <v>489192</v>
      </c>
      <c r="FR12" s="34">
        <v>1616346</v>
      </c>
      <c r="FS12" s="34">
        <v>628979</v>
      </c>
      <c r="FT12" s="34">
        <v>680853</v>
      </c>
      <c r="FU12" s="34">
        <v>58423</v>
      </c>
      <c r="FV12" s="34">
        <v>1404693</v>
      </c>
      <c r="FW12" s="34">
        <v>120014</v>
      </c>
      <c r="FX12" s="34">
        <v>91465</v>
      </c>
      <c r="FY12" s="34">
        <v>228705</v>
      </c>
      <c r="FZ12" s="34">
        <v>-211491</v>
      </c>
      <c r="GA12" s="34">
        <v>153369</v>
      </c>
      <c r="GB12" s="34">
        <v>778426</v>
      </c>
      <c r="GC12" s="34">
        <v>211491</v>
      </c>
      <c r="GD12" s="34">
        <v>2729585</v>
      </c>
      <c r="GE12" s="34">
        <v>77918</v>
      </c>
      <c r="GF12" s="34">
        <v>842103</v>
      </c>
      <c r="GG12" s="57">
        <v>435.75</v>
      </c>
      <c r="GH12" s="34">
        <v>492737</v>
      </c>
      <c r="GI12">
        <v>1655126</v>
      </c>
      <c r="GJ12">
        <v>664238</v>
      </c>
      <c r="GK12">
        <v>735555</v>
      </c>
      <c r="GL12">
        <v>32094</v>
      </c>
      <c r="GM12">
        <v>1439167</v>
      </c>
      <c r="GN12">
        <v>122478</v>
      </c>
      <c r="GO12">
        <v>93344</v>
      </c>
      <c r="GP12">
        <v>158942</v>
      </c>
      <c r="GQ12">
        <v>-205173</v>
      </c>
      <c r="GR12">
        <v>155631</v>
      </c>
      <c r="GS12">
        <v>768406</v>
      </c>
      <c r="GT12">
        <v>205173</v>
      </c>
      <c r="GU12">
        <v>2911206</v>
      </c>
      <c r="GV12">
        <v>6964</v>
      </c>
      <c r="GW12" s="34">
        <v>496568</v>
      </c>
      <c r="GX12">
        <v>1697001</v>
      </c>
      <c r="GY12">
        <v>699596</v>
      </c>
      <c r="GZ12">
        <v>768143</v>
      </c>
      <c r="HA12">
        <v>49387</v>
      </c>
      <c r="HB12">
        <v>1515300</v>
      </c>
      <c r="HC12">
        <v>75562</v>
      </c>
      <c r="HD12">
        <v>105998</v>
      </c>
      <c r="HE12">
        <v>91862</v>
      </c>
      <c r="HF12">
        <v>-262810</v>
      </c>
      <c r="HG12">
        <v>162255</v>
      </c>
      <c r="HH12">
        <v>882719</v>
      </c>
      <c r="HI12">
        <v>262810</v>
      </c>
      <c r="HJ12">
        <v>3093834</v>
      </c>
      <c r="HK12">
        <v>-61035</v>
      </c>
      <c r="HL12">
        <v>788919</v>
      </c>
      <c r="HM12" s="57">
        <v>19.988636363636363</v>
      </c>
      <c r="HN12" s="190">
        <v>53264.611746581169</v>
      </c>
      <c r="HO12" s="34">
        <v>86129.541704719202</v>
      </c>
      <c r="HP12" s="34">
        <v>118234.43042317763</v>
      </c>
      <c r="HQ12" s="34">
        <v>162155.53010311601</v>
      </c>
      <c r="HR12" s="34">
        <v>257399</v>
      </c>
      <c r="HS12" s="34">
        <v>268961</v>
      </c>
      <c r="HT12" s="34">
        <v>321057</v>
      </c>
      <c r="HU12" s="34">
        <v>373295</v>
      </c>
      <c r="HV12" s="34">
        <v>380974</v>
      </c>
      <c r="HW12" s="34">
        <v>413448</v>
      </c>
      <c r="HX12" s="34">
        <v>747160</v>
      </c>
      <c r="HY12" s="34">
        <v>769553</v>
      </c>
      <c r="HZ12" s="34">
        <v>842103</v>
      </c>
      <c r="IA12" s="34">
        <v>850265</v>
      </c>
      <c r="IB12" s="34">
        <v>788919</v>
      </c>
      <c r="IC12" s="34">
        <v>1642264</v>
      </c>
      <c r="ID12" s="34">
        <v>1593096</v>
      </c>
      <c r="IE12" s="34">
        <v>1511820</v>
      </c>
      <c r="IF12" s="57">
        <v>17.59090909090909</v>
      </c>
      <c r="IG12" s="57">
        <v>17.818181818181817</v>
      </c>
      <c r="IH12" s="57">
        <v>17.818181818181817</v>
      </c>
      <c r="II12" s="57">
        <v>17.852272727272727</v>
      </c>
      <c r="IJ12" s="57">
        <v>18.03409090909091</v>
      </c>
      <c r="IK12" s="57">
        <v>18.238636363636363</v>
      </c>
      <c r="IL12" s="57">
        <v>18.386363636363637</v>
      </c>
      <c r="IM12" s="57">
        <v>18.511363636363637</v>
      </c>
      <c r="IN12" s="57">
        <v>18.761363636363637</v>
      </c>
      <c r="IO12" s="57">
        <v>19</v>
      </c>
      <c r="IP12" s="57">
        <v>19.272727272727273</v>
      </c>
      <c r="IQ12" s="57">
        <v>19.40909090909091</v>
      </c>
      <c r="IR12" s="57">
        <v>19.806818181818183</v>
      </c>
      <c r="IS12" s="57">
        <v>19.897727272727273</v>
      </c>
      <c r="IT12" s="57">
        <v>19.988636363636363</v>
      </c>
      <c r="IU12" s="57">
        <v>20.295454545454547</v>
      </c>
      <c r="IV12" s="57">
        <v>20.647727272727273</v>
      </c>
      <c r="IW12" s="57">
        <v>20.96590909090909</v>
      </c>
      <c r="IX12">
        <v>500166</v>
      </c>
      <c r="IY12">
        <v>845593</v>
      </c>
      <c r="IZ12">
        <v>3291900</v>
      </c>
      <c r="JA12">
        <v>3641428</v>
      </c>
      <c r="JB12" s="34">
        <v>777121</v>
      </c>
      <c r="JC12">
        <v>67486</v>
      </c>
      <c r="JD12">
        <v>166586</v>
      </c>
      <c r="JE12">
        <v>174524</v>
      </c>
      <c r="JF12">
        <v>-234571</v>
      </c>
      <c r="JG12">
        <v>33335</v>
      </c>
      <c r="JH12">
        <v>32377</v>
      </c>
      <c r="JI12" s="34">
        <v>1622422</v>
      </c>
      <c r="JJ12" s="173">
        <v>88146</v>
      </c>
      <c r="JK12" s="34">
        <v>110015</v>
      </c>
      <c r="JL12">
        <v>985024</v>
      </c>
      <c r="JM12">
        <v>503382</v>
      </c>
      <c r="JN12">
        <v>792978</v>
      </c>
      <c r="JO12" s="173">
        <v>3283358</v>
      </c>
      <c r="JP12">
        <v>3742660</v>
      </c>
      <c r="JQ12" s="34">
        <v>778833</v>
      </c>
      <c r="JR12" s="34">
        <v>21656</v>
      </c>
      <c r="JS12" s="173">
        <v>161540</v>
      </c>
      <c r="JT12">
        <v>180239</v>
      </c>
      <c r="JU12">
        <v>-304879</v>
      </c>
      <c r="JV12" s="173">
        <v>-28990</v>
      </c>
      <c r="JW12" s="34">
        <v>1636764</v>
      </c>
      <c r="JX12" s="173">
        <v>106397</v>
      </c>
      <c r="JY12" s="34">
        <v>128045</v>
      </c>
      <c r="JZ12">
        <v>1026011</v>
      </c>
      <c r="KA12">
        <v>506114</v>
      </c>
      <c r="KB12">
        <v>811102</v>
      </c>
      <c r="KC12" s="173">
        <v>3344276</v>
      </c>
      <c r="KD12">
        <v>3836264</v>
      </c>
      <c r="KE12" s="34">
        <v>777011</v>
      </c>
      <c r="KF12" s="34">
        <v>19586</v>
      </c>
      <c r="KG12" s="173">
        <v>164689</v>
      </c>
      <c r="KH12">
        <v>201687</v>
      </c>
      <c r="KI12" s="173">
        <v>-312974</v>
      </c>
      <c r="KJ12" s="173">
        <v>-41035</v>
      </c>
      <c r="KK12" s="34">
        <v>1670876</v>
      </c>
      <c r="KL12" s="173">
        <v>116581</v>
      </c>
      <c r="KM12" s="34">
        <v>130675</v>
      </c>
      <c r="KN12">
        <v>1113994</v>
      </c>
      <c r="KO12">
        <v>509356</v>
      </c>
      <c r="KP12">
        <v>1943481</v>
      </c>
      <c r="KQ12">
        <v>822022</v>
      </c>
      <c r="KR12">
        <v>855371</v>
      </c>
      <c r="KS12">
        <v>43005</v>
      </c>
      <c r="KT12">
        <v>1722745</v>
      </c>
      <c r="KU12">
        <v>95329</v>
      </c>
      <c r="KV12">
        <v>125407</v>
      </c>
      <c r="KW12">
        <v>203792</v>
      </c>
      <c r="KX12">
        <v>-295462</v>
      </c>
      <c r="KY12">
        <v>199524</v>
      </c>
      <c r="KZ12">
        <v>1232814</v>
      </c>
      <c r="LA12">
        <v>3425807</v>
      </c>
      <c r="LB12">
        <v>-116</v>
      </c>
      <c r="LC12">
        <v>756923</v>
      </c>
      <c r="LD12" s="57">
        <v>20.988636363636363</v>
      </c>
      <c r="LE12">
        <v>512081</v>
      </c>
      <c r="LF12" s="34">
        <v>1981924</v>
      </c>
      <c r="LG12" s="34">
        <v>774083</v>
      </c>
      <c r="LH12">
        <v>835589</v>
      </c>
      <c r="LI12" s="173">
        <v>83323</v>
      </c>
      <c r="LJ12" s="34">
        <v>1713476</v>
      </c>
      <c r="LK12" s="173">
        <v>125000</v>
      </c>
      <c r="LL12" s="34">
        <v>143448</v>
      </c>
      <c r="LM12" s="173">
        <v>232450</v>
      </c>
      <c r="LN12" s="173">
        <v>-213816</v>
      </c>
      <c r="LO12">
        <v>212607</v>
      </c>
      <c r="LP12">
        <v>1255933</v>
      </c>
      <c r="LQ12" s="173">
        <v>3392762</v>
      </c>
      <c r="LR12" s="173">
        <v>20658</v>
      </c>
      <c r="LS12" s="173">
        <v>777914</v>
      </c>
      <c r="LT12" s="57">
        <v>21.022727272727273</v>
      </c>
      <c r="LU12">
        <v>515095</v>
      </c>
      <c r="LV12" s="34">
        <v>1967818</v>
      </c>
      <c r="LW12" s="34">
        <v>773283</v>
      </c>
      <c r="LX12" s="172">
        <v>850975</v>
      </c>
      <c r="LY12" s="173">
        <v>36053</v>
      </c>
      <c r="LZ12" s="34">
        <v>1693194</v>
      </c>
      <c r="MA12" s="173">
        <v>126777</v>
      </c>
      <c r="MB12" s="34">
        <v>147847</v>
      </c>
      <c r="MC12" s="173">
        <v>127892</v>
      </c>
      <c r="MD12" s="34">
        <v>-274786</v>
      </c>
      <c r="ME12">
        <v>211975</v>
      </c>
      <c r="MF12">
        <v>1407007</v>
      </c>
      <c r="MG12" s="173">
        <v>3497867</v>
      </c>
      <c r="MH12" s="173">
        <v>-73215</v>
      </c>
      <c r="MI12" s="173">
        <v>705060</v>
      </c>
      <c r="MJ12" s="57">
        <v>21.147727272727273</v>
      </c>
    </row>
    <row r="13" spans="1:348" x14ac:dyDescent="0.2">
      <c r="A13" t="s">
        <v>115</v>
      </c>
      <c r="B13" s="34">
        <v>174099</v>
      </c>
      <c r="C13" s="34">
        <v>173533</v>
      </c>
      <c r="D13" s="34">
        <v>173228</v>
      </c>
      <c r="E13" s="34">
        <v>173083</v>
      </c>
      <c r="F13" s="34">
        <v>173006</v>
      </c>
      <c r="G13" s="34">
        <v>173111</v>
      </c>
      <c r="H13" s="34">
        <v>173435</v>
      </c>
      <c r="I13" s="34">
        <v>173627</v>
      </c>
      <c r="J13" s="34">
        <v>174211</v>
      </c>
      <c r="K13" s="34">
        <v>174987</v>
      </c>
      <c r="L13" s="34">
        <v>175985</v>
      </c>
      <c r="M13" s="34">
        <v>384017</v>
      </c>
      <c r="N13" s="34">
        <v>150069</v>
      </c>
      <c r="O13" s="34">
        <v>147546</v>
      </c>
      <c r="P13" s="34">
        <v>14719.807323911446</v>
      </c>
      <c r="Q13" s="34">
        <v>390952</v>
      </c>
      <c r="R13" s="34">
        <v>155051</v>
      </c>
      <c r="S13" s="34">
        <v>149362</v>
      </c>
      <c r="T13" s="34">
        <v>16187.583358141052</v>
      </c>
      <c r="U13" s="34">
        <v>384595</v>
      </c>
      <c r="V13" s="34">
        <v>165061</v>
      </c>
      <c r="W13" s="34">
        <v>154387</v>
      </c>
      <c r="X13" s="34">
        <v>13468.152775184881</v>
      </c>
      <c r="Y13" s="34">
        <v>450920</v>
      </c>
      <c r="Z13" s="34">
        <v>190105</v>
      </c>
      <c r="AA13" s="34">
        <v>154571</v>
      </c>
      <c r="AB13" s="34">
        <v>13495.567407198108</v>
      </c>
      <c r="AC13" s="34">
        <v>463599</v>
      </c>
      <c r="AD13" s="34">
        <v>198679</v>
      </c>
      <c r="AE13" s="34">
        <v>163137</v>
      </c>
      <c r="AF13" s="34">
        <v>11755</v>
      </c>
      <c r="AG13" s="34">
        <v>431506</v>
      </c>
      <c r="AH13" s="34">
        <v>202198</v>
      </c>
      <c r="AI13" s="34">
        <v>170890</v>
      </c>
      <c r="AJ13" s="34">
        <v>13156</v>
      </c>
      <c r="AK13" s="34">
        <v>430167</v>
      </c>
      <c r="AL13" s="34">
        <v>228194</v>
      </c>
      <c r="AM13" s="34">
        <v>182386</v>
      </c>
      <c r="AN13" s="34">
        <v>13905</v>
      </c>
      <c r="AO13" s="34">
        <v>438452</v>
      </c>
      <c r="AP13" s="34">
        <v>241502</v>
      </c>
      <c r="AQ13" s="34">
        <v>185975</v>
      </c>
      <c r="AR13" s="34">
        <v>14415</v>
      </c>
      <c r="AS13" s="34">
        <v>468532</v>
      </c>
      <c r="AT13" s="34">
        <v>258081</v>
      </c>
      <c r="AU13" s="34">
        <v>206392</v>
      </c>
      <c r="AV13" s="34">
        <v>15895</v>
      </c>
      <c r="AW13" s="34">
        <v>501265</v>
      </c>
      <c r="AX13" s="34">
        <v>269881</v>
      </c>
      <c r="AY13" s="34">
        <v>213499</v>
      </c>
      <c r="AZ13" s="34">
        <v>18444</v>
      </c>
      <c r="BA13" s="34">
        <v>547204</v>
      </c>
      <c r="BB13" s="34">
        <v>302577</v>
      </c>
      <c r="BC13" s="34">
        <v>223950</v>
      </c>
      <c r="BD13" s="34">
        <v>13419</v>
      </c>
      <c r="BE13" s="34">
        <v>308065.45201346179</v>
      </c>
      <c r="BF13" s="34">
        <v>63282.221022481666</v>
      </c>
      <c r="BG13" s="34">
        <v>12600.303074643485</v>
      </c>
      <c r="BH13" s="34">
        <v>313175.00121936249</v>
      </c>
      <c r="BI13" s="34">
        <v>62542.362333977479</v>
      </c>
      <c r="BJ13" s="34">
        <v>15168.364523784296</v>
      </c>
      <c r="BK13" s="34">
        <v>297594.91265160037</v>
      </c>
      <c r="BL13" s="34">
        <v>69516.947456409907</v>
      </c>
      <c r="BM13" s="34">
        <v>17424.437369339004</v>
      </c>
      <c r="BN13" s="34">
        <v>350419</v>
      </c>
      <c r="BO13" s="34">
        <v>81690</v>
      </c>
      <c r="BP13" s="34">
        <v>18754</v>
      </c>
      <c r="BQ13" s="34">
        <v>382256</v>
      </c>
      <c r="BR13" s="34">
        <v>61575</v>
      </c>
      <c r="BS13" s="34">
        <v>19716</v>
      </c>
      <c r="BT13" s="34">
        <v>374681</v>
      </c>
      <c r="BU13" s="34">
        <v>35877</v>
      </c>
      <c r="BV13" s="34">
        <v>20899</v>
      </c>
      <c r="BW13" s="34">
        <v>372210</v>
      </c>
      <c r="BX13" s="34">
        <v>37822</v>
      </c>
      <c r="BY13" s="34">
        <v>20090</v>
      </c>
      <c r="BZ13" s="34">
        <v>384306</v>
      </c>
      <c r="CA13" s="34">
        <v>32016</v>
      </c>
      <c r="CB13" s="34">
        <v>22090</v>
      </c>
      <c r="CC13" s="34">
        <v>410546</v>
      </c>
      <c r="CD13" s="34">
        <v>34346</v>
      </c>
      <c r="CE13" s="34">
        <v>23602</v>
      </c>
      <c r="CF13" s="34">
        <v>435429</v>
      </c>
      <c r="CG13" s="34">
        <v>41427</v>
      </c>
      <c r="CH13" s="34">
        <v>24373</v>
      </c>
      <c r="CI13" s="34">
        <v>473781</v>
      </c>
      <c r="CJ13" s="34">
        <v>47265</v>
      </c>
      <c r="CK13" s="34">
        <v>26158</v>
      </c>
      <c r="CL13" s="34">
        <v>23681.028233707213</v>
      </c>
      <c r="CM13" s="34">
        <v>-53472.492020900005</v>
      </c>
      <c r="CN13" s="34">
        <v>30792.013764499901</v>
      </c>
      <c r="CO13" s="34">
        <v>112235</v>
      </c>
      <c r="CP13" s="34">
        <v>29946.86943403081</v>
      </c>
      <c r="CQ13" s="34">
        <v>-49950.468659699996</v>
      </c>
      <c r="CR13" s="34">
        <v>32756.616933496807</v>
      </c>
      <c r="CS13" s="34">
        <v>124484</v>
      </c>
      <c r="CT13" s="34">
        <v>8949.4477549434632</v>
      </c>
      <c r="CU13" s="34">
        <v>-47621.065874799999</v>
      </c>
      <c r="CV13" s="34">
        <v>35222.588311275489</v>
      </c>
      <c r="CW13" s="34">
        <v>135529</v>
      </c>
      <c r="CX13" s="34">
        <v>53103.319525104569</v>
      </c>
      <c r="CY13" s="34">
        <v>-57048</v>
      </c>
      <c r="CZ13" s="34">
        <v>34660.336073114653</v>
      </c>
      <c r="DA13" s="34">
        <v>151307</v>
      </c>
      <c r="DB13" s="34">
        <v>74412</v>
      </c>
      <c r="DC13" s="34">
        <v>-67128</v>
      </c>
      <c r="DD13" s="34">
        <v>36491</v>
      </c>
      <c r="DE13" s="34">
        <v>144594</v>
      </c>
      <c r="DF13" s="34">
        <v>33986</v>
      </c>
      <c r="DG13" s="34">
        <v>-60382</v>
      </c>
      <c r="DH13" s="34">
        <v>37034</v>
      </c>
      <c r="DI13" s="34">
        <v>164188</v>
      </c>
      <c r="DJ13" s="34">
        <v>30552</v>
      </c>
      <c r="DK13" s="34">
        <v>-57198</v>
      </c>
      <c r="DL13" s="34">
        <v>37648</v>
      </c>
      <c r="DM13" s="34">
        <v>177480</v>
      </c>
      <c r="DN13" s="34">
        <v>20611</v>
      </c>
      <c r="DO13" s="34">
        <v>-59805</v>
      </c>
      <c r="DP13" s="34">
        <v>38740</v>
      </c>
      <c r="DQ13" s="34">
        <v>209830</v>
      </c>
      <c r="DR13" s="34">
        <v>61656</v>
      </c>
      <c r="DS13" s="34">
        <v>-54114</v>
      </c>
      <c r="DT13" s="34">
        <v>40768</v>
      </c>
      <c r="DU13" s="34">
        <v>227875</v>
      </c>
      <c r="DV13" s="34">
        <v>54433</v>
      </c>
      <c r="DW13" s="34">
        <v>-60595</v>
      </c>
      <c r="DX13" s="34">
        <v>41490</v>
      </c>
      <c r="DY13" s="34">
        <v>221410</v>
      </c>
      <c r="DZ13" s="34">
        <v>65503</v>
      </c>
      <c r="EA13" s="34">
        <v>-77007</v>
      </c>
      <c r="EB13" s="34">
        <v>43388</v>
      </c>
      <c r="EC13" s="34">
        <v>246607</v>
      </c>
      <c r="ED13" s="34">
        <v>640405.80382896634</v>
      </c>
      <c r="EE13" s="34">
        <v>-7119.5631150422232</v>
      </c>
      <c r="EF13" s="34">
        <v>649631.58434708614</v>
      </c>
      <c r="EG13" s="34">
        <v>6982.153579123169</v>
      </c>
      <c r="EH13" s="34">
        <v>674680.14861085184</v>
      </c>
      <c r="EI13" s="34">
        <v>-21782.354731883217</v>
      </c>
      <c r="EJ13" s="34">
        <v>718077.00652400963</v>
      </c>
      <c r="EK13" s="34">
        <v>16572.39733388499</v>
      </c>
      <c r="EL13" s="34">
        <v>755734</v>
      </c>
      <c r="EM13" s="34">
        <v>27907</v>
      </c>
      <c r="EN13" s="34">
        <v>777390</v>
      </c>
      <c r="EO13" s="34">
        <v>-3265</v>
      </c>
      <c r="EP13" s="34">
        <v>818571</v>
      </c>
      <c r="EQ13" s="34">
        <v>-6684</v>
      </c>
      <c r="ER13" s="34">
        <v>860235</v>
      </c>
      <c r="ES13" s="34">
        <v>-15196</v>
      </c>
      <c r="ET13" s="34">
        <v>881947</v>
      </c>
      <c r="EU13" s="34">
        <v>16808</v>
      </c>
      <c r="EV13" s="34">
        <v>938459</v>
      </c>
      <c r="EW13" s="34">
        <v>14869</v>
      </c>
      <c r="EX13" s="34">
        <v>1012643</v>
      </c>
      <c r="EY13" s="34">
        <v>24156</v>
      </c>
      <c r="EZ13" s="34">
        <v>64702</v>
      </c>
      <c r="FA13" s="34">
        <v>88960</v>
      </c>
      <c r="FB13" s="34">
        <v>177038</v>
      </c>
      <c r="FC13" s="34">
        <v>556759</v>
      </c>
      <c r="FD13" s="34">
        <v>325746</v>
      </c>
      <c r="FE13" s="34">
        <v>242125</v>
      </c>
      <c r="FF13" s="34">
        <v>19391</v>
      </c>
      <c r="FG13" s="34">
        <v>489379</v>
      </c>
      <c r="FH13" s="34">
        <v>39501</v>
      </c>
      <c r="FI13" s="34">
        <v>27879</v>
      </c>
      <c r="FJ13" s="34">
        <v>62102</v>
      </c>
      <c r="FK13" s="34">
        <v>-79178</v>
      </c>
      <c r="FL13" s="34">
        <v>46755</v>
      </c>
      <c r="FM13" s="34">
        <v>273715</v>
      </c>
      <c r="FN13" s="34">
        <v>79178</v>
      </c>
      <c r="FO13" s="34">
        <v>1076034</v>
      </c>
      <c r="FP13" s="34">
        <v>14830</v>
      </c>
      <c r="FQ13" s="34">
        <v>177946</v>
      </c>
      <c r="FR13" s="34">
        <v>573722</v>
      </c>
      <c r="FS13" s="34">
        <v>324532</v>
      </c>
      <c r="FT13" s="34">
        <v>325365</v>
      </c>
      <c r="FU13" s="34">
        <v>15918</v>
      </c>
      <c r="FV13" s="34">
        <v>492862</v>
      </c>
      <c r="FW13" s="34">
        <v>48744</v>
      </c>
      <c r="FX13" s="34">
        <v>32116</v>
      </c>
      <c r="FY13" s="34">
        <v>68597</v>
      </c>
      <c r="FZ13" s="34">
        <v>-85748</v>
      </c>
      <c r="GA13" s="34">
        <v>49891</v>
      </c>
      <c r="GB13" s="34">
        <v>314670</v>
      </c>
      <c r="GC13" s="34">
        <v>85748</v>
      </c>
      <c r="GD13" s="34">
        <v>1166498</v>
      </c>
      <c r="GE13" s="34">
        <v>17503</v>
      </c>
      <c r="GF13" s="34">
        <v>121748</v>
      </c>
      <c r="GG13" s="57">
        <v>294.5</v>
      </c>
      <c r="GH13" s="34">
        <v>179106</v>
      </c>
      <c r="GI13" s="34">
        <v>606784</v>
      </c>
      <c r="GJ13">
        <v>337674</v>
      </c>
      <c r="GK13">
        <v>338892</v>
      </c>
      <c r="GL13">
        <v>15903</v>
      </c>
      <c r="GM13">
        <v>504465</v>
      </c>
      <c r="GN13">
        <v>69629</v>
      </c>
      <c r="GO13">
        <v>32690</v>
      </c>
      <c r="GP13">
        <v>52865</v>
      </c>
      <c r="GQ13">
        <v>-123040</v>
      </c>
      <c r="GR13">
        <v>51727</v>
      </c>
      <c r="GS13">
        <v>362860</v>
      </c>
      <c r="GT13">
        <v>123040</v>
      </c>
      <c r="GU13">
        <v>1240120</v>
      </c>
      <c r="GV13">
        <v>-1068</v>
      </c>
      <c r="GW13" s="34">
        <v>179663</v>
      </c>
      <c r="GX13" s="34">
        <v>624709</v>
      </c>
      <c r="GY13">
        <v>355555</v>
      </c>
      <c r="GZ13">
        <v>353923</v>
      </c>
      <c r="HA13">
        <v>20107</v>
      </c>
      <c r="HB13">
        <v>530887</v>
      </c>
      <c r="HC13">
        <v>59233</v>
      </c>
      <c r="HD13">
        <v>34589</v>
      </c>
      <c r="HE13">
        <v>39331</v>
      </c>
      <c r="HF13">
        <v>-123005</v>
      </c>
      <c r="HG13">
        <v>57081</v>
      </c>
      <c r="HH13">
        <v>438273</v>
      </c>
      <c r="HI13">
        <v>123005</v>
      </c>
      <c r="HJ13">
        <v>1307198</v>
      </c>
      <c r="HK13">
        <v>-13975</v>
      </c>
      <c r="HL13">
        <v>106885</v>
      </c>
      <c r="HM13" s="57">
        <v>19.8</v>
      </c>
      <c r="HN13" s="190">
        <v>1222.2216615958</v>
      </c>
      <c r="HO13" s="34">
        <v>9460.7390513864575</v>
      </c>
      <c r="HP13" s="34">
        <v>-9862.2036318500832</v>
      </c>
      <c r="HQ13" s="34">
        <v>12805.828720779451</v>
      </c>
      <c r="HR13">
        <v>40657</v>
      </c>
      <c r="HS13">
        <v>37488</v>
      </c>
      <c r="HT13">
        <v>45504</v>
      </c>
      <c r="HU13">
        <v>30438</v>
      </c>
      <c r="HV13">
        <v>49445</v>
      </c>
      <c r="HW13">
        <v>64702</v>
      </c>
      <c r="HX13">
        <v>88960</v>
      </c>
      <c r="HY13">
        <v>103089</v>
      </c>
      <c r="HZ13">
        <v>121748</v>
      </c>
      <c r="IA13" s="34">
        <v>120683</v>
      </c>
      <c r="IB13">
        <v>106885</v>
      </c>
      <c r="IC13">
        <v>173986</v>
      </c>
      <c r="ID13">
        <v>311894</v>
      </c>
      <c r="IE13">
        <v>273596</v>
      </c>
      <c r="IF13" s="57">
        <v>18.45</v>
      </c>
      <c r="IG13" s="57">
        <v>18.566666666666666</v>
      </c>
      <c r="IH13" s="57">
        <v>18.633333333333333</v>
      </c>
      <c r="II13" s="57">
        <v>18.7</v>
      </c>
      <c r="IJ13" s="57">
        <v>18.75</v>
      </c>
      <c r="IK13" s="57">
        <v>18.75</v>
      </c>
      <c r="IL13" s="57">
        <v>18.766666666666666</v>
      </c>
      <c r="IM13" s="57">
        <v>18.916666666666668</v>
      </c>
      <c r="IN13" s="57">
        <v>19.116666666666667</v>
      </c>
      <c r="IO13" s="57">
        <v>19.116666666666667</v>
      </c>
      <c r="IP13" s="57">
        <v>19.183333333333334</v>
      </c>
      <c r="IQ13" s="57">
        <v>19.283333333333335</v>
      </c>
      <c r="IR13" s="57">
        <v>19.633333333333333</v>
      </c>
      <c r="IS13" s="57">
        <v>19.666666666666668</v>
      </c>
      <c r="IT13" s="57">
        <v>19.8</v>
      </c>
      <c r="IU13" s="57">
        <v>20.116666666666667</v>
      </c>
      <c r="IV13" s="57">
        <v>20.516666666666666</v>
      </c>
      <c r="IW13" s="57">
        <v>20.883333333333333</v>
      </c>
      <c r="IX13">
        <v>180384</v>
      </c>
      <c r="IY13">
        <v>366375</v>
      </c>
      <c r="IZ13">
        <v>1341046</v>
      </c>
      <c r="JA13" s="34">
        <v>1315490</v>
      </c>
      <c r="JB13" s="34">
        <v>351879</v>
      </c>
      <c r="JC13">
        <v>15338</v>
      </c>
      <c r="JD13">
        <v>45292</v>
      </c>
      <c r="JE13">
        <v>61418</v>
      </c>
      <c r="JF13">
        <v>-108912</v>
      </c>
      <c r="JG13">
        <v>-16207</v>
      </c>
      <c r="JH13">
        <v>-14096</v>
      </c>
      <c r="JI13" s="34">
        <v>560227</v>
      </c>
      <c r="JJ13" s="173">
        <v>60783</v>
      </c>
      <c r="JK13" s="34">
        <v>36735</v>
      </c>
      <c r="JL13">
        <v>495099</v>
      </c>
      <c r="JM13">
        <v>181156</v>
      </c>
      <c r="JN13">
        <v>431750</v>
      </c>
      <c r="JO13" s="173">
        <v>1341211</v>
      </c>
      <c r="JP13" s="34">
        <v>1360672</v>
      </c>
      <c r="JQ13" s="34">
        <v>348589</v>
      </c>
      <c r="JR13" s="34">
        <v>19546</v>
      </c>
      <c r="JS13" s="173">
        <v>127403</v>
      </c>
      <c r="JT13">
        <v>67093</v>
      </c>
      <c r="JU13">
        <v>-19258</v>
      </c>
      <c r="JV13" s="173">
        <v>67968</v>
      </c>
      <c r="JW13" s="34">
        <v>580205</v>
      </c>
      <c r="JX13" s="173">
        <v>57792</v>
      </c>
      <c r="JY13" s="34">
        <v>42339</v>
      </c>
      <c r="JZ13">
        <v>513494</v>
      </c>
      <c r="KA13">
        <v>181679</v>
      </c>
      <c r="KB13">
        <v>330139</v>
      </c>
      <c r="KC13" s="173">
        <v>1331458</v>
      </c>
      <c r="KD13" s="34">
        <v>1382580</v>
      </c>
      <c r="KE13" s="34">
        <v>343151</v>
      </c>
      <c r="KF13" s="34">
        <v>27242</v>
      </c>
      <c r="KG13" s="173">
        <v>42256</v>
      </c>
      <c r="KH13">
        <v>63919</v>
      </c>
      <c r="KI13" s="173">
        <v>-90909</v>
      </c>
      <c r="KJ13" s="173">
        <v>-19153</v>
      </c>
      <c r="KK13" s="34">
        <v>583461</v>
      </c>
      <c r="KL13" s="173">
        <v>60635</v>
      </c>
      <c r="KM13" s="34">
        <v>47194</v>
      </c>
      <c r="KN13">
        <v>524712</v>
      </c>
      <c r="KO13">
        <v>181441</v>
      </c>
      <c r="KP13">
        <v>692584</v>
      </c>
      <c r="KQ13">
        <v>369929</v>
      </c>
      <c r="KR13">
        <v>323774</v>
      </c>
      <c r="KS13">
        <v>16850</v>
      </c>
      <c r="KT13">
        <v>587296</v>
      </c>
      <c r="KU13">
        <v>57386</v>
      </c>
      <c r="KV13">
        <v>47902</v>
      </c>
      <c r="KW13">
        <v>70186</v>
      </c>
      <c r="KX13">
        <v>-85034</v>
      </c>
      <c r="KY13">
        <v>65782</v>
      </c>
      <c r="KZ13">
        <v>557657</v>
      </c>
      <c r="LA13">
        <v>1328395</v>
      </c>
      <c r="LB13">
        <v>1430</v>
      </c>
      <c r="LC13">
        <v>138495</v>
      </c>
      <c r="LD13" s="57">
        <v>20.95</v>
      </c>
      <c r="LE13">
        <v>180945</v>
      </c>
      <c r="LF13" s="34">
        <v>691756</v>
      </c>
      <c r="LG13" s="34">
        <v>364352</v>
      </c>
      <c r="LH13">
        <v>312174</v>
      </c>
      <c r="LI13" s="173">
        <v>11974</v>
      </c>
      <c r="LJ13" s="34">
        <v>581594</v>
      </c>
      <c r="LK13" s="173">
        <v>60788</v>
      </c>
      <c r="LL13" s="34">
        <v>49374</v>
      </c>
      <c r="LM13" s="173">
        <v>81428</v>
      </c>
      <c r="LN13" s="173">
        <v>-107916</v>
      </c>
      <c r="LO13">
        <v>68761</v>
      </c>
      <c r="LP13">
        <v>591632</v>
      </c>
      <c r="LQ13" s="173">
        <v>1298682</v>
      </c>
      <c r="LR13" s="173">
        <v>9844</v>
      </c>
      <c r="LS13" s="173">
        <v>148424</v>
      </c>
      <c r="LT13" s="57">
        <v>21.033333333333335</v>
      </c>
      <c r="LU13">
        <v>180794</v>
      </c>
      <c r="LV13" s="34">
        <v>674899</v>
      </c>
      <c r="LW13" s="34">
        <v>369407</v>
      </c>
      <c r="LX13" s="172">
        <v>318254</v>
      </c>
      <c r="LY13" s="173">
        <v>15680</v>
      </c>
      <c r="LZ13" s="34">
        <v>571402</v>
      </c>
      <c r="MA13" s="173">
        <v>52049</v>
      </c>
      <c r="MB13" s="34">
        <v>51448</v>
      </c>
      <c r="MC13" s="173">
        <v>46623</v>
      </c>
      <c r="MD13" s="34">
        <v>-97487</v>
      </c>
      <c r="ME13">
        <v>69286</v>
      </c>
      <c r="MF13">
        <v>628618</v>
      </c>
      <c r="MG13" s="173">
        <v>1331617</v>
      </c>
      <c r="MH13" s="173">
        <v>-21160</v>
      </c>
      <c r="MI13" s="173">
        <v>126997</v>
      </c>
      <c r="MJ13" s="57">
        <v>21.1</v>
      </c>
    </row>
    <row r="14" spans="1:348" x14ac:dyDescent="0.2">
      <c r="A14" t="s">
        <v>116</v>
      </c>
      <c r="B14" s="34">
        <v>173664</v>
      </c>
      <c r="C14" s="34">
        <v>172551</v>
      </c>
      <c r="D14" s="34">
        <v>171609</v>
      </c>
      <c r="E14" s="34">
        <v>170793</v>
      </c>
      <c r="F14" s="34">
        <v>169722</v>
      </c>
      <c r="G14" s="34">
        <v>169129</v>
      </c>
      <c r="H14" s="34">
        <v>168615</v>
      </c>
      <c r="I14" s="34">
        <v>168318</v>
      </c>
      <c r="J14" s="34">
        <v>167519</v>
      </c>
      <c r="K14" s="34">
        <v>166744</v>
      </c>
      <c r="L14" s="34">
        <v>166129</v>
      </c>
      <c r="M14" s="34">
        <v>329544</v>
      </c>
      <c r="N14" s="34">
        <v>168467</v>
      </c>
      <c r="O14" s="34">
        <v>120749</v>
      </c>
      <c r="P14" s="34">
        <v>9572.7522104098243</v>
      </c>
      <c r="Q14" s="34">
        <v>330030</v>
      </c>
      <c r="R14" s="34">
        <v>169870</v>
      </c>
      <c r="S14" s="34">
        <v>118242</v>
      </c>
      <c r="T14" s="34">
        <v>10568.929298841356</v>
      </c>
      <c r="U14" s="34">
        <v>333082</v>
      </c>
      <c r="V14" s="34">
        <v>178818</v>
      </c>
      <c r="W14" s="34">
        <v>118678</v>
      </c>
      <c r="X14" s="34">
        <v>10620.731180191498</v>
      </c>
      <c r="Y14" s="34">
        <v>362990</v>
      </c>
      <c r="Z14" s="34">
        <v>217296</v>
      </c>
      <c r="AA14" s="34">
        <v>125036</v>
      </c>
      <c r="AB14" s="34">
        <v>10923.469447822215</v>
      </c>
      <c r="AC14" s="34">
        <v>367932</v>
      </c>
      <c r="AD14" s="34">
        <v>231343</v>
      </c>
      <c r="AE14" s="34">
        <v>131166</v>
      </c>
      <c r="AF14" s="34">
        <v>11441</v>
      </c>
      <c r="AG14" s="34">
        <v>348992</v>
      </c>
      <c r="AH14" s="34">
        <v>248490</v>
      </c>
      <c r="AI14" s="34">
        <v>139107</v>
      </c>
      <c r="AJ14" s="34">
        <v>12266</v>
      </c>
      <c r="AK14" s="34">
        <v>360110</v>
      </c>
      <c r="AL14" s="34">
        <v>255728</v>
      </c>
      <c r="AM14" s="34">
        <v>146418</v>
      </c>
      <c r="AN14" s="34">
        <v>13420</v>
      </c>
      <c r="AO14" s="34">
        <v>376375</v>
      </c>
      <c r="AP14" s="34">
        <v>261371</v>
      </c>
      <c r="AQ14" s="34">
        <v>161881</v>
      </c>
      <c r="AR14" s="34">
        <v>12546</v>
      </c>
      <c r="AS14" s="34">
        <v>400309</v>
      </c>
      <c r="AT14" s="34">
        <v>283781</v>
      </c>
      <c r="AU14" s="34">
        <v>169886</v>
      </c>
      <c r="AV14" s="34">
        <v>9202</v>
      </c>
      <c r="AW14" s="34">
        <v>417964</v>
      </c>
      <c r="AX14" s="34">
        <v>291972</v>
      </c>
      <c r="AY14" s="34">
        <v>183289</v>
      </c>
      <c r="AZ14" s="34">
        <v>12583</v>
      </c>
      <c r="BA14" s="34">
        <v>446726</v>
      </c>
      <c r="BB14" s="34">
        <v>321100</v>
      </c>
      <c r="BC14" s="34">
        <v>192744</v>
      </c>
      <c r="BD14" s="34">
        <v>5156</v>
      </c>
      <c r="BE14" s="34">
        <v>261292.89422829493</v>
      </c>
      <c r="BF14" s="34">
        <v>55767.920844034277</v>
      </c>
      <c r="BG14" s="34">
        <v>12409.577966036131</v>
      </c>
      <c r="BH14" s="34">
        <v>263332.17283664068</v>
      </c>
      <c r="BI14" s="34">
        <v>52006.73424457552</v>
      </c>
      <c r="BJ14" s="34">
        <v>14668.846382193606</v>
      </c>
      <c r="BK14" s="34">
        <v>254387.77071949112</v>
      </c>
      <c r="BL14" s="34">
        <v>62706.345562277449</v>
      </c>
      <c r="BM14" s="34">
        <v>15966.248046917706</v>
      </c>
      <c r="BN14" s="34">
        <v>295705</v>
      </c>
      <c r="BO14" s="34">
        <v>49867</v>
      </c>
      <c r="BP14" s="34">
        <v>17415</v>
      </c>
      <c r="BQ14" s="34">
        <v>318689</v>
      </c>
      <c r="BR14" s="34">
        <v>31370</v>
      </c>
      <c r="BS14" s="34">
        <v>17873</v>
      </c>
      <c r="BT14" s="34">
        <v>311471</v>
      </c>
      <c r="BU14" s="34">
        <v>19425</v>
      </c>
      <c r="BV14" s="34">
        <v>18096</v>
      </c>
      <c r="BW14" s="34">
        <v>319470</v>
      </c>
      <c r="BX14" s="34">
        <v>22607</v>
      </c>
      <c r="BY14" s="34">
        <v>18033</v>
      </c>
      <c r="BZ14" s="34">
        <v>329619</v>
      </c>
      <c r="CA14" s="34">
        <v>27648</v>
      </c>
      <c r="CB14" s="34">
        <v>19108</v>
      </c>
      <c r="CC14" s="34">
        <v>346304</v>
      </c>
      <c r="CD14" s="34">
        <v>32135</v>
      </c>
      <c r="CE14" s="34">
        <v>21870</v>
      </c>
      <c r="CF14" s="34">
        <v>357002</v>
      </c>
      <c r="CG14" s="34">
        <v>38150</v>
      </c>
      <c r="CH14" s="34">
        <v>22812</v>
      </c>
      <c r="CI14" s="34">
        <v>384120</v>
      </c>
      <c r="CJ14" s="34">
        <v>38229</v>
      </c>
      <c r="CK14" s="34">
        <v>24377</v>
      </c>
      <c r="CL14" s="34">
        <v>28652.999715762406</v>
      </c>
      <c r="CM14" s="34">
        <v>-27520.422219097003</v>
      </c>
      <c r="CN14" s="34">
        <v>26043.900412564984</v>
      </c>
      <c r="CO14" s="34">
        <v>122467</v>
      </c>
      <c r="CP14" s="34">
        <v>28268.017552092013</v>
      </c>
      <c r="CQ14" s="34">
        <v>-31590.570038840004</v>
      </c>
      <c r="CR14" s="34">
        <v>26763.071986114406</v>
      </c>
      <c r="CS14" s="34">
        <v>116096</v>
      </c>
      <c r="CT14" s="34">
        <v>15523.241048618083</v>
      </c>
      <c r="CU14" s="34">
        <v>48555.181616920003</v>
      </c>
      <c r="CV14" s="34">
        <v>27153.26797550511</v>
      </c>
      <c r="CW14" s="34">
        <v>111153</v>
      </c>
      <c r="CX14" s="34">
        <v>41407.867494824015</v>
      </c>
      <c r="CY14" s="34">
        <v>-40394</v>
      </c>
      <c r="CZ14" s="34">
        <v>28362.707354689832</v>
      </c>
      <c r="DA14" s="34">
        <v>113260</v>
      </c>
      <c r="DB14" s="34">
        <v>66718</v>
      </c>
      <c r="DC14" s="34">
        <v>-40997</v>
      </c>
      <c r="DD14" s="34">
        <v>30761</v>
      </c>
      <c r="DE14" s="34">
        <v>106886</v>
      </c>
      <c r="DF14" s="34">
        <v>36339</v>
      </c>
      <c r="DG14" s="34">
        <v>-52673</v>
      </c>
      <c r="DH14" s="34">
        <v>31058</v>
      </c>
      <c r="DI14" s="34">
        <v>113847</v>
      </c>
      <c r="DJ14" s="34">
        <v>28569</v>
      </c>
      <c r="DK14" s="34">
        <v>-56136</v>
      </c>
      <c r="DL14" s="34">
        <v>33158</v>
      </c>
      <c r="DM14" s="34">
        <v>137532</v>
      </c>
      <c r="DN14" s="34">
        <v>29576</v>
      </c>
      <c r="DO14" s="34">
        <v>-43129</v>
      </c>
      <c r="DP14" s="34">
        <v>35769</v>
      </c>
      <c r="DQ14" s="34">
        <v>151777</v>
      </c>
      <c r="DR14" s="34">
        <v>46008</v>
      </c>
      <c r="DS14" s="34">
        <v>-54419</v>
      </c>
      <c r="DT14" s="34">
        <v>35761</v>
      </c>
      <c r="DU14" s="34">
        <v>168761</v>
      </c>
      <c r="DV14" s="34">
        <v>39451</v>
      </c>
      <c r="DW14" s="34">
        <v>-45890</v>
      </c>
      <c r="DX14" s="34">
        <v>37205</v>
      </c>
      <c r="DY14" s="34">
        <v>178847</v>
      </c>
      <c r="DZ14" s="34">
        <v>40300</v>
      </c>
      <c r="EA14" s="34">
        <v>-59909</v>
      </c>
      <c r="EB14" s="34">
        <v>38956</v>
      </c>
      <c r="EC14" s="34">
        <v>198160</v>
      </c>
      <c r="ED14" s="34">
        <v>563885.34292677278</v>
      </c>
      <c r="EE14" s="34">
        <v>3141.9186542274874</v>
      </c>
      <c r="EF14" s="34">
        <v>567262.89286597283</v>
      </c>
      <c r="EG14" s="34">
        <v>-2474.2125861752884</v>
      </c>
      <c r="EH14" s="34">
        <v>588859.5681270425</v>
      </c>
      <c r="EI14" s="34">
        <v>-7808.9654256079575</v>
      </c>
      <c r="EJ14" s="34">
        <v>636891.34891762666</v>
      </c>
      <c r="EK14" s="34">
        <v>7660.9600503218253</v>
      </c>
      <c r="EL14" s="34">
        <v>668075</v>
      </c>
      <c r="EM14" s="34">
        <v>21126</v>
      </c>
      <c r="EN14" s="34">
        <v>707311</v>
      </c>
      <c r="EO14" s="34">
        <v>3388</v>
      </c>
      <c r="EP14" s="34">
        <v>739837</v>
      </c>
      <c r="EQ14" s="34">
        <v>-3835</v>
      </c>
      <c r="ER14" s="34">
        <v>778607</v>
      </c>
      <c r="ES14" s="34">
        <v>-6376</v>
      </c>
      <c r="ET14" s="34">
        <v>814299</v>
      </c>
      <c r="EU14" s="34">
        <v>7302</v>
      </c>
      <c r="EV14" s="34">
        <v>857805</v>
      </c>
      <c r="EW14" s="34">
        <v>3494</v>
      </c>
      <c r="EX14" s="34">
        <v>918748</v>
      </c>
      <c r="EY14" s="34">
        <v>-1368</v>
      </c>
      <c r="EZ14" s="34">
        <v>33149</v>
      </c>
      <c r="FA14" s="34">
        <v>35910</v>
      </c>
      <c r="FB14" s="34">
        <v>165962</v>
      </c>
      <c r="FC14" s="34">
        <v>442694</v>
      </c>
      <c r="FD14" s="34">
        <v>346949</v>
      </c>
      <c r="FE14" s="34">
        <v>248976</v>
      </c>
      <c r="FF14" s="34">
        <v>9080</v>
      </c>
      <c r="FG14" s="34">
        <v>386586</v>
      </c>
      <c r="FH14" s="34">
        <v>29873</v>
      </c>
      <c r="FI14" s="34">
        <v>26235</v>
      </c>
      <c r="FJ14" s="34">
        <v>46859</v>
      </c>
      <c r="FK14" s="34">
        <v>-69399</v>
      </c>
      <c r="FL14" s="34">
        <v>39158</v>
      </c>
      <c r="FM14" s="34">
        <v>225045</v>
      </c>
      <c r="FN14" s="34">
        <v>69399</v>
      </c>
      <c r="FO14" s="34">
        <v>997331</v>
      </c>
      <c r="FP14" s="34">
        <v>3663</v>
      </c>
      <c r="FQ14" s="34">
        <v>165866</v>
      </c>
      <c r="FR14" s="34">
        <v>461355</v>
      </c>
      <c r="FS14" s="34">
        <v>372621</v>
      </c>
      <c r="FT14" s="34">
        <v>269214</v>
      </c>
      <c r="FU14" s="34">
        <v>7214</v>
      </c>
      <c r="FV14" s="34">
        <v>394430</v>
      </c>
      <c r="FW14" s="34">
        <v>36956</v>
      </c>
      <c r="FX14" s="34">
        <v>29969</v>
      </c>
      <c r="FY14" s="34">
        <v>64541</v>
      </c>
      <c r="FZ14" s="34">
        <v>-67865</v>
      </c>
      <c r="GA14" s="34">
        <v>41783</v>
      </c>
      <c r="GB14" s="34">
        <v>235233</v>
      </c>
      <c r="GC14" s="34">
        <v>67865</v>
      </c>
      <c r="GD14" s="34">
        <v>1043051</v>
      </c>
      <c r="GE14" s="34">
        <v>16744</v>
      </c>
      <c r="GF14" s="34">
        <v>56150</v>
      </c>
      <c r="GG14" s="57">
        <v>256.75</v>
      </c>
      <c r="GH14" s="34">
        <v>165906</v>
      </c>
      <c r="GI14" s="34">
        <v>471711</v>
      </c>
      <c r="GJ14">
        <v>380178</v>
      </c>
      <c r="GK14">
        <v>276707</v>
      </c>
      <c r="GL14">
        <v>4800</v>
      </c>
      <c r="GM14">
        <v>400824</v>
      </c>
      <c r="GN14">
        <v>40667</v>
      </c>
      <c r="GO14">
        <v>30220</v>
      </c>
      <c r="GP14">
        <v>44948</v>
      </c>
      <c r="GQ14">
        <v>-67063</v>
      </c>
      <c r="GR14">
        <v>41934</v>
      </c>
      <c r="GS14">
        <v>250747</v>
      </c>
      <c r="GT14">
        <v>67063</v>
      </c>
      <c r="GU14">
        <v>1084241</v>
      </c>
      <c r="GV14">
        <v>5873</v>
      </c>
      <c r="GW14" s="34">
        <v>165754</v>
      </c>
      <c r="GX14" s="34">
        <v>477174</v>
      </c>
      <c r="GY14">
        <v>394930</v>
      </c>
      <c r="GZ14">
        <v>270901</v>
      </c>
      <c r="HA14">
        <v>7217</v>
      </c>
      <c r="HB14">
        <v>417155</v>
      </c>
      <c r="HC14">
        <v>27544</v>
      </c>
      <c r="HD14">
        <v>32475</v>
      </c>
      <c r="HE14">
        <v>19013</v>
      </c>
      <c r="HF14">
        <v>-52936</v>
      </c>
      <c r="HG14">
        <v>43967</v>
      </c>
      <c r="HH14">
        <v>277606</v>
      </c>
      <c r="HI14">
        <v>52936</v>
      </c>
      <c r="HJ14">
        <v>1127263</v>
      </c>
      <c r="HK14">
        <v>-23295</v>
      </c>
      <c r="HL14">
        <v>38486</v>
      </c>
      <c r="HM14" s="57">
        <v>20.192307692307693</v>
      </c>
      <c r="HN14" s="190">
        <v>-570.82982241036962</v>
      </c>
      <c r="HO14" s="34">
        <v>-1307.3247523853245</v>
      </c>
      <c r="HP14" s="34">
        <v>-6052.0743457910121</v>
      </c>
      <c r="HQ14" s="34">
        <v>3513.1094079280429</v>
      </c>
      <c r="HR14">
        <v>24483</v>
      </c>
      <c r="HS14">
        <v>27622</v>
      </c>
      <c r="HT14">
        <v>33719</v>
      </c>
      <c r="HU14">
        <v>21486</v>
      </c>
      <c r="HV14">
        <v>29721</v>
      </c>
      <c r="HW14">
        <v>34188</v>
      </c>
      <c r="HX14">
        <v>38455</v>
      </c>
      <c r="HY14">
        <v>39231</v>
      </c>
      <c r="HZ14">
        <v>56150</v>
      </c>
      <c r="IA14" s="34">
        <v>61878</v>
      </c>
      <c r="IB14">
        <v>38486</v>
      </c>
      <c r="IC14">
        <v>89092</v>
      </c>
      <c r="ID14">
        <v>135732</v>
      </c>
      <c r="IE14">
        <v>185572</v>
      </c>
      <c r="IF14" s="57">
        <v>18.153846153846153</v>
      </c>
      <c r="IG14" s="57">
        <v>18.442307692307693</v>
      </c>
      <c r="IH14" s="57">
        <v>18.53846153846154</v>
      </c>
      <c r="II14" s="57">
        <v>18.53846153846154</v>
      </c>
      <c r="IJ14" s="57">
        <v>18.653846153846153</v>
      </c>
      <c r="IK14" s="57">
        <v>18.76923076923077</v>
      </c>
      <c r="IL14" s="57">
        <v>18.846153846153847</v>
      </c>
      <c r="IM14" s="57">
        <v>19.173076923076923</v>
      </c>
      <c r="IN14" s="57">
        <v>19.23076923076923</v>
      </c>
      <c r="IO14" s="57">
        <v>19.28846153846154</v>
      </c>
      <c r="IP14" s="57">
        <v>19.28846153846154</v>
      </c>
      <c r="IQ14" s="57">
        <v>19.576923076923077</v>
      </c>
      <c r="IR14" s="57">
        <v>19.75</v>
      </c>
      <c r="IS14" s="57">
        <v>19.942307692307693</v>
      </c>
      <c r="IT14" s="57">
        <v>20.192307692307693</v>
      </c>
      <c r="IU14" s="57">
        <v>20.307692307692307</v>
      </c>
      <c r="IV14" s="57">
        <v>20.826923076923077</v>
      </c>
      <c r="IW14" s="57">
        <v>20.96153846153846</v>
      </c>
      <c r="IX14">
        <v>165445</v>
      </c>
      <c r="IY14">
        <v>276871</v>
      </c>
      <c r="IZ14">
        <v>1116836</v>
      </c>
      <c r="JA14" s="34">
        <v>1009824</v>
      </c>
      <c r="JB14" s="34">
        <v>383890</v>
      </c>
      <c r="JC14">
        <v>11972</v>
      </c>
      <c r="JD14">
        <v>53330</v>
      </c>
      <c r="JE14">
        <v>48028</v>
      </c>
      <c r="JF14">
        <v>-64401</v>
      </c>
      <c r="JG14">
        <v>8736</v>
      </c>
      <c r="JH14">
        <v>8189</v>
      </c>
      <c r="JI14" s="34">
        <v>438666</v>
      </c>
      <c r="JJ14" s="173">
        <v>31347</v>
      </c>
      <c r="JK14" s="34">
        <v>34899</v>
      </c>
      <c r="JL14">
        <v>298264</v>
      </c>
      <c r="JM14">
        <v>165258</v>
      </c>
      <c r="JN14">
        <v>290921</v>
      </c>
      <c r="JO14" s="173">
        <v>1145090</v>
      </c>
      <c r="JP14" s="34">
        <v>1072714</v>
      </c>
      <c r="JQ14" s="34">
        <v>388868</v>
      </c>
      <c r="JR14" s="34">
        <v>11549</v>
      </c>
      <c r="JS14" s="173">
        <v>76694</v>
      </c>
      <c r="JT14">
        <v>49936</v>
      </c>
      <c r="JU14">
        <v>-80517</v>
      </c>
      <c r="JV14" s="173">
        <v>23320</v>
      </c>
      <c r="JW14" s="34">
        <v>461314</v>
      </c>
      <c r="JX14" s="173">
        <v>35921</v>
      </c>
      <c r="JY14" s="34">
        <v>39122</v>
      </c>
      <c r="JZ14">
        <v>321791</v>
      </c>
      <c r="KA14">
        <v>164755</v>
      </c>
      <c r="KB14">
        <v>294391</v>
      </c>
      <c r="KC14" s="173">
        <v>1168404</v>
      </c>
      <c r="KD14" s="34">
        <v>1104678</v>
      </c>
      <c r="KE14" s="34">
        <v>391411</v>
      </c>
      <c r="KF14" s="34">
        <v>18637</v>
      </c>
      <c r="KG14" s="173">
        <v>73464</v>
      </c>
      <c r="KH14">
        <v>54253</v>
      </c>
      <c r="KI14" s="173">
        <v>-77040</v>
      </c>
      <c r="KJ14" s="173">
        <v>24911</v>
      </c>
      <c r="KK14" s="34">
        <v>471414</v>
      </c>
      <c r="KL14" s="173">
        <v>41512</v>
      </c>
      <c r="KM14" s="34">
        <v>39413</v>
      </c>
      <c r="KN14">
        <v>317243</v>
      </c>
      <c r="KO14">
        <v>164085</v>
      </c>
      <c r="KP14">
        <v>545524</v>
      </c>
      <c r="KQ14">
        <v>413821</v>
      </c>
      <c r="KR14">
        <v>291441</v>
      </c>
      <c r="KS14">
        <v>8364</v>
      </c>
      <c r="KT14">
        <v>465586</v>
      </c>
      <c r="KU14">
        <v>37792</v>
      </c>
      <c r="KV14">
        <v>42146</v>
      </c>
      <c r="KW14">
        <v>72826</v>
      </c>
      <c r="KX14">
        <v>-66062</v>
      </c>
      <c r="KY14">
        <v>58024</v>
      </c>
      <c r="KZ14">
        <v>339727</v>
      </c>
      <c r="LA14">
        <v>1183664</v>
      </c>
      <c r="LB14">
        <v>18411</v>
      </c>
      <c r="LC14">
        <v>111192</v>
      </c>
      <c r="LD14" s="57">
        <v>21.096153846153847</v>
      </c>
      <c r="LE14">
        <v>162986</v>
      </c>
      <c r="LF14" s="34">
        <v>546587</v>
      </c>
      <c r="LG14" s="34">
        <v>411519</v>
      </c>
      <c r="LH14">
        <v>173651</v>
      </c>
      <c r="LI14" s="173">
        <v>15123</v>
      </c>
      <c r="LJ14" s="34">
        <v>459862</v>
      </c>
      <c r="LK14" s="173">
        <v>45877</v>
      </c>
      <c r="LL14" s="34">
        <v>40848</v>
      </c>
      <c r="LM14" s="173">
        <v>97120</v>
      </c>
      <c r="LN14" s="173">
        <v>-60480</v>
      </c>
      <c r="LO14">
        <v>67780</v>
      </c>
      <c r="LP14">
        <v>368094</v>
      </c>
      <c r="LQ14" s="173">
        <v>1040995</v>
      </c>
      <c r="LR14" s="173">
        <v>23959</v>
      </c>
      <c r="LS14" s="173">
        <v>134778</v>
      </c>
      <c r="LT14" s="57">
        <v>21.01923076923077</v>
      </c>
      <c r="LU14">
        <v>162240</v>
      </c>
      <c r="LV14" s="34">
        <v>532503</v>
      </c>
      <c r="LW14" s="34">
        <v>409368</v>
      </c>
      <c r="LX14" s="172">
        <v>168422</v>
      </c>
      <c r="LY14" s="173">
        <v>3592</v>
      </c>
      <c r="LZ14" s="34">
        <v>448527</v>
      </c>
      <c r="MA14" s="173">
        <v>42684</v>
      </c>
      <c r="MB14" s="34">
        <v>41292</v>
      </c>
      <c r="MC14" s="173">
        <v>58393</v>
      </c>
      <c r="MD14" s="34">
        <v>-66067</v>
      </c>
      <c r="ME14">
        <v>59298</v>
      </c>
      <c r="MF14">
        <v>371206</v>
      </c>
      <c r="MG14" s="173">
        <v>1055456</v>
      </c>
      <c r="MH14" s="173">
        <v>457</v>
      </c>
      <c r="MI14" s="173">
        <v>135239</v>
      </c>
      <c r="MJ14" s="57">
        <v>21.01923076923077</v>
      </c>
    </row>
    <row r="15" spans="1:348" x14ac:dyDescent="0.2">
      <c r="A15" t="s">
        <v>117</v>
      </c>
      <c r="B15" s="34">
        <v>368302</v>
      </c>
      <c r="C15" s="34">
        <v>369827</v>
      </c>
      <c r="D15" s="34">
        <v>372639</v>
      </c>
      <c r="E15" s="34">
        <v>375182</v>
      </c>
      <c r="F15" s="34">
        <v>377045</v>
      </c>
      <c r="G15" s="34">
        <v>378903</v>
      </c>
      <c r="H15" s="34">
        <v>381792</v>
      </c>
      <c r="I15" s="34">
        <v>384808</v>
      </c>
      <c r="J15" s="34">
        <v>387320</v>
      </c>
      <c r="K15" s="34">
        <v>390038</v>
      </c>
      <c r="L15" s="34">
        <v>392652</v>
      </c>
      <c r="M15" s="34">
        <v>705553</v>
      </c>
      <c r="N15" s="34">
        <v>347730</v>
      </c>
      <c r="O15" s="34">
        <v>320814</v>
      </c>
      <c r="P15" s="34">
        <v>18213.575120296413</v>
      </c>
      <c r="Q15" s="34">
        <v>738727</v>
      </c>
      <c r="R15" s="34">
        <v>354711</v>
      </c>
      <c r="S15" s="34">
        <v>328381</v>
      </c>
      <c r="T15" s="34">
        <v>27495.194030001363</v>
      </c>
      <c r="U15" s="34">
        <v>791532</v>
      </c>
      <c r="V15" s="34">
        <v>375041</v>
      </c>
      <c r="W15" s="34">
        <v>338589</v>
      </c>
      <c r="X15" s="34">
        <v>19557.564840650353</v>
      </c>
      <c r="Y15" s="34">
        <v>890243</v>
      </c>
      <c r="Z15" s="34">
        <v>398309</v>
      </c>
      <c r="AA15" s="34">
        <v>362975</v>
      </c>
      <c r="AB15" s="34">
        <v>21166.786921034087</v>
      </c>
      <c r="AC15" s="34">
        <v>900692</v>
      </c>
      <c r="AD15" s="34">
        <v>427125</v>
      </c>
      <c r="AE15" s="34">
        <v>398596</v>
      </c>
      <c r="AF15" s="34">
        <v>18073</v>
      </c>
      <c r="AG15" s="34">
        <v>870948</v>
      </c>
      <c r="AH15" s="34">
        <v>438847</v>
      </c>
      <c r="AI15" s="34">
        <v>435298</v>
      </c>
      <c r="AJ15" s="34">
        <v>32017</v>
      </c>
      <c r="AK15" s="34">
        <v>888185</v>
      </c>
      <c r="AL15" s="34">
        <v>457943</v>
      </c>
      <c r="AM15" s="34">
        <v>464778</v>
      </c>
      <c r="AN15" s="34">
        <v>24857</v>
      </c>
      <c r="AO15" s="34">
        <v>935199</v>
      </c>
      <c r="AP15" s="34">
        <v>489251</v>
      </c>
      <c r="AQ15" s="34">
        <v>484668</v>
      </c>
      <c r="AR15" s="34">
        <v>26278</v>
      </c>
      <c r="AS15" s="34">
        <v>996355</v>
      </c>
      <c r="AT15" s="34">
        <v>522575</v>
      </c>
      <c r="AU15" s="34">
        <v>550754</v>
      </c>
      <c r="AV15" s="34">
        <v>34131</v>
      </c>
      <c r="AW15" s="34">
        <v>1077228</v>
      </c>
      <c r="AX15" s="34">
        <v>550266</v>
      </c>
      <c r="AY15" s="34">
        <v>548486</v>
      </c>
      <c r="AZ15" s="34">
        <v>89998</v>
      </c>
      <c r="BA15" s="34">
        <v>1146617</v>
      </c>
      <c r="BB15" s="34">
        <v>608176</v>
      </c>
      <c r="BC15" s="34">
        <v>601525</v>
      </c>
      <c r="BD15" s="34">
        <v>7668</v>
      </c>
      <c r="BE15" s="34">
        <v>602636.85031106335</v>
      </c>
      <c r="BF15" s="34">
        <v>78059.380429316487</v>
      </c>
      <c r="BG15" s="34">
        <v>24748.853378811342</v>
      </c>
      <c r="BH15" s="34">
        <v>615773.3364952663</v>
      </c>
      <c r="BI15" s="34">
        <v>94267.314526559407</v>
      </c>
      <c r="BJ15" s="34">
        <v>28581.519847016258</v>
      </c>
      <c r="BK15" s="34">
        <v>623892.77683312213</v>
      </c>
      <c r="BL15" s="34">
        <v>137029.93576903088</v>
      </c>
      <c r="BM15" s="34">
        <v>30512.48543072087</v>
      </c>
      <c r="BN15" s="34">
        <v>716939</v>
      </c>
      <c r="BO15" s="34">
        <v>140205</v>
      </c>
      <c r="BP15" s="34">
        <v>33024</v>
      </c>
      <c r="BQ15" s="34">
        <v>778809</v>
      </c>
      <c r="BR15" s="34">
        <v>87318</v>
      </c>
      <c r="BS15" s="34">
        <v>34518</v>
      </c>
      <c r="BT15" s="34">
        <v>770916</v>
      </c>
      <c r="BU15" s="34">
        <v>64337</v>
      </c>
      <c r="BV15" s="34">
        <v>35679</v>
      </c>
      <c r="BW15" s="34">
        <v>780782</v>
      </c>
      <c r="BX15" s="34">
        <v>70181</v>
      </c>
      <c r="BY15" s="34">
        <v>37218</v>
      </c>
      <c r="BZ15" s="34">
        <v>810168</v>
      </c>
      <c r="CA15" s="34">
        <v>84364</v>
      </c>
      <c r="CB15" s="34">
        <v>40663</v>
      </c>
      <c r="CC15" s="34">
        <v>857638</v>
      </c>
      <c r="CD15" s="34">
        <v>93063</v>
      </c>
      <c r="CE15" s="34">
        <v>45654</v>
      </c>
      <c r="CF15" s="34">
        <v>919920</v>
      </c>
      <c r="CG15" s="34">
        <v>108056</v>
      </c>
      <c r="CH15" s="34">
        <v>49252</v>
      </c>
      <c r="CI15" s="34">
        <v>983755</v>
      </c>
      <c r="CJ15" s="34">
        <v>109670</v>
      </c>
      <c r="CK15" s="34">
        <v>53192</v>
      </c>
      <c r="CL15" s="34">
        <v>79184.389469417554</v>
      </c>
      <c r="CM15" s="34">
        <v>-90047.647636130001</v>
      </c>
      <c r="CN15" s="34">
        <v>71421.339347733578</v>
      </c>
      <c r="CO15" s="34">
        <v>355543</v>
      </c>
      <c r="CP15" s="34">
        <v>106886.62283689303</v>
      </c>
      <c r="CQ15" s="34">
        <v>32900.417616300001</v>
      </c>
      <c r="CR15" s="34">
        <v>76768.538093724404</v>
      </c>
      <c r="CS15" s="34">
        <v>345512</v>
      </c>
      <c r="CT15" s="34">
        <v>114170.8419319411</v>
      </c>
      <c r="CU15" s="34">
        <v>-144890.36669490003</v>
      </c>
      <c r="CV15" s="34">
        <v>79803.321038795897</v>
      </c>
      <c r="CW15" s="34">
        <v>345421</v>
      </c>
      <c r="CX15" s="34">
        <v>151638.90724940418</v>
      </c>
      <c r="CY15" s="34">
        <v>-177276</v>
      </c>
      <c r="CZ15" s="34">
        <v>76044.320882381129</v>
      </c>
      <c r="DA15" s="34">
        <v>377610</v>
      </c>
      <c r="DB15" s="34">
        <v>171616</v>
      </c>
      <c r="DC15" s="34">
        <v>-183818</v>
      </c>
      <c r="DD15" s="34">
        <v>82885</v>
      </c>
      <c r="DE15" s="34">
        <v>378772</v>
      </c>
      <c r="DF15" s="34">
        <v>110797</v>
      </c>
      <c r="DG15" s="34">
        <v>-175509</v>
      </c>
      <c r="DH15" s="34">
        <v>92752</v>
      </c>
      <c r="DI15" s="34">
        <v>457163</v>
      </c>
      <c r="DJ15" s="34">
        <v>68431</v>
      </c>
      <c r="DK15" s="34">
        <v>-185329</v>
      </c>
      <c r="DL15" s="34">
        <v>96935</v>
      </c>
      <c r="DM15" s="34">
        <v>561323</v>
      </c>
      <c r="DN15" s="34">
        <v>95986</v>
      </c>
      <c r="DO15" s="34">
        <v>-138381</v>
      </c>
      <c r="DP15" s="34">
        <v>103891</v>
      </c>
      <c r="DQ15" s="34">
        <v>649608</v>
      </c>
      <c r="DR15" s="34">
        <v>132742</v>
      </c>
      <c r="DS15" s="34">
        <v>-168724</v>
      </c>
      <c r="DT15" s="34">
        <v>105984</v>
      </c>
      <c r="DU15" s="34">
        <v>678519</v>
      </c>
      <c r="DV15" s="34">
        <v>160093</v>
      </c>
      <c r="DW15" s="34">
        <v>-165966</v>
      </c>
      <c r="DX15" s="34">
        <v>106601</v>
      </c>
      <c r="DY15" s="34">
        <v>694194</v>
      </c>
      <c r="DZ15" s="34">
        <v>127303</v>
      </c>
      <c r="EA15" s="34">
        <v>-244698</v>
      </c>
      <c r="EB15" s="34">
        <v>110091</v>
      </c>
      <c r="EC15" s="34">
        <v>762185</v>
      </c>
      <c r="ED15" s="34">
        <v>1238587.0195922116</v>
      </c>
      <c r="EE15" s="34">
        <v>11623.467597755031</v>
      </c>
      <c r="EF15" s="34">
        <v>1271206.3951777152</v>
      </c>
      <c r="EG15" s="34">
        <v>76252.032971561071</v>
      </c>
      <c r="EH15" s="34">
        <v>1332569.9283351249</v>
      </c>
      <c r="EI15" s="34">
        <v>10280.991568739246</v>
      </c>
      <c r="EJ15" s="34">
        <v>1414168.6554888971</v>
      </c>
      <c r="EK15" s="34">
        <v>67309.817297455491</v>
      </c>
      <c r="EL15" s="34">
        <v>1527269</v>
      </c>
      <c r="EM15" s="34">
        <v>84662</v>
      </c>
      <c r="EN15" s="34">
        <v>1639951</v>
      </c>
      <c r="EO15" s="34">
        <v>25787</v>
      </c>
      <c r="EP15" s="34">
        <v>1747722</v>
      </c>
      <c r="EQ15" s="34">
        <v>-22569</v>
      </c>
      <c r="ER15" s="34">
        <v>1837761</v>
      </c>
      <c r="ES15" s="34">
        <v>4077</v>
      </c>
      <c r="ET15" s="34">
        <v>1940354</v>
      </c>
      <c r="EU15" s="34">
        <v>49645</v>
      </c>
      <c r="EV15" s="34">
        <v>2014979</v>
      </c>
      <c r="EW15" s="34">
        <v>110975</v>
      </c>
      <c r="EX15" s="34">
        <v>2201724</v>
      </c>
      <c r="EY15" s="34">
        <v>25793</v>
      </c>
      <c r="EZ15" s="34">
        <v>484292</v>
      </c>
      <c r="FA15" s="34">
        <v>516119</v>
      </c>
      <c r="FB15" s="34">
        <v>395510</v>
      </c>
      <c r="FC15" s="34">
        <v>1151227</v>
      </c>
      <c r="FD15" s="34">
        <v>658588</v>
      </c>
      <c r="FE15" s="34">
        <v>614522</v>
      </c>
      <c r="FF15" s="34">
        <v>31503</v>
      </c>
      <c r="FG15" s="34">
        <v>1007386</v>
      </c>
      <c r="FH15" s="34">
        <v>87535</v>
      </c>
      <c r="FI15" s="34">
        <v>56306</v>
      </c>
      <c r="FJ15" s="34">
        <v>129539</v>
      </c>
      <c r="FK15" s="34">
        <v>-184191</v>
      </c>
      <c r="FL15" s="34">
        <v>115511</v>
      </c>
      <c r="FM15" s="34">
        <v>865461</v>
      </c>
      <c r="FN15" s="34">
        <v>184191</v>
      </c>
      <c r="FO15" s="34">
        <v>2294350</v>
      </c>
      <c r="FP15" s="34">
        <v>30525</v>
      </c>
      <c r="FQ15" s="34">
        <v>398335</v>
      </c>
      <c r="FR15" s="34">
        <v>1225015</v>
      </c>
      <c r="FS15" s="34">
        <v>714223</v>
      </c>
      <c r="FT15" s="34">
        <v>668722</v>
      </c>
      <c r="FU15" s="34">
        <v>16601</v>
      </c>
      <c r="FV15" s="34">
        <v>1053097</v>
      </c>
      <c r="FW15" s="34">
        <v>102264</v>
      </c>
      <c r="FX15" s="34">
        <v>69654</v>
      </c>
      <c r="FY15" s="34">
        <v>221275</v>
      </c>
      <c r="FZ15" s="34">
        <v>-181703</v>
      </c>
      <c r="GA15" s="34">
        <v>119979</v>
      </c>
      <c r="GB15" s="34">
        <v>907604</v>
      </c>
      <c r="GC15" s="34">
        <v>181703</v>
      </c>
      <c r="GD15" s="34">
        <v>2390255</v>
      </c>
      <c r="GE15" s="34">
        <v>75775</v>
      </c>
      <c r="GF15" s="34">
        <v>620001</v>
      </c>
      <c r="GG15" s="57">
        <v>604</v>
      </c>
      <c r="GH15" s="34">
        <v>401201</v>
      </c>
      <c r="GI15" s="34">
        <v>1253866</v>
      </c>
      <c r="GJ15">
        <v>734568</v>
      </c>
      <c r="GK15">
        <v>668958</v>
      </c>
      <c r="GL15">
        <v>12568</v>
      </c>
      <c r="GM15">
        <v>1081847</v>
      </c>
      <c r="GN15">
        <v>100145</v>
      </c>
      <c r="GO15">
        <v>71874</v>
      </c>
      <c r="GP15">
        <v>158102</v>
      </c>
      <c r="GQ15">
        <v>-210078</v>
      </c>
      <c r="GR15">
        <v>123521</v>
      </c>
      <c r="GS15">
        <v>936306</v>
      </c>
      <c r="GT15">
        <v>210078</v>
      </c>
      <c r="GU15">
        <v>2494766</v>
      </c>
      <c r="GV15">
        <v>33951</v>
      </c>
      <c r="GW15" s="34">
        <v>403920</v>
      </c>
      <c r="GX15" s="34">
        <v>1249322</v>
      </c>
      <c r="GY15">
        <v>761528</v>
      </c>
      <c r="GZ15">
        <v>838889</v>
      </c>
      <c r="HA15">
        <v>22519</v>
      </c>
      <c r="HB15">
        <v>1117602</v>
      </c>
      <c r="HC15">
        <v>56781</v>
      </c>
      <c r="HD15">
        <v>74939</v>
      </c>
      <c r="HE15">
        <v>86389</v>
      </c>
      <c r="HF15">
        <v>-247086</v>
      </c>
      <c r="HG15">
        <v>133004</v>
      </c>
      <c r="HH15">
        <v>1085398</v>
      </c>
      <c r="HI15">
        <v>247086</v>
      </c>
      <c r="HJ15">
        <v>2773428</v>
      </c>
      <c r="HK15">
        <v>-34701</v>
      </c>
      <c r="HL15">
        <v>624587</v>
      </c>
      <c r="HM15" s="57">
        <v>20.341666666666665</v>
      </c>
      <c r="HN15" s="190">
        <v>3178.4154342696356</v>
      </c>
      <c r="HO15" s="34">
        <v>77680.284843072237</v>
      </c>
      <c r="HP15" s="34">
        <v>118922.31904240519</v>
      </c>
      <c r="HQ15" s="34">
        <v>187018.58308399474</v>
      </c>
      <c r="HR15">
        <v>273921</v>
      </c>
      <c r="HS15">
        <v>300227</v>
      </c>
      <c r="HT15">
        <v>298877</v>
      </c>
      <c r="HU15">
        <v>305462</v>
      </c>
      <c r="HV15">
        <v>366746</v>
      </c>
      <c r="HW15">
        <v>485164</v>
      </c>
      <c r="HX15">
        <v>516818</v>
      </c>
      <c r="HY15">
        <v>543279</v>
      </c>
      <c r="HZ15">
        <v>620001</v>
      </c>
      <c r="IA15" s="34">
        <v>654218</v>
      </c>
      <c r="IB15">
        <v>624587</v>
      </c>
      <c r="IC15">
        <v>1158362</v>
      </c>
      <c r="ID15">
        <v>1876954</v>
      </c>
      <c r="IE15">
        <v>1903828</v>
      </c>
      <c r="IF15" s="57">
        <v>18.399999999999999</v>
      </c>
      <c r="IG15" s="57">
        <v>18.508333333333333</v>
      </c>
      <c r="IH15" s="57">
        <v>18.541666666666668</v>
      </c>
      <c r="II15" s="57">
        <v>18.541666666666668</v>
      </c>
      <c r="IJ15" s="57">
        <v>18.608333333333334</v>
      </c>
      <c r="IK15" s="57">
        <v>18.716666666666665</v>
      </c>
      <c r="IL15" s="57">
        <v>18.891666666666666</v>
      </c>
      <c r="IM15" s="57">
        <v>19</v>
      </c>
      <c r="IN15" s="57">
        <v>19.291666666666668</v>
      </c>
      <c r="IO15" s="57">
        <v>19.491666666666667</v>
      </c>
      <c r="IP15" s="57">
        <v>19.625</v>
      </c>
      <c r="IQ15" s="57">
        <v>19.741666666666667</v>
      </c>
      <c r="IR15" s="57">
        <v>20.133333333333333</v>
      </c>
      <c r="IS15" s="57">
        <v>20.208333333333332</v>
      </c>
      <c r="IT15" s="57">
        <v>20.341666666666665</v>
      </c>
      <c r="IU15" s="57">
        <v>20.524999999999999</v>
      </c>
      <c r="IV15" s="57">
        <v>20.766666666666666</v>
      </c>
      <c r="IW15" s="57">
        <v>20.916666666666668</v>
      </c>
      <c r="IX15">
        <v>406480</v>
      </c>
      <c r="IY15">
        <v>715094</v>
      </c>
      <c r="IZ15">
        <v>2715978</v>
      </c>
      <c r="JA15" s="34">
        <v>2688920</v>
      </c>
      <c r="JB15" s="34">
        <v>788155</v>
      </c>
      <c r="JC15">
        <v>25978</v>
      </c>
      <c r="JD15">
        <v>145468</v>
      </c>
      <c r="JE15">
        <v>185247</v>
      </c>
      <c r="JF15">
        <v>-278253</v>
      </c>
      <c r="JG15">
        <v>-40561</v>
      </c>
      <c r="JH15">
        <v>-32899</v>
      </c>
      <c r="JI15" s="34">
        <v>1197424</v>
      </c>
      <c r="JJ15" s="173">
        <v>61840</v>
      </c>
      <c r="JK15" s="34">
        <v>85196</v>
      </c>
      <c r="JL15">
        <v>1219714</v>
      </c>
      <c r="JM15">
        <v>408536</v>
      </c>
      <c r="JN15">
        <v>701296</v>
      </c>
      <c r="JO15" s="173">
        <v>2732974</v>
      </c>
      <c r="JP15" s="34">
        <v>2751580</v>
      </c>
      <c r="JQ15" s="34">
        <v>809203</v>
      </c>
      <c r="JR15" s="34">
        <v>372612</v>
      </c>
      <c r="JS15" s="173">
        <v>161588</v>
      </c>
      <c r="JT15">
        <v>164177</v>
      </c>
      <c r="JU15">
        <v>-34620</v>
      </c>
      <c r="JV15" s="173">
        <v>358880</v>
      </c>
      <c r="JW15" s="34">
        <v>1209647</v>
      </c>
      <c r="JX15" s="173">
        <v>70434</v>
      </c>
      <c r="JY15" s="34">
        <v>95709</v>
      </c>
      <c r="JZ15">
        <v>1321002</v>
      </c>
      <c r="KA15">
        <v>410054</v>
      </c>
      <c r="KB15">
        <v>538585</v>
      </c>
      <c r="KC15" s="173">
        <v>2664827</v>
      </c>
      <c r="KD15" s="34">
        <v>2851336</v>
      </c>
      <c r="KE15" s="34">
        <v>835369</v>
      </c>
      <c r="KF15" s="34">
        <v>60152</v>
      </c>
      <c r="KG15" s="173">
        <v>166620</v>
      </c>
      <c r="KH15">
        <v>142556</v>
      </c>
      <c r="KI15" s="173">
        <v>-164499</v>
      </c>
      <c r="KJ15" s="173">
        <v>23955</v>
      </c>
      <c r="KK15" s="34">
        <v>1248377</v>
      </c>
      <c r="KL15" s="173">
        <v>82257</v>
      </c>
      <c r="KM15" s="34">
        <v>95034</v>
      </c>
      <c r="KN15">
        <v>1355522</v>
      </c>
      <c r="KO15">
        <v>411150</v>
      </c>
      <c r="KP15">
        <v>1428325</v>
      </c>
      <c r="KQ15">
        <v>884880</v>
      </c>
      <c r="KR15">
        <v>532854</v>
      </c>
      <c r="KS15">
        <v>22375</v>
      </c>
      <c r="KT15">
        <v>1251986</v>
      </c>
      <c r="KU15">
        <v>73208</v>
      </c>
      <c r="KV15">
        <v>103131</v>
      </c>
      <c r="KW15">
        <v>155890</v>
      </c>
      <c r="KX15">
        <v>-209737</v>
      </c>
      <c r="KY15">
        <v>152232</v>
      </c>
      <c r="KZ15">
        <v>1422436</v>
      </c>
      <c r="LA15">
        <v>2702927</v>
      </c>
      <c r="LB15">
        <v>2186</v>
      </c>
      <c r="LC15">
        <v>951867</v>
      </c>
      <c r="LD15" s="57">
        <v>20.966666666666665</v>
      </c>
      <c r="LE15">
        <v>411856</v>
      </c>
      <c r="LF15" s="34">
        <v>1456212</v>
      </c>
      <c r="LG15" s="34">
        <v>884546</v>
      </c>
      <c r="LH15">
        <v>519380</v>
      </c>
      <c r="LI15" s="173">
        <v>44968</v>
      </c>
      <c r="LJ15" s="34">
        <v>1252366</v>
      </c>
      <c r="LK15" s="173">
        <v>89042</v>
      </c>
      <c r="LL15" s="34">
        <v>114804</v>
      </c>
      <c r="LM15" s="173">
        <v>214729</v>
      </c>
      <c r="LN15" s="173">
        <v>-205635</v>
      </c>
      <c r="LO15">
        <v>151592</v>
      </c>
      <c r="LP15">
        <v>1424439</v>
      </c>
      <c r="LQ15" s="173">
        <v>2679528</v>
      </c>
      <c r="LR15" s="173">
        <v>74559</v>
      </c>
      <c r="LS15" s="173">
        <v>1027652</v>
      </c>
      <c r="LT15" s="57">
        <v>21</v>
      </c>
      <c r="LU15">
        <v>412161</v>
      </c>
      <c r="LV15" s="34">
        <v>1455976</v>
      </c>
      <c r="LW15" s="34">
        <v>884983</v>
      </c>
      <c r="LX15" s="172">
        <v>509366</v>
      </c>
      <c r="LY15" s="173">
        <v>681</v>
      </c>
      <c r="LZ15" s="34">
        <v>1247933</v>
      </c>
      <c r="MA15" s="173">
        <v>86638</v>
      </c>
      <c r="MB15" s="34">
        <v>121405</v>
      </c>
      <c r="MC15" s="173">
        <v>100323</v>
      </c>
      <c r="MD15" s="34">
        <v>-208512</v>
      </c>
      <c r="ME15">
        <v>155204</v>
      </c>
      <c r="MF15">
        <v>1508170</v>
      </c>
      <c r="MG15" s="173">
        <v>2750683</v>
      </c>
      <c r="MH15" s="173">
        <v>-48158</v>
      </c>
      <c r="MI15" s="173">
        <v>981511</v>
      </c>
      <c r="MJ15" s="57">
        <v>21.091666666666665</v>
      </c>
    </row>
    <row r="16" spans="1:348" x14ac:dyDescent="0.2">
      <c r="A16" t="s">
        <v>118</v>
      </c>
      <c r="B16" s="34">
        <v>256927</v>
      </c>
      <c r="C16" s="34">
        <v>255456</v>
      </c>
      <c r="D16" s="34">
        <v>253759</v>
      </c>
      <c r="E16" s="34">
        <v>252842</v>
      </c>
      <c r="F16" s="34">
        <v>251976</v>
      </c>
      <c r="G16" s="34">
        <v>251356</v>
      </c>
      <c r="H16" s="34">
        <v>251095</v>
      </c>
      <c r="I16" s="34">
        <v>250064</v>
      </c>
      <c r="J16" s="34">
        <v>249498</v>
      </c>
      <c r="K16" s="34">
        <v>248872</v>
      </c>
      <c r="L16" s="34">
        <v>248423</v>
      </c>
      <c r="M16" s="34">
        <v>503205</v>
      </c>
      <c r="N16" s="34">
        <v>222180</v>
      </c>
      <c r="O16" s="34">
        <v>212370</v>
      </c>
      <c r="P16" s="34">
        <v>16594.59814017791</v>
      </c>
      <c r="Q16" s="34">
        <v>504211</v>
      </c>
      <c r="R16" s="34">
        <v>226013</v>
      </c>
      <c r="S16" s="34">
        <v>219139</v>
      </c>
      <c r="T16" s="34">
        <v>17483.807707379921</v>
      </c>
      <c r="U16" s="34">
        <v>507125</v>
      </c>
      <c r="V16" s="34">
        <v>238545</v>
      </c>
      <c r="W16" s="34">
        <v>222078</v>
      </c>
      <c r="X16" s="34">
        <v>13752.053995051911</v>
      </c>
      <c r="Y16" s="34">
        <v>547611</v>
      </c>
      <c r="Z16" s="34">
        <v>268380</v>
      </c>
      <c r="AA16" s="34">
        <v>228258</v>
      </c>
      <c r="AB16" s="34">
        <v>13010.681615209571</v>
      </c>
      <c r="AC16" s="34">
        <v>569552</v>
      </c>
      <c r="AD16" s="34">
        <v>295643</v>
      </c>
      <c r="AE16" s="34">
        <v>238615</v>
      </c>
      <c r="AF16" s="34">
        <v>9618</v>
      </c>
      <c r="AG16" s="34">
        <v>545961</v>
      </c>
      <c r="AH16" s="34">
        <v>312243</v>
      </c>
      <c r="AI16" s="34">
        <v>254184</v>
      </c>
      <c r="AJ16" s="34">
        <v>11492</v>
      </c>
      <c r="AK16" s="34">
        <v>557079</v>
      </c>
      <c r="AL16" s="34">
        <v>319159</v>
      </c>
      <c r="AM16" s="34">
        <v>276937</v>
      </c>
      <c r="AN16" s="34">
        <v>17889</v>
      </c>
      <c r="AO16" s="34">
        <v>579772</v>
      </c>
      <c r="AP16" s="34">
        <v>332623</v>
      </c>
      <c r="AQ16" s="34">
        <v>291624</v>
      </c>
      <c r="AR16" s="34">
        <v>16018</v>
      </c>
      <c r="AS16" s="34">
        <v>613946</v>
      </c>
      <c r="AT16" s="34">
        <v>353872</v>
      </c>
      <c r="AU16" s="34">
        <v>317541</v>
      </c>
      <c r="AV16" s="34">
        <v>53567</v>
      </c>
      <c r="AW16" s="34">
        <v>653217</v>
      </c>
      <c r="AX16" s="34">
        <v>366056</v>
      </c>
      <c r="AY16" s="34">
        <v>303116</v>
      </c>
      <c r="AZ16" s="34">
        <v>14201</v>
      </c>
      <c r="BA16" s="34">
        <v>699263</v>
      </c>
      <c r="BB16" s="34">
        <v>407512</v>
      </c>
      <c r="BC16" s="34">
        <v>313982</v>
      </c>
      <c r="BD16" s="34">
        <v>11255</v>
      </c>
      <c r="BE16" s="34">
        <v>412317.91554611456</v>
      </c>
      <c r="BF16" s="34">
        <v>73323.208420160343</v>
      </c>
      <c r="BG16" s="34">
        <v>17329.915754667632</v>
      </c>
      <c r="BH16" s="34">
        <v>412815.91999636707</v>
      </c>
      <c r="BI16" s="34">
        <v>70122.592179597792</v>
      </c>
      <c r="BJ16" s="34">
        <v>20966.811476471346</v>
      </c>
      <c r="BK16" s="34">
        <v>394160.51519325632</v>
      </c>
      <c r="BL16" s="34">
        <v>91173.161243446957</v>
      </c>
      <c r="BM16" s="34">
        <v>21482.6438469288</v>
      </c>
      <c r="BN16" s="34">
        <v>455438</v>
      </c>
      <c r="BO16" s="34">
        <v>69476</v>
      </c>
      <c r="BP16" s="34">
        <v>22401</v>
      </c>
      <c r="BQ16" s="34">
        <v>495850</v>
      </c>
      <c r="BR16" s="34">
        <v>50117</v>
      </c>
      <c r="BS16" s="34">
        <v>23300</v>
      </c>
      <c r="BT16" s="34">
        <v>488287</v>
      </c>
      <c r="BU16" s="34">
        <v>29910</v>
      </c>
      <c r="BV16" s="34">
        <v>27488</v>
      </c>
      <c r="BW16" s="34">
        <v>495823</v>
      </c>
      <c r="BX16" s="34">
        <v>33483</v>
      </c>
      <c r="BY16" s="34">
        <v>27473</v>
      </c>
      <c r="BZ16" s="34">
        <v>512257</v>
      </c>
      <c r="CA16" s="34">
        <v>38126</v>
      </c>
      <c r="CB16" s="34">
        <v>29190</v>
      </c>
      <c r="CC16" s="34">
        <v>539685</v>
      </c>
      <c r="CD16" s="34">
        <v>43078</v>
      </c>
      <c r="CE16" s="34">
        <v>31013</v>
      </c>
      <c r="CF16" s="34">
        <v>567444</v>
      </c>
      <c r="CG16" s="34">
        <v>50391</v>
      </c>
      <c r="CH16" s="34">
        <v>35250</v>
      </c>
      <c r="CI16" s="34">
        <v>610860</v>
      </c>
      <c r="CJ16" s="34">
        <v>49295</v>
      </c>
      <c r="CK16" s="34">
        <v>39000</v>
      </c>
      <c r="CL16" s="34">
        <v>36008.866867483048</v>
      </c>
      <c r="CM16" s="34">
        <v>-79111.732286399987</v>
      </c>
      <c r="CN16" s="34">
        <v>52455.123256521911</v>
      </c>
      <c r="CO16" s="34">
        <v>165010</v>
      </c>
      <c r="CP16" s="34">
        <v>45114.561206109254</v>
      </c>
      <c r="CQ16" s="34">
        <v>2089.0622297500004</v>
      </c>
      <c r="CR16" s="34">
        <v>54443.104547296978</v>
      </c>
      <c r="CS16" s="34">
        <v>151126</v>
      </c>
      <c r="CT16" s="34">
        <v>27234.166368133094</v>
      </c>
      <c r="CU16" s="34">
        <v>-60421.680774040018</v>
      </c>
      <c r="CV16" s="34">
        <v>55354.34673286543</v>
      </c>
      <c r="CW16" s="34">
        <v>144098</v>
      </c>
      <c r="CX16" s="34">
        <v>53399.162087750359</v>
      </c>
      <c r="CY16" s="34">
        <v>-72719</v>
      </c>
      <c r="CZ16" s="34">
        <v>57965.632479106847</v>
      </c>
      <c r="DA16" s="34">
        <v>151320</v>
      </c>
      <c r="DB16" s="34">
        <v>91963</v>
      </c>
      <c r="DC16" s="34">
        <v>-74381</v>
      </c>
      <c r="DD16" s="34">
        <v>58465</v>
      </c>
      <c r="DE16" s="34">
        <v>158826</v>
      </c>
      <c r="DF16" s="34">
        <v>58195</v>
      </c>
      <c r="DG16" s="34">
        <v>-91337</v>
      </c>
      <c r="DH16" s="34">
        <v>59444</v>
      </c>
      <c r="DI16" s="34">
        <v>172982</v>
      </c>
      <c r="DJ16" s="34">
        <v>32406</v>
      </c>
      <c r="DK16" s="34">
        <v>-96482</v>
      </c>
      <c r="DL16" s="34">
        <v>62712</v>
      </c>
      <c r="DM16" s="34">
        <v>240416</v>
      </c>
      <c r="DN16" s="34">
        <v>32294</v>
      </c>
      <c r="DO16" s="34">
        <v>-86722</v>
      </c>
      <c r="DP16" s="34">
        <v>65428</v>
      </c>
      <c r="DQ16" s="34">
        <v>272871</v>
      </c>
      <c r="DR16" s="34">
        <v>58194</v>
      </c>
      <c r="DS16" s="34">
        <v>-50714</v>
      </c>
      <c r="DT16" s="34">
        <v>67213</v>
      </c>
      <c r="DU16" s="34">
        <v>296700</v>
      </c>
      <c r="DV16" s="34">
        <v>50206</v>
      </c>
      <c r="DW16" s="34">
        <v>-86195</v>
      </c>
      <c r="DX16" s="34">
        <v>66543</v>
      </c>
      <c r="DY16" s="34">
        <v>332290</v>
      </c>
      <c r="DZ16" s="34">
        <v>72441</v>
      </c>
      <c r="EA16" s="34">
        <v>-105759</v>
      </c>
      <c r="EB16" s="34">
        <v>73469</v>
      </c>
      <c r="EC16" s="34">
        <v>369323</v>
      </c>
      <c r="ED16" s="34">
        <v>865192.83586708445</v>
      </c>
      <c r="EE16" s="34">
        <v>-16580.638542281602</v>
      </c>
      <c r="EF16" s="34">
        <v>874217.96818893577</v>
      </c>
      <c r="EG16" s="34">
        <v>24959.424662741156</v>
      </c>
      <c r="EH16" s="34">
        <v>905903.39621879894</v>
      </c>
      <c r="EI16" s="34">
        <v>-23694.651455750594</v>
      </c>
      <c r="EJ16" s="34">
        <v>951963.00538369548</v>
      </c>
      <c r="EK16" s="34">
        <v>8216.1483955712756</v>
      </c>
      <c r="EL16" s="34">
        <v>1012359</v>
      </c>
      <c r="EM16" s="34">
        <v>42534</v>
      </c>
      <c r="EN16" s="34">
        <v>1057363</v>
      </c>
      <c r="EO16" s="34">
        <v>742</v>
      </c>
      <c r="EP16" s="34">
        <v>1126829</v>
      </c>
      <c r="EQ16" s="34">
        <v>-27123</v>
      </c>
      <c r="ER16" s="34">
        <v>1178222</v>
      </c>
      <c r="ES16" s="34">
        <v>-31950</v>
      </c>
      <c r="ET16" s="34">
        <v>1229535</v>
      </c>
      <c r="EU16" s="34">
        <v>43253</v>
      </c>
      <c r="EV16" s="34">
        <v>1271167</v>
      </c>
      <c r="EW16" s="34">
        <v>-15518</v>
      </c>
      <c r="EX16" s="34">
        <v>1350905</v>
      </c>
      <c r="EY16" s="34">
        <v>743</v>
      </c>
      <c r="EZ16" s="34">
        <v>22399</v>
      </c>
      <c r="FA16" s="34">
        <v>25040</v>
      </c>
      <c r="FB16" s="34">
        <v>248182</v>
      </c>
      <c r="FC16" s="34">
        <v>703634</v>
      </c>
      <c r="FD16" s="34">
        <v>437324</v>
      </c>
      <c r="FE16" s="34">
        <v>345433</v>
      </c>
      <c r="FF16" s="34">
        <v>20206</v>
      </c>
      <c r="FG16" s="34">
        <v>625136</v>
      </c>
      <c r="FH16" s="34">
        <v>37139</v>
      </c>
      <c r="FI16" s="34">
        <v>41359</v>
      </c>
      <c r="FJ16" s="34">
        <v>69062</v>
      </c>
      <c r="FK16" s="34">
        <v>-83543</v>
      </c>
      <c r="FL16" s="34">
        <v>74076</v>
      </c>
      <c r="FM16" s="34">
        <v>388591</v>
      </c>
      <c r="FN16" s="34">
        <v>83543</v>
      </c>
      <c r="FO16" s="34">
        <v>1424968</v>
      </c>
      <c r="FP16" s="34">
        <v>2939</v>
      </c>
      <c r="FQ16" s="34">
        <v>247943</v>
      </c>
      <c r="FR16" s="34">
        <v>734502</v>
      </c>
      <c r="FS16" s="34">
        <v>467032</v>
      </c>
      <c r="FT16" s="34">
        <v>386988</v>
      </c>
      <c r="FU16" s="34">
        <v>13499</v>
      </c>
      <c r="FV16" s="34">
        <v>643420</v>
      </c>
      <c r="FW16" s="34">
        <v>46698</v>
      </c>
      <c r="FX16" s="34">
        <v>44384</v>
      </c>
      <c r="FY16" s="34">
        <v>91757</v>
      </c>
      <c r="FZ16" s="34">
        <v>-107926</v>
      </c>
      <c r="GA16" s="34">
        <v>75327</v>
      </c>
      <c r="GB16" s="34">
        <v>420859</v>
      </c>
      <c r="GC16" s="34">
        <v>107926</v>
      </c>
      <c r="GD16" s="34">
        <v>1505087</v>
      </c>
      <c r="GE16" s="34">
        <v>16860</v>
      </c>
      <c r="GF16" s="34">
        <v>48614</v>
      </c>
      <c r="GG16" s="57">
        <v>353</v>
      </c>
      <c r="GH16" s="34">
        <v>248130</v>
      </c>
      <c r="GI16" s="34">
        <v>754529</v>
      </c>
      <c r="GJ16">
        <v>481317</v>
      </c>
      <c r="GK16">
        <v>414020</v>
      </c>
      <c r="GL16">
        <v>11170</v>
      </c>
      <c r="GM16">
        <v>654408</v>
      </c>
      <c r="GN16">
        <v>54221</v>
      </c>
      <c r="GO16">
        <v>45900</v>
      </c>
      <c r="GP16">
        <v>78295</v>
      </c>
      <c r="GQ16">
        <v>-89726</v>
      </c>
      <c r="GR16">
        <v>77387</v>
      </c>
      <c r="GS16">
        <v>446477</v>
      </c>
      <c r="GT16">
        <v>89726</v>
      </c>
      <c r="GU16">
        <v>1575886</v>
      </c>
      <c r="GV16">
        <v>3695</v>
      </c>
      <c r="GW16" s="34">
        <v>248233</v>
      </c>
      <c r="GX16" s="34">
        <v>764067</v>
      </c>
      <c r="GY16">
        <v>498772</v>
      </c>
      <c r="GZ16">
        <v>430906</v>
      </c>
      <c r="HA16">
        <v>56876</v>
      </c>
      <c r="HB16">
        <v>678774</v>
      </c>
      <c r="HC16">
        <v>36515</v>
      </c>
      <c r="HD16">
        <v>48778</v>
      </c>
      <c r="HE16">
        <v>28911</v>
      </c>
      <c r="HF16">
        <v>-60452</v>
      </c>
      <c r="HG16">
        <v>79249</v>
      </c>
      <c r="HH16">
        <v>489004</v>
      </c>
      <c r="HI16">
        <v>60452</v>
      </c>
      <c r="HJ16">
        <v>1672770</v>
      </c>
      <c r="HK16">
        <v>-5884</v>
      </c>
      <c r="HL16">
        <v>42966</v>
      </c>
      <c r="HM16" s="57">
        <v>19.763888888888889</v>
      </c>
      <c r="HN16" s="190">
        <v>-17291.40071950795</v>
      </c>
      <c r="HO16" s="34">
        <v>8223.3804764091201</v>
      </c>
      <c r="HP16" s="34">
        <v>-19188.728717920254</v>
      </c>
      <c r="HQ16" s="34">
        <v>-6044.1695132473205</v>
      </c>
      <c r="HR16">
        <v>38288</v>
      </c>
      <c r="HS16">
        <v>39104</v>
      </c>
      <c r="HT16">
        <v>19798</v>
      </c>
      <c r="HU16">
        <v>-13029</v>
      </c>
      <c r="HV16">
        <v>35530</v>
      </c>
      <c r="HW16">
        <v>22399</v>
      </c>
      <c r="HX16">
        <v>25040</v>
      </c>
      <c r="HY16">
        <v>29885</v>
      </c>
      <c r="HZ16">
        <v>48614</v>
      </c>
      <c r="IA16" s="34">
        <v>53158</v>
      </c>
      <c r="IB16">
        <v>42966</v>
      </c>
      <c r="IC16">
        <v>50448</v>
      </c>
      <c r="ID16">
        <v>326826</v>
      </c>
      <c r="IE16">
        <v>319314</v>
      </c>
      <c r="IF16" s="57">
        <v>18.305555555555557</v>
      </c>
      <c r="IG16" s="57">
        <v>18.333333333333332</v>
      </c>
      <c r="IH16" s="57">
        <v>18.347222222222221</v>
      </c>
      <c r="II16" s="57">
        <v>18.347222222222221</v>
      </c>
      <c r="IJ16" s="57">
        <v>18.430555555555557</v>
      </c>
      <c r="IK16" s="57">
        <v>18.458333333333332</v>
      </c>
      <c r="IL16" s="57">
        <v>18.458333333333332</v>
      </c>
      <c r="IM16" s="57">
        <v>18.708333333333332</v>
      </c>
      <c r="IN16" s="57">
        <v>18.916666666666668</v>
      </c>
      <c r="IO16" s="57">
        <v>19.041666666666668</v>
      </c>
      <c r="IP16" s="57">
        <v>19.152777777777779</v>
      </c>
      <c r="IQ16" s="57">
        <v>19.277777777777779</v>
      </c>
      <c r="IR16" s="57">
        <v>19.611111111111111</v>
      </c>
      <c r="IS16" s="57">
        <v>19.611111111111111</v>
      </c>
      <c r="IT16" s="57">
        <v>19.763888888888889</v>
      </c>
      <c r="IU16" s="57">
        <v>20.027777777777779</v>
      </c>
      <c r="IV16" s="57">
        <v>20.513888888888889</v>
      </c>
      <c r="IW16" s="57">
        <v>20.805555555555557</v>
      </c>
      <c r="IX16">
        <v>248430</v>
      </c>
      <c r="IY16">
        <v>428725</v>
      </c>
      <c r="IZ16">
        <v>1710363</v>
      </c>
      <c r="JA16" s="34">
        <v>1654102</v>
      </c>
      <c r="JB16" s="34">
        <v>507847</v>
      </c>
      <c r="JC16">
        <v>22499</v>
      </c>
      <c r="JD16">
        <v>64116</v>
      </c>
      <c r="JE16">
        <v>82798</v>
      </c>
      <c r="JF16">
        <v>-122219</v>
      </c>
      <c r="JG16">
        <v>-15386</v>
      </c>
      <c r="JH16">
        <v>-16034</v>
      </c>
      <c r="JI16" s="34">
        <v>724618</v>
      </c>
      <c r="JJ16" s="173">
        <v>44276</v>
      </c>
      <c r="JK16" s="34">
        <v>58157</v>
      </c>
      <c r="JL16">
        <v>580727</v>
      </c>
      <c r="JM16">
        <v>248407</v>
      </c>
      <c r="JN16">
        <v>430210</v>
      </c>
      <c r="JO16" s="173">
        <v>1728001</v>
      </c>
      <c r="JP16" s="34">
        <v>1741744</v>
      </c>
      <c r="JQ16" s="34">
        <v>509883</v>
      </c>
      <c r="JR16" s="34">
        <v>154619</v>
      </c>
      <c r="JS16" s="173">
        <v>93107</v>
      </c>
      <c r="JT16">
        <v>91442</v>
      </c>
      <c r="JU16">
        <v>-75024</v>
      </c>
      <c r="JV16" s="173">
        <v>136087</v>
      </c>
      <c r="JW16" s="34">
        <v>751085</v>
      </c>
      <c r="JX16" s="173">
        <v>53566</v>
      </c>
      <c r="JY16" s="34">
        <v>66221</v>
      </c>
      <c r="JZ16">
        <v>656034</v>
      </c>
      <c r="KA16">
        <v>248129</v>
      </c>
      <c r="KB16">
        <v>372707</v>
      </c>
      <c r="KC16" s="173">
        <v>1708978</v>
      </c>
      <c r="KD16" s="34">
        <v>1786144</v>
      </c>
      <c r="KE16" s="34">
        <v>516471</v>
      </c>
      <c r="KF16" s="34">
        <v>25205</v>
      </c>
      <c r="KG16" s="173">
        <v>86657</v>
      </c>
      <c r="KH16">
        <v>93020</v>
      </c>
      <c r="KI16" s="173">
        <v>-87246</v>
      </c>
      <c r="KJ16" s="173">
        <v>-4274</v>
      </c>
      <c r="KK16" s="34">
        <v>763572</v>
      </c>
      <c r="KL16" s="173">
        <v>58324</v>
      </c>
      <c r="KM16" s="34">
        <v>71176</v>
      </c>
      <c r="KN16">
        <v>654694</v>
      </c>
      <c r="KO16">
        <v>247776</v>
      </c>
      <c r="KP16">
        <v>883489</v>
      </c>
      <c r="KQ16">
        <v>553071</v>
      </c>
      <c r="KR16">
        <v>376299</v>
      </c>
      <c r="KS16">
        <v>23051</v>
      </c>
      <c r="KT16">
        <v>762385</v>
      </c>
      <c r="KU16">
        <v>51320</v>
      </c>
      <c r="KV16">
        <v>69784</v>
      </c>
      <c r="KW16">
        <v>91469</v>
      </c>
      <c r="KX16">
        <v>-114475</v>
      </c>
      <c r="KY16">
        <v>95106</v>
      </c>
      <c r="KZ16">
        <v>683378</v>
      </c>
      <c r="LA16">
        <v>1733815</v>
      </c>
      <c r="LB16">
        <v>-2945</v>
      </c>
      <c r="LC16">
        <v>157013</v>
      </c>
      <c r="LD16" s="57">
        <v>20.875</v>
      </c>
      <c r="LE16">
        <v>246653</v>
      </c>
      <c r="LF16" s="34">
        <v>895862</v>
      </c>
      <c r="LG16" s="34">
        <v>556170</v>
      </c>
      <c r="LH16">
        <v>363815</v>
      </c>
      <c r="LI16" s="173">
        <v>15035</v>
      </c>
      <c r="LJ16" s="34">
        <v>764011</v>
      </c>
      <c r="LK16" s="173">
        <v>73530</v>
      </c>
      <c r="LL16" s="34">
        <v>58321</v>
      </c>
      <c r="LM16" s="173">
        <v>118535</v>
      </c>
      <c r="LN16" s="173">
        <v>-113146</v>
      </c>
      <c r="LO16">
        <v>92983</v>
      </c>
      <c r="LP16">
        <v>696963</v>
      </c>
      <c r="LQ16" s="173">
        <v>1712050</v>
      </c>
      <c r="LR16" s="173">
        <v>25523</v>
      </c>
      <c r="LS16" s="173">
        <v>180883</v>
      </c>
      <c r="LT16" s="57">
        <v>20.930555555555557</v>
      </c>
      <c r="LU16">
        <v>245602</v>
      </c>
      <c r="LV16" s="34">
        <v>879083</v>
      </c>
      <c r="LW16" s="34">
        <v>557024</v>
      </c>
      <c r="LX16" s="172">
        <v>373773</v>
      </c>
      <c r="LY16" s="173">
        <v>34387</v>
      </c>
      <c r="LZ16" s="34">
        <v>749908</v>
      </c>
      <c r="MA16" s="173">
        <v>57400</v>
      </c>
      <c r="MB16" s="34">
        <v>71775</v>
      </c>
      <c r="MC16" s="173">
        <v>72135</v>
      </c>
      <c r="MD16" s="34">
        <v>-126358</v>
      </c>
      <c r="ME16">
        <v>97521</v>
      </c>
      <c r="MF16">
        <v>729915</v>
      </c>
      <c r="MG16" s="173">
        <v>1758697</v>
      </c>
      <c r="MH16" s="173">
        <v>-13092</v>
      </c>
      <c r="MI16" s="173">
        <v>167791</v>
      </c>
      <c r="MJ16" s="57">
        <v>21.208333333333332</v>
      </c>
    </row>
    <row r="17" spans="1:348" x14ac:dyDescent="0.2">
      <c r="A17" t="s">
        <v>119</v>
      </c>
      <c r="B17" s="34">
        <v>197443</v>
      </c>
      <c r="C17" s="34">
        <v>197347</v>
      </c>
      <c r="D17" s="34">
        <v>197378</v>
      </c>
      <c r="E17" s="34">
        <v>197656</v>
      </c>
      <c r="F17" s="34">
        <v>198088</v>
      </c>
      <c r="G17" s="34">
        <v>198434</v>
      </c>
      <c r="H17" s="34">
        <v>198685</v>
      </c>
      <c r="I17" s="34">
        <v>198975</v>
      </c>
      <c r="J17" s="34">
        <v>199235</v>
      </c>
      <c r="K17" s="34">
        <v>200061</v>
      </c>
      <c r="L17" s="34">
        <v>200847</v>
      </c>
      <c r="M17" s="34">
        <v>409891</v>
      </c>
      <c r="N17" s="34">
        <v>106504</v>
      </c>
      <c r="O17" s="34">
        <v>107115</v>
      </c>
      <c r="P17" s="34">
        <v>9621.6948970101221</v>
      </c>
      <c r="Q17" s="34">
        <v>423304</v>
      </c>
      <c r="R17" s="34">
        <v>107214</v>
      </c>
      <c r="S17" s="34">
        <v>102500</v>
      </c>
      <c r="T17" s="34">
        <v>14085.234277372165</v>
      </c>
      <c r="U17" s="34">
        <v>425550</v>
      </c>
      <c r="V17" s="34">
        <v>111261</v>
      </c>
      <c r="W17" s="34">
        <v>115478</v>
      </c>
      <c r="X17" s="34">
        <v>16932.487684439082</v>
      </c>
      <c r="Y17" s="34">
        <v>473691</v>
      </c>
      <c r="Z17" s="34">
        <v>128921</v>
      </c>
      <c r="AA17" s="34">
        <v>118735</v>
      </c>
      <c r="AB17" s="34">
        <v>21538.650426440487</v>
      </c>
      <c r="AC17" s="34">
        <v>487228</v>
      </c>
      <c r="AD17" s="34">
        <v>137376</v>
      </c>
      <c r="AE17" s="34">
        <v>124306</v>
      </c>
      <c r="AF17" s="34">
        <v>21174</v>
      </c>
      <c r="AG17" s="34">
        <v>467585</v>
      </c>
      <c r="AH17" s="34">
        <v>152858</v>
      </c>
      <c r="AI17" s="34">
        <v>130720</v>
      </c>
      <c r="AJ17" s="34">
        <v>27200</v>
      </c>
      <c r="AK17" s="34">
        <v>477600</v>
      </c>
      <c r="AL17" s="34">
        <v>169084</v>
      </c>
      <c r="AM17" s="34">
        <v>137711</v>
      </c>
      <c r="AN17" s="34">
        <v>41609</v>
      </c>
      <c r="AO17" s="34">
        <v>499425</v>
      </c>
      <c r="AP17" s="34">
        <v>184880</v>
      </c>
      <c r="AQ17" s="34">
        <v>126673</v>
      </c>
      <c r="AR17" s="34">
        <v>21037</v>
      </c>
      <c r="AS17" s="34">
        <v>529815</v>
      </c>
      <c r="AT17" s="34">
        <v>205021</v>
      </c>
      <c r="AU17" s="34">
        <v>143200</v>
      </c>
      <c r="AV17" s="34">
        <v>24723</v>
      </c>
      <c r="AW17" s="34">
        <v>559493</v>
      </c>
      <c r="AX17" s="34">
        <v>217714</v>
      </c>
      <c r="AY17" s="34">
        <v>176057</v>
      </c>
      <c r="AZ17" s="34">
        <v>48202</v>
      </c>
      <c r="BA17" s="34">
        <v>609258</v>
      </c>
      <c r="BB17" s="34">
        <v>248978</v>
      </c>
      <c r="BC17" s="34">
        <v>198789</v>
      </c>
      <c r="BD17" s="34">
        <v>38221</v>
      </c>
      <c r="BE17" s="34">
        <v>333459.81065403239</v>
      </c>
      <c r="BF17" s="34">
        <v>59338.886898665085</v>
      </c>
      <c r="BG17" s="34">
        <v>16904.736676572935</v>
      </c>
      <c r="BH17" s="34">
        <v>342559.28203937958</v>
      </c>
      <c r="BI17" s="34">
        <v>62314.635881548602</v>
      </c>
      <c r="BJ17" s="34">
        <v>18287.073244160096</v>
      </c>
      <c r="BK17" s="34">
        <v>328264.14922978339</v>
      </c>
      <c r="BL17" s="34">
        <v>74683.51236938106</v>
      </c>
      <c r="BM17" s="34">
        <v>22460.993015155414</v>
      </c>
      <c r="BN17" s="34">
        <v>387850</v>
      </c>
      <c r="BO17" s="34">
        <v>61849</v>
      </c>
      <c r="BP17" s="34">
        <v>23854</v>
      </c>
      <c r="BQ17" s="34">
        <v>422067</v>
      </c>
      <c r="BR17" s="34">
        <v>40012</v>
      </c>
      <c r="BS17" s="34">
        <v>25028</v>
      </c>
      <c r="BT17" s="34">
        <v>416102</v>
      </c>
      <c r="BU17" s="34">
        <v>26238</v>
      </c>
      <c r="BV17" s="34">
        <v>25137</v>
      </c>
      <c r="BW17" s="34">
        <v>424952</v>
      </c>
      <c r="BX17" s="34">
        <v>26958</v>
      </c>
      <c r="BY17" s="34">
        <v>25585</v>
      </c>
      <c r="BZ17" s="34">
        <v>443110</v>
      </c>
      <c r="CA17" s="34">
        <v>29395</v>
      </c>
      <c r="CB17" s="34">
        <v>26822</v>
      </c>
      <c r="CC17" s="34">
        <v>468752</v>
      </c>
      <c r="CD17" s="34">
        <v>32452</v>
      </c>
      <c r="CE17" s="34">
        <v>28515</v>
      </c>
      <c r="CF17" s="34">
        <v>490469</v>
      </c>
      <c r="CG17" s="34">
        <v>38021</v>
      </c>
      <c r="CH17" s="34">
        <v>30937</v>
      </c>
      <c r="CI17" s="34">
        <v>537269</v>
      </c>
      <c r="CJ17" s="34">
        <v>39285</v>
      </c>
      <c r="CK17" s="34">
        <v>32698</v>
      </c>
      <c r="CL17" s="34">
        <v>14969.061830927405</v>
      </c>
      <c r="CM17" s="34">
        <v>-41595.397031300003</v>
      </c>
      <c r="CN17" s="34">
        <v>27129.217102021114</v>
      </c>
      <c r="CO17" s="34">
        <v>141163</v>
      </c>
      <c r="CP17" s="34">
        <v>16775.736536976954</v>
      </c>
      <c r="CQ17" s="34">
        <v>10633.17707915</v>
      </c>
      <c r="CR17" s="34">
        <v>28425.946015039364</v>
      </c>
      <c r="CS17" s="34">
        <v>135596</v>
      </c>
      <c r="CT17" s="34">
        <v>-1381.3274400283904</v>
      </c>
      <c r="CU17" s="34">
        <v>-41848.519857799998</v>
      </c>
      <c r="CV17" s="34">
        <v>30219.838438677842</v>
      </c>
      <c r="CW17" s="34">
        <v>235799</v>
      </c>
      <c r="CX17" s="34">
        <v>29128.130608016174</v>
      </c>
      <c r="CY17" s="34">
        <v>-37487</v>
      </c>
      <c r="CZ17" s="34">
        <v>30796.723026440824</v>
      </c>
      <c r="DA17" s="34">
        <v>228707</v>
      </c>
      <c r="DB17" s="34">
        <v>59046</v>
      </c>
      <c r="DC17" s="34">
        <v>-39311</v>
      </c>
      <c r="DD17" s="34">
        <v>33163</v>
      </c>
      <c r="DE17" s="34">
        <v>264901</v>
      </c>
      <c r="DF17" s="34">
        <v>16957</v>
      </c>
      <c r="DG17" s="34">
        <v>-48134</v>
      </c>
      <c r="DH17" s="34">
        <v>33791</v>
      </c>
      <c r="DI17" s="34">
        <v>357129</v>
      </c>
      <c r="DJ17" s="34">
        <v>23488</v>
      </c>
      <c r="DK17" s="34">
        <v>-50686</v>
      </c>
      <c r="DL17" s="34">
        <v>40606</v>
      </c>
      <c r="DM17" s="34">
        <v>342916</v>
      </c>
      <c r="DN17" s="34">
        <v>13409</v>
      </c>
      <c r="DO17" s="34">
        <v>-50084</v>
      </c>
      <c r="DP17" s="34">
        <v>42108</v>
      </c>
      <c r="DQ17" s="34">
        <v>378657</v>
      </c>
      <c r="DR17" s="34">
        <v>62622</v>
      </c>
      <c r="DS17" s="34">
        <v>-56795</v>
      </c>
      <c r="DT17" s="34">
        <v>42159</v>
      </c>
      <c r="DU17" s="34">
        <v>416275</v>
      </c>
      <c r="DV17" s="34">
        <v>64141</v>
      </c>
      <c r="DW17" s="34">
        <v>-61836</v>
      </c>
      <c r="DX17" s="34">
        <v>46465</v>
      </c>
      <c r="DY17" s="34">
        <v>434788</v>
      </c>
      <c r="DZ17" s="34">
        <v>70872</v>
      </c>
      <c r="EA17" s="34">
        <v>-13441</v>
      </c>
      <c r="EB17" s="34">
        <v>45970</v>
      </c>
      <c r="EC17" s="34">
        <v>413305</v>
      </c>
      <c r="ED17" s="34">
        <v>579802.14372331067</v>
      </c>
      <c r="EE17" s="34">
        <v>34239.36169318149</v>
      </c>
      <c r="EF17" s="34">
        <v>593833.72605214163</v>
      </c>
      <c r="EG17" s="34">
        <v>-678.80647119865864</v>
      </c>
      <c r="EH17" s="34">
        <v>626536.52284917084</v>
      </c>
      <c r="EI17" s="34">
        <v>-18785.245882339092</v>
      </c>
      <c r="EJ17" s="34">
        <v>664175.63528784516</v>
      </c>
      <c r="EK17" s="34">
        <v>3496.1224273554303</v>
      </c>
      <c r="EL17" s="34">
        <v>694560</v>
      </c>
      <c r="EM17" s="34">
        <v>24613</v>
      </c>
      <c r="EN17" s="34">
        <v>743974</v>
      </c>
      <c r="EO17" s="34">
        <v>-13284</v>
      </c>
      <c r="EP17" s="34">
        <v>785663</v>
      </c>
      <c r="EQ17" s="34">
        <v>-16696</v>
      </c>
      <c r="ER17" s="34">
        <v>806661</v>
      </c>
      <c r="ES17" s="34">
        <v>-27564</v>
      </c>
      <c r="ET17" s="34">
        <v>836219</v>
      </c>
      <c r="EU17" s="34">
        <v>30649</v>
      </c>
      <c r="EV17" s="34">
        <v>911939</v>
      </c>
      <c r="EW17" s="34">
        <v>8613</v>
      </c>
      <c r="EX17" s="34">
        <v>1002916</v>
      </c>
      <c r="EY17" s="34">
        <v>41008</v>
      </c>
      <c r="EZ17" s="34">
        <v>58852</v>
      </c>
      <c r="FA17" s="34">
        <v>99802</v>
      </c>
      <c r="FB17" s="34">
        <v>201270</v>
      </c>
      <c r="FC17" s="34">
        <v>618334</v>
      </c>
      <c r="FD17" s="34">
        <v>269253</v>
      </c>
      <c r="FE17" s="34">
        <v>201264</v>
      </c>
      <c r="FF17" s="34">
        <v>28950</v>
      </c>
      <c r="FG17" s="34">
        <v>550963</v>
      </c>
      <c r="FH17" s="34">
        <v>31200</v>
      </c>
      <c r="FI17" s="34">
        <v>36171</v>
      </c>
      <c r="FJ17" s="34">
        <v>71791</v>
      </c>
      <c r="FK17" s="34">
        <v>-77743</v>
      </c>
      <c r="FL17" s="34">
        <v>48667</v>
      </c>
      <c r="FM17" s="34">
        <v>501928</v>
      </c>
      <c r="FN17" s="34">
        <v>77743</v>
      </c>
      <c r="FO17" s="34">
        <v>1041701</v>
      </c>
      <c r="FP17" s="34">
        <v>23275</v>
      </c>
      <c r="FQ17" s="34">
        <v>201772</v>
      </c>
      <c r="FR17" s="34">
        <v>629535</v>
      </c>
      <c r="FS17" s="34">
        <v>293235</v>
      </c>
      <c r="FT17" s="34">
        <v>219292</v>
      </c>
      <c r="FU17" s="34">
        <v>21886</v>
      </c>
      <c r="FV17" s="34">
        <v>547999</v>
      </c>
      <c r="FW17" s="34">
        <v>36773</v>
      </c>
      <c r="FX17" s="34">
        <v>44763</v>
      </c>
      <c r="FY17" s="34">
        <v>78153</v>
      </c>
      <c r="FZ17" s="34">
        <v>-74111</v>
      </c>
      <c r="GA17" s="34">
        <v>50418</v>
      </c>
      <c r="GB17" s="34">
        <v>513842</v>
      </c>
      <c r="GC17" s="34">
        <v>74111</v>
      </c>
      <c r="GD17" s="34">
        <v>1082778</v>
      </c>
      <c r="GE17" s="34">
        <v>25562</v>
      </c>
      <c r="GF17" s="34">
        <v>151123</v>
      </c>
      <c r="GG17" s="57">
        <v>178.75</v>
      </c>
      <c r="GH17" s="34">
        <v>202236</v>
      </c>
      <c r="GI17" s="34">
        <v>657236</v>
      </c>
      <c r="GJ17">
        <v>310018</v>
      </c>
      <c r="GK17">
        <v>233087</v>
      </c>
      <c r="GL17">
        <v>22857</v>
      </c>
      <c r="GM17">
        <v>567718</v>
      </c>
      <c r="GN17">
        <v>43157</v>
      </c>
      <c r="GO17">
        <v>46361</v>
      </c>
      <c r="GP17">
        <v>75659</v>
      </c>
      <c r="GQ17">
        <v>-87346</v>
      </c>
      <c r="GR17">
        <v>55788</v>
      </c>
      <c r="GS17">
        <v>558423</v>
      </c>
      <c r="GT17">
        <v>87346</v>
      </c>
      <c r="GU17">
        <v>1143604</v>
      </c>
      <c r="GV17">
        <v>20906</v>
      </c>
      <c r="GW17" s="34">
        <v>202548</v>
      </c>
      <c r="GX17" s="34">
        <v>669841</v>
      </c>
      <c r="GY17">
        <v>324422</v>
      </c>
      <c r="GZ17">
        <v>250009</v>
      </c>
      <c r="HA17">
        <v>33808</v>
      </c>
      <c r="HB17">
        <v>590670</v>
      </c>
      <c r="HC17">
        <v>32034</v>
      </c>
      <c r="HD17">
        <v>47137</v>
      </c>
      <c r="HE17">
        <v>51272</v>
      </c>
      <c r="HF17">
        <v>-74466</v>
      </c>
      <c r="HG17">
        <v>53138</v>
      </c>
      <c r="HH17">
        <v>647314</v>
      </c>
      <c r="HI17">
        <v>74466</v>
      </c>
      <c r="HJ17">
        <v>1223759</v>
      </c>
      <c r="HK17">
        <v>-2880</v>
      </c>
      <c r="HL17">
        <v>172683</v>
      </c>
      <c r="HM17" s="57">
        <v>19.944444444444443</v>
      </c>
      <c r="HN17" s="190">
        <v>30566.473755115014</v>
      </c>
      <c r="HO17" s="34">
        <v>29887.835471842805</v>
      </c>
      <c r="HP17" s="34">
        <v>12498.549379134265</v>
      </c>
      <c r="HQ17" s="34">
        <v>41337.228565710175</v>
      </c>
      <c r="HR17">
        <v>68695</v>
      </c>
      <c r="HS17">
        <v>56504</v>
      </c>
      <c r="HT17">
        <v>46485</v>
      </c>
      <c r="HU17">
        <v>22760</v>
      </c>
      <c r="HV17">
        <v>57951</v>
      </c>
      <c r="HW17">
        <v>58852</v>
      </c>
      <c r="HX17">
        <v>99802</v>
      </c>
      <c r="HY17">
        <v>123142</v>
      </c>
      <c r="HZ17">
        <v>151123</v>
      </c>
      <c r="IA17" s="34">
        <v>175439</v>
      </c>
      <c r="IB17">
        <v>172683</v>
      </c>
      <c r="IC17">
        <v>287426</v>
      </c>
      <c r="ID17">
        <v>365898</v>
      </c>
      <c r="IE17">
        <v>359350</v>
      </c>
      <c r="IF17" s="57">
        <v>17.583333333333332</v>
      </c>
      <c r="IG17" s="57">
        <v>17.638888888888889</v>
      </c>
      <c r="IH17" s="57">
        <v>17.944444444444443</v>
      </c>
      <c r="II17" s="57">
        <v>18.055555555555557</v>
      </c>
      <c r="IJ17" s="57">
        <v>18.166666666666668</v>
      </c>
      <c r="IK17" s="57">
        <v>18.305555555555557</v>
      </c>
      <c r="IL17" s="57">
        <v>18.388888888888889</v>
      </c>
      <c r="IM17" s="57">
        <v>18.722222222222221</v>
      </c>
      <c r="IN17" s="57">
        <v>18.833333333333332</v>
      </c>
      <c r="IO17" s="57">
        <v>18.972222222222221</v>
      </c>
      <c r="IP17" s="57">
        <v>19.166666666666668</v>
      </c>
      <c r="IQ17" s="57">
        <v>19.472222222222221</v>
      </c>
      <c r="IR17" s="57">
        <v>19.861111111111111</v>
      </c>
      <c r="IS17" s="57">
        <v>19.888888888888889</v>
      </c>
      <c r="IT17" s="57">
        <v>19.944444444444443</v>
      </c>
      <c r="IU17" s="57">
        <v>20.222222222222221</v>
      </c>
      <c r="IV17" s="57">
        <v>20.472222222222221</v>
      </c>
      <c r="IW17" s="57">
        <v>20.694444444444443</v>
      </c>
      <c r="IX17">
        <v>202424</v>
      </c>
      <c r="IY17">
        <v>249182</v>
      </c>
      <c r="IZ17">
        <v>1266213</v>
      </c>
      <c r="JA17" s="34">
        <v>1424948</v>
      </c>
      <c r="JB17" s="34">
        <v>329788</v>
      </c>
      <c r="JC17">
        <v>15578</v>
      </c>
      <c r="JD17">
        <v>35986</v>
      </c>
      <c r="JE17">
        <v>66739</v>
      </c>
      <c r="JF17">
        <v>-104637</v>
      </c>
      <c r="JG17">
        <v>-29148</v>
      </c>
      <c r="JH17">
        <v>-28971</v>
      </c>
      <c r="JI17" s="34">
        <v>625411</v>
      </c>
      <c r="JJ17" s="173">
        <v>35609</v>
      </c>
      <c r="JK17" s="34">
        <v>51454</v>
      </c>
      <c r="JL17">
        <v>781922</v>
      </c>
      <c r="JM17">
        <v>202009</v>
      </c>
      <c r="JN17">
        <v>303612</v>
      </c>
      <c r="JO17" s="173">
        <v>1286796</v>
      </c>
      <c r="JP17" s="34">
        <v>1462132</v>
      </c>
      <c r="JQ17" s="34">
        <v>329631</v>
      </c>
      <c r="JR17" s="34">
        <v>27822</v>
      </c>
      <c r="JS17" s="173">
        <v>91424</v>
      </c>
      <c r="JT17">
        <v>63734</v>
      </c>
      <c r="JU17">
        <v>-93015</v>
      </c>
      <c r="JV17" s="173">
        <v>38292</v>
      </c>
      <c r="JW17" s="34">
        <v>636308</v>
      </c>
      <c r="JX17" s="173">
        <v>38921</v>
      </c>
      <c r="JY17" s="34">
        <v>55837</v>
      </c>
      <c r="JZ17">
        <v>853770</v>
      </c>
      <c r="KA17">
        <v>201615</v>
      </c>
      <c r="KB17">
        <v>288158</v>
      </c>
      <c r="KC17" s="173">
        <v>1318978</v>
      </c>
      <c r="KD17" s="34">
        <v>1483284</v>
      </c>
      <c r="KE17" s="34">
        <v>335741</v>
      </c>
      <c r="KF17" s="34">
        <v>44489</v>
      </c>
      <c r="KG17" s="173">
        <v>57731</v>
      </c>
      <c r="KH17">
        <v>69339</v>
      </c>
      <c r="KI17" s="173">
        <v>-119063</v>
      </c>
      <c r="KJ17" s="173">
        <v>-1039</v>
      </c>
      <c r="KK17" s="34">
        <v>639900</v>
      </c>
      <c r="KL17" s="173">
        <v>41370</v>
      </c>
      <c r="KM17" s="34">
        <v>60372</v>
      </c>
      <c r="KN17">
        <v>937849</v>
      </c>
      <c r="KO17">
        <v>201685</v>
      </c>
      <c r="KP17">
        <v>745875</v>
      </c>
      <c r="KQ17">
        <v>363251</v>
      </c>
      <c r="KR17">
        <v>272597</v>
      </c>
      <c r="KS17">
        <v>21624</v>
      </c>
      <c r="KT17">
        <v>648729</v>
      </c>
      <c r="KU17">
        <v>36010</v>
      </c>
      <c r="KV17">
        <v>61136</v>
      </c>
      <c r="KW17">
        <v>74546</v>
      </c>
      <c r="KX17">
        <v>-71084</v>
      </c>
      <c r="KY17">
        <v>73643</v>
      </c>
      <c r="KZ17">
        <v>950044</v>
      </c>
      <c r="LA17">
        <v>1314554</v>
      </c>
      <c r="LB17">
        <v>4433</v>
      </c>
      <c r="LC17">
        <v>203883</v>
      </c>
      <c r="LD17" s="57">
        <v>20.722222222222221</v>
      </c>
      <c r="LE17">
        <v>201228</v>
      </c>
      <c r="LF17" s="34">
        <v>750037</v>
      </c>
      <c r="LG17" s="34">
        <v>358783</v>
      </c>
      <c r="LH17">
        <v>163067</v>
      </c>
      <c r="LI17" s="173">
        <v>19672</v>
      </c>
      <c r="LJ17" s="34">
        <v>647270</v>
      </c>
      <c r="LK17" s="173">
        <v>42150</v>
      </c>
      <c r="LL17" s="34">
        <v>60617</v>
      </c>
      <c r="LM17" s="173">
        <v>104927</v>
      </c>
      <c r="LN17" s="173">
        <v>-75174</v>
      </c>
      <c r="LO17">
        <v>73431</v>
      </c>
      <c r="LP17">
        <v>959001</v>
      </c>
      <c r="LQ17" s="173">
        <v>1183766</v>
      </c>
      <c r="LR17" s="173">
        <v>25931</v>
      </c>
      <c r="LS17" s="173">
        <v>226120</v>
      </c>
      <c r="LT17" s="57">
        <v>20.722222222222221</v>
      </c>
      <c r="LU17">
        <v>200629</v>
      </c>
      <c r="LV17" s="34">
        <v>755659</v>
      </c>
      <c r="LW17" s="34">
        <v>359859</v>
      </c>
      <c r="LX17" s="172">
        <v>164603</v>
      </c>
      <c r="LY17" s="173">
        <v>12864</v>
      </c>
      <c r="LZ17" s="34">
        <v>648559</v>
      </c>
      <c r="MA17" s="173">
        <v>41421</v>
      </c>
      <c r="MB17" s="34">
        <v>65679</v>
      </c>
      <c r="MC17" s="173">
        <v>73785</v>
      </c>
      <c r="MD17" s="34">
        <v>-135390</v>
      </c>
      <c r="ME17">
        <v>71849</v>
      </c>
      <c r="MF17">
        <v>996305</v>
      </c>
      <c r="MG17" s="173">
        <v>1219200</v>
      </c>
      <c r="MH17" s="173">
        <v>2366</v>
      </c>
      <c r="MI17" s="173">
        <v>228512</v>
      </c>
      <c r="MJ17" s="57">
        <v>20.777777777777779</v>
      </c>
    </row>
    <row r="18" spans="1:348" x14ac:dyDescent="0.2">
      <c r="A18" t="s">
        <v>120</v>
      </c>
      <c r="B18" s="34">
        <v>235662</v>
      </c>
      <c r="C18" s="34">
        <v>234233</v>
      </c>
      <c r="D18" s="34">
        <v>232569</v>
      </c>
      <c r="E18" s="34">
        <v>231307</v>
      </c>
      <c r="F18" s="34">
        <v>230480</v>
      </c>
      <c r="G18" s="34">
        <v>229910</v>
      </c>
      <c r="H18" s="34">
        <v>229389</v>
      </c>
      <c r="I18" s="34">
        <v>228675</v>
      </c>
      <c r="J18" s="34">
        <v>228051</v>
      </c>
      <c r="K18" s="34">
        <v>227131</v>
      </c>
      <c r="L18" s="34">
        <v>226358</v>
      </c>
      <c r="M18" s="34">
        <v>468257</v>
      </c>
      <c r="N18" s="34">
        <v>195064</v>
      </c>
      <c r="O18" s="34">
        <v>211869</v>
      </c>
      <c r="P18" s="34">
        <v>13289.200821429833</v>
      </c>
      <c r="Q18" s="34">
        <v>483347</v>
      </c>
      <c r="R18" s="34">
        <v>207180</v>
      </c>
      <c r="S18" s="34">
        <v>220313</v>
      </c>
      <c r="T18" s="34">
        <v>13550.564859151022</v>
      </c>
      <c r="U18" s="34">
        <v>486281</v>
      </c>
      <c r="V18" s="34">
        <v>216683</v>
      </c>
      <c r="W18" s="34">
        <v>239413</v>
      </c>
      <c r="X18" s="34">
        <v>10285.700830680169</v>
      </c>
      <c r="Y18" s="34">
        <v>545321</v>
      </c>
      <c r="Z18" s="34">
        <v>240779</v>
      </c>
      <c r="AA18" s="34">
        <v>248968</v>
      </c>
      <c r="AB18" s="34">
        <v>11133.536167972645</v>
      </c>
      <c r="AC18" s="34">
        <v>548673</v>
      </c>
      <c r="AD18" s="34">
        <v>265549</v>
      </c>
      <c r="AE18" s="34">
        <v>254329</v>
      </c>
      <c r="AF18" s="34">
        <v>7798</v>
      </c>
      <c r="AG18" s="34">
        <v>534446</v>
      </c>
      <c r="AH18" s="34">
        <v>281885</v>
      </c>
      <c r="AI18" s="34">
        <v>268162</v>
      </c>
      <c r="AJ18" s="34">
        <v>13172</v>
      </c>
      <c r="AK18" s="34">
        <v>538831</v>
      </c>
      <c r="AL18" s="34">
        <v>295147</v>
      </c>
      <c r="AM18" s="34">
        <v>279050</v>
      </c>
      <c r="AN18" s="34">
        <v>11284</v>
      </c>
      <c r="AO18" s="34">
        <v>555308</v>
      </c>
      <c r="AP18" s="34">
        <v>311158</v>
      </c>
      <c r="AQ18" s="34">
        <v>287144</v>
      </c>
      <c r="AR18" s="34">
        <v>8230</v>
      </c>
      <c r="AS18" s="34">
        <v>586886</v>
      </c>
      <c r="AT18" s="34">
        <v>337779</v>
      </c>
      <c r="AU18" s="34">
        <v>258170</v>
      </c>
      <c r="AV18" s="34">
        <v>86706</v>
      </c>
      <c r="AW18" s="34">
        <v>622386</v>
      </c>
      <c r="AX18" s="34">
        <v>352639</v>
      </c>
      <c r="AY18" s="34">
        <v>265761</v>
      </c>
      <c r="AZ18" s="34">
        <v>28923</v>
      </c>
      <c r="BA18" s="34">
        <v>681514</v>
      </c>
      <c r="BB18" s="34">
        <v>403980</v>
      </c>
      <c r="BC18" s="34">
        <v>285883</v>
      </c>
      <c r="BD18" s="34">
        <v>10696</v>
      </c>
      <c r="BE18" s="34">
        <v>386420.17044164462</v>
      </c>
      <c r="BF18" s="34">
        <v>65081.663647693385</v>
      </c>
      <c r="BG18" s="34">
        <v>16472.325517640391</v>
      </c>
      <c r="BH18" s="34">
        <v>394269.3327816769</v>
      </c>
      <c r="BI18" s="34">
        <v>68063.803771782448</v>
      </c>
      <c r="BJ18" s="34">
        <v>20626.062737460328</v>
      </c>
      <c r="BK18" s="34">
        <v>378688.90783806186</v>
      </c>
      <c r="BL18" s="34">
        <v>85903.160755701989</v>
      </c>
      <c r="BM18" s="34">
        <v>21347.084378200827</v>
      </c>
      <c r="BN18" s="34">
        <v>432728</v>
      </c>
      <c r="BO18" s="34">
        <v>90077</v>
      </c>
      <c r="BP18" s="34">
        <v>22287</v>
      </c>
      <c r="BQ18" s="34">
        <v>482924</v>
      </c>
      <c r="BR18" s="34">
        <v>41856</v>
      </c>
      <c r="BS18" s="34">
        <v>23674</v>
      </c>
      <c r="BT18" s="34">
        <v>474770</v>
      </c>
      <c r="BU18" s="34">
        <v>35535</v>
      </c>
      <c r="BV18" s="34">
        <v>23962</v>
      </c>
      <c r="BW18" s="34">
        <v>480647</v>
      </c>
      <c r="BX18" s="34">
        <v>33910</v>
      </c>
      <c r="BY18" s="34">
        <v>24099</v>
      </c>
      <c r="BZ18" s="34">
        <v>492473</v>
      </c>
      <c r="CA18" s="34">
        <v>37140</v>
      </c>
      <c r="CB18" s="34">
        <v>25525</v>
      </c>
      <c r="CC18" s="34">
        <v>517770</v>
      </c>
      <c r="CD18" s="34">
        <v>41019</v>
      </c>
      <c r="CE18" s="34">
        <v>27947</v>
      </c>
      <c r="CF18" s="34">
        <v>544979</v>
      </c>
      <c r="CG18" s="34">
        <v>47909</v>
      </c>
      <c r="CH18" s="34">
        <v>29496</v>
      </c>
      <c r="CI18" s="34">
        <v>597393</v>
      </c>
      <c r="CJ18" s="34">
        <v>51827</v>
      </c>
      <c r="CK18" s="34">
        <v>32292</v>
      </c>
      <c r="CL18" s="34">
        <v>16550.701091371455</v>
      </c>
      <c r="CM18" s="34">
        <v>-68703.254275169995</v>
      </c>
      <c r="CN18" s="34">
        <v>51107.601589712271</v>
      </c>
      <c r="CO18" s="34">
        <v>181904</v>
      </c>
      <c r="CP18" s="34">
        <v>40415.726916627551</v>
      </c>
      <c r="CQ18" s="34">
        <v>-62601.22811389</v>
      </c>
      <c r="CR18" s="34">
        <v>53313.890809034376</v>
      </c>
      <c r="CS18" s="34">
        <v>179547</v>
      </c>
      <c r="CT18" s="34">
        <v>32745.516530350353</v>
      </c>
      <c r="CU18" s="34">
        <v>-68217.863913891008</v>
      </c>
      <c r="CV18" s="34">
        <v>50831.268826536019</v>
      </c>
      <c r="CW18" s="34">
        <v>182357</v>
      </c>
      <c r="CX18" s="34">
        <v>70651.879584172159</v>
      </c>
      <c r="CY18" s="34">
        <v>-58544</v>
      </c>
      <c r="CZ18" s="34">
        <v>51809.281618909707</v>
      </c>
      <c r="DA18" s="34">
        <v>179364</v>
      </c>
      <c r="DB18" s="34">
        <v>104731</v>
      </c>
      <c r="DC18" s="34">
        <v>-54853</v>
      </c>
      <c r="DD18" s="34">
        <v>54242</v>
      </c>
      <c r="DE18" s="34">
        <v>165218</v>
      </c>
      <c r="DF18" s="34">
        <v>67912</v>
      </c>
      <c r="DG18" s="34">
        <v>-67672</v>
      </c>
      <c r="DH18" s="34">
        <v>55038</v>
      </c>
      <c r="DI18" s="34">
        <v>157392</v>
      </c>
      <c r="DJ18" s="34">
        <v>51920</v>
      </c>
      <c r="DK18" s="34">
        <v>-76568</v>
      </c>
      <c r="DL18" s="34">
        <v>56836</v>
      </c>
      <c r="DM18" s="34">
        <v>161827</v>
      </c>
      <c r="DN18" s="34">
        <v>41305</v>
      </c>
      <c r="DO18" s="34">
        <v>-85158</v>
      </c>
      <c r="DP18" s="34">
        <v>58343</v>
      </c>
      <c r="DQ18" s="34">
        <v>193131</v>
      </c>
      <c r="DR18" s="34">
        <v>54131</v>
      </c>
      <c r="DS18" s="34">
        <v>-26583</v>
      </c>
      <c r="DT18" s="34">
        <v>56143</v>
      </c>
      <c r="DU18" s="34">
        <v>218283</v>
      </c>
      <c r="DV18" s="34">
        <v>66876</v>
      </c>
      <c r="DW18" s="34">
        <v>-83096</v>
      </c>
      <c r="DX18" s="34">
        <v>58181</v>
      </c>
      <c r="DY18" s="34">
        <v>231719</v>
      </c>
      <c r="DZ18" s="34">
        <v>94616</v>
      </c>
      <c r="EA18" s="34">
        <v>-95318</v>
      </c>
      <c r="EB18" s="34">
        <v>59743</v>
      </c>
      <c r="EC18" s="34">
        <v>252293</v>
      </c>
      <c r="ED18" s="34">
        <v>822698.30617939262</v>
      </c>
      <c r="EE18" s="34">
        <v>-26721.865944131332</v>
      </c>
      <c r="EF18" s="34">
        <v>837347.64276211662</v>
      </c>
      <c r="EG18" s="34">
        <v>-10344.566604941698</v>
      </c>
      <c r="EH18" s="34">
        <v>872211.14985039679</v>
      </c>
      <c r="EI18" s="34">
        <v>-11989.949089514659</v>
      </c>
      <c r="EJ18" s="34">
        <v>924171.29603934253</v>
      </c>
      <c r="EK18" s="34">
        <v>25498.466967050303</v>
      </c>
      <c r="EL18" s="34">
        <v>962597</v>
      </c>
      <c r="EM18" s="34">
        <v>51495</v>
      </c>
      <c r="EN18" s="34">
        <v>1016891</v>
      </c>
      <c r="EO18" s="34">
        <v>16020</v>
      </c>
      <c r="EP18" s="34">
        <v>1063223</v>
      </c>
      <c r="EQ18" s="34">
        <v>-3637</v>
      </c>
      <c r="ER18" s="34">
        <v>1113462</v>
      </c>
      <c r="ES18" s="34">
        <v>-20677</v>
      </c>
      <c r="ET18" s="34">
        <v>1135682</v>
      </c>
      <c r="EU18" s="34">
        <v>73770</v>
      </c>
      <c r="EV18" s="34">
        <v>1180520</v>
      </c>
      <c r="EW18" s="34">
        <v>13621</v>
      </c>
      <c r="EX18" s="34">
        <v>1280207</v>
      </c>
      <c r="EY18" s="34">
        <v>38256</v>
      </c>
      <c r="EZ18" s="34">
        <v>87006</v>
      </c>
      <c r="FA18" s="34">
        <v>125086</v>
      </c>
      <c r="FB18" s="34">
        <v>226116</v>
      </c>
      <c r="FC18" s="34">
        <v>703383</v>
      </c>
      <c r="FD18" s="34">
        <v>420844</v>
      </c>
      <c r="FE18" s="34">
        <v>303808</v>
      </c>
      <c r="FF18" s="34">
        <v>15905</v>
      </c>
      <c r="FG18" s="34">
        <v>624512</v>
      </c>
      <c r="FH18" s="34">
        <v>42700</v>
      </c>
      <c r="FI18" s="34">
        <v>36169</v>
      </c>
      <c r="FJ18" s="34">
        <v>103927</v>
      </c>
      <c r="FK18" s="34">
        <v>-81297</v>
      </c>
      <c r="FL18" s="34">
        <v>64846</v>
      </c>
      <c r="FM18" s="34">
        <v>247764</v>
      </c>
      <c r="FN18" s="34">
        <v>81297</v>
      </c>
      <c r="FO18" s="34">
        <v>1334455</v>
      </c>
      <c r="FP18" s="34">
        <v>42575</v>
      </c>
      <c r="FQ18" s="34">
        <v>225762</v>
      </c>
      <c r="FR18" s="34">
        <v>718951</v>
      </c>
      <c r="FS18" s="34">
        <v>398781</v>
      </c>
      <c r="FT18" s="34">
        <v>370471</v>
      </c>
      <c r="FU18" s="34">
        <v>17245</v>
      </c>
      <c r="FV18" s="34">
        <v>625974</v>
      </c>
      <c r="FW18" s="34">
        <v>48382</v>
      </c>
      <c r="FX18" s="34">
        <v>44595</v>
      </c>
      <c r="FY18" s="34">
        <v>103536</v>
      </c>
      <c r="FZ18" s="34">
        <v>-111634</v>
      </c>
      <c r="GA18" s="34">
        <v>64731</v>
      </c>
      <c r="GB18" s="34">
        <v>263682</v>
      </c>
      <c r="GC18" s="34">
        <v>111634</v>
      </c>
      <c r="GD18" s="34">
        <v>1396142</v>
      </c>
      <c r="GE18" s="34">
        <v>43827</v>
      </c>
      <c r="GF18" s="34">
        <v>210199</v>
      </c>
      <c r="GG18" s="57">
        <v>330</v>
      </c>
      <c r="GH18" s="34">
        <v>225302</v>
      </c>
      <c r="GI18" s="34">
        <v>726923</v>
      </c>
      <c r="GJ18">
        <v>414980</v>
      </c>
      <c r="GK18">
        <v>378922</v>
      </c>
      <c r="GL18">
        <v>30859</v>
      </c>
      <c r="GM18">
        <v>624460</v>
      </c>
      <c r="GN18">
        <v>57780</v>
      </c>
      <c r="GO18">
        <v>44683</v>
      </c>
      <c r="GP18">
        <v>66809</v>
      </c>
      <c r="GQ18">
        <v>-114177</v>
      </c>
      <c r="GR18">
        <v>64697</v>
      </c>
      <c r="GS18">
        <v>294570</v>
      </c>
      <c r="GT18">
        <v>114177</v>
      </c>
      <c r="GU18">
        <v>1466215</v>
      </c>
      <c r="GV18">
        <v>17034</v>
      </c>
      <c r="GW18" s="34">
        <v>224934</v>
      </c>
      <c r="GX18" s="34">
        <v>751589</v>
      </c>
      <c r="GY18">
        <v>401105</v>
      </c>
      <c r="GZ18">
        <v>388518</v>
      </c>
      <c r="HA18">
        <v>36670</v>
      </c>
      <c r="HB18">
        <v>653852</v>
      </c>
      <c r="HC18">
        <v>47607</v>
      </c>
      <c r="HD18">
        <v>50130</v>
      </c>
      <c r="HE18">
        <v>54327</v>
      </c>
      <c r="HF18">
        <v>-120395</v>
      </c>
      <c r="HG18">
        <v>87601</v>
      </c>
      <c r="HH18">
        <v>345367</v>
      </c>
      <c r="HI18">
        <v>120395</v>
      </c>
      <c r="HJ18">
        <v>1502197</v>
      </c>
      <c r="HK18">
        <v>1225</v>
      </c>
      <c r="HL18">
        <v>246859</v>
      </c>
      <c r="HM18" s="57">
        <v>19.661764705882351</v>
      </c>
      <c r="HN18" s="190">
        <v>-13207.629677095998</v>
      </c>
      <c r="HO18" s="34">
        <v>-23712.311188029049</v>
      </c>
      <c r="HP18" s="34">
        <v>-25414.373003819546</v>
      </c>
      <c r="HQ18" s="34">
        <v>3522.8643076628114</v>
      </c>
      <c r="HR18">
        <v>51285</v>
      </c>
      <c r="HS18">
        <v>66032</v>
      </c>
      <c r="HT18">
        <v>80647</v>
      </c>
      <c r="HU18">
        <v>62494</v>
      </c>
      <c r="HV18">
        <v>138622</v>
      </c>
      <c r="HW18">
        <v>86287</v>
      </c>
      <c r="HX18">
        <v>123471</v>
      </c>
      <c r="HY18">
        <v>171331</v>
      </c>
      <c r="HZ18">
        <v>210199</v>
      </c>
      <c r="IA18" s="34">
        <v>245763</v>
      </c>
      <c r="IB18">
        <v>246859</v>
      </c>
      <c r="IC18">
        <v>520360</v>
      </c>
      <c r="ID18">
        <v>610572</v>
      </c>
      <c r="IE18">
        <v>565224</v>
      </c>
      <c r="IF18" s="57">
        <v>17.808823529411764</v>
      </c>
      <c r="IG18" s="57">
        <v>18</v>
      </c>
      <c r="IH18" s="57">
        <v>18.058823529411764</v>
      </c>
      <c r="II18" s="57">
        <v>18.029411764705884</v>
      </c>
      <c r="IJ18" s="57">
        <v>18.220588235294116</v>
      </c>
      <c r="IK18" s="57">
        <v>18.338235294117649</v>
      </c>
      <c r="IL18" s="57">
        <v>18.411764705882351</v>
      </c>
      <c r="IM18" s="57">
        <v>18.647058823529413</v>
      </c>
      <c r="IN18" s="57">
        <v>18.764705882352942</v>
      </c>
      <c r="IO18" s="57">
        <v>18.970588235294116</v>
      </c>
      <c r="IP18" s="57">
        <v>19.117647058823529</v>
      </c>
      <c r="IQ18" s="57">
        <v>19.205882352941178</v>
      </c>
      <c r="IR18" s="57">
        <v>19.411764705882351</v>
      </c>
      <c r="IS18" s="57">
        <v>19.411764705882351</v>
      </c>
      <c r="IT18" s="57">
        <v>19.661764705882351</v>
      </c>
      <c r="IU18" s="57">
        <v>20.477941176470587</v>
      </c>
      <c r="IV18" s="57">
        <v>20.823529411764707</v>
      </c>
      <c r="IW18" s="57">
        <v>20.323529411764707</v>
      </c>
      <c r="IX18">
        <v>224556</v>
      </c>
      <c r="IY18">
        <v>393183</v>
      </c>
      <c r="IZ18">
        <v>1521213</v>
      </c>
      <c r="JA18" s="34">
        <v>1622732</v>
      </c>
      <c r="JB18" s="34">
        <v>405836</v>
      </c>
      <c r="JC18">
        <v>13475</v>
      </c>
      <c r="JD18">
        <v>100650</v>
      </c>
      <c r="JE18">
        <v>88933</v>
      </c>
      <c r="JF18">
        <v>-109759</v>
      </c>
      <c r="JG18">
        <v>9982</v>
      </c>
      <c r="JH18">
        <v>15125</v>
      </c>
      <c r="JI18" s="34">
        <v>694578</v>
      </c>
      <c r="JJ18" s="173">
        <v>60243</v>
      </c>
      <c r="JK18" s="34">
        <v>56545</v>
      </c>
      <c r="JL18">
        <v>389996</v>
      </c>
      <c r="JM18">
        <v>223983</v>
      </c>
      <c r="JN18">
        <v>401791</v>
      </c>
      <c r="JO18" s="173">
        <v>1557899</v>
      </c>
      <c r="JP18" s="34">
        <v>1639734</v>
      </c>
      <c r="JQ18" s="34">
        <v>406391</v>
      </c>
      <c r="JR18" s="34">
        <v>66452</v>
      </c>
      <c r="JS18" s="173">
        <v>82780</v>
      </c>
      <c r="JT18">
        <v>81749</v>
      </c>
      <c r="JU18">
        <v>-96992</v>
      </c>
      <c r="JV18" s="173">
        <v>44993</v>
      </c>
      <c r="JW18" s="34">
        <v>692685</v>
      </c>
      <c r="JX18" s="173">
        <v>65282</v>
      </c>
      <c r="JY18" s="34">
        <v>61900</v>
      </c>
      <c r="JZ18">
        <v>399730</v>
      </c>
      <c r="KA18">
        <v>222957</v>
      </c>
      <c r="KB18">
        <v>371795</v>
      </c>
      <c r="KC18" s="173">
        <v>1549607</v>
      </c>
      <c r="KD18" s="34">
        <v>1656910</v>
      </c>
      <c r="KE18" s="34">
        <v>391274</v>
      </c>
      <c r="KF18" s="34">
        <v>17838</v>
      </c>
      <c r="KG18" s="173">
        <v>56496</v>
      </c>
      <c r="KH18">
        <v>75561</v>
      </c>
      <c r="KI18" s="173">
        <v>-104542</v>
      </c>
      <c r="KJ18" s="173">
        <v>-22642</v>
      </c>
      <c r="KK18" s="34">
        <v>698683</v>
      </c>
      <c r="KL18" s="173">
        <v>63516</v>
      </c>
      <c r="KM18" s="34">
        <v>66256</v>
      </c>
      <c r="KN18">
        <v>418098</v>
      </c>
      <c r="KO18">
        <v>221740</v>
      </c>
      <c r="KP18">
        <v>838505</v>
      </c>
      <c r="KQ18">
        <v>403232</v>
      </c>
      <c r="KR18">
        <v>369695</v>
      </c>
      <c r="KS18">
        <v>10315</v>
      </c>
      <c r="KT18">
        <v>712013</v>
      </c>
      <c r="KU18">
        <v>55650</v>
      </c>
      <c r="KV18">
        <v>70842</v>
      </c>
      <c r="KW18">
        <v>98537</v>
      </c>
      <c r="KX18">
        <v>-81883</v>
      </c>
      <c r="KY18">
        <v>76363</v>
      </c>
      <c r="KZ18">
        <v>432215</v>
      </c>
      <c r="LA18">
        <v>1521992</v>
      </c>
      <c r="LB18">
        <v>22534</v>
      </c>
      <c r="LC18">
        <v>305484</v>
      </c>
      <c r="LD18" s="57">
        <v>20.455882352941178</v>
      </c>
      <c r="LE18">
        <v>220398</v>
      </c>
      <c r="LF18" s="34">
        <v>852072</v>
      </c>
      <c r="LG18" s="34">
        <v>392490</v>
      </c>
      <c r="LH18">
        <v>363818</v>
      </c>
      <c r="LI18" s="173">
        <v>12921</v>
      </c>
      <c r="LJ18" s="34">
        <v>712074</v>
      </c>
      <c r="LK18" s="173">
        <v>67607</v>
      </c>
      <c r="LL18" s="34">
        <v>72392</v>
      </c>
      <c r="LM18" s="173">
        <v>111490</v>
      </c>
      <c r="LN18" s="173">
        <v>-80074</v>
      </c>
      <c r="LO18">
        <v>73721</v>
      </c>
      <c r="LP18">
        <v>458040</v>
      </c>
      <c r="LQ18" s="173">
        <v>1509811</v>
      </c>
      <c r="LR18" s="173">
        <v>38743</v>
      </c>
      <c r="LS18" s="173">
        <v>343507</v>
      </c>
      <c r="LT18" s="57">
        <v>20.705882352941178</v>
      </c>
      <c r="LU18">
        <v>218624</v>
      </c>
      <c r="LV18" s="34">
        <v>839522</v>
      </c>
      <c r="LW18" s="34">
        <v>386264</v>
      </c>
      <c r="LX18" s="172">
        <v>340999</v>
      </c>
      <c r="LY18" s="173">
        <v>10585</v>
      </c>
      <c r="LZ18" s="34">
        <v>705768</v>
      </c>
      <c r="MA18" s="173">
        <v>58424</v>
      </c>
      <c r="MB18" s="34">
        <v>75330</v>
      </c>
      <c r="MC18" s="173">
        <v>33170</v>
      </c>
      <c r="MD18" s="34">
        <v>-86833</v>
      </c>
      <c r="ME18">
        <v>78623</v>
      </c>
      <c r="MF18">
        <v>488297</v>
      </c>
      <c r="MG18" s="173">
        <v>1543792</v>
      </c>
      <c r="MH18" s="173">
        <v>-45514</v>
      </c>
      <c r="MI18" s="173">
        <v>293400</v>
      </c>
      <c r="MJ18" s="57">
        <v>20.75</v>
      </c>
    </row>
    <row r="19" spans="1:348" x14ac:dyDescent="0.2">
      <c r="A19" t="s">
        <v>121</v>
      </c>
      <c r="B19" s="34">
        <v>1362634</v>
      </c>
      <c r="C19" s="34">
        <v>1379713</v>
      </c>
      <c r="D19" s="34">
        <v>1394199</v>
      </c>
      <c r="E19" s="34">
        <v>1408525</v>
      </c>
      <c r="F19" s="34">
        <v>1419938</v>
      </c>
      <c r="G19" s="34">
        <v>1429869</v>
      </c>
      <c r="H19" s="34">
        <v>1439400</v>
      </c>
      <c r="I19" s="34">
        <v>1452083</v>
      </c>
      <c r="J19" s="34">
        <v>1467453</v>
      </c>
      <c r="K19" s="34">
        <v>1483719</v>
      </c>
      <c r="L19" s="34">
        <v>1501511</v>
      </c>
      <c r="M19" s="34">
        <v>3976216</v>
      </c>
      <c r="N19" s="34">
        <v>280067</v>
      </c>
      <c r="O19" s="34">
        <v>1530568</v>
      </c>
      <c r="P19" s="34">
        <v>113668.46459560054</v>
      </c>
      <c r="Q19" s="34">
        <v>4079956</v>
      </c>
      <c r="R19" s="34">
        <v>231396</v>
      </c>
      <c r="S19" s="34">
        <v>1607148</v>
      </c>
      <c r="T19" s="34">
        <v>104884.68194822168</v>
      </c>
      <c r="U19" s="34">
        <v>4718834</v>
      </c>
      <c r="V19" s="34">
        <v>205455</v>
      </c>
      <c r="W19" s="34">
        <v>1698193</v>
      </c>
      <c r="X19" s="34">
        <v>117736.08959707219</v>
      </c>
      <c r="Y19" s="34">
        <v>5016412</v>
      </c>
      <c r="Z19" s="34">
        <v>142905</v>
      </c>
      <c r="AA19" s="34">
        <v>1794677</v>
      </c>
      <c r="AB19" s="34">
        <v>127134.09455188848</v>
      </c>
      <c r="AC19" s="34">
        <v>4765411</v>
      </c>
      <c r="AD19" s="34">
        <v>71181</v>
      </c>
      <c r="AE19" s="34">
        <v>1945398</v>
      </c>
      <c r="AF19" s="34">
        <v>114326</v>
      </c>
      <c r="AG19" s="34">
        <v>4630827</v>
      </c>
      <c r="AH19" s="34">
        <v>253183</v>
      </c>
      <c r="AI19" s="34">
        <v>2100717</v>
      </c>
      <c r="AJ19" s="34">
        <v>221172</v>
      </c>
      <c r="AK19" s="34">
        <v>4634467</v>
      </c>
      <c r="AL19" s="34">
        <v>406659</v>
      </c>
      <c r="AM19" s="34">
        <v>2211816</v>
      </c>
      <c r="AN19" s="34">
        <v>215251</v>
      </c>
      <c r="AO19" s="34">
        <v>4880658</v>
      </c>
      <c r="AP19" s="34">
        <v>530284</v>
      </c>
      <c r="AQ19" s="34">
        <v>2000790</v>
      </c>
      <c r="AR19" s="34">
        <v>198476</v>
      </c>
      <c r="AS19" s="34">
        <v>5201490</v>
      </c>
      <c r="AT19" s="34">
        <v>623686</v>
      </c>
      <c r="AU19" s="34">
        <v>2448969</v>
      </c>
      <c r="AV19" s="34">
        <v>692133</v>
      </c>
      <c r="AW19" s="34">
        <v>5659551</v>
      </c>
      <c r="AX19" s="34">
        <v>645724</v>
      </c>
      <c r="AY19" s="34">
        <v>2468916</v>
      </c>
      <c r="AZ19" s="34">
        <v>285438</v>
      </c>
      <c r="BA19" s="34">
        <v>6054469</v>
      </c>
      <c r="BB19" s="34">
        <v>699265</v>
      </c>
      <c r="BC19" s="34">
        <v>2664021</v>
      </c>
      <c r="BD19" s="34">
        <v>150886</v>
      </c>
      <c r="BE19" s="34">
        <v>2898674.1745757037</v>
      </c>
      <c r="BF19" s="34">
        <v>904922.69241960195</v>
      </c>
      <c r="BG19" s="34">
        <v>170502.69689340083</v>
      </c>
      <c r="BH19" s="34">
        <v>3017825.0610101698</v>
      </c>
      <c r="BI19" s="34">
        <v>880857.69114978309</v>
      </c>
      <c r="BJ19" s="34">
        <v>179233.16396809142</v>
      </c>
      <c r="BK19" s="34">
        <v>3341387.6849436485</v>
      </c>
      <c r="BL19" s="34">
        <v>1178402.6519872248</v>
      </c>
      <c r="BM19" s="34">
        <v>196966.05799456083</v>
      </c>
      <c r="BN19" s="34">
        <v>3735009</v>
      </c>
      <c r="BO19" s="34">
        <v>1069869</v>
      </c>
      <c r="BP19" s="34">
        <v>209569</v>
      </c>
      <c r="BQ19" s="34">
        <v>3982296</v>
      </c>
      <c r="BR19" s="34">
        <v>563781</v>
      </c>
      <c r="BS19" s="34">
        <v>217503</v>
      </c>
      <c r="BT19" s="34">
        <v>3996836</v>
      </c>
      <c r="BU19" s="34">
        <v>403283</v>
      </c>
      <c r="BV19" s="34">
        <v>228938</v>
      </c>
      <c r="BW19" s="34">
        <v>3972685</v>
      </c>
      <c r="BX19" s="34">
        <v>413349</v>
      </c>
      <c r="BY19" s="34">
        <v>246732</v>
      </c>
      <c r="BZ19" s="34">
        <v>4168003</v>
      </c>
      <c r="CA19" s="34">
        <v>451781</v>
      </c>
      <c r="CB19" s="34">
        <v>259227</v>
      </c>
      <c r="CC19" s="34">
        <v>4450289</v>
      </c>
      <c r="CD19" s="34">
        <v>478143</v>
      </c>
      <c r="CE19" s="34">
        <v>271495</v>
      </c>
      <c r="CF19" s="34">
        <v>4776460</v>
      </c>
      <c r="CG19" s="34">
        <v>574279</v>
      </c>
      <c r="CH19" s="34">
        <v>307363</v>
      </c>
      <c r="CI19" s="34">
        <v>5126348</v>
      </c>
      <c r="CJ19" s="34">
        <v>604997</v>
      </c>
      <c r="CK19" s="34">
        <v>322375</v>
      </c>
      <c r="CL19" s="34">
        <v>652493.3019158286</v>
      </c>
      <c r="CM19" s="34">
        <v>-537663.16332926019</v>
      </c>
      <c r="CN19" s="34">
        <v>375692.30355229724</v>
      </c>
      <c r="CO19" s="34">
        <v>1134684</v>
      </c>
      <c r="CP19" s="34">
        <v>598579.9893368854</v>
      </c>
      <c r="CQ19" s="34">
        <v>-523255.84913120011</v>
      </c>
      <c r="CR19" s="34">
        <v>408232.46262443805</v>
      </c>
      <c r="CS19" s="34">
        <v>984881</v>
      </c>
      <c r="CT19" s="34">
        <v>911707.89793683833</v>
      </c>
      <c r="CU19" s="34">
        <v>-666716.28207629989</v>
      </c>
      <c r="CV19" s="34">
        <v>428769.89032465313</v>
      </c>
      <c r="CW19" s="34">
        <v>821142</v>
      </c>
      <c r="CX19" s="34">
        <v>734089.84262655722</v>
      </c>
      <c r="CY19" s="34">
        <v>-893041</v>
      </c>
      <c r="CZ19" s="34">
        <v>429191.0328925128</v>
      </c>
      <c r="DA19" s="34">
        <v>835075</v>
      </c>
      <c r="DB19" s="34">
        <v>444536</v>
      </c>
      <c r="DC19" s="34">
        <v>-806418</v>
      </c>
      <c r="DD19" s="34">
        <v>478501</v>
      </c>
      <c r="DE19" s="34">
        <v>1233855</v>
      </c>
      <c r="DF19" s="34">
        <v>472412</v>
      </c>
      <c r="DG19" s="34">
        <v>-735478</v>
      </c>
      <c r="DH19" s="34">
        <v>504654</v>
      </c>
      <c r="DI19" s="34">
        <v>1596763</v>
      </c>
      <c r="DJ19" s="34">
        <v>538527</v>
      </c>
      <c r="DK19" s="34">
        <v>-698909</v>
      </c>
      <c r="DL19" s="34">
        <v>533750</v>
      </c>
      <c r="DM19" s="34">
        <v>1928255</v>
      </c>
      <c r="DN19" s="34">
        <v>573216</v>
      </c>
      <c r="DO19" s="34">
        <v>-607534</v>
      </c>
      <c r="DP19" s="34">
        <v>538432</v>
      </c>
      <c r="DQ19" s="34">
        <v>2040434</v>
      </c>
      <c r="DR19" s="34">
        <v>833050</v>
      </c>
      <c r="DS19" s="34">
        <v>3650</v>
      </c>
      <c r="DT19" s="34">
        <v>547578</v>
      </c>
      <c r="DU19" s="34">
        <v>2097632</v>
      </c>
      <c r="DV19" s="34">
        <v>948473</v>
      </c>
      <c r="DW19" s="34">
        <v>-930978</v>
      </c>
      <c r="DX19" s="34">
        <v>558317</v>
      </c>
      <c r="DY19" s="34">
        <v>2215636</v>
      </c>
      <c r="DZ19" s="34">
        <v>818658</v>
      </c>
      <c r="EA19" s="34">
        <v>-1128651</v>
      </c>
      <c r="EB19" s="34">
        <v>577017</v>
      </c>
      <c r="EC19" s="34">
        <v>2279765</v>
      </c>
      <c r="ED19" s="34">
        <v>4907483.185412054</v>
      </c>
      <c r="EE19" s="34">
        <v>132624.92578707749</v>
      </c>
      <c r="EF19" s="34">
        <v>5131063.1327019557</v>
      </c>
      <c r="EG19" s="34">
        <v>147266.69391311076</v>
      </c>
      <c r="EH19" s="34">
        <v>5540321.2053019563</v>
      </c>
      <c r="EI19" s="34">
        <v>391690.50730524265</v>
      </c>
      <c r="EJ19" s="34">
        <v>6043680.7591330251</v>
      </c>
      <c r="EK19" s="34">
        <v>224745.15324442915</v>
      </c>
      <c r="EL19" s="34">
        <v>6385696</v>
      </c>
      <c r="EM19" s="34">
        <v>99828</v>
      </c>
      <c r="EN19" s="34">
        <v>6560249</v>
      </c>
      <c r="EO19" s="34">
        <v>61071</v>
      </c>
      <c r="EP19" s="34">
        <v>6762077</v>
      </c>
      <c r="EQ19" s="34">
        <v>142477</v>
      </c>
      <c r="ER19" s="34">
        <v>7049971</v>
      </c>
      <c r="ES19" s="34">
        <v>98369</v>
      </c>
      <c r="ET19" s="34">
        <v>7484601</v>
      </c>
      <c r="EU19" s="34">
        <v>354303</v>
      </c>
      <c r="EV19" s="34">
        <v>7880928</v>
      </c>
      <c r="EW19" s="34">
        <v>337993</v>
      </c>
      <c r="EX19" s="34">
        <v>8582256</v>
      </c>
      <c r="EY19" s="34">
        <v>373162</v>
      </c>
      <c r="EZ19" s="34">
        <v>2257903</v>
      </c>
      <c r="FA19" s="34">
        <v>2643638</v>
      </c>
      <c r="FB19" s="34">
        <v>1517712</v>
      </c>
      <c r="FC19" s="34">
        <v>6047927</v>
      </c>
      <c r="FD19" s="34">
        <v>705883</v>
      </c>
      <c r="FE19" s="34">
        <v>2776919</v>
      </c>
      <c r="FF19" s="34">
        <v>158252</v>
      </c>
      <c r="FG19" s="34">
        <v>5264407</v>
      </c>
      <c r="FH19" s="34">
        <v>446584</v>
      </c>
      <c r="FI19" s="34">
        <v>336271</v>
      </c>
      <c r="FJ19" s="34">
        <v>625329</v>
      </c>
      <c r="FK19" s="34">
        <v>-1085062</v>
      </c>
      <c r="FL19" s="34">
        <v>634297</v>
      </c>
      <c r="FM19" s="34">
        <v>2793450</v>
      </c>
      <c r="FN19" s="34">
        <v>1085062</v>
      </c>
      <c r="FO19" s="34">
        <v>8984940</v>
      </c>
      <c r="FP19" s="34">
        <v>57476</v>
      </c>
      <c r="FQ19" s="34">
        <v>1532309</v>
      </c>
      <c r="FR19" s="34">
        <v>6328976</v>
      </c>
      <c r="FS19" s="34">
        <v>866672</v>
      </c>
      <c r="FT19" s="34">
        <v>2835808</v>
      </c>
      <c r="FU19" s="34">
        <v>1197051</v>
      </c>
      <c r="FV19" s="34">
        <v>5400080</v>
      </c>
      <c r="FW19" s="34">
        <v>517240</v>
      </c>
      <c r="FX19" s="34">
        <v>411065</v>
      </c>
      <c r="FY19" s="34">
        <v>884273</v>
      </c>
      <c r="FZ19" s="34">
        <v>382768</v>
      </c>
      <c r="GA19" s="34">
        <v>633475</v>
      </c>
      <c r="GB19" s="34">
        <v>3149059</v>
      </c>
      <c r="GC19" s="34">
        <v>-382768</v>
      </c>
      <c r="GD19" s="34">
        <v>9279614</v>
      </c>
      <c r="GE19" s="34">
        <v>1349375</v>
      </c>
      <c r="GF19" s="34">
        <v>3994414</v>
      </c>
      <c r="GG19" s="57">
        <v>500.25</v>
      </c>
      <c r="GH19" s="34">
        <v>1549058</v>
      </c>
      <c r="GI19" s="34">
        <v>6716528</v>
      </c>
      <c r="GJ19">
        <v>914010</v>
      </c>
      <c r="GK19">
        <v>3082528</v>
      </c>
      <c r="GL19">
        <v>172326</v>
      </c>
      <c r="GM19">
        <v>5635787</v>
      </c>
      <c r="GN19">
        <v>661711</v>
      </c>
      <c r="GO19">
        <v>418467</v>
      </c>
      <c r="GP19">
        <v>1014196</v>
      </c>
      <c r="GQ19">
        <v>-1033199</v>
      </c>
      <c r="GR19">
        <v>677125</v>
      </c>
      <c r="GS19">
        <v>3275310</v>
      </c>
      <c r="GT19">
        <v>1033199</v>
      </c>
      <c r="GU19">
        <v>9796764</v>
      </c>
      <c r="GV19">
        <v>402752</v>
      </c>
      <c r="GW19" s="34">
        <v>1566835</v>
      </c>
      <c r="GX19" s="34">
        <v>6800743</v>
      </c>
      <c r="GY19">
        <v>996532</v>
      </c>
      <c r="GZ19">
        <v>3123864</v>
      </c>
      <c r="HA19">
        <v>285670</v>
      </c>
      <c r="HB19">
        <v>5843734</v>
      </c>
      <c r="HC19">
        <v>525733</v>
      </c>
      <c r="HD19">
        <v>430736</v>
      </c>
      <c r="HE19">
        <v>756532</v>
      </c>
      <c r="HF19">
        <v>-961026</v>
      </c>
      <c r="HG19">
        <v>741087</v>
      </c>
      <c r="HH19">
        <v>3404965</v>
      </c>
      <c r="HI19">
        <v>961026</v>
      </c>
      <c r="HJ19">
        <v>10290999</v>
      </c>
      <c r="HK19">
        <v>117151</v>
      </c>
      <c r="HL19">
        <v>3826551</v>
      </c>
      <c r="HM19" s="57">
        <v>19.432692307692307</v>
      </c>
      <c r="HN19" s="190">
        <v>194122.33653394956</v>
      </c>
      <c r="HO19" s="34">
        <v>323598.61614974111</v>
      </c>
      <c r="HP19" s="34">
        <v>726392.04942034022</v>
      </c>
      <c r="HQ19" s="34">
        <v>949834.75536225166</v>
      </c>
      <c r="HR19">
        <v>1043322</v>
      </c>
      <c r="HS19">
        <v>1204965</v>
      </c>
      <c r="HT19">
        <v>1468169</v>
      </c>
      <c r="HU19">
        <v>1576377</v>
      </c>
      <c r="HV19">
        <v>1939912</v>
      </c>
      <c r="HW19">
        <v>2273352</v>
      </c>
      <c r="HX19">
        <v>2660282</v>
      </c>
      <c r="HY19">
        <v>2699654</v>
      </c>
      <c r="HZ19">
        <v>3994414</v>
      </c>
      <c r="IA19" s="34">
        <v>4380635</v>
      </c>
      <c r="IB19">
        <v>3826551</v>
      </c>
      <c r="IC19">
        <v>8253662</v>
      </c>
      <c r="ID19">
        <v>11480352</v>
      </c>
      <c r="IE19">
        <v>11508182</v>
      </c>
      <c r="IF19" s="57">
        <v>17.60576923076923</v>
      </c>
      <c r="IG19" s="57">
        <v>17.76923076923077</v>
      </c>
      <c r="IH19" s="57">
        <v>17.807692307692307</v>
      </c>
      <c r="II19" s="57">
        <v>17.846153846153847</v>
      </c>
      <c r="IJ19" s="57">
        <v>18.08653846153846</v>
      </c>
      <c r="IK19" s="57">
        <v>18.28846153846154</v>
      </c>
      <c r="IL19" s="57">
        <v>18.365384615384617</v>
      </c>
      <c r="IM19" s="57">
        <v>18.46153846153846</v>
      </c>
      <c r="IN19" s="57">
        <v>18.557692307692307</v>
      </c>
      <c r="IO19" s="57">
        <v>18.653846153846153</v>
      </c>
      <c r="IP19" s="57">
        <v>18.75</v>
      </c>
      <c r="IQ19" s="57">
        <v>18.923076923076923</v>
      </c>
      <c r="IR19" s="57">
        <v>19.240384615384617</v>
      </c>
      <c r="IS19" s="57">
        <v>19.33653846153846</v>
      </c>
      <c r="IT19" s="57">
        <v>19.432692307692307</v>
      </c>
      <c r="IU19" s="57">
        <v>19.53846153846154</v>
      </c>
      <c r="IV19" s="57">
        <v>19.85576923076923</v>
      </c>
      <c r="IW19" s="57">
        <v>20.009615384615383</v>
      </c>
      <c r="IX19">
        <v>1585473</v>
      </c>
      <c r="IY19">
        <v>3190911</v>
      </c>
      <c r="IZ19">
        <v>10588635</v>
      </c>
      <c r="JA19" s="34">
        <v>14417638</v>
      </c>
      <c r="JB19" s="34">
        <v>964758</v>
      </c>
      <c r="JC19">
        <v>280265</v>
      </c>
      <c r="JD19">
        <v>922139</v>
      </c>
      <c r="JE19">
        <v>762444</v>
      </c>
      <c r="JF19">
        <v>-921633</v>
      </c>
      <c r="JG19">
        <v>275687</v>
      </c>
      <c r="JH19">
        <v>285846</v>
      </c>
      <c r="JI19" s="34">
        <v>6215637</v>
      </c>
      <c r="JJ19" s="173">
        <v>540884</v>
      </c>
      <c r="JK19" s="34">
        <v>451857</v>
      </c>
      <c r="JL19">
        <v>3941721</v>
      </c>
      <c r="JM19">
        <v>1603388</v>
      </c>
      <c r="JN19">
        <v>3165899</v>
      </c>
      <c r="JO19" s="173">
        <v>10692946</v>
      </c>
      <c r="JP19" s="34">
        <v>14651922</v>
      </c>
      <c r="JQ19" s="34">
        <v>901892</v>
      </c>
      <c r="JR19" s="34">
        <v>1384144</v>
      </c>
      <c r="JS19" s="173">
        <v>833793</v>
      </c>
      <c r="JT19">
        <v>785945</v>
      </c>
      <c r="JU19">
        <v>-221852</v>
      </c>
      <c r="JV19" s="173">
        <v>1683952</v>
      </c>
      <c r="JW19" s="34">
        <v>6239201</v>
      </c>
      <c r="JX19" s="173">
        <v>600679</v>
      </c>
      <c r="JY19" s="34">
        <v>485649</v>
      </c>
      <c r="JZ19">
        <v>4244640</v>
      </c>
      <c r="KA19">
        <v>1620261</v>
      </c>
      <c r="KB19">
        <v>2533131</v>
      </c>
      <c r="KC19" s="173">
        <v>10483769</v>
      </c>
      <c r="KD19" s="34">
        <v>15134174</v>
      </c>
      <c r="KE19" s="34">
        <v>924492</v>
      </c>
      <c r="KF19" s="34">
        <v>354363</v>
      </c>
      <c r="KG19" s="173">
        <v>691963</v>
      </c>
      <c r="KH19">
        <v>787656</v>
      </c>
      <c r="KI19" s="173">
        <v>-969717</v>
      </c>
      <c r="KJ19" s="173">
        <v>67551</v>
      </c>
      <c r="KK19" s="34">
        <v>6343375</v>
      </c>
      <c r="KL19" s="173">
        <v>694051</v>
      </c>
      <c r="KM19" s="34">
        <v>529661</v>
      </c>
      <c r="KN19">
        <v>4576035</v>
      </c>
      <c r="KO19">
        <v>1638293</v>
      </c>
      <c r="KP19">
        <v>7826896</v>
      </c>
      <c r="KQ19">
        <v>1090069</v>
      </c>
      <c r="KR19">
        <v>2569615</v>
      </c>
      <c r="KS19">
        <v>440936</v>
      </c>
      <c r="KT19">
        <v>6601377</v>
      </c>
      <c r="KU19">
        <v>679989</v>
      </c>
      <c r="KV19">
        <v>545530</v>
      </c>
      <c r="KW19">
        <v>1218157</v>
      </c>
      <c r="KX19">
        <v>-920213</v>
      </c>
      <c r="KY19">
        <v>785243</v>
      </c>
      <c r="KZ19">
        <v>4653284</v>
      </c>
      <c r="LA19">
        <v>10445434</v>
      </c>
      <c r="LB19">
        <v>671373</v>
      </c>
      <c r="LC19">
        <v>6420601</v>
      </c>
      <c r="LD19" s="57">
        <v>20.03846153846154</v>
      </c>
      <c r="LE19">
        <v>1655624</v>
      </c>
      <c r="LF19" s="34">
        <v>8087822</v>
      </c>
      <c r="LG19" s="34">
        <v>931816</v>
      </c>
      <c r="LH19">
        <v>2557860</v>
      </c>
      <c r="LI19" s="173">
        <v>183195</v>
      </c>
      <c r="LJ19" s="34">
        <v>6625504</v>
      </c>
      <c r="LK19" s="173">
        <v>854639</v>
      </c>
      <c r="LL19" s="34">
        <v>607679</v>
      </c>
      <c r="LM19" s="173">
        <v>1490893</v>
      </c>
      <c r="LN19" s="173">
        <v>-1002441</v>
      </c>
      <c r="LO19">
        <v>809093</v>
      </c>
      <c r="LP19">
        <v>4432750</v>
      </c>
      <c r="LQ19" s="173">
        <v>10266573</v>
      </c>
      <c r="LR19" s="173">
        <v>687915</v>
      </c>
      <c r="LS19" s="173">
        <v>6958796</v>
      </c>
      <c r="LT19" s="57">
        <v>20.076923076923077</v>
      </c>
      <c r="LU19">
        <v>1671024</v>
      </c>
      <c r="LV19" s="34">
        <v>8138031</v>
      </c>
      <c r="LW19" s="34">
        <v>919997</v>
      </c>
      <c r="LX19" s="172">
        <v>2856442</v>
      </c>
      <c r="LY19" s="173">
        <v>180388</v>
      </c>
      <c r="LZ19" s="34">
        <v>6634433</v>
      </c>
      <c r="MA19" s="173">
        <v>888206</v>
      </c>
      <c r="MB19" s="34">
        <v>615392</v>
      </c>
      <c r="MC19" s="173">
        <v>1207764</v>
      </c>
      <c r="MD19" s="34">
        <v>-1091352</v>
      </c>
      <c r="ME19">
        <v>819571</v>
      </c>
      <c r="MF19">
        <v>4407584</v>
      </c>
      <c r="MG19" s="173">
        <v>10884790</v>
      </c>
      <c r="MH19" s="173">
        <v>404289</v>
      </c>
      <c r="MI19" s="173">
        <v>7300838</v>
      </c>
      <c r="MJ19" s="57">
        <v>20.03846153846154</v>
      </c>
    </row>
    <row r="20" spans="1:348" x14ac:dyDescent="0.2">
      <c r="A20" t="s">
        <v>122</v>
      </c>
      <c r="B20" s="34">
        <v>443050</v>
      </c>
      <c r="C20" s="34">
        <v>445542</v>
      </c>
      <c r="D20" s="34">
        <v>447103</v>
      </c>
      <c r="E20" s="34">
        <v>449293</v>
      </c>
      <c r="F20" s="34">
        <v>450968</v>
      </c>
      <c r="G20" s="34">
        <v>452444</v>
      </c>
      <c r="H20" s="34">
        <v>453745</v>
      </c>
      <c r="I20" s="34">
        <v>455584</v>
      </c>
      <c r="J20" s="34">
        <v>457789</v>
      </c>
      <c r="K20" s="34">
        <v>459235</v>
      </c>
      <c r="L20" s="34">
        <v>461177</v>
      </c>
      <c r="M20" s="34">
        <v>991780</v>
      </c>
      <c r="N20" s="34">
        <v>255000</v>
      </c>
      <c r="O20" s="34">
        <v>345129</v>
      </c>
      <c r="P20" s="34">
        <v>51526.557714527895</v>
      </c>
      <c r="Q20" s="34">
        <v>1027441</v>
      </c>
      <c r="R20" s="34">
        <v>271514</v>
      </c>
      <c r="S20" s="34">
        <v>352232</v>
      </c>
      <c r="T20" s="34">
        <v>51986.047129620747</v>
      </c>
      <c r="U20" s="34">
        <v>1089893</v>
      </c>
      <c r="V20" s="34">
        <v>293962</v>
      </c>
      <c r="W20" s="34">
        <v>366000</v>
      </c>
      <c r="X20" s="34">
        <v>43546.71335563506</v>
      </c>
      <c r="Y20" s="34">
        <v>1206443</v>
      </c>
      <c r="Z20" s="34">
        <v>331623</v>
      </c>
      <c r="AA20" s="34">
        <v>387566</v>
      </c>
      <c r="AB20" s="34">
        <v>47449.514189174428</v>
      </c>
      <c r="AC20" s="34">
        <v>1216404</v>
      </c>
      <c r="AD20" s="34">
        <v>365382</v>
      </c>
      <c r="AE20" s="34">
        <v>417809</v>
      </c>
      <c r="AF20" s="34">
        <v>40343</v>
      </c>
      <c r="AG20" s="34">
        <v>1137560</v>
      </c>
      <c r="AH20" s="34">
        <v>391615</v>
      </c>
      <c r="AI20" s="34">
        <v>431145</v>
      </c>
      <c r="AJ20" s="34">
        <v>49287</v>
      </c>
      <c r="AK20" s="34">
        <v>1153626</v>
      </c>
      <c r="AL20" s="34">
        <v>452496</v>
      </c>
      <c r="AM20" s="34">
        <v>456606</v>
      </c>
      <c r="AN20" s="34">
        <v>46719</v>
      </c>
      <c r="AO20" s="34">
        <v>1192724</v>
      </c>
      <c r="AP20" s="34">
        <v>487428</v>
      </c>
      <c r="AQ20" s="34">
        <v>445213</v>
      </c>
      <c r="AR20" s="34">
        <v>45482</v>
      </c>
      <c r="AS20" s="34">
        <v>1276105</v>
      </c>
      <c r="AT20" s="34">
        <v>522609</v>
      </c>
      <c r="AU20" s="34">
        <v>519215</v>
      </c>
      <c r="AV20" s="34">
        <v>37151</v>
      </c>
      <c r="AW20" s="34">
        <v>1376047</v>
      </c>
      <c r="AX20" s="34">
        <v>551235</v>
      </c>
      <c r="AY20" s="34">
        <v>537294</v>
      </c>
      <c r="AZ20" s="34">
        <v>55159</v>
      </c>
      <c r="BA20" s="34">
        <v>1462799</v>
      </c>
      <c r="BB20" s="34">
        <v>620935</v>
      </c>
      <c r="BC20" s="34">
        <v>564949</v>
      </c>
      <c r="BD20" s="34">
        <v>8536</v>
      </c>
      <c r="BE20" s="34">
        <v>767831.36805741256</v>
      </c>
      <c r="BF20" s="34">
        <v>186971.32227665908</v>
      </c>
      <c r="BG20" s="34">
        <v>36631.834947096489</v>
      </c>
      <c r="BH20" s="34">
        <v>801179.83830412757</v>
      </c>
      <c r="BI20" s="34">
        <v>187516.58753424726</v>
      </c>
      <c r="BJ20" s="34">
        <v>38421.186296720502</v>
      </c>
      <c r="BK20" s="34">
        <v>820714.36139885255</v>
      </c>
      <c r="BL20" s="34">
        <v>223409.74110832476</v>
      </c>
      <c r="BM20" s="34">
        <v>45465.905784487346</v>
      </c>
      <c r="BN20" s="34">
        <v>939784</v>
      </c>
      <c r="BO20" s="34">
        <v>218009</v>
      </c>
      <c r="BP20" s="34">
        <v>48354</v>
      </c>
      <c r="BQ20" s="34">
        <v>1005029</v>
      </c>
      <c r="BR20" s="34">
        <v>160074</v>
      </c>
      <c r="BS20" s="34">
        <v>51055</v>
      </c>
      <c r="BT20" s="34">
        <v>990531</v>
      </c>
      <c r="BU20" s="34">
        <v>94248</v>
      </c>
      <c r="BV20" s="34">
        <v>52563</v>
      </c>
      <c r="BW20" s="34">
        <v>991496</v>
      </c>
      <c r="BX20" s="34">
        <v>108224</v>
      </c>
      <c r="BY20" s="34">
        <v>53701</v>
      </c>
      <c r="BZ20" s="34">
        <v>1016771</v>
      </c>
      <c r="CA20" s="34">
        <v>118801</v>
      </c>
      <c r="CB20" s="34">
        <v>56965</v>
      </c>
      <c r="CC20" s="34">
        <v>1092370</v>
      </c>
      <c r="CD20" s="34">
        <v>123154</v>
      </c>
      <c r="CE20" s="34">
        <v>60391</v>
      </c>
      <c r="CF20" s="34">
        <v>1171916</v>
      </c>
      <c r="CG20" s="34">
        <v>140536</v>
      </c>
      <c r="CH20" s="34">
        <v>63411</v>
      </c>
      <c r="CI20" s="34">
        <v>1250195</v>
      </c>
      <c r="CJ20" s="34">
        <v>144665</v>
      </c>
      <c r="CK20" s="34">
        <v>67780</v>
      </c>
      <c r="CL20" s="34">
        <v>69428.985170870525</v>
      </c>
      <c r="CM20" s="34">
        <v>-129460.97450668001</v>
      </c>
      <c r="CN20" s="34">
        <v>82021.719788823248</v>
      </c>
      <c r="CO20" s="34">
        <v>355249</v>
      </c>
      <c r="CP20" s="34">
        <v>92305.234176459417</v>
      </c>
      <c r="CQ20" s="34">
        <v>-111436.77900645701</v>
      </c>
      <c r="CR20" s="34">
        <v>85616.4003410851</v>
      </c>
      <c r="CS20" s="34">
        <v>382955</v>
      </c>
      <c r="CT20" s="34">
        <v>119317.56066958977</v>
      </c>
      <c r="CU20" s="34">
        <v>-89542.411108684013</v>
      </c>
      <c r="CV20" s="34">
        <v>89801.252327300434</v>
      </c>
      <c r="CW20" s="34">
        <v>321080</v>
      </c>
      <c r="CX20" s="34">
        <v>167399.12508640654</v>
      </c>
      <c r="CY20" s="34">
        <v>-138620</v>
      </c>
      <c r="CZ20" s="34">
        <v>94638.000716480557</v>
      </c>
      <c r="DA20" s="34">
        <v>292257</v>
      </c>
      <c r="DB20" s="34">
        <v>228131</v>
      </c>
      <c r="DC20" s="34">
        <v>-134786</v>
      </c>
      <c r="DD20" s="34">
        <v>97002</v>
      </c>
      <c r="DE20" s="34">
        <v>270339</v>
      </c>
      <c r="DF20" s="34">
        <v>97835</v>
      </c>
      <c r="DG20" s="34">
        <v>-153447</v>
      </c>
      <c r="DH20" s="34">
        <v>100207</v>
      </c>
      <c r="DI20" s="34">
        <v>269221</v>
      </c>
      <c r="DJ20" s="34">
        <v>66338</v>
      </c>
      <c r="DK20" s="34">
        <v>-161559</v>
      </c>
      <c r="DL20" s="34">
        <v>104303</v>
      </c>
      <c r="DM20" s="34">
        <v>315179</v>
      </c>
      <c r="DN20" s="34">
        <v>43488</v>
      </c>
      <c r="DO20" s="34">
        <v>-204152</v>
      </c>
      <c r="DP20" s="34">
        <v>111844</v>
      </c>
      <c r="DQ20" s="34">
        <v>501214</v>
      </c>
      <c r="DR20" s="34">
        <v>96797</v>
      </c>
      <c r="DS20" s="34">
        <v>-184325</v>
      </c>
      <c r="DT20" s="34">
        <v>114010</v>
      </c>
      <c r="DU20" s="34">
        <v>588378</v>
      </c>
      <c r="DV20" s="34">
        <v>120490</v>
      </c>
      <c r="DW20" s="34">
        <v>-155535</v>
      </c>
      <c r="DX20" s="34">
        <v>116979</v>
      </c>
      <c r="DY20" s="34">
        <v>689086</v>
      </c>
      <c r="DZ20" s="34">
        <v>77867</v>
      </c>
      <c r="EA20" s="34">
        <v>-180054</v>
      </c>
      <c r="EB20" s="34">
        <v>125965</v>
      </c>
      <c r="EC20" s="34">
        <v>754874</v>
      </c>
      <c r="ED20" s="34">
        <v>1476809.9123236337</v>
      </c>
      <c r="EE20" s="34">
        <v>-14533.623289318553</v>
      </c>
      <c r="EF20" s="34">
        <v>1523385.0174831348</v>
      </c>
      <c r="EG20" s="34">
        <v>4998.2087985831877</v>
      </c>
      <c r="EH20" s="34">
        <v>1579751.687345372</v>
      </c>
      <c r="EI20" s="34">
        <v>94186.752509784317</v>
      </c>
      <c r="EJ20" s="34">
        <v>1707199.6205680377</v>
      </c>
      <c r="EK20" s="34">
        <v>58607.437606483989</v>
      </c>
      <c r="EL20" s="34">
        <v>1794302</v>
      </c>
      <c r="EM20" s="34">
        <v>108083</v>
      </c>
      <c r="EN20" s="34">
        <v>1895813</v>
      </c>
      <c r="EO20" s="34">
        <v>362</v>
      </c>
      <c r="EP20" s="34">
        <v>2028047</v>
      </c>
      <c r="EQ20" s="34">
        <v>-28700</v>
      </c>
      <c r="ER20" s="34">
        <v>2146954</v>
      </c>
      <c r="ES20" s="34">
        <v>-59472</v>
      </c>
      <c r="ET20" s="34">
        <v>2248162</v>
      </c>
      <c r="EU20" s="34">
        <v>-8833</v>
      </c>
      <c r="EV20" s="34">
        <v>2359875</v>
      </c>
      <c r="EW20" s="34">
        <v>7964</v>
      </c>
      <c r="EX20" s="34">
        <v>2543624</v>
      </c>
      <c r="EY20" s="34">
        <v>-44260</v>
      </c>
      <c r="EZ20" s="34">
        <v>309396</v>
      </c>
      <c r="FA20" s="34">
        <v>266103</v>
      </c>
      <c r="FB20" s="34">
        <v>462914</v>
      </c>
      <c r="FC20" s="34">
        <v>1470804</v>
      </c>
      <c r="FD20" s="34">
        <v>666720</v>
      </c>
      <c r="FE20" s="34">
        <v>606670</v>
      </c>
      <c r="FF20" s="34">
        <v>45274</v>
      </c>
      <c r="FG20" s="34">
        <v>1273128</v>
      </c>
      <c r="FH20" s="34">
        <v>124948</v>
      </c>
      <c r="FI20" s="34">
        <v>72728</v>
      </c>
      <c r="FJ20" s="34">
        <v>140777</v>
      </c>
      <c r="FK20" s="34">
        <v>-188930</v>
      </c>
      <c r="FL20" s="34">
        <v>136009</v>
      </c>
      <c r="FM20" s="34">
        <v>816221</v>
      </c>
      <c r="FN20" s="34">
        <v>188930</v>
      </c>
      <c r="FO20" s="34">
        <v>2636956</v>
      </c>
      <c r="FP20" s="34">
        <v>-509</v>
      </c>
      <c r="FQ20" s="34">
        <v>465183</v>
      </c>
      <c r="FR20" s="34">
        <v>1554253</v>
      </c>
      <c r="FS20" s="34">
        <v>724466</v>
      </c>
      <c r="FT20" s="34">
        <v>681164</v>
      </c>
      <c r="FU20" s="34">
        <v>33527</v>
      </c>
      <c r="FV20" s="34">
        <v>1306287</v>
      </c>
      <c r="FW20" s="34">
        <v>154235</v>
      </c>
      <c r="FX20" s="34">
        <v>93731</v>
      </c>
      <c r="FY20" s="34">
        <v>199361</v>
      </c>
      <c r="FZ20" s="34">
        <v>-131992</v>
      </c>
      <c r="GA20" s="34">
        <v>150690</v>
      </c>
      <c r="GB20" s="34">
        <v>844111</v>
      </c>
      <c r="GC20" s="34">
        <v>131992</v>
      </c>
      <c r="GD20" s="34">
        <v>2781478</v>
      </c>
      <c r="GE20" s="34">
        <v>45763</v>
      </c>
      <c r="GF20" s="34">
        <v>309042</v>
      </c>
      <c r="GG20" s="57">
        <v>516</v>
      </c>
      <c r="GH20" s="34">
        <v>467217</v>
      </c>
      <c r="GI20" s="34">
        <v>1588524</v>
      </c>
      <c r="GJ20">
        <v>741104</v>
      </c>
      <c r="GK20">
        <v>703440</v>
      </c>
      <c r="GL20">
        <v>22010</v>
      </c>
      <c r="GM20">
        <v>1323037</v>
      </c>
      <c r="GN20">
        <v>169249</v>
      </c>
      <c r="GO20">
        <v>96238</v>
      </c>
      <c r="GP20">
        <v>134978</v>
      </c>
      <c r="GQ20">
        <v>-134574</v>
      </c>
      <c r="GR20">
        <v>134236</v>
      </c>
      <c r="GS20">
        <v>831764</v>
      </c>
      <c r="GT20">
        <v>134574</v>
      </c>
      <c r="GU20">
        <v>2908981</v>
      </c>
      <c r="GV20">
        <v>-1028</v>
      </c>
      <c r="GW20" s="34">
        <v>468936</v>
      </c>
      <c r="GX20" s="34">
        <v>1579568</v>
      </c>
      <c r="GY20">
        <v>785157</v>
      </c>
      <c r="GZ20">
        <v>651969</v>
      </c>
      <c r="HA20">
        <v>64173</v>
      </c>
      <c r="HB20">
        <v>1362975</v>
      </c>
      <c r="HC20">
        <v>114429</v>
      </c>
      <c r="HD20">
        <v>102164</v>
      </c>
      <c r="HE20">
        <v>41551</v>
      </c>
      <c r="HF20">
        <v>-169279</v>
      </c>
      <c r="HG20">
        <v>138156</v>
      </c>
      <c r="HH20">
        <v>1011591</v>
      </c>
      <c r="HI20">
        <v>169279</v>
      </c>
      <c r="HJ20">
        <v>2997538</v>
      </c>
      <c r="HK20">
        <v>-61668</v>
      </c>
      <c r="HL20">
        <v>244832</v>
      </c>
      <c r="HM20" s="57">
        <v>19.305555555555557</v>
      </c>
      <c r="HN20" s="190">
        <v>57138.820632622068</v>
      </c>
      <c r="HO20" s="34">
        <v>65788.052938831723</v>
      </c>
      <c r="HP20" s="34">
        <v>154600.86482231788</v>
      </c>
      <c r="HQ20" s="34">
        <v>224017.40408663024</v>
      </c>
      <c r="HR20">
        <v>323074</v>
      </c>
      <c r="HS20">
        <v>327336</v>
      </c>
      <c r="HT20">
        <v>353415</v>
      </c>
      <c r="HU20">
        <v>305096</v>
      </c>
      <c r="HV20">
        <v>301090</v>
      </c>
      <c r="HW20">
        <v>309480</v>
      </c>
      <c r="HX20">
        <v>273524</v>
      </c>
      <c r="HY20">
        <v>268338</v>
      </c>
      <c r="HZ20">
        <v>309042</v>
      </c>
      <c r="IA20" s="34">
        <v>307803</v>
      </c>
      <c r="IB20">
        <v>244832</v>
      </c>
      <c r="IC20">
        <v>583992</v>
      </c>
      <c r="ID20">
        <v>583052</v>
      </c>
      <c r="IE20">
        <v>783776</v>
      </c>
      <c r="IF20" s="57">
        <v>17.361111111111111</v>
      </c>
      <c r="IG20" s="57">
        <v>17.481481481481481</v>
      </c>
      <c r="IH20" s="57">
        <v>17.648148148148149</v>
      </c>
      <c r="II20" s="57">
        <v>17.666666666666668</v>
      </c>
      <c r="IJ20" s="57">
        <v>17.888888888888889</v>
      </c>
      <c r="IK20" s="57">
        <v>17.925925925925927</v>
      </c>
      <c r="IL20" s="57">
        <v>17.962962962962962</v>
      </c>
      <c r="IM20" s="57">
        <v>18.046296296296298</v>
      </c>
      <c r="IN20" s="57">
        <v>18.277777777777779</v>
      </c>
      <c r="IO20" s="57">
        <v>18.398148148148149</v>
      </c>
      <c r="IP20" s="57">
        <v>18.555555555555557</v>
      </c>
      <c r="IQ20" s="57">
        <v>18.666666666666668</v>
      </c>
      <c r="IR20" s="57">
        <v>19.111111111111111</v>
      </c>
      <c r="IS20" s="57">
        <v>19.138888888888889</v>
      </c>
      <c r="IT20" s="57">
        <v>19.305555555555557</v>
      </c>
      <c r="IU20" s="57">
        <v>19.555555555555557</v>
      </c>
      <c r="IV20" s="57">
        <v>19.99074074074074</v>
      </c>
      <c r="IW20" s="57">
        <v>20.185185185185187</v>
      </c>
      <c r="IX20">
        <v>470880</v>
      </c>
      <c r="IY20">
        <v>651428</v>
      </c>
      <c r="IZ20">
        <v>3070359</v>
      </c>
      <c r="JA20" s="34">
        <v>3424258</v>
      </c>
      <c r="JB20" s="34">
        <v>810010</v>
      </c>
      <c r="JC20">
        <v>87993</v>
      </c>
      <c r="JD20">
        <v>127697</v>
      </c>
      <c r="JE20">
        <v>134772</v>
      </c>
      <c r="JF20">
        <v>-122243</v>
      </c>
      <c r="JG20">
        <v>48602</v>
      </c>
      <c r="JH20">
        <v>47139</v>
      </c>
      <c r="JI20" s="34">
        <v>1487530</v>
      </c>
      <c r="JJ20" s="173">
        <v>116978</v>
      </c>
      <c r="JK20" s="34">
        <v>107621</v>
      </c>
      <c r="JL20">
        <v>1115495</v>
      </c>
      <c r="JM20">
        <v>472725</v>
      </c>
      <c r="JN20">
        <v>656601</v>
      </c>
      <c r="JO20" s="173">
        <v>3044203</v>
      </c>
      <c r="JP20" s="34">
        <v>3482518</v>
      </c>
      <c r="JQ20" s="34">
        <v>742141</v>
      </c>
      <c r="JR20" s="34">
        <v>53763</v>
      </c>
      <c r="JS20" s="173">
        <v>120843</v>
      </c>
      <c r="JT20">
        <v>141401</v>
      </c>
      <c r="JU20">
        <v>-114107</v>
      </c>
      <c r="JV20" s="173">
        <v>427</v>
      </c>
      <c r="JW20" s="34">
        <v>1493823</v>
      </c>
      <c r="JX20" s="173">
        <v>127321</v>
      </c>
      <c r="JY20" s="34">
        <v>120115</v>
      </c>
      <c r="JZ20">
        <v>1163411</v>
      </c>
      <c r="KA20">
        <v>474323</v>
      </c>
      <c r="KB20">
        <v>653535</v>
      </c>
      <c r="KC20" s="173">
        <v>3078842</v>
      </c>
      <c r="KD20" s="34">
        <v>3611626</v>
      </c>
      <c r="KE20" s="34">
        <v>740175</v>
      </c>
      <c r="KF20" s="34">
        <v>155802</v>
      </c>
      <c r="KG20" s="173">
        <v>146687</v>
      </c>
      <c r="KH20">
        <v>145288</v>
      </c>
      <c r="KI20" s="173">
        <v>14694</v>
      </c>
      <c r="KJ20" s="173">
        <v>107767</v>
      </c>
      <c r="KK20" s="34">
        <v>1538003</v>
      </c>
      <c r="KL20" s="173">
        <v>141101</v>
      </c>
      <c r="KM20" s="34">
        <v>126709</v>
      </c>
      <c r="KN20">
        <v>1233023</v>
      </c>
      <c r="KO20">
        <v>475543</v>
      </c>
      <c r="KP20">
        <v>1831217</v>
      </c>
      <c r="KQ20">
        <v>773645</v>
      </c>
      <c r="KR20">
        <v>658180</v>
      </c>
      <c r="KS20">
        <v>74975</v>
      </c>
      <c r="KT20">
        <v>1572278</v>
      </c>
      <c r="KU20">
        <v>128861</v>
      </c>
      <c r="KV20">
        <v>130078</v>
      </c>
      <c r="KW20">
        <v>182109</v>
      </c>
      <c r="KX20">
        <v>-101032</v>
      </c>
      <c r="KY20">
        <v>146965</v>
      </c>
      <c r="KZ20">
        <v>1293862</v>
      </c>
      <c r="LA20">
        <v>3125637</v>
      </c>
      <c r="LB20">
        <v>76846</v>
      </c>
      <c r="LC20">
        <v>468517</v>
      </c>
      <c r="LD20" s="57">
        <v>20.268518518518519</v>
      </c>
      <c r="LE20">
        <v>477677</v>
      </c>
      <c r="LF20" s="34">
        <v>1856873</v>
      </c>
      <c r="LG20" s="34">
        <v>740475</v>
      </c>
      <c r="LH20">
        <v>600138</v>
      </c>
      <c r="LI20" s="173">
        <v>96114</v>
      </c>
      <c r="LJ20" s="34">
        <v>1567336</v>
      </c>
      <c r="LK20" s="173">
        <v>155142</v>
      </c>
      <c r="LL20" s="34">
        <v>134395</v>
      </c>
      <c r="LM20" s="173">
        <v>168209</v>
      </c>
      <c r="LN20" s="173">
        <v>-98144</v>
      </c>
      <c r="LO20">
        <v>142147</v>
      </c>
      <c r="LP20">
        <v>1393639</v>
      </c>
      <c r="LQ20" s="173">
        <v>3089519</v>
      </c>
      <c r="LR20" s="173">
        <v>79912</v>
      </c>
      <c r="LS20" s="173">
        <v>542521</v>
      </c>
      <c r="LT20" s="57">
        <v>20.37037037037037</v>
      </c>
      <c r="LU20">
        <v>478582</v>
      </c>
      <c r="LV20" s="34">
        <v>1849251</v>
      </c>
      <c r="LW20" s="34">
        <v>726602</v>
      </c>
      <c r="LX20" s="172">
        <v>598270</v>
      </c>
      <c r="LY20" s="173">
        <v>34093</v>
      </c>
      <c r="LZ20" s="34">
        <v>1555081</v>
      </c>
      <c r="MA20" s="173">
        <v>156355</v>
      </c>
      <c r="MB20" s="34">
        <v>137815</v>
      </c>
      <c r="MC20" s="173">
        <v>53971</v>
      </c>
      <c r="MD20" s="34">
        <v>-175533</v>
      </c>
      <c r="ME20">
        <v>146009</v>
      </c>
      <c r="MF20">
        <v>1512737</v>
      </c>
      <c r="MG20" s="173">
        <v>3153174</v>
      </c>
      <c r="MH20" s="173">
        <v>-85664</v>
      </c>
      <c r="MI20" s="173">
        <v>456881</v>
      </c>
      <c r="MJ20" s="57">
        <v>20.407407407407408</v>
      </c>
    </row>
    <row r="22" spans="1:348" x14ac:dyDescent="0.2">
      <c r="B22" s="34">
        <f>SUM(B3:B21)</f>
        <v>5132206</v>
      </c>
      <c r="C22" s="34">
        <f t="shared" ref="C22:BN22" si="0">SUM(C3:C21)</f>
        <v>5143799</v>
      </c>
      <c r="D22" s="34">
        <f t="shared" si="0"/>
        <v>5153542</v>
      </c>
      <c r="E22" s="34">
        <f t="shared" si="0"/>
        <v>5167133</v>
      </c>
      <c r="F22" s="34">
        <f t="shared" si="0"/>
        <v>5178310</v>
      </c>
      <c r="G22" s="34">
        <f t="shared" si="0"/>
        <v>5191651</v>
      </c>
      <c r="H22" s="34">
        <f t="shared" si="0"/>
        <v>5208378</v>
      </c>
      <c r="I22" s="34">
        <f t="shared" si="0"/>
        <v>5227141</v>
      </c>
      <c r="J22" s="34">
        <f t="shared" si="0"/>
        <v>5248388</v>
      </c>
      <c r="K22" s="34">
        <f t="shared" si="0"/>
        <v>5273331</v>
      </c>
      <c r="L22" s="34">
        <f t="shared" si="0"/>
        <v>5298858</v>
      </c>
      <c r="M22" s="34">
        <f t="shared" si="0"/>
        <v>11732281</v>
      </c>
      <c r="N22" s="34">
        <f t="shared" si="0"/>
        <v>3162541</v>
      </c>
      <c r="O22" s="34">
        <f t="shared" si="0"/>
        <v>4502467</v>
      </c>
      <c r="P22" s="34">
        <f t="shared" si="0"/>
        <v>373008.5288097508</v>
      </c>
      <c r="Q22" s="34">
        <f t="shared" si="0"/>
        <v>12042296</v>
      </c>
      <c r="R22" s="34">
        <f t="shared" si="0"/>
        <v>3170805</v>
      </c>
      <c r="S22" s="34">
        <f t="shared" si="0"/>
        <v>4629908</v>
      </c>
      <c r="T22" s="34">
        <f t="shared" si="0"/>
        <v>397443.2071419321</v>
      </c>
      <c r="U22" s="34">
        <f t="shared" si="0"/>
        <v>12851678</v>
      </c>
      <c r="V22" s="34">
        <f t="shared" si="0"/>
        <v>3327137</v>
      </c>
      <c r="W22" s="34">
        <f t="shared" si="0"/>
        <v>4910875</v>
      </c>
      <c r="X22" s="34">
        <f t="shared" si="0"/>
        <v>367140.62024343526</v>
      </c>
      <c r="Y22" s="34">
        <f t="shared" si="0"/>
        <v>14030498</v>
      </c>
      <c r="Z22" s="34">
        <f t="shared" si="0"/>
        <v>3643742</v>
      </c>
      <c r="AA22" s="34">
        <f t="shared" si="0"/>
        <v>5165160</v>
      </c>
      <c r="AB22" s="34">
        <f t="shared" si="0"/>
        <v>377961.32686818938</v>
      </c>
      <c r="AC22" s="34">
        <f t="shared" si="0"/>
        <v>14006292</v>
      </c>
      <c r="AD22" s="34">
        <f t="shared" si="0"/>
        <v>3866902</v>
      </c>
      <c r="AE22" s="34">
        <f t="shared" si="0"/>
        <v>5484635</v>
      </c>
      <c r="AF22" s="34">
        <f t="shared" si="0"/>
        <v>335566</v>
      </c>
      <c r="AG22" s="34">
        <f t="shared" si="0"/>
        <v>13435545</v>
      </c>
      <c r="AH22" s="34">
        <f t="shared" si="0"/>
        <v>4263572</v>
      </c>
      <c r="AI22" s="34">
        <f t="shared" si="0"/>
        <v>5828453</v>
      </c>
      <c r="AJ22" s="34">
        <f t="shared" si="0"/>
        <v>595616</v>
      </c>
      <c r="AK22" s="34">
        <f t="shared" si="0"/>
        <v>13608134</v>
      </c>
      <c r="AL22" s="34">
        <f t="shared" si="0"/>
        <v>4710841</v>
      </c>
      <c r="AM22" s="34">
        <f t="shared" si="0"/>
        <v>6160562</v>
      </c>
      <c r="AN22" s="34">
        <f t="shared" si="0"/>
        <v>539602</v>
      </c>
      <c r="AO22" s="34">
        <f t="shared" si="0"/>
        <v>14179422</v>
      </c>
      <c r="AP22" s="34">
        <f t="shared" si="0"/>
        <v>5044830</v>
      </c>
      <c r="AQ22" s="34">
        <f t="shared" si="0"/>
        <v>5888324</v>
      </c>
      <c r="AR22" s="34">
        <f t="shared" si="0"/>
        <v>730499</v>
      </c>
      <c r="AS22" s="34">
        <f t="shared" si="0"/>
        <v>15085563</v>
      </c>
      <c r="AT22" s="34">
        <f t="shared" si="0"/>
        <v>5470838</v>
      </c>
      <c r="AU22" s="34">
        <f t="shared" si="0"/>
        <v>6743835</v>
      </c>
      <c r="AV22" s="34">
        <f t="shared" si="0"/>
        <v>1092941</v>
      </c>
      <c r="AW22" s="34">
        <f t="shared" si="0"/>
        <v>16221207</v>
      </c>
      <c r="AX22" s="34">
        <f t="shared" si="0"/>
        <v>5729834</v>
      </c>
      <c r="AY22" s="34">
        <f t="shared" si="0"/>
        <v>6965402</v>
      </c>
      <c r="AZ22" s="34">
        <f t="shared" si="0"/>
        <v>748304</v>
      </c>
      <c r="BA22" s="34">
        <f t="shared" si="0"/>
        <v>17446352</v>
      </c>
      <c r="BB22" s="34">
        <f t="shared" si="0"/>
        <v>6388223</v>
      </c>
      <c r="BC22" s="34">
        <f t="shared" si="0"/>
        <v>7490452</v>
      </c>
      <c r="BD22" s="34">
        <f t="shared" si="0"/>
        <v>516980</v>
      </c>
      <c r="BE22" s="34">
        <f t="shared" si="0"/>
        <v>9211187.3563044388</v>
      </c>
      <c r="BF22" s="34">
        <f t="shared" si="0"/>
        <v>2057696.6999846951</v>
      </c>
      <c r="BG22" s="34">
        <f t="shared" si="0"/>
        <v>458985.69225309591</v>
      </c>
      <c r="BH22" s="34">
        <f t="shared" si="0"/>
        <v>9449733.6744184494</v>
      </c>
      <c r="BI22" s="34">
        <f t="shared" si="0"/>
        <v>2070163.4618457279</v>
      </c>
      <c r="BJ22" s="34">
        <f t="shared" si="0"/>
        <v>518035.12773032079</v>
      </c>
      <c r="BK22" s="34">
        <f t="shared" si="0"/>
        <v>9627548.0050389115</v>
      </c>
      <c r="BL22" s="34">
        <f t="shared" si="0"/>
        <v>2651599.0467108334</v>
      </c>
      <c r="BM22" s="34">
        <f t="shared" si="0"/>
        <v>568250.15599430189</v>
      </c>
      <c r="BN22" s="34">
        <f t="shared" si="0"/>
        <v>10988695</v>
      </c>
      <c r="BO22" s="34">
        <f t="shared" ref="BO22:DZ22" si="1">SUM(BO3:BO21)</f>
        <v>2434376</v>
      </c>
      <c r="BP22" s="34">
        <f t="shared" si="1"/>
        <v>603534</v>
      </c>
      <c r="BQ22" s="34">
        <f t="shared" si="1"/>
        <v>11889771</v>
      </c>
      <c r="BR22" s="34">
        <f t="shared" si="1"/>
        <v>1480152</v>
      </c>
      <c r="BS22" s="34">
        <f t="shared" si="1"/>
        <v>632862</v>
      </c>
      <c r="BT22" s="34">
        <f t="shared" si="1"/>
        <v>11781826</v>
      </c>
      <c r="BU22" s="34">
        <f t="shared" si="1"/>
        <v>989415</v>
      </c>
      <c r="BV22" s="34">
        <f t="shared" si="1"/>
        <v>661081</v>
      </c>
      <c r="BW22" s="34">
        <f t="shared" si="1"/>
        <v>11872223</v>
      </c>
      <c r="BX22" s="34">
        <f t="shared" si="1"/>
        <v>1049208</v>
      </c>
      <c r="BY22" s="34">
        <f t="shared" si="1"/>
        <v>683603</v>
      </c>
      <c r="BZ22" s="34">
        <f t="shared" si="1"/>
        <v>12302497</v>
      </c>
      <c r="CA22" s="34">
        <f t="shared" si="1"/>
        <v>1150310</v>
      </c>
      <c r="CB22" s="34">
        <f t="shared" si="1"/>
        <v>723786</v>
      </c>
      <c r="CC22" s="34">
        <f t="shared" si="1"/>
        <v>13061390</v>
      </c>
      <c r="CD22" s="34">
        <f t="shared" si="1"/>
        <v>1238081</v>
      </c>
      <c r="CE22" s="34">
        <f t="shared" si="1"/>
        <v>783445</v>
      </c>
      <c r="CF22" s="34">
        <f t="shared" si="1"/>
        <v>13902143</v>
      </c>
      <c r="CG22" s="34">
        <f t="shared" si="1"/>
        <v>1461942</v>
      </c>
      <c r="CH22" s="34">
        <f t="shared" si="1"/>
        <v>854899</v>
      </c>
      <c r="CI22" s="34">
        <f t="shared" si="1"/>
        <v>15008919</v>
      </c>
      <c r="CJ22" s="34">
        <f t="shared" si="1"/>
        <v>1523132</v>
      </c>
      <c r="CK22" s="34">
        <f t="shared" si="1"/>
        <v>912962</v>
      </c>
      <c r="CL22" s="34">
        <f t="shared" si="1"/>
        <v>1255117.706320334</v>
      </c>
      <c r="CM22" s="34">
        <f t="shared" si="1"/>
        <v>-1544111.488433687</v>
      </c>
      <c r="CN22" s="34">
        <f t="shared" si="1"/>
        <v>1081772.4652818074</v>
      </c>
      <c r="CO22" s="34">
        <f t="shared" si="1"/>
        <v>4022469</v>
      </c>
      <c r="CP22" s="34">
        <f t="shared" si="1"/>
        <v>1309407.0871028451</v>
      </c>
      <c r="CQ22" s="34">
        <f t="shared" si="1"/>
        <v>-1180511.2240200872</v>
      </c>
      <c r="CR22" s="34">
        <f t="shared" si="1"/>
        <v>1155086.2551780858</v>
      </c>
      <c r="CS22" s="34">
        <f t="shared" si="1"/>
        <v>3931214</v>
      </c>
      <c r="CT22" s="34">
        <f t="shared" si="1"/>
        <v>1479285.8067890736</v>
      </c>
      <c r="CU22" s="34">
        <f t="shared" si="1"/>
        <v>-1447178.227047205</v>
      </c>
      <c r="CV22" s="34">
        <f t="shared" si="1"/>
        <v>1182329.1673183946</v>
      </c>
      <c r="CW22" s="34">
        <f t="shared" si="1"/>
        <v>3844899</v>
      </c>
      <c r="CX22" s="34">
        <f t="shared" si="1"/>
        <v>1705209.7892100716</v>
      </c>
      <c r="CY22" s="34">
        <f t="shared" si="1"/>
        <v>-2048258</v>
      </c>
      <c r="CZ22" s="34">
        <f t="shared" si="1"/>
        <v>1192093.8219528974</v>
      </c>
      <c r="DA22" s="34">
        <f t="shared" si="1"/>
        <v>4034818</v>
      </c>
      <c r="DB22" s="34">
        <f t="shared" si="1"/>
        <v>1966951</v>
      </c>
      <c r="DC22" s="34">
        <f t="shared" si="1"/>
        <v>-1946216</v>
      </c>
      <c r="DD22" s="34">
        <f t="shared" si="1"/>
        <v>1285332</v>
      </c>
      <c r="DE22" s="34">
        <f t="shared" si="1"/>
        <v>4466138</v>
      </c>
      <c r="DF22" s="34">
        <f t="shared" si="1"/>
        <v>1237495</v>
      </c>
      <c r="DG22" s="34">
        <f t="shared" si="1"/>
        <v>-1887871</v>
      </c>
      <c r="DH22" s="34">
        <f t="shared" si="1"/>
        <v>1331929</v>
      </c>
      <c r="DI22" s="34">
        <f t="shared" si="1"/>
        <v>5186325</v>
      </c>
      <c r="DJ22" s="34">
        <f t="shared" si="1"/>
        <v>1098314</v>
      </c>
      <c r="DK22" s="34">
        <f t="shared" si="1"/>
        <v>-2009928</v>
      </c>
      <c r="DL22" s="34">
        <f t="shared" si="1"/>
        <v>1396620</v>
      </c>
      <c r="DM22" s="34">
        <f t="shared" si="1"/>
        <v>6107197</v>
      </c>
      <c r="DN22" s="34">
        <f t="shared" si="1"/>
        <v>1114660</v>
      </c>
      <c r="DO22" s="34">
        <f t="shared" si="1"/>
        <v>-1625997</v>
      </c>
      <c r="DP22" s="34">
        <f t="shared" si="1"/>
        <v>1443387</v>
      </c>
      <c r="DQ22" s="34">
        <f t="shared" si="1"/>
        <v>7042050</v>
      </c>
      <c r="DR22" s="34">
        <f t="shared" si="1"/>
        <v>1716961</v>
      </c>
      <c r="DS22" s="34">
        <f t="shared" si="1"/>
        <v>-1218111</v>
      </c>
      <c r="DT22" s="34">
        <f t="shared" si="1"/>
        <v>1448356</v>
      </c>
      <c r="DU22" s="34">
        <f t="shared" si="1"/>
        <v>7666099</v>
      </c>
      <c r="DV22" s="34">
        <f t="shared" si="1"/>
        <v>2015466</v>
      </c>
      <c r="DW22" s="34">
        <f t="shared" si="1"/>
        <v>-2184712</v>
      </c>
      <c r="DX22" s="34">
        <f t="shared" si="1"/>
        <v>1480364</v>
      </c>
      <c r="DY22" s="34">
        <f t="shared" si="1"/>
        <v>8147761</v>
      </c>
      <c r="DZ22" s="34">
        <f t="shared" si="1"/>
        <v>1918409</v>
      </c>
      <c r="EA22" s="34">
        <f t="shared" ref="EA22:GL22" si="2">SUM(EA3:EA21)</f>
        <v>-2459114</v>
      </c>
      <c r="EB22" s="34">
        <f t="shared" si="2"/>
        <v>1569515</v>
      </c>
      <c r="EC22" s="34">
        <f t="shared" si="2"/>
        <v>8631028</v>
      </c>
      <c r="ED22" s="34">
        <f t="shared" si="2"/>
        <v>17415482.035006639</v>
      </c>
      <c r="EE22" s="34">
        <f t="shared" si="2"/>
        <v>146662.39469333459</v>
      </c>
      <c r="EF22" s="34">
        <f t="shared" si="2"/>
        <v>17920082.479359135</v>
      </c>
      <c r="EG22" s="34">
        <f t="shared" si="2"/>
        <v>271956.0087659547</v>
      </c>
      <c r="EH22" s="34">
        <f t="shared" si="2"/>
        <v>18917745.171745099</v>
      </c>
      <c r="EI22" s="34">
        <f t="shared" si="2"/>
        <v>398064.8297181339</v>
      </c>
      <c r="EJ22" s="34">
        <f t="shared" si="2"/>
        <v>20311479.330544773</v>
      </c>
      <c r="EK22" s="34">
        <f t="shared" si="2"/>
        <v>501713.16221893689</v>
      </c>
      <c r="EL22" s="34">
        <f t="shared" si="2"/>
        <v>21417142</v>
      </c>
      <c r="EM22" s="34">
        <f t="shared" si="2"/>
        <v>803511</v>
      </c>
      <c r="EN22" s="34">
        <f t="shared" si="2"/>
        <v>22443523</v>
      </c>
      <c r="EO22" s="34">
        <f t="shared" si="2"/>
        <v>74332</v>
      </c>
      <c r="EP22" s="34">
        <f t="shared" si="2"/>
        <v>23565167</v>
      </c>
      <c r="EQ22" s="34">
        <f t="shared" si="2"/>
        <v>-98602</v>
      </c>
      <c r="ER22" s="34">
        <f t="shared" si="2"/>
        <v>24562390</v>
      </c>
      <c r="ES22" s="34">
        <f t="shared" si="2"/>
        <v>-18341</v>
      </c>
      <c r="ET22" s="34">
        <f t="shared" si="2"/>
        <v>25772231</v>
      </c>
      <c r="EU22" s="34">
        <f t="shared" si="2"/>
        <v>526671</v>
      </c>
      <c r="EV22" s="34">
        <f t="shared" si="2"/>
        <v>27049052</v>
      </c>
      <c r="EW22" s="34">
        <f t="shared" si="2"/>
        <v>557231</v>
      </c>
      <c r="EX22" s="34">
        <f t="shared" si="2"/>
        <v>29323839</v>
      </c>
      <c r="EY22" s="34">
        <f t="shared" si="2"/>
        <v>735109</v>
      </c>
      <c r="EZ22" s="34">
        <f t="shared" si="2"/>
        <v>4007290</v>
      </c>
      <c r="FA22" s="34">
        <f t="shared" si="2"/>
        <v>4930908</v>
      </c>
      <c r="FB22" s="34">
        <f t="shared" si="2"/>
        <v>5323693</v>
      </c>
      <c r="FC22" s="34">
        <f t="shared" si="2"/>
        <v>17526079</v>
      </c>
      <c r="FD22" s="34">
        <f t="shared" si="2"/>
        <v>6854306</v>
      </c>
      <c r="FE22" s="34">
        <f t="shared" si="2"/>
        <v>7739148</v>
      </c>
      <c r="FF22" s="34">
        <f t="shared" si="2"/>
        <v>557884</v>
      </c>
      <c r="FG22" s="34">
        <f t="shared" si="2"/>
        <v>15365152</v>
      </c>
      <c r="FH22" s="34">
        <f t="shared" si="2"/>
        <v>1189002</v>
      </c>
      <c r="FI22" s="34">
        <f t="shared" si="2"/>
        <v>971068</v>
      </c>
      <c r="FJ22" s="34">
        <f t="shared" si="2"/>
        <v>1795977</v>
      </c>
      <c r="FK22" s="34">
        <f t="shared" si="2"/>
        <v>-2466264</v>
      </c>
      <c r="FL22" s="34">
        <f t="shared" si="2"/>
        <v>1658956</v>
      </c>
      <c r="FM22" s="34">
        <f t="shared" si="2"/>
        <v>9783492</v>
      </c>
      <c r="FN22" s="34">
        <f t="shared" si="2"/>
        <v>2466264</v>
      </c>
      <c r="FO22" s="34">
        <f t="shared" si="2"/>
        <v>30565058</v>
      </c>
      <c r="FP22" s="34">
        <f t="shared" si="2"/>
        <v>288392</v>
      </c>
      <c r="FQ22" s="34">
        <f t="shared" si="2"/>
        <v>5347269</v>
      </c>
      <c r="FR22" s="34">
        <f t="shared" si="2"/>
        <v>18266294</v>
      </c>
      <c r="FS22" s="34">
        <f t="shared" si="2"/>
        <v>7394694</v>
      </c>
      <c r="FT22" s="34">
        <f t="shared" si="2"/>
        <v>8285349</v>
      </c>
      <c r="FU22" s="34">
        <f t="shared" si="2"/>
        <v>1472484</v>
      </c>
      <c r="FV22" s="34">
        <f t="shared" si="2"/>
        <v>15690676</v>
      </c>
      <c r="FW22" s="34">
        <f t="shared" si="2"/>
        <v>1407162</v>
      </c>
      <c r="FX22" s="34">
        <f t="shared" si="2"/>
        <v>1167652</v>
      </c>
      <c r="FY22" s="34">
        <f t="shared" si="2"/>
        <v>2465988</v>
      </c>
      <c r="FZ22" s="34">
        <f t="shared" si="2"/>
        <v>-1081354</v>
      </c>
      <c r="GA22" s="34">
        <f t="shared" si="2"/>
        <v>1696228</v>
      </c>
      <c r="GB22" s="34">
        <f t="shared" si="2"/>
        <v>10459031</v>
      </c>
      <c r="GC22" s="34">
        <f t="shared" si="2"/>
        <v>1081354</v>
      </c>
      <c r="GD22" s="34">
        <f t="shared" si="2"/>
        <v>31765384</v>
      </c>
      <c r="GE22" s="34">
        <f t="shared" si="2"/>
        <v>1837457</v>
      </c>
      <c r="GF22" s="34">
        <f t="shared" si="2"/>
        <v>7005659</v>
      </c>
      <c r="GG22" s="34">
        <f t="shared" si="2"/>
        <v>5800.5</v>
      </c>
      <c r="GH22" s="34">
        <f t="shared" si="2"/>
        <v>5372913</v>
      </c>
      <c r="GI22" s="34">
        <f t="shared" si="2"/>
        <v>18973738</v>
      </c>
      <c r="GJ22" s="34">
        <f t="shared" si="2"/>
        <v>7621841</v>
      </c>
      <c r="GK22" s="34">
        <f t="shared" si="2"/>
        <v>8732777</v>
      </c>
      <c r="GL22" s="34">
        <f t="shared" si="2"/>
        <v>454524</v>
      </c>
      <c r="GM22" s="34">
        <f t="shared" ref="GM22:HL22" si="3">SUM(GM3:GM21)</f>
        <v>16127866</v>
      </c>
      <c r="GN22" s="34">
        <f t="shared" si="3"/>
        <v>1645217</v>
      </c>
      <c r="GO22" s="34">
        <f t="shared" si="3"/>
        <v>1199955</v>
      </c>
      <c r="GP22" s="34">
        <f t="shared" si="3"/>
        <v>2054472</v>
      </c>
      <c r="GQ22" s="34">
        <f t="shared" si="3"/>
        <v>-2640768</v>
      </c>
      <c r="GR22" s="34">
        <f t="shared" si="3"/>
        <v>1745335</v>
      </c>
      <c r="GS22" s="34">
        <f t="shared" si="3"/>
        <v>10947669</v>
      </c>
      <c r="GT22" s="34">
        <f t="shared" si="3"/>
        <v>2640768</v>
      </c>
      <c r="GU22" s="34">
        <f t="shared" si="3"/>
        <v>33460309</v>
      </c>
      <c r="GV22" s="34">
        <f t="shared" si="3"/>
        <v>465969</v>
      </c>
      <c r="GW22" s="34">
        <f t="shared" si="3"/>
        <v>5398173</v>
      </c>
      <c r="GX22" s="34">
        <f t="shared" si="3"/>
        <v>19228651</v>
      </c>
      <c r="GY22" s="34">
        <f t="shared" si="3"/>
        <v>8031581</v>
      </c>
      <c r="GZ22" s="34">
        <f t="shared" si="3"/>
        <v>9056776</v>
      </c>
      <c r="HA22" s="34">
        <f t="shared" si="3"/>
        <v>693795</v>
      </c>
      <c r="HB22" s="34">
        <f t="shared" si="3"/>
        <v>16754413</v>
      </c>
      <c r="HC22" s="34">
        <f t="shared" si="3"/>
        <v>1205379</v>
      </c>
      <c r="HD22" s="34">
        <f t="shared" si="3"/>
        <v>1268178</v>
      </c>
      <c r="HE22" s="34">
        <f t="shared" si="3"/>
        <v>1340812</v>
      </c>
      <c r="HF22" s="34">
        <f t="shared" si="3"/>
        <v>-2719195</v>
      </c>
      <c r="HG22" s="34">
        <f t="shared" si="3"/>
        <v>1891826</v>
      </c>
      <c r="HH22" s="34">
        <f t="shared" si="3"/>
        <v>12212446</v>
      </c>
      <c r="HI22" s="34">
        <f t="shared" si="3"/>
        <v>2719195</v>
      </c>
      <c r="HJ22" s="34">
        <f t="shared" si="3"/>
        <v>35283938</v>
      </c>
      <c r="HK22" s="34">
        <f t="shared" si="3"/>
        <v>-283917</v>
      </c>
      <c r="HL22" s="34">
        <f t="shared" si="3"/>
        <v>6571755</v>
      </c>
      <c r="HM22" s="77">
        <v>19.260000000000002</v>
      </c>
    </row>
    <row r="23" spans="1:348" x14ac:dyDescent="0.2">
      <c r="A23">
        <v>1</v>
      </c>
      <c r="B23">
        <v>2</v>
      </c>
      <c r="C23">
        <v>3</v>
      </c>
      <c r="D23">
        <v>4</v>
      </c>
      <c r="E23">
        <v>5</v>
      </c>
      <c r="F23">
        <v>6</v>
      </c>
      <c r="G23">
        <v>7</v>
      </c>
      <c r="H23">
        <v>8</v>
      </c>
      <c r="I23">
        <v>9</v>
      </c>
      <c r="J23">
        <v>10</v>
      </c>
      <c r="K23">
        <v>11</v>
      </c>
      <c r="L23">
        <v>12</v>
      </c>
      <c r="M23">
        <v>13</v>
      </c>
      <c r="N23">
        <v>14</v>
      </c>
      <c r="O23">
        <v>15</v>
      </c>
      <c r="P23">
        <v>16</v>
      </c>
      <c r="Q23">
        <v>17</v>
      </c>
      <c r="R23">
        <v>18</v>
      </c>
      <c r="S23">
        <v>19</v>
      </c>
      <c r="T23">
        <v>20</v>
      </c>
      <c r="U23">
        <v>21</v>
      </c>
      <c r="V23">
        <v>22</v>
      </c>
      <c r="W23">
        <v>23</v>
      </c>
      <c r="X23">
        <v>24</v>
      </c>
      <c r="Y23">
        <v>25</v>
      </c>
      <c r="Z23">
        <v>26</v>
      </c>
      <c r="AA23">
        <v>27</v>
      </c>
      <c r="AB23">
        <v>28</v>
      </c>
      <c r="AC23">
        <v>29</v>
      </c>
      <c r="AD23">
        <v>30</v>
      </c>
      <c r="AE23">
        <v>31</v>
      </c>
      <c r="AF23">
        <v>32</v>
      </c>
      <c r="AG23">
        <v>33</v>
      </c>
      <c r="AH23">
        <v>34</v>
      </c>
      <c r="AI23">
        <v>35</v>
      </c>
      <c r="AJ23">
        <v>36</v>
      </c>
      <c r="AK23">
        <v>37</v>
      </c>
      <c r="AL23">
        <v>38</v>
      </c>
      <c r="AM23">
        <v>39</v>
      </c>
      <c r="AN23">
        <v>40</v>
      </c>
      <c r="AO23">
        <v>41</v>
      </c>
      <c r="AP23">
        <v>42</v>
      </c>
      <c r="AQ23">
        <v>43</v>
      </c>
      <c r="AR23">
        <v>44</v>
      </c>
      <c r="AS23">
        <v>45</v>
      </c>
      <c r="AT23">
        <v>46</v>
      </c>
      <c r="AU23">
        <v>47</v>
      </c>
      <c r="AV23">
        <v>48</v>
      </c>
      <c r="AW23">
        <v>49</v>
      </c>
      <c r="AX23">
        <v>50</v>
      </c>
      <c r="AY23">
        <v>51</v>
      </c>
      <c r="AZ23">
        <v>52</v>
      </c>
      <c r="BA23">
        <v>53</v>
      </c>
      <c r="BB23">
        <v>54</v>
      </c>
      <c r="BC23">
        <v>55</v>
      </c>
      <c r="BD23">
        <v>56</v>
      </c>
      <c r="BE23">
        <v>57</v>
      </c>
      <c r="BF23">
        <v>58</v>
      </c>
      <c r="BG23">
        <v>59</v>
      </c>
      <c r="BH23">
        <v>60</v>
      </c>
      <c r="BI23">
        <v>61</v>
      </c>
      <c r="BJ23">
        <v>62</v>
      </c>
      <c r="BK23">
        <v>63</v>
      </c>
      <c r="BL23">
        <v>64</v>
      </c>
      <c r="BM23">
        <v>65</v>
      </c>
      <c r="BN23">
        <v>66</v>
      </c>
      <c r="BO23">
        <v>67</v>
      </c>
      <c r="BP23">
        <v>68</v>
      </c>
      <c r="BQ23">
        <v>69</v>
      </c>
      <c r="BR23">
        <v>70</v>
      </c>
      <c r="BS23">
        <v>71</v>
      </c>
      <c r="BT23">
        <v>72</v>
      </c>
      <c r="BU23">
        <v>73</v>
      </c>
      <c r="BV23">
        <v>74</v>
      </c>
      <c r="BW23">
        <v>75</v>
      </c>
      <c r="BX23">
        <v>76</v>
      </c>
      <c r="BY23">
        <v>77</v>
      </c>
      <c r="BZ23">
        <v>78</v>
      </c>
      <c r="CA23">
        <v>79</v>
      </c>
      <c r="CB23">
        <v>80</v>
      </c>
      <c r="CC23">
        <v>81</v>
      </c>
      <c r="CD23">
        <v>82</v>
      </c>
      <c r="CE23">
        <v>83</v>
      </c>
      <c r="CF23">
        <v>84</v>
      </c>
      <c r="CG23">
        <v>85</v>
      </c>
      <c r="CH23">
        <v>86</v>
      </c>
      <c r="CI23">
        <v>87</v>
      </c>
      <c r="CJ23">
        <v>88</v>
      </c>
      <c r="CK23">
        <v>89</v>
      </c>
      <c r="CL23">
        <v>90</v>
      </c>
      <c r="CM23">
        <v>91</v>
      </c>
      <c r="CN23">
        <v>92</v>
      </c>
      <c r="CO23">
        <v>93</v>
      </c>
      <c r="CP23">
        <v>94</v>
      </c>
      <c r="CQ23">
        <v>95</v>
      </c>
      <c r="CR23">
        <v>96</v>
      </c>
      <c r="CS23">
        <v>97</v>
      </c>
      <c r="CT23">
        <v>98</v>
      </c>
      <c r="CU23">
        <v>99</v>
      </c>
      <c r="CV23">
        <v>100</v>
      </c>
      <c r="CW23">
        <v>101</v>
      </c>
      <c r="CX23">
        <v>102</v>
      </c>
      <c r="CY23">
        <v>103</v>
      </c>
      <c r="CZ23">
        <v>104</v>
      </c>
      <c r="DA23">
        <v>105</v>
      </c>
      <c r="DB23">
        <v>106</v>
      </c>
      <c r="DC23">
        <v>107</v>
      </c>
      <c r="DD23">
        <v>108</v>
      </c>
      <c r="DE23">
        <v>109</v>
      </c>
      <c r="DF23">
        <v>110</v>
      </c>
      <c r="DG23">
        <v>111</v>
      </c>
      <c r="DH23">
        <v>112</v>
      </c>
      <c r="DI23">
        <v>113</v>
      </c>
      <c r="DJ23">
        <v>114</v>
      </c>
      <c r="DK23">
        <v>115</v>
      </c>
      <c r="DL23">
        <v>116</v>
      </c>
      <c r="DM23">
        <v>117</v>
      </c>
      <c r="DN23">
        <v>118</v>
      </c>
      <c r="DO23">
        <v>119</v>
      </c>
      <c r="DP23">
        <v>120</v>
      </c>
      <c r="DQ23">
        <v>121</v>
      </c>
      <c r="DR23">
        <v>122</v>
      </c>
      <c r="DS23">
        <v>123</v>
      </c>
      <c r="DT23">
        <v>124</v>
      </c>
      <c r="DU23">
        <v>125</v>
      </c>
      <c r="DV23">
        <v>126</v>
      </c>
      <c r="DW23">
        <v>127</v>
      </c>
      <c r="DX23">
        <v>128</v>
      </c>
      <c r="DY23">
        <v>129</v>
      </c>
      <c r="DZ23">
        <v>130</v>
      </c>
      <c r="EA23">
        <v>131</v>
      </c>
      <c r="EB23">
        <v>132</v>
      </c>
      <c r="EC23">
        <v>133</v>
      </c>
      <c r="ED23">
        <v>134</v>
      </c>
      <c r="EE23">
        <v>135</v>
      </c>
      <c r="EF23">
        <v>136</v>
      </c>
      <c r="EG23">
        <v>137</v>
      </c>
      <c r="EH23">
        <v>138</v>
      </c>
      <c r="EI23">
        <v>139</v>
      </c>
      <c r="EJ23">
        <v>140</v>
      </c>
      <c r="EK23">
        <v>141</v>
      </c>
      <c r="EL23">
        <v>142</v>
      </c>
      <c r="EM23">
        <v>143</v>
      </c>
      <c r="EN23">
        <v>144</v>
      </c>
      <c r="EO23">
        <v>145</v>
      </c>
      <c r="EP23">
        <v>146</v>
      </c>
      <c r="EQ23">
        <v>147</v>
      </c>
      <c r="ER23">
        <v>148</v>
      </c>
      <c r="ES23">
        <v>149</v>
      </c>
      <c r="ET23">
        <v>150</v>
      </c>
      <c r="EU23">
        <v>151</v>
      </c>
      <c r="EV23">
        <v>152</v>
      </c>
      <c r="EW23">
        <v>153</v>
      </c>
      <c r="EX23">
        <v>154</v>
      </c>
      <c r="EY23">
        <v>155</v>
      </c>
      <c r="EZ23">
        <v>156</v>
      </c>
      <c r="FA23">
        <v>157</v>
      </c>
      <c r="FB23">
        <v>158</v>
      </c>
      <c r="FC23">
        <v>159</v>
      </c>
      <c r="FD23">
        <v>160</v>
      </c>
      <c r="FE23">
        <v>161</v>
      </c>
      <c r="FF23">
        <v>162</v>
      </c>
      <c r="FG23">
        <v>163</v>
      </c>
      <c r="FH23">
        <v>164</v>
      </c>
      <c r="FI23">
        <v>165</v>
      </c>
      <c r="FJ23">
        <v>166</v>
      </c>
      <c r="FK23">
        <v>167</v>
      </c>
      <c r="FL23">
        <v>168</v>
      </c>
      <c r="FM23">
        <v>169</v>
      </c>
      <c r="FN23">
        <v>170</v>
      </c>
      <c r="FO23">
        <v>171</v>
      </c>
      <c r="FP23">
        <v>172</v>
      </c>
      <c r="FQ23">
        <v>173</v>
      </c>
      <c r="FR23">
        <v>174</v>
      </c>
      <c r="FS23">
        <v>175</v>
      </c>
      <c r="FT23">
        <v>176</v>
      </c>
      <c r="FU23">
        <v>177</v>
      </c>
      <c r="FV23">
        <v>178</v>
      </c>
      <c r="FW23">
        <v>179</v>
      </c>
      <c r="FX23">
        <v>180</v>
      </c>
      <c r="FY23">
        <v>181</v>
      </c>
      <c r="FZ23">
        <v>182</v>
      </c>
      <c r="GA23">
        <v>183</v>
      </c>
      <c r="GB23">
        <v>184</v>
      </c>
      <c r="GC23">
        <v>185</v>
      </c>
      <c r="GD23">
        <v>186</v>
      </c>
      <c r="GE23">
        <v>187</v>
      </c>
      <c r="GF23">
        <v>188</v>
      </c>
      <c r="GG23">
        <v>189</v>
      </c>
      <c r="GH23">
        <v>190</v>
      </c>
      <c r="GI23">
        <v>191</v>
      </c>
      <c r="GJ23">
        <v>192</v>
      </c>
      <c r="GK23">
        <v>193</v>
      </c>
      <c r="GL23">
        <v>194</v>
      </c>
      <c r="GM23">
        <v>195</v>
      </c>
      <c r="GN23">
        <v>196</v>
      </c>
      <c r="GO23">
        <v>197</v>
      </c>
      <c r="GP23">
        <v>198</v>
      </c>
      <c r="GQ23">
        <v>199</v>
      </c>
      <c r="GR23">
        <v>200</v>
      </c>
      <c r="GS23">
        <v>201</v>
      </c>
      <c r="GT23">
        <v>202</v>
      </c>
      <c r="GU23">
        <v>203</v>
      </c>
      <c r="GV23">
        <v>204</v>
      </c>
      <c r="GW23">
        <v>205</v>
      </c>
      <c r="GX23">
        <v>206</v>
      </c>
      <c r="GY23">
        <v>207</v>
      </c>
      <c r="GZ23">
        <v>208</v>
      </c>
      <c r="HA23">
        <v>209</v>
      </c>
      <c r="HB23">
        <v>210</v>
      </c>
      <c r="HC23">
        <v>211</v>
      </c>
      <c r="HD23">
        <v>212</v>
      </c>
      <c r="HE23">
        <v>213</v>
      </c>
      <c r="HF23">
        <v>214</v>
      </c>
      <c r="HG23">
        <v>215</v>
      </c>
      <c r="HH23">
        <v>216</v>
      </c>
      <c r="HI23">
        <v>217</v>
      </c>
      <c r="HJ23">
        <v>218</v>
      </c>
      <c r="HK23">
        <v>219</v>
      </c>
      <c r="HL23">
        <v>220</v>
      </c>
      <c r="HM23">
        <v>221</v>
      </c>
      <c r="HN23">
        <v>222</v>
      </c>
      <c r="HO23">
        <v>223</v>
      </c>
      <c r="HP23">
        <v>224</v>
      </c>
      <c r="HQ23">
        <v>225</v>
      </c>
      <c r="HR23">
        <v>226</v>
      </c>
      <c r="HS23">
        <v>227</v>
      </c>
      <c r="HT23">
        <v>228</v>
      </c>
      <c r="HU23">
        <v>229</v>
      </c>
      <c r="HV23">
        <v>230</v>
      </c>
      <c r="HW23">
        <v>231</v>
      </c>
      <c r="HX23">
        <v>232</v>
      </c>
      <c r="HY23">
        <v>233</v>
      </c>
      <c r="HZ23">
        <v>234</v>
      </c>
      <c r="IA23">
        <v>235</v>
      </c>
      <c r="IB23">
        <v>236</v>
      </c>
      <c r="IC23">
        <v>237</v>
      </c>
      <c r="ID23">
        <v>238</v>
      </c>
      <c r="IE23">
        <v>239</v>
      </c>
      <c r="IF23">
        <v>240</v>
      </c>
      <c r="IG23">
        <v>241</v>
      </c>
      <c r="IH23">
        <v>242</v>
      </c>
      <c r="II23">
        <v>243</v>
      </c>
      <c r="IJ23">
        <v>244</v>
      </c>
      <c r="IK23">
        <v>245</v>
      </c>
      <c r="IL23">
        <v>246</v>
      </c>
      <c r="IM23">
        <v>247</v>
      </c>
      <c r="IN23">
        <v>248</v>
      </c>
      <c r="IO23">
        <v>249</v>
      </c>
      <c r="IP23">
        <v>250</v>
      </c>
      <c r="IQ23">
        <v>251</v>
      </c>
      <c r="IR23">
        <v>252</v>
      </c>
      <c r="IS23">
        <v>253</v>
      </c>
      <c r="IT23">
        <v>254</v>
      </c>
      <c r="IU23">
        <v>255</v>
      </c>
      <c r="IV23">
        <v>256</v>
      </c>
      <c r="IW23">
        <v>257</v>
      </c>
      <c r="IX23">
        <v>258</v>
      </c>
      <c r="IY23">
        <v>259</v>
      </c>
      <c r="IZ23">
        <v>260</v>
      </c>
      <c r="JA23">
        <v>261</v>
      </c>
      <c r="JB23">
        <v>262</v>
      </c>
      <c r="JC23">
        <v>263</v>
      </c>
      <c r="JD23">
        <v>264</v>
      </c>
      <c r="JE23">
        <v>265</v>
      </c>
      <c r="JF23">
        <v>266</v>
      </c>
      <c r="JG23">
        <v>267</v>
      </c>
      <c r="JH23">
        <v>268</v>
      </c>
      <c r="JI23">
        <v>269</v>
      </c>
      <c r="JJ23">
        <v>270</v>
      </c>
      <c r="JK23">
        <v>271</v>
      </c>
      <c r="JL23">
        <v>272</v>
      </c>
      <c r="JM23">
        <v>273</v>
      </c>
      <c r="JN23">
        <v>274</v>
      </c>
      <c r="JO23">
        <v>275</v>
      </c>
      <c r="JP23">
        <v>276</v>
      </c>
      <c r="JQ23">
        <v>277</v>
      </c>
      <c r="JR23">
        <v>278</v>
      </c>
      <c r="JS23">
        <v>279</v>
      </c>
      <c r="JT23">
        <v>280</v>
      </c>
      <c r="JU23">
        <v>281</v>
      </c>
      <c r="JV23">
        <v>282</v>
      </c>
      <c r="JW23">
        <v>283</v>
      </c>
      <c r="JX23">
        <v>284</v>
      </c>
      <c r="JY23">
        <v>285</v>
      </c>
      <c r="JZ23">
        <v>286</v>
      </c>
      <c r="KA23">
        <v>287</v>
      </c>
      <c r="KB23">
        <v>288</v>
      </c>
      <c r="KC23">
        <v>289</v>
      </c>
      <c r="KD23">
        <v>290</v>
      </c>
      <c r="KE23">
        <v>291</v>
      </c>
      <c r="KF23">
        <v>292</v>
      </c>
      <c r="KG23">
        <v>293</v>
      </c>
      <c r="KH23">
        <v>294</v>
      </c>
      <c r="KI23">
        <v>295</v>
      </c>
      <c r="KJ23">
        <v>296</v>
      </c>
      <c r="KK23">
        <v>297</v>
      </c>
      <c r="KL23">
        <v>298</v>
      </c>
      <c r="KM23">
        <v>299</v>
      </c>
      <c r="KN23">
        <v>300</v>
      </c>
      <c r="KO23">
        <v>301</v>
      </c>
      <c r="KP23">
        <v>302</v>
      </c>
      <c r="KQ23">
        <v>303</v>
      </c>
      <c r="KR23">
        <v>304</v>
      </c>
      <c r="KS23">
        <v>305</v>
      </c>
      <c r="KT23">
        <v>306</v>
      </c>
      <c r="KU23">
        <v>307</v>
      </c>
      <c r="KV23">
        <v>308</v>
      </c>
      <c r="KW23">
        <v>309</v>
      </c>
      <c r="KX23">
        <v>310</v>
      </c>
      <c r="KY23">
        <v>311</v>
      </c>
      <c r="KZ23">
        <v>312</v>
      </c>
      <c r="LA23">
        <v>313</v>
      </c>
      <c r="LB23">
        <v>314</v>
      </c>
      <c r="LC23">
        <v>315</v>
      </c>
      <c r="LD23">
        <v>316</v>
      </c>
      <c r="LE23">
        <v>317</v>
      </c>
      <c r="LF23">
        <v>318</v>
      </c>
      <c r="LG23">
        <v>319</v>
      </c>
      <c r="LH23">
        <v>320</v>
      </c>
      <c r="LI23">
        <v>321</v>
      </c>
      <c r="LJ23">
        <v>322</v>
      </c>
      <c r="LK23">
        <v>323</v>
      </c>
      <c r="LL23">
        <v>324</v>
      </c>
      <c r="LM23">
        <v>325</v>
      </c>
      <c r="LN23">
        <v>326</v>
      </c>
      <c r="LO23">
        <v>327</v>
      </c>
      <c r="LP23">
        <v>328</v>
      </c>
      <c r="LQ23">
        <v>329</v>
      </c>
      <c r="LR23">
        <v>330</v>
      </c>
      <c r="LS23">
        <v>331</v>
      </c>
      <c r="LT23">
        <v>332</v>
      </c>
      <c r="LU23">
        <v>333</v>
      </c>
      <c r="LV23">
        <v>334</v>
      </c>
      <c r="LW23">
        <v>335</v>
      </c>
      <c r="LX23">
        <v>336</v>
      </c>
      <c r="LY23">
        <v>337</v>
      </c>
      <c r="LZ23">
        <v>338</v>
      </c>
      <c r="MA23">
        <v>339</v>
      </c>
      <c r="MB23">
        <v>340</v>
      </c>
      <c r="MC23">
        <v>341</v>
      </c>
      <c r="MD23">
        <v>342</v>
      </c>
      <c r="ME23">
        <v>343</v>
      </c>
      <c r="MF23">
        <v>344</v>
      </c>
      <c r="MG23">
        <v>345</v>
      </c>
      <c r="MH23">
        <v>346</v>
      </c>
      <c r="MI23">
        <v>347</v>
      </c>
      <c r="MJ23">
        <v>348</v>
      </c>
    </row>
    <row r="24" spans="1:348" x14ac:dyDescent="0.2">
      <c r="B24" t="s">
        <v>1</v>
      </c>
      <c r="C24" t="s">
        <v>2</v>
      </c>
      <c r="D24" t="s">
        <v>3</v>
      </c>
      <c r="E24" t="s">
        <v>4</v>
      </c>
      <c r="F24" t="s">
        <v>5</v>
      </c>
      <c r="G24" t="s">
        <v>6</v>
      </c>
      <c r="H24" t="s">
        <v>7</v>
      </c>
      <c r="I24" t="s">
        <v>8</v>
      </c>
      <c r="J24" t="s">
        <v>453</v>
      </c>
      <c r="K24" t="s">
        <v>466</v>
      </c>
      <c r="L24" t="s">
        <v>479</v>
      </c>
      <c r="M24" t="s">
        <v>9</v>
      </c>
      <c r="N24" t="s">
        <v>10</v>
      </c>
      <c r="O24" t="s">
        <v>11</v>
      </c>
      <c r="P24" t="s">
        <v>12</v>
      </c>
      <c r="Q24" t="s">
        <v>13</v>
      </c>
      <c r="R24" t="s">
        <v>14</v>
      </c>
      <c r="S24" t="s">
        <v>15</v>
      </c>
      <c r="T24" t="s">
        <v>16</v>
      </c>
      <c r="U24" t="s">
        <v>17</v>
      </c>
      <c r="V24" t="s">
        <v>18</v>
      </c>
      <c r="W24" t="s">
        <v>19</v>
      </c>
      <c r="X24" t="s">
        <v>20</v>
      </c>
      <c r="Y24" t="s">
        <v>21</v>
      </c>
      <c r="Z24" t="s">
        <v>22</v>
      </c>
      <c r="AA24" t="s">
        <v>23</v>
      </c>
      <c r="AB24" t="s">
        <v>24</v>
      </c>
      <c r="AC24" t="s">
        <v>25</v>
      </c>
      <c r="AD24" t="s">
        <v>26</v>
      </c>
      <c r="AE24" t="s">
        <v>27</v>
      </c>
      <c r="AF24" t="s">
        <v>28</v>
      </c>
      <c r="AG24" t="s">
        <v>29</v>
      </c>
      <c r="AH24" t="s">
        <v>30</v>
      </c>
      <c r="AI24" t="s">
        <v>31</v>
      </c>
      <c r="AJ24" t="s">
        <v>32</v>
      </c>
      <c r="AK24" t="s">
        <v>33</v>
      </c>
      <c r="AL24" t="s">
        <v>34</v>
      </c>
      <c r="AM24" t="s">
        <v>35</v>
      </c>
      <c r="AN24" t="s">
        <v>36</v>
      </c>
      <c r="AO24" t="s">
        <v>37</v>
      </c>
      <c r="AP24" t="s">
        <v>38</v>
      </c>
      <c r="AQ24" t="s">
        <v>39</v>
      </c>
      <c r="AR24" t="s">
        <v>40</v>
      </c>
      <c r="AS24" t="s">
        <v>454</v>
      </c>
      <c r="AT24" t="s">
        <v>455</v>
      </c>
      <c r="AU24" t="s">
        <v>456</v>
      </c>
      <c r="AV24" t="s">
        <v>457</v>
      </c>
      <c r="AW24" t="s">
        <v>467</v>
      </c>
      <c r="AX24" t="s">
        <v>468</v>
      </c>
      <c r="AY24" t="s">
        <v>469</v>
      </c>
      <c r="AZ24" t="s">
        <v>470</v>
      </c>
      <c r="BA24" t="s">
        <v>480</v>
      </c>
      <c r="BB24" t="s">
        <v>481</v>
      </c>
      <c r="BC24" t="s">
        <v>482</v>
      </c>
      <c r="BD24" t="s">
        <v>483</v>
      </c>
      <c r="BE24" t="s">
        <v>41</v>
      </c>
      <c r="BF24" t="s">
        <v>42</v>
      </c>
      <c r="BG24" t="s">
        <v>43</v>
      </c>
      <c r="BH24" t="s">
        <v>44</v>
      </c>
      <c r="BI24" t="s">
        <v>45</v>
      </c>
      <c r="BJ24" t="s">
        <v>46</v>
      </c>
      <c r="BK24" t="s">
        <v>47</v>
      </c>
      <c r="BL24" t="s">
        <v>48</v>
      </c>
      <c r="BM24" t="s">
        <v>49</v>
      </c>
      <c r="BN24" t="s">
        <v>50</v>
      </c>
      <c r="BO24" t="s">
        <v>51</v>
      </c>
      <c r="BP24" t="s">
        <v>52</v>
      </c>
      <c r="BQ24" t="s">
        <v>53</v>
      </c>
      <c r="BR24" t="s">
        <v>54</v>
      </c>
      <c r="BS24" t="s">
        <v>55</v>
      </c>
      <c r="BT24" t="s">
        <v>56</v>
      </c>
      <c r="BU24" t="s">
        <v>57</v>
      </c>
      <c r="BV24" t="s">
        <v>58</v>
      </c>
      <c r="BW24" t="s">
        <v>59</v>
      </c>
      <c r="BX24" t="s">
        <v>60</v>
      </c>
      <c r="BY24" t="s">
        <v>61</v>
      </c>
      <c r="BZ24" t="s">
        <v>62</v>
      </c>
      <c r="CA24" t="s">
        <v>63</v>
      </c>
      <c r="CB24" t="s">
        <v>64</v>
      </c>
      <c r="CC24" t="s">
        <v>458</v>
      </c>
      <c r="CD24" t="s">
        <v>459</v>
      </c>
      <c r="CE24" t="s">
        <v>460</v>
      </c>
      <c r="CF24" t="s">
        <v>471</v>
      </c>
      <c r="CG24" t="s">
        <v>472</v>
      </c>
      <c r="CH24" t="s">
        <v>473</v>
      </c>
      <c r="CI24" t="s">
        <v>484</v>
      </c>
      <c r="CJ24" t="s">
        <v>485</v>
      </c>
      <c r="CK24" t="s">
        <v>486</v>
      </c>
      <c r="CL24" t="s">
        <v>65</v>
      </c>
      <c r="CM24" t="s">
        <v>66</v>
      </c>
      <c r="CN24" t="s">
        <v>67</v>
      </c>
      <c r="CO24" t="s">
        <v>68</v>
      </c>
      <c r="CP24" t="s">
        <v>69</v>
      </c>
      <c r="CQ24" t="s">
        <v>70</v>
      </c>
      <c r="CR24" t="s">
        <v>71</v>
      </c>
      <c r="CS24" t="s">
        <v>72</v>
      </c>
      <c r="CT24" t="s">
        <v>73</v>
      </c>
      <c r="CU24" t="s">
        <v>74</v>
      </c>
      <c r="CV24" t="s">
        <v>75</v>
      </c>
      <c r="CW24" t="s">
        <v>76</v>
      </c>
      <c r="CX24" t="s">
        <v>77</v>
      </c>
      <c r="CY24" t="s">
        <v>78</v>
      </c>
      <c r="CZ24" t="s">
        <v>79</v>
      </c>
      <c r="DA24" t="s">
        <v>80</v>
      </c>
      <c r="DB24" t="s">
        <v>81</v>
      </c>
      <c r="DC24" t="s">
        <v>82</v>
      </c>
      <c r="DD24" t="s">
        <v>83</v>
      </c>
      <c r="DE24" t="s">
        <v>84</v>
      </c>
      <c r="DF24" t="s">
        <v>85</v>
      </c>
      <c r="DG24" t="s">
        <v>86</v>
      </c>
      <c r="DH24" t="s">
        <v>87</v>
      </c>
      <c r="DI24" t="s">
        <v>88</v>
      </c>
      <c r="DJ24" t="s">
        <v>89</v>
      </c>
      <c r="DK24" t="s">
        <v>90</v>
      </c>
      <c r="DL24" t="s">
        <v>91</v>
      </c>
      <c r="DM24" t="s">
        <v>92</v>
      </c>
      <c r="DN24" t="s">
        <v>93</v>
      </c>
      <c r="DO24" t="s">
        <v>94</v>
      </c>
      <c r="DP24" t="s">
        <v>95</v>
      </c>
      <c r="DQ24" t="s">
        <v>96</v>
      </c>
      <c r="DR24" t="s">
        <v>461</v>
      </c>
      <c r="DS24" t="s">
        <v>462</v>
      </c>
      <c r="DT24" t="s">
        <v>463</v>
      </c>
      <c r="DU24" t="s">
        <v>464</v>
      </c>
      <c r="DV24" t="s">
        <v>474</v>
      </c>
      <c r="DW24" t="s">
        <v>475</v>
      </c>
      <c r="DX24" t="s">
        <v>476</v>
      </c>
      <c r="DY24" t="s">
        <v>477</v>
      </c>
      <c r="DZ24" t="s">
        <v>487</v>
      </c>
      <c r="EA24" t="s">
        <v>489</v>
      </c>
      <c r="EB24" t="s">
        <v>488</v>
      </c>
      <c r="EC24" t="s">
        <v>490</v>
      </c>
      <c r="ED24" t="s">
        <v>491</v>
      </c>
      <c r="EE24" t="s">
        <v>492</v>
      </c>
      <c r="EF24" t="s">
        <v>493</v>
      </c>
      <c r="EG24" t="s">
        <v>494</v>
      </c>
      <c r="EH24" t="s">
        <v>495</v>
      </c>
      <c r="EI24" t="s">
        <v>496</v>
      </c>
      <c r="EJ24" t="s">
        <v>497</v>
      </c>
      <c r="EK24" t="s">
        <v>498</v>
      </c>
      <c r="EL24" t="s">
        <v>499</v>
      </c>
      <c r="EM24" t="s">
        <v>500</v>
      </c>
      <c r="EN24" t="s">
        <v>501</v>
      </c>
      <c r="EO24" t="s">
        <v>502</v>
      </c>
      <c r="EP24" t="s">
        <v>503</v>
      </c>
      <c r="EQ24" t="s">
        <v>504</v>
      </c>
      <c r="ER24" t="s">
        <v>505</v>
      </c>
      <c r="ES24" t="s">
        <v>506</v>
      </c>
      <c r="ET24" t="s">
        <v>507</v>
      </c>
      <c r="EU24" t="s">
        <v>508</v>
      </c>
      <c r="EV24" t="s">
        <v>509</v>
      </c>
      <c r="EW24" t="s">
        <v>510</v>
      </c>
      <c r="EX24" t="s">
        <v>511</v>
      </c>
      <c r="EY24" t="s">
        <v>512</v>
      </c>
      <c r="EZ24" t="s">
        <v>513</v>
      </c>
      <c r="FA24" t="s">
        <v>514</v>
      </c>
      <c r="FB24" t="s">
        <v>527</v>
      </c>
      <c r="FC24" t="s">
        <v>528</v>
      </c>
      <c r="FD24" t="s">
        <v>529</v>
      </c>
      <c r="FE24" t="s">
        <v>530</v>
      </c>
      <c r="FF24" t="s">
        <v>531</v>
      </c>
      <c r="FG24" t="s">
        <v>532</v>
      </c>
      <c r="FH24" t="s">
        <v>533</v>
      </c>
      <c r="FI24" t="s">
        <v>534</v>
      </c>
      <c r="FJ24" t="s">
        <v>535</v>
      </c>
      <c r="FK24" t="s">
        <v>536</v>
      </c>
      <c r="FL24" t="s">
        <v>537</v>
      </c>
      <c r="FM24" t="s">
        <v>538</v>
      </c>
      <c r="FN24" t="s">
        <v>541</v>
      </c>
      <c r="FO24" t="s">
        <v>539</v>
      </c>
      <c r="FP24" t="s">
        <v>540</v>
      </c>
      <c r="FQ24" t="s">
        <v>543</v>
      </c>
      <c r="FR24" t="s">
        <v>544</v>
      </c>
      <c r="FS24" t="s">
        <v>545</v>
      </c>
      <c r="FT24" t="s">
        <v>546</v>
      </c>
      <c r="FU24" t="s">
        <v>547</v>
      </c>
      <c r="FV24" t="s">
        <v>548</v>
      </c>
      <c r="FW24" t="s">
        <v>549</v>
      </c>
      <c r="FX24" t="s">
        <v>550</v>
      </c>
      <c r="FY24" t="s">
        <v>551</v>
      </c>
      <c r="FZ24" t="s">
        <v>552</v>
      </c>
      <c r="GA24" t="s">
        <v>553</v>
      </c>
      <c r="GB24" t="s">
        <v>554</v>
      </c>
      <c r="GC24" t="s">
        <v>555</v>
      </c>
      <c r="GD24" t="s">
        <v>556</v>
      </c>
      <c r="GE24" t="s">
        <v>557</v>
      </c>
      <c r="GF24" t="s">
        <v>558</v>
      </c>
      <c r="GG24" t="s">
        <v>605</v>
      </c>
      <c r="GH24" t="s">
        <v>564</v>
      </c>
      <c r="GI24" t="s">
        <v>567</v>
      </c>
      <c r="GJ24" t="s">
        <v>568</v>
      </c>
      <c r="GK24" t="s">
        <v>565</v>
      </c>
      <c r="GL24" t="s">
        <v>571</v>
      </c>
      <c r="GM24" t="s">
        <v>573</v>
      </c>
      <c r="GN24" t="s">
        <v>574</v>
      </c>
      <c r="GO24" t="s">
        <v>575</v>
      </c>
      <c r="GP24" t="s">
        <v>569</v>
      </c>
      <c r="GQ24" t="s">
        <v>592</v>
      </c>
      <c r="GR24" t="s">
        <v>570</v>
      </c>
      <c r="GS24" t="s">
        <v>576</v>
      </c>
      <c r="GT24" t="s">
        <v>593</v>
      </c>
      <c r="GU24" t="s">
        <v>566</v>
      </c>
      <c r="GV24" t="s">
        <v>572</v>
      </c>
      <c r="GW24" t="s">
        <v>577</v>
      </c>
      <c r="GX24" t="s">
        <v>580</v>
      </c>
      <c r="GY24" t="s">
        <v>581</v>
      </c>
      <c r="GZ24" t="s">
        <v>578</v>
      </c>
      <c r="HA24" t="s">
        <v>584</v>
      </c>
      <c r="HB24" t="s">
        <v>587</v>
      </c>
      <c r="HC24" t="s">
        <v>588</v>
      </c>
      <c r="HD24" t="s">
        <v>589</v>
      </c>
      <c r="HE24" t="s">
        <v>582</v>
      </c>
      <c r="HF24" t="s">
        <v>594</v>
      </c>
      <c r="HG24" t="s">
        <v>583</v>
      </c>
      <c r="HH24" t="s">
        <v>590</v>
      </c>
      <c r="HI24" t="s">
        <v>595</v>
      </c>
      <c r="HJ24" t="s">
        <v>579</v>
      </c>
      <c r="HK24" t="s">
        <v>585</v>
      </c>
      <c r="HL24" t="s">
        <v>586</v>
      </c>
      <c r="HM24" t="s">
        <v>591</v>
      </c>
      <c r="HN24" s="190" t="s">
        <v>606</v>
      </c>
      <c r="HO24" s="34" t="s">
        <v>607</v>
      </c>
      <c r="HP24" s="34" t="s">
        <v>608</v>
      </c>
      <c r="HQ24" s="34" t="s">
        <v>609</v>
      </c>
      <c r="HR24" s="34" t="s">
        <v>610</v>
      </c>
      <c r="HS24" s="34" t="s">
        <v>611</v>
      </c>
      <c r="HT24" s="34" t="s">
        <v>612</v>
      </c>
      <c r="HU24" s="34" t="s">
        <v>613</v>
      </c>
      <c r="HV24" s="34" t="s">
        <v>614</v>
      </c>
      <c r="HW24" s="34" t="s">
        <v>615</v>
      </c>
      <c r="HX24" s="34" t="s">
        <v>514</v>
      </c>
      <c r="HY24" s="34" t="s">
        <v>616</v>
      </c>
      <c r="HZ24" s="34" t="s">
        <v>617</v>
      </c>
      <c r="IA24" s="34" t="s">
        <v>618</v>
      </c>
      <c r="IB24" s="34" t="s">
        <v>586</v>
      </c>
      <c r="IC24" s="34" t="s">
        <v>619</v>
      </c>
      <c r="ID24" s="34" t="s">
        <v>620</v>
      </c>
      <c r="IE24" s="34" t="s">
        <v>621</v>
      </c>
      <c r="IF24" s="57" t="s">
        <v>622</v>
      </c>
      <c r="IG24" s="57" t="s">
        <v>623</v>
      </c>
      <c r="IH24" s="57" t="s">
        <v>624</v>
      </c>
      <c r="II24" s="57" t="s">
        <v>625</v>
      </c>
      <c r="IJ24" s="57" t="s">
        <v>626</v>
      </c>
      <c r="IK24" s="57" t="s">
        <v>627</v>
      </c>
      <c r="IL24" s="57" t="s">
        <v>628</v>
      </c>
      <c r="IM24" t="s">
        <v>629</v>
      </c>
      <c r="IN24" t="s">
        <v>630</v>
      </c>
      <c r="IO24" t="s">
        <v>631</v>
      </c>
      <c r="IP24" s="57" t="s">
        <v>632</v>
      </c>
      <c r="IQ24" s="57" t="s">
        <v>633</v>
      </c>
      <c r="IR24" s="57" t="s">
        <v>559</v>
      </c>
      <c r="IS24" s="57" t="s">
        <v>634</v>
      </c>
      <c r="IT24" s="57" t="s">
        <v>591</v>
      </c>
      <c r="IU24" s="57" t="s">
        <v>635</v>
      </c>
      <c r="IV24" s="57" t="s">
        <v>636</v>
      </c>
      <c r="IW24" s="57" t="s">
        <v>637</v>
      </c>
      <c r="IX24" t="s">
        <v>638</v>
      </c>
      <c r="IY24" t="s">
        <v>639</v>
      </c>
      <c r="IZ24" t="s">
        <v>640</v>
      </c>
      <c r="JA24" t="s">
        <v>641</v>
      </c>
      <c r="JB24" s="34" t="s">
        <v>642</v>
      </c>
      <c r="JC24" t="s">
        <v>643</v>
      </c>
      <c r="JD24" t="s">
        <v>644</v>
      </c>
      <c r="JE24" t="s">
        <v>645</v>
      </c>
      <c r="JF24" t="s">
        <v>646</v>
      </c>
      <c r="JG24" t="s">
        <v>647</v>
      </c>
      <c r="JH24" t="s">
        <v>648</v>
      </c>
      <c r="JI24" s="34" t="s">
        <v>649</v>
      </c>
      <c r="JJ24" s="173" t="s">
        <v>650</v>
      </c>
      <c r="JK24" s="34" t="s">
        <v>651</v>
      </c>
      <c r="JL24" t="s">
        <v>652</v>
      </c>
      <c r="JM24" t="s">
        <v>653</v>
      </c>
      <c r="JN24" t="s">
        <v>654</v>
      </c>
      <c r="JO24" s="173" t="s">
        <v>655</v>
      </c>
      <c r="JP24" t="s">
        <v>656</v>
      </c>
      <c r="JQ24" s="34" t="s">
        <v>657</v>
      </c>
      <c r="JR24" s="34" t="s">
        <v>658</v>
      </c>
      <c r="JS24" s="173" t="s">
        <v>659</v>
      </c>
      <c r="JT24" t="s">
        <v>660</v>
      </c>
      <c r="JU24" t="s">
        <v>661</v>
      </c>
      <c r="JV24" s="173" t="s">
        <v>662</v>
      </c>
      <c r="JW24" s="34" t="s">
        <v>663</v>
      </c>
      <c r="JX24" s="173" t="s">
        <v>664</v>
      </c>
      <c r="JY24" s="34" t="s">
        <v>665</v>
      </c>
      <c r="JZ24" t="s">
        <v>666</v>
      </c>
      <c r="KA24" t="s">
        <v>667</v>
      </c>
      <c r="KB24" t="s">
        <v>668</v>
      </c>
      <c r="KC24" s="173" t="s">
        <v>669</v>
      </c>
      <c r="KD24" t="s">
        <v>670</v>
      </c>
      <c r="KE24" s="34" t="s">
        <v>671</v>
      </c>
      <c r="KF24" s="34" t="s">
        <v>672</v>
      </c>
      <c r="KG24" s="173" t="s">
        <v>673</v>
      </c>
      <c r="KH24" t="s">
        <v>674</v>
      </c>
      <c r="KI24" s="173" t="s">
        <v>675</v>
      </c>
      <c r="KJ24" s="173" t="s">
        <v>676</v>
      </c>
      <c r="KK24" s="34" t="s">
        <v>677</v>
      </c>
      <c r="KL24" s="173" t="s">
        <v>678</v>
      </c>
      <c r="KM24" s="34" t="s">
        <v>679</v>
      </c>
      <c r="KN24" t="s">
        <v>680</v>
      </c>
      <c r="KO24" t="s">
        <v>691</v>
      </c>
      <c r="KP24" t="s">
        <v>692</v>
      </c>
      <c r="KQ24" t="s">
        <v>693</v>
      </c>
      <c r="KR24" t="s">
        <v>694</v>
      </c>
      <c r="KS24" t="s">
        <v>695</v>
      </c>
      <c r="KT24" t="s">
        <v>696</v>
      </c>
      <c r="KU24" t="s">
        <v>697</v>
      </c>
      <c r="KV24" t="s">
        <v>698</v>
      </c>
      <c r="KW24" t="s">
        <v>699</v>
      </c>
      <c r="KX24" t="s">
        <v>700</v>
      </c>
      <c r="KY24" t="s">
        <v>701</v>
      </c>
      <c r="KZ24" t="s">
        <v>702</v>
      </c>
      <c r="LA24" t="s">
        <v>703</v>
      </c>
      <c r="LB24" t="s">
        <v>704</v>
      </c>
      <c r="LC24" t="s">
        <v>705</v>
      </c>
      <c r="LD24" t="s">
        <v>706</v>
      </c>
      <c r="LE24" t="s">
        <v>710</v>
      </c>
      <c r="LF24" s="34" t="s">
        <v>711</v>
      </c>
      <c r="LG24" s="34" t="s">
        <v>712</v>
      </c>
      <c r="LH24" t="s">
        <v>713</v>
      </c>
      <c r="LI24" s="173" t="s">
        <v>715</v>
      </c>
      <c r="LJ24" s="34" t="s">
        <v>720</v>
      </c>
      <c r="LK24" s="173" t="s">
        <v>721</v>
      </c>
      <c r="LL24" s="34" t="s">
        <v>722</v>
      </c>
      <c r="LM24" s="173" t="s">
        <v>716</v>
      </c>
      <c r="LN24" s="173" t="s">
        <v>724</v>
      </c>
      <c r="LO24" t="s">
        <v>717</v>
      </c>
      <c r="LP24" t="s">
        <v>725</v>
      </c>
      <c r="LQ24" s="173" t="s">
        <v>714</v>
      </c>
      <c r="LR24" s="173" t="s">
        <v>718</v>
      </c>
      <c r="LS24" s="173" t="s">
        <v>719</v>
      </c>
      <c r="LT24" s="57" t="s">
        <v>723</v>
      </c>
      <c r="LU24" t="s">
        <v>727</v>
      </c>
      <c r="LV24" s="34" t="s">
        <v>728</v>
      </c>
      <c r="LW24" s="34" t="s">
        <v>729</v>
      </c>
      <c r="LX24" s="172" t="s">
        <v>730</v>
      </c>
      <c r="LY24" s="173" t="s">
        <v>731</v>
      </c>
      <c r="LZ24" s="34" t="s">
        <v>732</v>
      </c>
      <c r="MA24" s="173" t="s">
        <v>733</v>
      </c>
      <c r="MB24" s="34" t="s">
        <v>734</v>
      </c>
      <c r="MC24" s="173" t="s">
        <v>735</v>
      </c>
      <c r="MD24" s="34" t="s">
        <v>736</v>
      </c>
      <c r="ME24" t="s">
        <v>737</v>
      </c>
      <c r="MF24" t="s">
        <v>738</v>
      </c>
      <c r="MG24" s="173" t="s">
        <v>739</v>
      </c>
      <c r="MH24" s="173" t="s">
        <v>740</v>
      </c>
      <c r="MI24" s="173" t="s">
        <v>741</v>
      </c>
      <c r="MJ24" s="57" t="s">
        <v>742</v>
      </c>
    </row>
    <row r="25" spans="1:348" x14ac:dyDescent="0.2">
      <c r="A25" t="s">
        <v>100</v>
      </c>
      <c r="B25" s="34">
        <v>593661</v>
      </c>
      <c r="C25" s="34">
        <v>592060</v>
      </c>
      <c r="D25" s="34">
        <v>590807</v>
      </c>
      <c r="E25" s="34">
        <v>590177</v>
      </c>
      <c r="F25" s="34">
        <v>590089</v>
      </c>
      <c r="G25" s="34">
        <v>590961</v>
      </c>
      <c r="H25" s="34">
        <v>592782</v>
      </c>
      <c r="I25" s="34">
        <v>594283</v>
      </c>
      <c r="J25" s="34">
        <v>596806</v>
      </c>
      <c r="K25" s="34">
        <v>598909</v>
      </c>
      <c r="L25" s="34">
        <v>600298</v>
      </c>
      <c r="M25" s="34">
        <v>1181046</v>
      </c>
      <c r="N25" s="34">
        <v>463252</v>
      </c>
      <c r="O25" s="34">
        <v>365164</v>
      </c>
      <c r="P25" s="34">
        <v>32101.861335782145</v>
      </c>
      <c r="Q25" s="34">
        <v>1220128</v>
      </c>
      <c r="R25" s="34">
        <v>480038</v>
      </c>
      <c r="S25" s="34">
        <v>358370</v>
      </c>
      <c r="T25" s="34">
        <v>41477.833672232009</v>
      </c>
      <c r="U25" s="34">
        <v>1211161</v>
      </c>
      <c r="V25" s="34">
        <v>518399</v>
      </c>
      <c r="W25" s="34">
        <v>373632</v>
      </c>
      <c r="X25" s="34">
        <v>34082.77873364582</v>
      </c>
      <c r="Y25" s="34">
        <v>1347496</v>
      </c>
      <c r="Z25" s="34">
        <v>588922</v>
      </c>
      <c r="AA25" s="34">
        <v>384989</v>
      </c>
      <c r="AB25" s="34">
        <v>32600.706725666991</v>
      </c>
      <c r="AC25" s="34">
        <v>1377744</v>
      </c>
      <c r="AD25" s="34">
        <v>636706</v>
      </c>
      <c r="AE25" s="34">
        <v>402946</v>
      </c>
      <c r="AF25" s="34">
        <v>27324</v>
      </c>
      <c r="AG25" s="34">
        <v>1319873</v>
      </c>
      <c r="AH25" s="34">
        <v>670097</v>
      </c>
      <c r="AI25" s="34">
        <v>423348</v>
      </c>
      <c r="AJ25" s="34">
        <v>44656</v>
      </c>
      <c r="AK25" s="34">
        <v>1342245</v>
      </c>
      <c r="AL25" s="34">
        <v>718353</v>
      </c>
      <c r="AM25" s="34">
        <v>441515</v>
      </c>
      <c r="AN25" s="34">
        <v>33056</v>
      </c>
      <c r="AO25" s="34">
        <v>1397411</v>
      </c>
      <c r="AP25" s="34">
        <v>756370</v>
      </c>
      <c r="AQ25" s="34">
        <v>465447</v>
      </c>
      <c r="AR25" s="34">
        <v>40096</v>
      </c>
      <c r="AS25" s="34">
        <v>1488339</v>
      </c>
      <c r="AT25" s="34">
        <v>805019</v>
      </c>
      <c r="AU25" s="34">
        <v>505116</v>
      </c>
      <c r="AV25" s="34">
        <v>35229</v>
      </c>
      <c r="AW25" s="34">
        <v>1594550</v>
      </c>
      <c r="AX25" s="34">
        <v>839655</v>
      </c>
      <c r="AY25" s="34">
        <v>538642</v>
      </c>
      <c r="AZ25" s="34">
        <v>39718</v>
      </c>
      <c r="BA25" s="34">
        <v>1724471</v>
      </c>
      <c r="BB25" s="34">
        <v>944391</v>
      </c>
      <c r="BC25" s="34">
        <v>567108</v>
      </c>
      <c r="BD25" s="34">
        <v>31557</v>
      </c>
      <c r="BE25" s="34">
        <v>958760.8249954168</v>
      </c>
      <c r="BF25" s="34">
        <v>181178.25733761871</v>
      </c>
      <c r="BG25" s="34">
        <v>40844.437941177945</v>
      </c>
      <c r="BH25" s="34">
        <v>986647.56051822053</v>
      </c>
      <c r="BI25" s="34">
        <v>187995.0821850303</v>
      </c>
      <c r="BJ25" s="34">
        <v>45269.798662233217</v>
      </c>
      <c r="BK25" s="34">
        <v>953427.24947146943</v>
      </c>
      <c r="BL25" s="34">
        <v>208050.31510008025</v>
      </c>
      <c r="BM25" s="34">
        <v>49469.451185977166</v>
      </c>
      <c r="BN25" s="34">
        <v>1105561</v>
      </c>
      <c r="BO25" s="34">
        <v>188794</v>
      </c>
      <c r="BP25" s="34">
        <v>52954</v>
      </c>
      <c r="BQ25" s="34">
        <v>1204500</v>
      </c>
      <c r="BR25" s="34">
        <v>117441</v>
      </c>
      <c r="BS25" s="34">
        <v>55660</v>
      </c>
      <c r="BT25" s="34">
        <v>1188590</v>
      </c>
      <c r="BU25" s="34">
        <v>73155</v>
      </c>
      <c r="BV25" s="34">
        <v>57997</v>
      </c>
      <c r="BW25" s="34">
        <v>1201013</v>
      </c>
      <c r="BX25" s="34">
        <v>81313</v>
      </c>
      <c r="BY25" s="34">
        <v>59819</v>
      </c>
      <c r="BZ25" s="34">
        <v>1242478</v>
      </c>
      <c r="CA25" s="34">
        <v>89987</v>
      </c>
      <c r="CB25" s="34">
        <v>64882</v>
      </c>
      <c r="CC25" s="34">
        <v>1320926</v>
      </c>
      <c r="CD25" s="34">
        <v>97474</v>
      </c>
      <c r="CE25" s="34">
        <v>69890</v>
      </c>
      <c r="CF25" s="34">
        <v>1407851</v>
      </c>
      <c r="CG25" s="34">
        <v>112852</v>
      </c>
      <c r="CH25" s="34">
        <v>73812</v>
      </c>
      <c r="CI25" s="34">
        <v>1529353</v>
      </c>
      <c r="CJ25" s="34">
        <v>114769</v>
      </c>
      <c r="CK25" s="34">
        <v>80331</v>
      </c>
      <c r="CL25" s="34">
        <v>68323.149554386095</v>
      </c>
      <c r="CM25" s="34">
        <v>-115252.96305172998</v>
      </c>
      <c r="CN25" s="34">
        <v>92513.787205271656</v>
      </c>
      <c r="CO25" s="34">
        <v>400655</v>
      </c>
      <c r="CP25" s="34">
        <v>104543.26045750479</v>
      </c>
      <c r="CQ25" s="34">
        <v>-18701.320113450016</v>
      </c>
      <c r="CR25" s="34">
        <v>96311.13420891967</v>
      </c>
      <c r="CS25" s="34">
        <v>388705</v>
      </c>
      <c r="CT25" s="34">
        <v>56671.258197059062</v>
      </c>
      <c r="CU25" s="34">
        <v>-160334.72760958</v>
      </c>
      <c r="CV25" s="34">
        <v>99748.727237866493</v>
      </c>
      <c r="CW25" s="34">
        <v>415826</v>
      </c>
      <c r="CX25" s="34">
        <v>119861.9849875457</v>
      </c>
      <c r="CY25" s="34">
        <v>-166454</v>
      </c>
      <c r="CZ25" s="34">
        <v>103511.42752866342</v>
      </c>
      <c r="DA25" s="34">
        <v>452717</v>
      </c>
      <c r="DB25" s="34">
        <v>212658</v>
      </c>
      <c r="DC25" s="34">
        <v>-150724</v>
      </c>
      <c r="DD25" s="34">
        <v>107506</v>
      </c>
      <c r="DE25" s="34">
        <v>445472</v>
      </c>
      <c r="DF25" s="34">
        <v>98224</v>
      </c>
      <c r="DG25" s="34">
        <v>-164219</v>
      </c>
      <c r="DH25" s="34">
        <v>108790</v>
      </c>
      <c r="DI25" s="34">
        <v>495708</v>
      </c>
      <c r="DJ25" s="34">
        <v>49308</v>
      </c>
      <c r="DK25" s="34">
        <v>-191251</v>
      </c>
      <c r="DL25" s="34">
        <v>111208</v>
      </c>
      <c r="DM25" s="34">
        <v>587917</v>
      </c>
      <c r="DN25" s="34">
        <v>53226</v>
      </c>
      <c r="DO25" s="34">
        <v>-187500</v>
      </c>
      <c r="DP25" s="34">
        <v>116768</v>
      </c>
      <c r="DQ25" s="34">
        <v>708819</v>
      </c>
      <c r="DR25" s="34">
        <v>112182</v>
      </c>
      <c r="DS25" s="34">
        <v>-190171</v>
      </c>
      <c r="DT25" s="34">
        <v>119681</v>
      </c>
      <c r="DU25" s="34">
        <v>810755</v>
      </c>
      <c r="DV25" s="34">
        <v>128885</v>
      </c>
      <c r="DW25" s="34">
        <v>-206461</v>
      </c>
      <c r="DX25" s="34">
        <v>123983</v>
      </c>
      <c r="DY25" s="34">
        <v>906907</v>
      </c>
      <c r="DZ25" s="34">
        <v>122829</v>
      </c>
      <c r="EA25" s="34">
        <v>-232018</v>
      </c>
      <c r="EB25" s="34">
        <v>130583</v>
      </c>
      <c r="EC25" s="34">
        <v>1022095</v>
      </c>
      <c r="ED25" s="34">
        <v>1857039.4215680836</v>
      </c>
      <c r="EE25" s="34">
        <v>-21465.825054282654</v>
      </c>
      <c r="EF25" s="34">
        <v>1884358.3546511524</v>
      </c>
      <c r="EG25" s="34">
        <v>36759.994147060155</v>
      </c>
      <c r="EH25" s="34">
        <v>1960584.6548699653</v>
      </c>
      <c r="EI25" s="34">
        <v>-15812.187906278945</v>
      </c>
      <c r="EJ25" s="34">
        <v>2104395.0868942924</v>
      </c>
      <c r="EK25" s="34">
        <v>17780.154833805103</v>
      </c>
      <c r="EL25" s="34">
        <v>2202323</v>
      </c>
      <c r="EM25" s="34">
        <v>106285</v>
      </c>
      <c r="EN25" s="34">
        <v>2327121</v>
      </c>
      <c r="EO25" s="34">
        <v>-1011</v>
      </c>
      <c r="EP25" s="34">
        <v>2460173</v>
      </c>
      <c r="EQ25" s="34">
        <v>-51027</v>
      </c>
      <c r="ER25" s="34">
        <v>2584552</v>
      </c>
      <c r="ES25" s="34">
        <v>-57062</v>
      </c>
      <c r="ET25" s="34">
        <v>2699257</v>
      </c>
      <c r="EU25" s="34">
        <v>11664</v>
      </c>
      <c r="EV25" s="34">
        <v>2840980</v>
      </c>
      <c r="EW25" s="34">
        <v>9816</v>
      </c>
      <c r="EX25" s="34">
        <v>3088155</v>
      </c>
      <c r="EY25" s="34">
        <v>26308</v>
      </c>
      <c r="EZ25" s="34">
        <v>138858</v>
      </c>
      <c r="FA25" s="34">
        <v>170506</v>
      </c>
      <c r="FB25" s="34">
        <v>602027</v>
      </c>
      <c r="FC25" s="34">
        <v>1742446</v>
      </c>
      <c r="FD25" s="34">
        <v>1014527</v>
      </c>
      <c r="FE25" s="34">
        <v>702277</v>
      </c>
      <c r="FF25" s="34">
        <v>26052</v>
      </c>
      <c r="FG25" s="34">
        <v>1566993</v>
      </c>
      <c r="FH25" s="34">
        <v>88273</v>
      </c>
      <c r="FI25" s="34">
        <v>87180</v>
      </c>
      <c r="FJ25" s="34">
        <v>146663</v>
      </c>
      <c r="FK25" s="34">
        <v>-231055</v>
      </c>
      <c r="FL25" s="34">
        <v>138368</v>
      </c>
      <c r="FM25" s="34">
        <v>1143030</v>
      </c>
      <c r="FN25" s="34">
        <v>231055</v>
      </c>
      <c r="FO25" s="34">
        <v>3310561</v>
      </c>
      <c r="FP25" s="34">
        <v>14070</v>
      </c>
      <c r="FQ25" s="34">
        <v>603167</v>
      </c>
      <c r="FR25" s="34">
        <v>1800540</v>
      </c>
      <c r="FS25" s="34">
        <v>1069152</v>
      </c>
      <c r="FT25" s="34">
        <v>818856</v>
      </c>
      <c r="FU25" s="34">
        <v>19081</v>
      </c>
      <c r="FV25" s="34">
        <v>1588357</v>
      </c>
      <c r="FW25" s="34">
        <v>106702</v>
      </c>
      <c r="FX25" s="34">
        <v>105481</v>
      </c>
      <c r="FY25" s="34">
        <v>202086</v>
      </c>
      <c r="FZ25" s="34">
        <v>-191873</v>
      </c>
      <c r="GA25" s="34">
        <v>147425</v>
      </c>
      <c r="GB25" s="34">
        <v>1193602</v>
      </c>
      <c r="GC25" s="34">
        <v>191873</v>
      </c>
      <c r="GD25" s="34">
        <v>3483995</v>
      </c>
      <c r="GE25" s="34">
        <v>50734</v>
      </c>
      <c r="GF25" s="34">
        <v>230793</v>
      </c>
      <c r="GG25" s="57">
        <v>807</v>
      </c>
      <c r="GH25" s="34">
        <v>605163</v>
      </c>
      <c r="GI25">
        <v>1871740</v>
      </c>
      <c r="GJ25">
        <v>1112333</v>
      </c>
      <c r="GK25">
        <v>839634</v>
      </c>
      <c r="GL25">
        <v>18206</v>
      </c>
      <c r="GM25">
        <v>1636170</v>
      </c>
      <c r="GN25">
        <v>126132</v>
      </c>
      <c r="GO25">
        <v>109438</v>
      </c>
      <c r="GP25">
        <v>148684</v>
      </c>
      <c r="GQ25">
        <v>-221579</v>
      </c>
      <c r="GR25">
        <v>149109</v>
      </c>
      <c r="GS25">
        <v>1248184</v>
      </c>
      <c r="GT25">
        <v>221579</v>
      </c>
      <c r="GU25">
        <v>3667489</v>
      </c>
      <c r="GV25">
        <v>3197</v>
      </c>
      <c r="GW25" s="34">
        <v>605855</v>
      </c>
      <c r="GX25">
        <v>1914022</v>
      </c>
      <c r="GY25">
        <v>1158690</v>
      </c>
      <c r="GZ25">
        <v>827410</v>
      </c>
      <c r="HA25">
        <v>38411</v>
      </c>
      <c r="HB25">
        <v>1702280</v>
      </c>
      <c r="HC25">
        <v>95467</v>
      </c>
      <c r="HD25">
        <v>116275</v>
      </c>
      <c r="HE25">
        <v>88025</v>
      </c>
      <c r="HF25">
        <v>-251872</v>
      </c>
      <c r="HG25">
        <v>155176</v>
      </c>
      <c r="HH25">
        <v>1411182</v>
      </c>
      <c r="HI25">
        <v>251872</v>
      </c>
      <c r="HJ25">
        <v>3812067</v>
      </c>
      <c r="HK25">
        <v>-43943</v>
      </c>
      <c r="HL25">
        <v>190140</v>
      </c>
      <c r="HM25" s="57">
        <v>19.926829268292682</v>
      </c>
      <c r="HN25" s="190">
        <v>-22236.966697108677</v>
      </c>
      <c r="HO25" s="34">
        <v>13281.800552665532</v>
      </c>
      <c r="HP25" s="34">
        <v>1347.1852909567006</v>
      </c>
      <c r="HQ25" s="34">
        <v>44726.551659762546</v>
      </c>
      <c r="HR25" s="34">
        <v>153856</v>
      </c>
      <c r="HS25" s="34">
        <v>156013</v>
      </c>
      <c r="HT25" s="34">
        <v>159743</v>
      </c>
      <c r="HU25" s="34">
        <v>111004</v>
      </c>
      <c r="HV25" s="34">
        <v>127010</v>
      </c>
      <c r="HW25" s="34">
        <v>127442</v>
      </c>
      <c r="HX25" s="34">
        <v>157441</v>
      </c>
      <c r="HY25" s="34">
        <v>177167</v>
      </c>
      <c r="HZ25" s="34">
        <v>230793</v>
      </c>
      <c r="IA25" s="34">
        <v>234563</v>
      </c>
      <c r="IB25" s="34">
        <v>190140</v>
      </c>
      <c r="IC25" s="34">
        <v>522666</v>
      </c>
      <c r="ID25" s="34">
        <v>774260</v>
      </c>
      <c r="IE25" s="34">
        <v>811950</v>
      </c>
      <c r="IF25" s="57">
        <v>17.951219512195124</v>
      </c>
      <c r="IG25" s="57">
        <v>18.140243902439025</v>
      </c>
      <c r="IH25" s="57">
        <v>18.146341463414632</v>
      </c>
      <c r="II25" s="57">
        <v>18.189024390243901</v>
      </c>
      <c r="IJ25" s="57">
        <v>18.310975609756099</v>
      </c>
      <c r="IK25" s="57">
        <v>18.432926829268293</v>
      </c>
      <c r="IL25" s="57">
        <v>18.512195121951219</v>
      </c>
      <c r="IM25" s="57">
        <v>18.689024390243901</v>
      </c>
      <c r="IN25" s="57">
        <v>18.896341463414632</v>
      </c>
      <c r="IO25" s="57">
        <v>18.987804878048781</v>
      </c>
      <c r="IP25" s="57">
        <v>19.103658536585368</v>
      </c>
      <c r="IQ25" s="57">
        <v>19.329268292682926</v>
      </c>
      <c r="IR25" s="57">
        <v>19.682926829268293</v>
      </c>
      <c r="IS25" s="57">
        <v>19.762195121951219</v>
      </c>
      <c r="IT25" s="57">
        <v>19.926829268292682</v>
      </c>
      <c r="IU25" s="57">
        <v>20.195121951219512</v>
      </c>
      <c r="IV25" s="57">
        <v>20.567073170731707</v>
      </c>
      <c r="IW25" s="57">
        <v>20.707317073170731</v>
      </c>
      <c r="IX25">
        <v>605769</v>
      </c>
      <c r="IY25">
        <v>848358</v>
      </c>
      <c r="IZ25">
        <v>3931150</v>
      </c>
      <c r="JA25" s="58">
        <v>4120270</v>
      </c>
      <c r="JB25" s="34">
        <v>1195216</v>
      </c>
      <c r="JC25">
        <v>86949</v>
      </c>
      <c r="JD25">
        <v>184217</v>
      </c>
      <c r="JE25">
        <v>171105</v>
      </c>
      <c r="JF25">
        <v>-246307</v>
      </c>
      <c r="JG25">
        <v>67048</v>
      </c>
      <c r="JH25">
        <v>68728</v>
      </c>
      <c r="JI25" s="34">
        <v>1825590</v>
      </c>
      <c r="JJ25" s="173">
        <v>106410</v>
      </c>
      <c r="JK25" s="34">
        <v>128135</v>
      </c>
      <c r="JL25">
        <v>1536891</v>
      </c>
      <c r="JM25">
        <v>605504</v>
      </c>
      <c r="JN25">
        <v>904257</v>
      </c>
      <c r="JO25" s="173">
        <v>3929222</v>
      </c>
      <c r="JP25" s="58">
        <v>4226892</v>
      </c>
      <c r="JQ25" s="34">
        <v>1196179</v>
      </c>
      <c r="JR25" s="34">
        <v>45596</v>
      </c>
      <c r="JS25" s="173">
        <v>290407</v>
      </c>
      <c r="JT25">
        <v>177149</v>
      </c>
      <c r="JU25">
        <v>-202249</v>
      </c>
      <c r="JV25" s="173">
        <v>124351</v>
      </c>
      <c r="JW25" s="34">
        <v>1857707</v>
      </c>
      <c r="JX25" s="173">
        <v>112844</v>
      </c>
      <c r="JY25" s="34">
        <v>142895</v>
      </c>
      <c r="JZ25">
        <v>1609685</v>
      </c>
      <c r="KA25">
        <v>604076</v>
      </c>
      <c r="KB25">
        <v>800283</v>
      </c>
      <c r="KC25" s="173">
        <v>3981733</v>
      </c>
      <c r="KD25" s="58">
        <v>4331516</v>
      </c>
      <c r="KE25" s="34">
        <v>1190144</v>
      </c>
      <c r="KF25" s="34">
        <v>56284</v>
      </c>
      <c r="KG25" s="173">
        <v>184539</v>
      </c>
      <c r="KH25">
        <v>182021</v>
      </c>
      <c r="KI25" s="173">
        <v>-226056</v>
      </c>
      <c r="KJ25" s="173">
        <v>22542</v>
      </c>
      <c r="KK25" s="34">
        <v>1889781</v>
      </c>
      <c r="KL25" s="173">
        <v>128501</v>
      </c>
      <c r="KM25" s="34">
        <v>147476</v>
      </c>
      <c r="KN25">
        <v>1645406</v>
      </c>
      <c r="KO25">
        <v>602254</v>
      </c>
      <c r="KP25">
        <v>2177504</v>
      </c>
      <c r="KQ25">
        <v>1262237</v>
      </c>
      <c r="KR25">
        <v>794182</v>
      </c>
      <c r="KS25">
        <v>27496</v>
      </c>
      <c r="KT25">
        <v>1904348</v>
      </c>
      <c r="KU25">
        <v>114777</v>
      </c>
      <c r="KV25">
        <v>158379</v>
      </c>
      <c r="KW25">
        <v>245791</v>
      </c>
      <c r="KX25">
        <v>-221276</v>
      </c>
      <c r="KY25">
        <v>195388</v>
      </c>
      <c r="KZ25">
        <v>1684320</v>
      </c>
      <c r="LA25">
        <v>4000712</v>
      </c>
      <c r="LB25">
        <v>43497</v>
      </c>
      <c r="LC25">
        <v>451698</v>
      </c>
      <c r="LD25" s="57">
        <v>20.73170731707317</v>
      </c>
      <c r="LE25">
        <v>599858</v>
      </c>
      <c r="LF25" s="34">
        <v>2198654</v>
      </c>
      <c r="LG25" s="34">
        <v>1255307</v>
      </c>
      <c r="LH25">
        <v>768056</v>
      </c>
      <c r="LI25" s="173">
        <v>20244</v>
      </c>
      <c r="LJ25" s="34">
        <v>1901751</v>
      </c>
      <c r="LK25" s="173">
        <v>136265</v>
      </c>
      <c r="LL25" s="34">
        <v>160638</v>
      </c>
      <c r="LM25" s="173">
        <v>282225</v>
      </c>
      <c r="LN25" s="173">
        <v>-261706</v>
      </c>
      <c r="LO25">
        <v>202976</v>
      </c>
      <c r="LP25">
        <v>1720574</v>
      </c>
      <c r="LQ25" s="173">
        <v>3956572</v>
      </c>
      <c r="LR25" s="173">
        <v>77447</v>
      </c>
      <c r="LS25" s="173">
        <v>528442</v>
      </c>
      <c r="LT25" s="57">
        <v>20.810975609756099</v>
      </c>
      <c r="LU25">
        <v>596663</v>
      </c>
      <c r="LV25" s="34">
        <v>2170605</v>
      </c>
      <c r="LW25" s="34">
        <v>1239020</v>
      </c>
      <c r="LX25" s="172">
        <v>774796</v>
      </c>
      <c r="LY25" s="173">
        <v>15455</v>
      </c>
      <c r="LZ25" s="34">
        <v>1879057</v>
      </c>
      <c r="MA25" s="173">
        <v>126252</v>
      </c>
      <c r="MB25" s="34">
        <v>165296</v>
      </c>
      <c r="MC25" s="173">
        <v>146820</v>
      </c>
      <c r="MD25" s="34">
        <v>-313438</v>
      </c>
      <c r="ME25">
        <v>206873</v>
      </c>
      <c r="MF25">
        <v>1854095</v>
      </c>
      <c r="MG25" s="173">
        <v>4052019</v>
      </c>
      <c r="MH25" s="173">
        <v>-53472</v>
      </c>
      <c r="MI25" s="173">
        <v>475648</v>
      </c>
      <c r="MJ25" s="57">
        <v>20.859756097560975</v>
      </c>
    </row>
    <row r="26" spans="1:348" x14ac:dyDescent="0.2">
      <c r="A26" t="s">
        <v>744</v>
      </c>
      <c r="B26" s="34">
        <v>369294</v>
      </c>
      <c r="C26" s="34">
        <v>364664</v>
      </c>
      <c r="D26" s="34">
        <v>359721</v>
      </c>
      <c r="E26" s="34">
        <v>355103</v>
      </c>
      <c r="F26" s="34">
        <v>351558</v>
      </c>
      <c r="G26" s="34">
        <v>348519</v>
      </c>
      <c r="H26" s="34">
        <v>346086</v>
      </c>
      <c r="I26" s="34">
        <v>343285</v>
      </c>
      <c r="J26" s="34">
        <v>340036</v>
      </c>
      <c r="K26" s="34">
        <v>337020</v>
      </c>
      <c r="L26" s="34">
        <v>333812</v>
      </c>
      <c r="M26" s="34">
        <v>663381</v>
      </c>
      <c r="N26" s="34">
        <v>440112</v>
      </c>
      <c r="O26" s="34">
        <v>256597</v>
      </c>
      <c r="P26" s="34">
        <v>21301.841825982679</v>
      </c>
      <c r="Q26" s="34">
        <v>651105</v>
      </c>
      <c r="R26" s="34">
        <v>444342</v>
      </c>
      <c r="S26" s="34">
        <v>264464</v>
      </c>
      <c r="T26" s="34">
        <v>24839.506671174102</v>
      </c>
      <c r="U26" s="34">
        <v>638545</v>
      </c>
      <c r="V26" s="34">
        <v>465727</v>
      </c>
      <c r="W26" s="34">
        <v>270917</v>
      </c>
      <c r="X26" s="34">
        <v>21920.268831581652</v>
      </c>
      <c r="Y26" s="34">
        <v>678558</v>
      </c>
      <c r="Z26" s="34">
        <v>531864</v>
      </c>
      <c r="AA26" s="34">
        <v>280268</v>
      </c>
      <c r="AB26" s="34">
        <v>21335.815787127922</v>
      </c>
      <c r="AC26" s="34">
        <v>683709</v>
      </c>
      <c r="AD26" s="34">
        <v>575912</v>
      </c>
      <c r="AE26" s="34">
        <v>297677</v>
      </c>
      <c r="AF26" s="34">
        <v>16966</v>
      </c>
      <c r="AG26" s="34">
        <v>653119</v>
      </c>
      <c r="AH26" s="34">
        <v>624548</v>
      </c>
      <c r="AI26" s="34">
        <v>308824</v>
      </c>
      <c r="AJ26" s="34">
        <v>23355</v>
      </c>
      <c r="AK26" s="34">
        <v>668849</v>
      </c>
      <c r="AL26" s="34">
        <v>640177</v>
      </c>
      <c r="AM26" s="34">
        <v>319852</v>
      </c>
      <c r="AN26" s="34">
        <v>23457</v>
      </c>
      <c r="AO26" s="34">
        <v>694304</v>
      </c>
      <c r="AP26" s="34">
        <v>651324</v>
      </c>
      <c r="AQ26" s="34">
        <v>334914</v>
      </c>
      <c r="AR26" s="34">
        <v>22735</v>
      </c>
      <c r="AS26" s="34">
        <v>731979</v>
      </c>
      <c r="AT26" s="34">
        <v>690498</v>
      </c>
      <c r="AU26" s="34">
        <v>352144</v>
      </c>
      <c r="AV26" s="34">
        <v>13828</v>
      </c>
      <c r="AW26" s="34">
        <v>784849</v>
      </c>
      <c r="AX26" s="34">
        <v>716627</v>
      </c>
      <c r="AY26" s="34">
        <v>360811</v>
      </c>
      <c r="AZ26" s="34">
        <v>26725</v>
      </c>
      <c r="BA26" s="34">
        <v>838469</v>
      </c>
      <c r="BB26" s="34">
        <v>787696</v>
      </c>
      <c r="BC26" s="34">
        <v>382767</v>
      </c>
      <c r="BD26" s="34">
        <v>16336</v>
      </c>
      <c r="BE26" s="34">
        <v>490279.24241430411</v>
      </c>
      <c r="BF26" s="34">
        <v>147905.80803366454</v>
      </c>
      <c r="BG26" s="34">
        <v>25021.654195531901</v>
      </c>
      <c r="BH26" s="34">
        <v>497831.04850035236</v>
      </c>
      <c r="BI26" s="34">
        <v>125393.68588886481</v>
      </c>
      <c r="BJ26" s="34">
        <v>27731.329878753324</v>
      </c>
      <c r="BK26" s="34">
        <v>470940.15369012725</v>
      </c>
      <c r="BL26" s="34">
        <v>136507.20769358848</v>
      </c>
      <c r="BM26" s="34">
        <v>30942.541958682945</v>
      </c>
      <c r="BN26" s="34">
        <v>550155</v>
      </c>
      <c r="BO26" s="34">
        <v>94923</v>
      </c>
      <c r="BP26" s="34">
        <v>33351</v>
      </c>
      <c r="BQ26" s="34">
        <v>592520</v>
      </c>
      <c r="BR26" s="34">
        <v>56039</v>
      </c>
      <c r="BS26" s="34">
        <v>35054</v>
      </c>
      <c r="BT26" s="34">
        <v>582453</v>
      </c>
      <c r="BU26" s="34">
        <v>33730</v>
      </c>
      <c r="BV26" s="34">
        <v>36871</v>
      </c>
      <c r="BW26" s="34">
        <v>588842</v>
      </c>
      <c r="BX26" s="34">
        <v>43523</v>
      </c>
      <c r="BY26" s="34">
        <v>36442</v>
      </c>
      <c r="BZ26" s="34">
        <v>599058</v>
      </c>
      <c r="CA26" s="34">
        <v>56098</v>
      </c>
      <c r="CB26" s="34">
        <v>39106</v>
      </c>
      <c r="CC26" s="34">
        <v>622631</v>
      </c>
      <c r="CD26" s="34">
        <v>65911</v>
      </c>
      <c r="CE26" s="34">
        <v>43402</v>
      </c>
      <c r="CF26" s="34">
        <v>662866</v>
      </c>
      <c r="CG26" s="34">
        <v>76856</v>
      </c>
      <c r="CH26" s="34">
        <v>45103</v>
      </c>
      <c r="CI26" s="34">
        <v>714768</v>
      </c>
      <c r="CJ26" s="34">
        <v>74252</v>
      </c>
      <c r="CK26" s="34">
        <v>49425</v>
      </c>
      <c r="CL26" s="34">
        <v>51402.435024799313</v>
      </c>
      <c r="CM26" s="34">
        <v>-85729.590813596966</v>
      </c>
      <c r="CN26" s="34">
        <v>52462.523525286211</v>
      </c>
      <c r="CO26" s="34">
        <v>199963</v>
      </c>
      <c r="CP26" s="34">
        <v>30376.757774066431</v>
      </c>
      <c r="CQ26" s="34">
        <v>-39547.036275129991</v>
      </c>
      <c r="CR26" s="34">
        <v>55992.788101713333</v>
      </c>
      <c r="CS26" s="34">
        <v>223832</v>
      </c>
      <c r="CT26" s="34">
        <v>-6525.6915467066256</v>
      </c>
      <c r="CU26" s="34">
        <v>-41439.655007513989</v>
      </c>
      <c r="CV26" s="34">
        <v>57267.316208438649</v>
      </c>
      <c r="CW26" s="34">
        <v>251919</v>
      </c>
      <c r="CX26" s="34">
        <v>30736.343560841153</v>
      </c>
      <c r="CY26" s="34">
        <v>-91725</v>
      </c>
      <c r="CZ26" s="34">
        <v>56726.255649011975</v>
      </c>
      <c r="DA26" s="34">
        <v>293491</v>
      </c>
      <c r="DB26" s="34">
        <v>90775</v>
      </c>
      <c r="DC26" s="34">
        <v>-76905</v>
      </c>
      <c r="DD26" s="34">
        <v>57449</v>
      </c>
      <c r="DE26" s="34">
        <v>310560</v>
      </c>
      <c r="DF26" s="34">
        <v>60754</v>
      </c>
      <c r="DG26" s="34">
        <v>-92641</v>
      </c>
      <c r="DH26" s="34">
        <v>58416</v>
      </c>
      <c r="DI26" s="34">
        <v>322692</v>
      </c>
      <c r="DJ26" s="34">
        <v>27981</v>
      </c>
      <c r="DK26" s="34">
        <v>-97345</v>
      </c>
      <c r="DL26" s="34">
        <v>60797</v>
      </c>
      <c r="DM26" s="34">
        <v>369304</v>
      </c>
      <c r="DN26" s="34">
        <v>23537</v>
      </c>
      <c r="DO26" s="34">
        <v>-88447</v>
      </c>
      <c r="DP26" s="34">
        <v>61036</v>
      </c>
      <c r="DQ26" s="34">
        <v>415079</v>
      </c>
      <c r="DR26" s="34">
        <v>49970</v>
      </c>
      <c r="DS26" s="34">
        <v>-90674</v>
      </c>
      <c r="DT26" s="34">
        <v>61524</v>
      </c>
      <c r="DU26" s="34">
        <v>445205</v>
      </c>
      <c r="DV26" s="34">
        <v>73365</v>
      </c>
      <c r="DW26" s="34">
        <v>-81965</v>
      </c>
      <c r="DX26" s="34">
        <v>63064</v>
      </c>
      <c r="DY26" s="34">
        <v>457609</v>
      </c>
      <c r="DZ26" s="34">
        <v>85615</v>
      </c>
      <c r="EA26" s="34">
        <v>-110762</v>
      </c>
      <c r="EB26" s="34">
        <v>64282</v>
      </c>
      <c r="EC26" s="34">
        <v>477974</v>
      </c>
      <c r="ED26" s="34">
        <v>1260224.0599556321</v>
      </c>
      <c r="EE26" s="34">
        <v>-927.72460236169491</v>
      </c>
      <c r="EF26" s="34">
        <v>1285897.1059903491</v>
      </c>
      <c r="EG26" s="34">
        <v>-1929.2837044399921</v>
      </c>
      <c r="EH26" s="34">
        <v>1329317.6784011386</v>
      </c>
      <c r="EI26" s="34">
        <v>-36178.232109429795</v>
      </c>
      <c r="EJ26" s="34">
        <v>1398433.83402879</v>
      </c>
      <c r="EK26" s="34">
        <v>-18996.321730048287</v>
      </c>
      <c r="EL26" s="34">
        <v>1461655</v>
      </c>
      <c r="EM26" s="34">
        <v>33673</v>
      </c>
      <c r="EN26" s="34">
        <v>1532071</v>
      </c>
      <c r="EO26" s="34">
        <v>7135</v>
      </c>
      <c r="EP26" s="34">
        <v>1605872</v>
      </c>
      <c r="EQ26" s="34">
        <v>-23903</v>
      </c>
      <c r="ER26" s="34">
        <v>1662066</v>
      </c>
      <c r="ES26" s="34">
        <v>-29477</v>
      </c>
      <c r="ET26" s="34">
        <v>1727442</v>
      </c>
      <c r="EU26" s="34">
        <v>-6906</v>
      </c>
      <c r="EV26" s="34">
        <v>1789081</v>
      </c>
      <c r="EW26" s="34">
        <v>14779</v>
      </c>
      <c r="EX26" s="34">
        <v>1916941</v>
      </c>
      <c r="EY26" s="34">
        <v>27105</v>
      </c>
      <c r="EZ26" s="34">
        <v>65020</v>
      </c>
      <c r="FA26" s="34">
        <v>96394</v>
      </c>
      <c r="FB26" s="34">
        <v>330995</v>
      </c>
      <c r="FC26" s="34">
        <v>838299</v>
      </c>
      <c r="FD26" s="34">
        <v>844537</v>
      </c>
      <c r="FE26" s="34">
        <v>399742</v>
      </c>
      <c r="FF26" s="34">
        <v>21734</v>
      </c>
      <c r="FG26" s="34">
        <v>726349</v>
      </c>
      <c r="FH26" s="34">
        <v>58686</v>
      </c>
      <c r="FI26" s="34">
        <v>53256</v>
      </c>
      <c r="FJ26" s="34">
        <v>94797</v>
      </c>
      <c r="FK26" s="34">
        <v>-101664</v>
      </c>
      <c r="FL26" s="34">
        <v>68071</v>
      </c>
      <c r="FM26" s="34">
        <v>508093</v>
      </c>
      <c r="FN26" s="34">
        <v>101664</v>
      </c>
      <c r="FO26" s="34">
        <v>1991048</v>
      </c>
      <c r="FP26" s="34">
        <v>35081</v>
      </c>
      <c r="FQ26" s="34">
        <v>328534</v>
      </c>
      <c r="FR26" s="34">
        <v>851532</v>
      </c>
      <c r="FS26" s="34">
        <v>905213</v>
      </c>
      <c r="FT26" s="34">
        <v>414252</v>
      </c>
      <c r="FU26" s="34">
        <v>14736</v>
      </c>
      <c r="FV26" s="34">
        <v>716174</v>
      </c>
      <c r="FW26" s="34">
        <v>74961</v>
      </c>
      <c r="FX26" s="34">
        <v>60397</v>
      </c>
      <c r="FY26" s="34">
        <v>131478</v>
      </c>
      <c r="FZ26" s="34">
        <v>-116278</v>
      </c>
      <c r="GA26" s="34">
        <v>70510</v>
      </c>
      <c r="GB26" s="34">
        <v>515050</v>
      </c>
      <c r="GC26" s="34">
        <v>116278</v>
      </c>
      <c r="GD26" s="34">
        <v>2044326</v>
      </c>
      <c r="GE26" s="34">
        <v>54565</v>
      </c>
      <c r="GF26" s="34">
        <v>186817</v>
      </c>
      <c r="GG26" s="57">
        <v>1786</v>
      </c>
      <c r="GH26" s="34">
        <v>325254</v>
      </c>
      <c r="GI26" s="34">
        <v>876070</v>
      </c>
      <c r="GJ26">
        <v>925139</v>
      </c>
      <c r="GK26">
        <v>414067</v>
      </c>
      <c r="GL26">
        <v>13949</v>
      </c>
      <c r="GM26">
        <v>733983</v>
      </c>
      <c r="GN26">
        <v>78473</v>
      </c>
      <c r="GO26">
        <v>63614</v>
      </c>
      <c r="GP26">
        <v>81971</v>
      </c>
      <c r="GQ26">
        <v>-119293</v>
      </c>
      <c r="GR26">
        <v>74167</v>
      </c>
      <c r="GS26">
        <v>546072</v>
      </c>
      <c r="GT26">
        <v>119293</v>
      </c>
      <c r="GU26">
        <v>2133062</v>
      </c>
      <c r="GV26">
        <v>12399</v>
      </c>
      <c r="GW26" s="34">
        <v>321809</v>
      </c>
      <c r="GX26" s="34">
        <v>877003</v>
      </c>
      <c r="GY26">
        <v>962188</v>
      </c>
      <c r="GZ26">
        <v>443742</v>
      </c>
      <c r="HA26">
        <v>16976</v>
      </c>
      <c r="HB26">
        <v>759974</v>
      </c>
      <c r="HC26">
        <v>49671</v>
      </c>
      <c r="HD26">
        <v>67358</v>
      </c>
      <c r="HE26">
        <v>43563</v>
      </c>
      <c r="HF26">
        <v>-130193</v>
      </c>
      <c r="HG26">
        <v>79978</v>
      </c>
      <c r="HH26">
        <v>603651</v>
      </c>
      <c r="HI26">
        <v>130193</v>
      </c>
      <c r="HJ26">
        <v>2242936</v>
      </c>
      <c r="HK26">
        <v>-32361</v>
      </c>
      <c r="HL26">
        <v>165195</v>
      </c>
      <c r="HM26" s="57">
        <v>20.072222222222223</v>
      </c>
      <c r="HN26" s="190">
        <v>52369.85197780592</v>
      </c>
      <c r="HO26" s="34">
        <v>50301.476858182272</v>
      </c>
      <c r="HP26" s="34">
        <v>25511.753813240761</v>
      </c>
      <c r="HQ26" s="34">
        <v>18580.561175835446</v>
      </c>
      <c r="HR26">
        <v>60659</v>
      </c>
      <c r="HS26">
        <v>68675</v>
      </c>
      <c r="HT26">
        <v>76031</v>
      </c>
      <c r="HU26">
        <v>52976</v>
      </c>
      <c r="HV26">
        <v>51543</v>
      </c>
      <c r="HW26">
        <v>66406</v>
      </c>
      <c r="HX26">
        <v>96394</v>
      </c>
      <c r="HY26">
        <v>131584</v>
      </c>
      <c r="HZ26">
        <v>186817</v>
      </c>
      <c r="IA26" s="34">
        <v>198027</v>
      </c>
      <c r="IB26">
        <v>165195</v>
      </c>
      <c r="IC26">
        <v>361518</v>
      </c>
      <c r="ID26">
        <v>497742</v>
      </c>
      <c r="IE26">
        <v>576766</v>
      </c>
      <c r="IF26" s="57">
        <v>18.149999999999999</v>
      </c>
      <c r="IG26" s="57">
        <v>18.219444444444445</v>
      </c>
      <c r="IH26" s="57">
        <v>18.330555555555556</v>
      </c>
      <c r="II26" s="57">
        <v>18.386111111111113</v>
      </c>
      <c r="IJ26" s="57">
        <v>18.538888888888888</v>
      </c>
      <c r="IK26" s="57">
        <v>18.616666666666667</v>
      </c>
      <c r="IL26" s="57">
        <v>18.68888888888889</v>
      </c>
      <c r="IM26" s="57">
        <v>18.830555555555556</v>
      </c>
      <c r="IN26" s="57">
        <v>18.983333333333334</v>
      </c>
      <c r="IO26" s="57">
        <v>19.166666666666668</v>
      </c>
      <c r="IP26" s="57">
        <v>19.333333333333332</v>
      </c>
      <c r="IQ26" s="57">
        <v>19.486111111111111</v>
      </c>
      <c r="IR26" s="57">
        <v>19.844444444444445</v>
      </c>
      <c r="IS26" s="57">
        <v>19.894444444444446</v>
      </c>
      <c r="IT26" s="57">
        <v>20.072222222222223</v>
      </c>
      <c r="IU26" s="57">
        <v>20.302777777777777</v>
      </c>
      <c r="IV26" s="57">
        <v>20.65</v>
      </c>
      <c r="IW26" s="57">
        <v>20.858333333333334</v>
      </c>
      <c r="IX26">
        <v>318544</v>
      </c>
      <c r="IY26">
        <v>433334</v>
      </c>
      <c r="IZ26">
        <v>2273619</v>
      </c>
      <c r="JA26" s="34">
        <v>1867132</v>
      </c>
      <c r="JB26" s="34">
        <v>995523</v>
      </c>
      <c r="JC26">
        <v>23262</v>
      </c>
      <c r="JD26">
        <v>96815</v>
      </c>
      <c r="JE26">
        <v>85125</v>
      </c>
      <c r="JF26">
        <v>-146441</v>
      </c>
      <c r="JG26">
        <v>15626</v>
      </c>
      <c r="JH26">
        <v>18496</v>
      </c>
      <c r="JI26" s="34">
        <v>801910</v>
      </c>
      <c r="JJ26" s="173">
        <v>59285</v>
      </c>
      <c r="JK26" s="34">
        <v>72371</v>
      </c>
      <c r="JL26">
        <v>668364</v>
      </c>
      <c r="JM26">
        <v>314800</v>
      </c>
      <c r="JN26">
        <v>429569</v>
      </c>
      <c r="JO26" s="173">
        <v>2284315</v>
      </c>
      <c r="JP26" s="34">
        <v>1942158</v>
      </c>
      <c r="JQ26" s="34">
        <v>1013560</v>
      </c>
      <c r="JR26" s="34">
        <v>27698</v>
      </c>
      <c r="JS26" s="173">
        <v>134377</v>
      </c>
      <c r="JT26">
        <v>91844</v>
      </c>
      <c r="JU26">
        <v>-116629</v>
      </c>
      <c r="JV26" s="173">
        <v>58904</v>
      </c>
      <c r="JW26" s="34">
        <v>817625</v>
      </c>
      <c r="JX26" s="173">
        <v>68610</v>
      </c>
      <c r="JY26" s="34">
        <v>84844</v>
      </c>
      <c r="JZ26">
        <v>702034</v>
      </c>
      <c r="KA26">
        <v>310705</v>
      </c>
      <c r="KB26">
        <v>412252</v>
      </c>
      <c r="KC26" s="173">
        <v>2284662</v>
      </c>
      <c r="KD26" s="34">
        <v>2000502</v>
      </c>
      <c r="KE26" s="34">
        <v>996312</v>
      </c>
      <c r="KF26" s="34">
        <v>27933</v>
      </c>
      <c r="KG26" s="173">
        <v>130108</v>
      </c>
      <c r="KH26">
        <v>93797</v>
      </c>
      <c r="KI26" s="173">
        <v>-164798</v>
      </c>
      <c r="KJ26" s="173">
        <v>40794</v>
      </c>
      <c r="KK26" s="34">
        <v>831468</v>
      </c>
      <c r="KL26" s="173">
        <v>79902</v>
      </c>
      <c r="KM26" s="34">
        <v>88881</v>
      </c>
      <c r="KN26">
        <v>728731</v>
      </c>
      <c r="KO26">
        <v>307013</v>
      </c>
      <c r="KP26">
        <v>981229</v>
      </c>
      <c r="KQ26">
        <v>1030778</v>
      </c>
      <c r="KR26">
        <v>397074</v>
      </c>
      <c r="KS26">
        <v>22293</v>
      </c>
      <c r="KT26">
        <v>813369</v>
      </c>
      <c r="KU26">
        <v>78221</v>
      </c>
      <c r="KV26">
        <v>89639</v>
      </c>
      <c r="KW26">
        <v>124182</v>
      </c>
      <c r="KX26">
        <v>-136512</v>
      </c>
      <c r="KY26">
        <v>99268</v>
      </c>
      <c r="KZ26">
        <v>750104</v>
      </c>
      <c r="LA26">
        <v>2289201</v>
      </c>
      <c r="LB26">
        <v>37593</v>
      </c>
      <c r="LC26">
        <v>328177</v>
      </c>
      <c r="LD26" s="57">
        <v>20.913888888888888</v>
      </c>
      <c r="LE26">
        <v>302378</v>
      </c>
      <c r="LF26" s="34">
        <v>997938</v>
      </c>
      <c r="LG26" s="34">
        <v>1024758</v>
      </c>
      <c r="LH26">
        <v>365706</v>
      </c>
      <c r="LI26" s="173">
        <v>17798</v>
      </c>
      <c r="LJ26" s="34">
        <v>815665</v>
      </c>
      <c r="LK26" s="173">
        <v>91754</v>
      </c>
      <c r="LL26" s="34">
        <v>90519</v>
      </c>
      <c r="LM26" s="173">
        <v>152864</v>
      </c>
      <c r="LN26" s="173">
        <v>-124741</v>
      </c>
      <c r="LO26">
        <v>105707</v>
      </c>
      <c r="LP26">
        <v>780241</v>
      </c>
      <c r="LQ26" s="173">
        <v>2246086</v>
      </c>
      <c r="LR26" s="173">
        <v>44253</v>
      </c>
      <c r="LS26" s="173">
        <v>372438</v>
      </c>
      <c r="LT26" s="57">
        <v>20.980555555555554</v>
      </c>
      <c r="LU26">
        <v>297328</v>
      </c>
      <c r="LV26" s="34">
        <v>968089</v>
      </c>
      <c r="LW26" s="34">
        <v>1002754</v>
      </c>
      <c r="LX26" s="172">
        <v>370633</v>
      </c>
      <c r="LY26" s="173">
        <v>8513</v>
      </c>
      <c r="LZ26" s="34">
        <v>789107</v>
      </c>
      <c r="MA26" s="173">
        <v>81550</v>
      </c>
      <c r="MB26" s="34">
        <v>97432</v>
      </c>
      <c r="MC26" s="173">
        <v>75024</v>
      </c>
      <c r="MD26" s="34">
        <v>-109952</v>
      </c>
      <c r="ME26">
        <v>110735</v>
      </c>
      <c r="MF26">
        <v>792215</v>
      </c>
      <c r="MG26" s="173">
        <v>2271412</v>
      </c>
      <c r="MH26" s="173">
        <v>-25356</v>
      </c>
      <c r="MI26" s="173">
        <v>346790</v>
      </c>
      <c r="MJ26" s="57">
        <v>21.102777777777778</v>
      </c>
    </row>
    <row r="27" spans="1:348" x14ac:dyDescent="0.2">
      <c r="A27" t="s">
        <v>101</v>
      </c>
      <c r="B27" s="34">
        <v>776223</v>
      </c>
      <c r="C27" s="34">
        <v>777225</v>
      </c>
      <c r="D27" s="34">
        <v>778280</v>
      </c>
      <c r="E27" s="34">
        <v>780650</v>
      </c>
      <c r="F27" s="34">
        <v>783415</v>
      </c>
      <c r="G27" s="34">
        <v>786948</v>
      </c>
      <c r="H27" s="34">
        <v>791992</v>
      </c>
      <c r="I27" s="34">
        <v>796381</v>
      </c>
      <c r="J27" s="34">
        <v>801802</v>
      </c>
      <c r="K27" s="34">
        <v>808988</v>
      </c>
      <c r="L27" s="34">
        <v>813860</v>
      </c>
      <c r="M27" s="34">
        <v>1664271</v>
      </c>
      <c r="N27" s="34">
        <v>454000</v>
      </c>
      <c r="O27" s="34">
        <v>519061</v>
      </c>
      <c r="P27" s="34">
        <v>43536.453892120888</v>
      </c>
      <c r="Q27" s="34">
        <v>1726498</v>
      </c>
      <c r="R27" s="34">
        <v>452476</v>
      </c>
      <c r="S27" s="34">
        <v>533465</v>
      </c>
      <c r="T27" s="34">
        <v>51705.509668282953</v>
      </c>
      <c r="U27" s="34">
        <v>1792481</v>
      </c>
      <c r="V27" s="34">
        <v>482970</v>
      </c>
      <c r="W27" s="34">
        <v>537797</v>
      </c>
      <c r="X27" s="34">
        <v>40710.055787935205</v>
      </c>
      <c r="Y27" s="34">
        <v>1973336</v>
      </c>
      <c r="Z27" s="34">
        <v>524576</v>
      </c>
      <c r="AA27" s="34">
        <v>548296</v>
      </c>
      <c r="AB27" s="34">
        <v>37495.311761549885</v>
      </c>
      <c r="AC27" s="34">
        <v>2082608</v>
      </c>
      <c r="AD27" s="34">
        <v>579496</v>
      </c>
      <c r="AE27" s="34">
        <v>584693</v>
      </c>
      <c r="AF27" s="34">
        <v>32562</v>
      </c>
      <c r="AG27" s="34">
        <v>1980601</v>
      </c>
      <c r="AH27" s="34">
        <v>605704</v>
      </c>
      <c r="AI27" s="34">
        <v>615426</v>
      </c>
      <c r="AJ27" s="34">
        <v>48962</v>
      </c>
      <c r="AK27" s="34">
        <v>2019204</v>
      </c>
      <c r="AL27" s="34">
        <v>668769</v>
      </c>
      <c r="AM27" s="34">
        <v>641332</v>
      </c>
      <c r="AN27" s="34">
        <v>60653</v>
      </c>
      <c r="AO27" s="34">
        <v>2090093</v>
      </c>
      <c r="AP27" s="34">
        <v>702204</v>
      </c>
      <c r="AQ27" s="34">
        <v>652118</v>
      </c>
      <c r="AR27" s="34">
        <v>80663</v>
      </c>
      <c r="AS27" s="34">
        <v>2240007</v>
      </c>
      <c r="AT27" s="34">
        <v>754900</v>
      </c>
      <c r="AU27" s="34">
        <v>705255</v>
      </c>
      <c r="AV27" s="34">
        <v>52051</v>
      </c>
      <c r="AW27" s="34">
        <v>2422475</v>
      </c>
      <c r="AX27" s="34">
        <v>804200</v>
      </c>
      <c r="AY27" s="34">
        <v>779937</v>
      </c>
      <c r="AZ27" s="34">
        <v>68861</v>
      </c>
      <c r="BA27" s="34">
        <v>2630347</v>
      </c>
      <c r="BB27" s="34">
        <v>900622</v>
      </c>
      <c r="BC27" s="34">
        <v>832959</v>
      </c>
      <c r="BD27" s="34">
        <v>33994</v>
      </c>
      <c r="BE27" s="34">
        <v>1419086.4704586314</v>
      </c>
      <c r="BF27" s="34">
        <v>189654.59245542594</v>
      </c>
      <c r="BG27" s="34">
        <v>55045.385511955632</v>
      </c>
      <c r="BH27" s="34">
        <v>1452062.2362603075</v>
      </c>
      <c r="BI27" s="34">
        <v>208247.767725746</v>
      </c>
      <c r="BJ27" s="34">
        <v>65706.986358277281</v>
      </c>
      <c r="BK27" s="34">
        <v>1437360.7614203806</v>
      </c>
      <c r="BL27" s="34">
        <v>282801.43901589885</v>
      </c>
      <c r="BM27" s="34">
        <v>71913.793596412885</v>
      </c>
      <c r="BN27" s="34">
        <v>1643977</v>
      </c>
      <c r="BO27" s="34">
        <v>252405</v>
      </c>
      <c r="BP27" s="34">
        <v>76558</v>
      </c>
      <c r="BQ27" s="34">
        <v>1807249</v>
      </c>
      <c r="BR27" s="34">
        <v>194897</v>
      </c>
      <c r="BS27" s="34">
        <v>80147</v>
      </c>
      <c r="BT27" s="34">
        <v>1778035</v>
      </c>
      <c r="BU27" s="34">
        <v>119632</v>
      </c>
      <c r="BV27" s="34">
        <v>82672</v>
      </c>
      <c r="BW27" s="34">
        <v>1812052</v>
      </c>
      <c r="BX27" s="34">
        <v>122218</v>
      </c>
      <c r="BY27" s="34">
        <v>84639</v>
      </c>
      <c r="BZ27" s="34">
        <v>1881221</v>
      </c>
      <c r="CA27" s="34">
        <v>119449</v>
      </c>
      <c r="CB27" s="34">
        <v>89234</v>
      </c>
      <c r="CC27" s="34">
        <v>2010036</v>
      </c>
      <c r="CD27" s="34">
        <v>131875</v>
      </c>
      <c r="CE27" s="34">
        <v>97931</v>
      </c>
      <c r="CF27" s="34">
        <v>2150136</v>
      </c>
      <c r="CG27" s="34">
        <v>165566</v>
      </c>
      <c r="CH27" s="34">
        <v>106651</v>
      </c>
      <c r="CI27" s="34">
        <v>2343907</v>
      </c>
      <c r="CJ27" s="34">
        <v>169552</v>
      </c>
      <c r="CK27" s="34">
        <v>116796</v>
      </c>
      <c r="CL27" s="34">
        <v>105073.22061378504</v>
      </c>
      <c r="CM27" s="34">
        <v>-172166.58006300003</v>
      </c>
      <c r="CN27" s="34">
        <v>143118.33870693759</v>
      </c>
      <c r="CO27" s="34">
        <v>596685</v>
      </c>
      <c r="CP27" s="34">
        <v>144506.22547609796</v>
      </c>
      <c r="CQ27" s="34">
        <v>-141696.30978744</v>
      </c>
      <c r="CR27" s="34">
        <v>149772.35764153436</v>
      </c>
      <c r="CS27" s="34">
        <v>589574</v>
      </c>
      <c r="CT27" s="34">
        <v>136605.76581849495</v>
      </c>
      <c r="CU27" s="34">
        <v>-211973.80305659102</v>
      </c>
      <c r="CV27" s="34">
        <v>152193.92740672719</v>
      </c>
      <c r="CW27" s="34">
        <v>596578</v>
      </c>
      <c r="CX27" s="34">
        <v>178661.32501812221</v>
      </c>
      <c r="CY27" s="34">
        <v>-246427</v>
      </c>
      <c r="CZ27" s="34">
        <v>156482.55134356921</v>
      </c>
      <c r="DA27" s="34">
        <v>651355</v>
      </c>
      <c r="DB27" s="34">
        <v>347877</v>
      </c>
      <c r="DC27" s="34">
        <v>-231514</v>
      </c>
      <c r="DD27" s="34">
        <v>163222</v>
      </c>
      <c r="DE27" s="34">
        <v>650288</v>
      </c>
      <c r="DF27" s="34">
        <v>134357</v>
      </c>
      <c r="DG27" s="34">
        <v>-287494</v>
      </c>
      <c r="DH27" s="34">
        <v>169460</v>
      </c>
      <c r="DI27" s="34">
        <v>755282</v>
      </c>
      <c r="DJ27" s="34">
        <v>95274</v>
      </c>
      <c r="DK27" s="34">
        <v>-264483</v>
      </c>
      <c r="DL27" s="34">
        <v>177988</v>
      </c>
      <c r="DM27" s="34">
        <v>953573</v>
      </c>
      <c r="DN27" s="34">
        <v>118271</v>
      </c>
      <c r="DO27" s="34">
        <v>-228644</v>
      </c>
      <c r="DP27" s="34">
        <v>187037</v>
      </c>
      <c r="DQ27" s="34">
        <v>1146249</v>
      </c>
      <c r="DR27" s="34">
        <v>179909</v>
      </c>
      <c r="DS27" s="34">
        <v>-246684</v>
      </c>
      <c r="DT27" s="34">
        <v>186659</v>
      </c>
      <c r="DU27" s="34">
        <v>1253782</v>
      </c>
      <c r="DV27" s="34">
        <v>262763</v>
      </c>
      <c r="DW27" s="34">
        <v>-276636</v>
      </c>
      <c r="DX27" s="34">
        <v>192021</v>
      </c>
      <c r="DY27" s="34">
        <v>1280243</v>
      </c>
      <c r="DZ27" s="34">
        <v>257450</v>
      </c>
      <c r="EA27" s="34">
        <v>-380398</v>
      </c>
      <c r="EB27" s="34">
        <v>203597</v>
      </c>
      <c r="EC27" s="34">
        <v>1429118</v>
      </c>
      <c r="ED27" s="34">
        <v>2421969.791766528</v>
      </c>
      <c r="EE27" s="34">
        <v>-1935.8514429683114</v>
      </c>
      <c r="EF27" s="34">
        <v>2474275.4211846148</v>
      </c>
      <c r="EG27" s="34">
        <v>12046.695695902774</v>
      </c>
      <c r="EH27" s="34">
        <v>2564725.5173040149</v>
      </c>
      <c r="EI27" s="34">
        <v>37900.812852248579</v>
      </c>
      <c r="EJ27" s="34">
        <v>2685211.5804114887</v>
      </c>
      <c r="EK27" s="34">
        <v>25933.02252204523</v>
      </c>
      <c r="EL27" s="34">
        <v>2841573.6</v>
      </c>
      <c r="EM27" s="34">
        <v>182653.05</v>
      </c>
      <c r="EN27" s="34">
        <v>3076749.55</v>
      </c>
      <c r="EO27" s="34">
        <v>-19146.55</v>
      </c>
      <c r="EP27" s="34">
        <v>3247218.85</v>
      </c>
      <c r="EQ27" s="34">
        <v>-58626.65</v>
      </c>
      <c r="ER27" s="34">
        <v>3368450.25</v>
      </c>
      <c r="ES27" s="34">
        <v>-52288.7</v>
      </c>
      <c r="ET27" s="34">
        <v>3527695.2</v>
      </c>
      <c r="EU27" s="34">
        <v>10714.849999999999</v>
      </c>
      <c r="EV27" s="34">
        <v>3745554</v>
      </c>
      <c r="EW27" s="34">
        <v>73679</v>
      </c>
      <c r="EX27" s="34">
        <v>4085196</v>
      </c>
      <c r="EY27" s="34">
        <v>73038</v>
      </c>
      <c r="EZ27" s="34">
        <v>304914</v>
      </c>
      <c r="FA27" s="34">
        <v>375858</v>
      </c>
      <c r="FB27" s="34">
        <v>814789</v>
      </c>
      <c r="FC27" s="34">
        <v>2655229</v>
      </c>
      <c r="FD27" s="34">
        <v>973185</v>
      </c>
      <c r="FE27" s="34">
        <v>908379</v>
      </c>
      <c r="FF27" s="34">
        <v>36757</v>
      </c>
      <c r="FG27" s="34">
        <v>2401635</v>
      </c>
      <c r="FH27" s="34">
        <v>128517</v>
      </c>
      <c r="FI27" s="34">
        <v>125042</v>
      </c>
      <c r="FJ27" s="34">
        <v>256531</v>
      </c>
      <c r="FK27" s="34">
        <v>-346073</v>
      </c>
      <c r="FL27" s="34">
        <v>227444</v>
      </c>
      <c r="FM27" s="34">
        <v>1592213</v>
      </c>
      <c r="FN27" s="34">
        <v>346073</v>
      </c>
      <c r="FO27" s="34">
        <v>4276555</v>
      </c>
      <c r="FP27" s="34">
        <v>32762</v>
      </c>
      <c r="FQ27" s="34">
        <v>818261</v>
      </c>
      <c r="FR27" s="34">
        <v>2768273</v>
      </c>
      <c r="FS27" s="34">
        <v>1057842</v>
      </c>
      <c r="FT27" s="34">
        <v>999565</v>
      </c>
      <c r="FU27" s="34">
        <v>41648</v>
      </c>
      <c r="FV27" s="34">
        <v>2451106</v>
      </c>
      <c r="FW27" s="34">
        <v>159741</v>
      </c>
      <c r="FX27" s="34">
        <v>157353</v>
      </c>
      <c r="FY27" s="34">
        <v>363917</v>
      </c>
      <c r="FZ27" s="34">
        <v>-288989</v>
      </c>
      <c r="GA27" s="34">
        <v>231478</v>
      </c>
      <c r="GB27" s="34">
        <v>1622512</v>
      </c>
      <c r="GC27" s="34">
        <v>288989</v>
      </c>
      <c r="GD27" s="34">
        <v>4465382</v>
      </c>
      <c r="GE27" s="34">
        <v>128218</v>
      </c>
      <c r="GF27" s="34">
        <v>546781</v>
      </c>
      <c r="GG27" s="57">
        <v>585.75</v>
      </c>
      <c r="GH27" s="34">
        <v>821361</v>
      </c>
      <c r="GI27" s="34">
        <v>2850027</v>
      </c>
      <c r="GJ27">
        <v>1072272</v>
      </c>
      <c r="GK27">
        <v>1062581</v>
      </c>
      <c r="GL27">
        <v>61003</v>
      </c>
      <c r="GM27">
        <v>2500517</v>
      </c>
      <c r="GN27">
        <v>184649</v>
      </c>
      <c r="GO27">
        <v>164861</v>
      </c>
      <c r="GP27">
        <v>253255</v>
      </c>
      <c r="GQ27">
        <v>-344634</v>
      </c>
      <c r="GR27">
        <v>236685</v>
      </c>
      <c r="GS27">
        <v>1594755</v>
      </c>
      <c r="GT27">
        <v>344634</v>
      </c>
      <c r="GU27">
        <v>4722925</v>
      </c>
      <c r="GV27">
        <v>42760</v>
      </c>
      <c r="GW27" s="34">
        <v>823438</v>
      </c>
      <c r="GX27" s="34">
        <v>2888851</v>
      </c>
      <c r="GY27">
        <v>1146439</v>
      </c>
      <c r="GZ27">
        <v>1097847</v>
      </c>
      <c r="HA27">
        <v>124087</v>
      </c>
      <c r="HB27">
        <v>2594269</v>
      </c>
      <c r="HC27">
        <v>125448</v>
      </c>
      <c r="HD27">
        <v>169126</v>
      </c>
      <c r="HE27">
        <v>152221</v>
      </c>
      <c r="HF27">
        <v>-270909</v>
      </c>
      <c r="HG27">
        <v>251995</v>
      </c>
      <c r="HH27">
        <v>1761424</v>
      </c>
      <c r="HI27">
        <v>270909</v>
      </c>
      <c r="HJ27">
        <v>4992710</v>
      </c>
      <c r="HK27">
        <v>-66677</v>
      </c>
      <c r="HL27">
        <v>519744</v>
      </c>
      <c r="HM27" s="57">
        <v>19.600000000000001</v>
      </c>
      <c r="HN27" s="190">
        <v>-4665.7012679687759</v>
      </c>
      <c r="HO27" s="34">
        <v>-778.03734781095022</v>
      </c>
      <c r="HP27" s="34">
        <v>57262.606946497741</v>
      </c>
      <c r="HQ27" s="34">
        <v>97777.564739737587</v>
      </c>
      <c r="HR27">
        <v>276915</v>
      </c>
      <c r="HS27">
        <v>261479</v>
      </c>
      <c r="HT27">
        <v>266173</v>
      </c>
      <c r="HU27">
        <v>228700</v>
      </c>
      <c r="HV27">
        <v>262853</v>
      </c>
      <c r="HW27">
        <v>332801</v>
      </c>
      <c r="HX27">
        <v>406784</v>
      </c>
      <c r="HY27">
        <v>413423</v>
      </c>
      <c r="HZ27">
        <v>546781</v>
      </c>
      <c r="IA27" s="34">
        <v>586030</v>
      </c>
      <c r="IB27">
        <v>519744</v>
      </c>
      <c r="IC27">
        <v>1317948</v>
      </c>
      <c r="ID27">
        <v>1505106</v>
      </c>
      <c r="IE27">
        <v>1468374</v>
      </c>
      <c r="IF27" s="57">
        <v>17.641666666666666</v>
      </c>
      <c r="IG27" s="57">
        <v>17.766666666666666</v>
      </c>
      <c r="IH27" s="57">
        <v>17.783333333333335</v>
      </c>
      <c r="II27" s="57">
        <v>17.8</v>
      </c>
      <c r="IJ27" s="57">
        <v>17.966666666666665</v>
      </c>
      <c r="IK27" s="57">
        <v>18.133333333333333</v>
      </c>
      <c r="IL27" s="57">
        <v>18.183333333333334</v>
      </c>
      <c r="IM27" s="57">
        <v>18.358333333333334</v>
      </c>
      <c r="IN27" s="57">
        <v>18.633333333333333</v>
      </c>
      <c r="IO27" s="57">
        <v>18.774999999999999</v>
      </c>
      <c r="IP27" s="57">
        <v>18.916666666666668</v>
      </c>
      <c r="IQ27" s="57">
        <v>19.05</v>
      </c>
      <c r="IR27" s="57">
        <v>19.524999999999999</v>
      </c>
      <c r="IS27" s="57">
        <v>19.533333333333335</v>
      </c>
      <c r="IT27" s="57">
        <v>19.600000000000001</v>
      </c>
      <c r="IU27" s="57">
        <v>19.866666666666667</v>
      </c>
      <c r="IV27" s="57">
        <v>20.225000000000001</v>
      </c>
      <c r="IW27" s="57">
        <v>20.375</v>
      </c>
      <c r="IX27">
        <v>824825</v>
      </c>
      <c r="IY27">
        <v>1091984</v>
      </c>
      <c r="IZ27">
        <v>5147083</v>
      </c>
      <c r="JA27" s="34">
        <v>6218750</v>
      </c>
      <c r="JB27" s="34">
        <v>1205447</v>
      </c>
      <c r="JC27">
        <v>187642</v>
      </c>
      <c r="JD27">
        <v>276699</v>
      </c>
      <c r="JE27">
        <v>273751</v>
      </c>
      <c r="JF27">
        <v>-270882</v>
      </c>
      <c r="JG27">
        <v>144351</v>
      </c>
      <c r="JH27">
        <v>143630</v>
      </c>
      <c r="JI27" s="34">
        <v>2783037</v>
      </c>
      <c r="JJ27" s="173">
        <v>146970</v>
      </c>
      <c r="JK27" s="34">
        <v>179368</v>
      </c>
      <c r="JL27">
        <v>1939518</v>
      </c>
      <c r="JM27">
        <v>825230</v>
      </c>
      <c r="JN27">
        <v>1091256</v>
      </c>
      <c r="JO27" s="173">
        <v>5214139</v>
      </c>
      <c r="JP27" s="34">
        <v>6344490</v>
      </c>
      <c r="JQ27" s="34">
        <v>1196297</v>
      </c>
      <c r="JR27" s="34">
        <v>159013</v>
      </c>
      <c r="JS27" s="173">
        <v>263521</v>
      </c>
      <c r="JT27">
        <v>280069</v>
      </c>
      <c r="JU27">
        <v>-283702</v>
      </c>
      <c r="JV27" s="173">
        <v>96310</v>
      </c>
      <c r="JW27" s="34">
        <v>2806657</v>
      </c>
      <c r="JX27" s="173">
        <v>165262</v>
      </c>
      <c r="JY27" s="34">
        <v>200309</v>
      </c>
      <c r="JZ27">
        <v>1972730</v>
      </c>
      <c r="KA27">
        <v>824885</v>
      </c>
      <c r="KB27">
        <v>1095232</v>
      </c>
      <c r="KC27" s="173">
        <v>5281152</v>
      </c>
      <c r="KD27" s="34">
        <v>6484800</v>
      </c>
      <c r="KE27" s="34">
        <v>1190857</v>
      </c>
      <c r="KF27" s="34">
        <v>74223</v>
      </c>
      <c r="KG27" s="173">
        <v>271106</v>
      </c>
      <c r="KH27">
        <v>274572</v>
      </c>
      <c r="KI27" s="173">
        <v>-345746</v>
      </c>
      <c r="KJ27" s="173">
        <v>-5806</v>
      </c>
      <c r="KK27" s="34">
        <v>2852633</v>
      </c>
      <c r="KL27" s="173">
        <v>180085</v>
      </c>
      <c r="KM27" s="34">
        <v>209682</v>
      </c>
      <c r="KN27">
        <v>2067718</v>
      </c>
      <c r="KO27">
        <v>824297</v>
      </c>
      <c r="KP27">
        <v>3288286</v>
      </c>
      <c r="KQ27">
        <v>1276090</v>
      </c>
      <c r="KR27">
        <v>1071121</v>
      </c>
      <c r="KS27">
        <v>88371</v>
      </c>
      <c r="KT27">
        <v>2922170</v>
      </c>
      <c r="KU27">
        <v>162409</v>
      </c>
      <c r="KV27">
        <v>203707</v>
      </c>
      <c r="KW27">
        <v>365209</v>
      </c>
      <c r="KX27">
        <v>-295459</v>
      </c>
      <c r="KY27">
        <v>280646</v>
      </c>
      <c r="KZ27">
        <v>2187463</v>
      </c>
      <c r="LA27">
        <v>5293526</v>
      </c>
      <c r="LB27">
        <v>101190</v>
      </c>
      <c r="LC27">
        <v>839720</v>
      </c>
      <c r="LD27" s="57">
        <v>20.466666666666665</v>
      </c>
      <c r="LE27">
        <v>821947</v>
      </c>
      <c r="LF27" s="34">
        <v>3337588</v>
      </c>
      <c r="LG27" s="34">
        <v>1259810</v>
      </c>
      <c r="LH27">
        <v>944239</v>
      </c>
      <c r="LI27" s="173">
        <v>38976</v>
      </c>
      <c r="LJ27" s="34">
        <v>2920774</v>
      </c>
      <c r="LK27" s="173">
        <v>188050</v>
      </c>
      <c r="LL27" s="34">
        <v>228764</v>
      </c>
      <c r="LM27" s="173">
        <v>415048</v>
      </c>
      <c r="LN27" s="173">
        <v>-339295</v>
      </c>
      <c r="LO27">
        <v>294962</v>
      </c>
      <c r="LP27">
        <v>2213614</v>
      </c>
      <c r="LQ27" s="173">
        <v>5163208</v>
      </c>
      <c r="LR27" s="173">
        <v>109915</v>
      </c>
      <c r="LS27" s="173">
        <v>899941</v>
      </c>
      <c r="LT27" s="57">
        <v>20.55</v>
      </c>
      <c r="LU27">
        <v>819892</v>
      </c>
      <c r="LV27" s="34">
        <v>3292931</v>
      </c>
      <c r="LW27" s="34">
        <v>1255598</v>
      </c>
      <c r="LX27" s="172">
        <v>1016543</v>
      </c>
      <c r="LY27" s="173">
        <v>40943</v>
      </c>
      <c r="LZ27" s="34">
        <v>2886914</v>
      </c>
      <c r="MA27" s="173">
        <v>173716</v>
      </c>
      <c r="MB27" s="34">
        <v>232301</v>
      </c>
      <c r="MC27" s="173">
        <v>206561</v>
      </c>
      <c r="MD27" s="34">
        <v>-426009</v>
      </c>
      <c r="ME27">
        <v>302596</v>
      </c>
      <c r="MF27">
        <v>2353099</v>
      </c>
      <c r="MG27" s="173">
        <v>5395178</v>
      </c>
      <c r="MH27" s="173">
        <v>-85002</v>
      </c>
      <c r="MI27" s="173">
        <v>819495</v>
      </c>
      <c r="MJ27" s="57">
        <v>20.566666666666666</v>
      </c>
    </row>
    <row r="28" spans="1:348" x14ac:dyDescent="0.2">
      <c r="A28" t="s">
        <v>102</v>
      </c>
      <c r="B28" s="34">
        <v>952836</v>
      </c>
      <c r="C28" s="34">
        <v>955426</v>
      </c>
      <c r="D28" s="34">
        <v>957322</v>
      </c>
      <c r="E28" s="34">
        <v>960323</v>
      </c>
      <c r="F28" s="34">
        <v>962224</v>
      </c>
      <c r="G28" s="34">
        <v>966636</v>
      </c>
      <c r="H28" s="34">
        <v>970507</v>
      </c>
      <c r="I28" s="34">
        <v>975018</v>
      </c>
      <c r="J28" s="34">
        <v>978813</v>
      </c>
      <c r="K28" s="34">
        <v>983516</v>
      </c>
      <c r="L28" s="34">
        <v>988924</v>
      </c>
      <c r="M28" s="34">
        <v>2081807</v>
      </c>
      <c r="N28" s="34">
        <v>593191</v>
      </c>
      <c r="O28" s="34">
        <v>756692</v>
      </c>
      <c r="P28" s="34">
        <v>60240.87874827817</v>
      </c>
      <c r="Q28" s="34">
        <v>2167575</v>
      </c>
      <c r="R28" s="34">
        <v>596183</v>
      </c>
      <c r="S28" s="34">
        <v>768771</v>
      </c>
      <c r="T28" s="34">
        <v>68602.173324385731</v>
      </c>
      <c r="U28" s="34">
        <v>2244050</v>
      </c>
      <c r="V28" s="34">
        <v>633024</v>
      </c>
      <c r="W28" s="34">
        <v>817986</v>
      </c>
      <c r="X28" s="34">
        <v>60494.169765529216</v>
      </c>
      <c r="Y28" s="34">
        <v>2520486</v>
      </c>
      <c r="Z28" s="34">
        <v>709466</v>
      </c>
      <c r="AA28" s="34">
        <v>872038</v>
      </c>
      <c r="AB28" s="34">
        <v>58533.266730914453</v>
      </c>
      <c r="AC28" s="34">
        <v>2584740</v>
      </c>
      <c r="AD28" s="34">
        <v>769095</v>
      </c>
      <c r="AE28" s="34">
        <v>907638</v>
      </c>
      <c r="AF28" s="34">
        <v>56654</v>
      </c>
      <c r="AG28" s="34">
        <v>2464495</v>
      </c>
      <c r="AH28" s="34">
        <v>808325</v>
      </c>
      <c r="AI28" s="34">
        <v>921044</v>
      </c>
      <c r="AJ28" s="34">
        <v>131661</v>
      </c>
      <c r="AK28" s="34">
        <v>2510860</v>
      </c>
      <c r="AL28" s="34">
        <v>898899</v>
      </c>
      <c r="AM28" s="34">
        <v>983755</v>
      </c>
      <c r="AN28" s="34">
        <v>77317</v>
      </c>
      <c r="AO28" s="34">
        <v>2602462</v>
      </c>
      <c r="AP28" s="34">
        <v>962769</v>
      </c>
      <c r="AQ28" s="34">
        <v>1010350</v>
      </c>
      <c r="AR28" s="34">
        <v>99914</v>
      </c>
      <c r="AS28" s="34">
        <v>2770813</v>
      </c>
      <c r="AT28" s="34">
        <v>1039154</v>
      </c>
      <c r="AU28" s="34">
        <v>1064925</v>
      </c>
      <c r="AV28" s="34">
        <v>147024</v>
      </c>
      <c r="AW28" s="34">
        <v>2968825</v>
      </c>
      <c r="AX28" s="34">
        <v>1090403</v>
      </c>
      <c r="AY28" s="34">
        <v>1111154</v>
      </c>
      <c r="AZ28" s="34">
        <v>110018</v>
      </c>
      <c r="BA28" s="34">
        <v>3211118</v>
      </c>
      <c r="BB28" s="34">
        <v>1229902</v>
      </c>
      <c r="BC28" s="34">
        <v>1166479</v>
      </c>
      <c r="BD28" s="34">
        <v>82114</v>
      </c>
      <c r="BE28" s="34">
        <v>1726522.3950633479</v>
      </c>
      <c r="BF28" s="34">
        <v>278830.18569628964</v>
      </c>
      <c r="BG28" s="34">
        <v>75580.963144979673</v>
      </c>
      <c r="BH28" s="34">
        <v>1775357.4413907123</v>
      </c>
      <c r="BI28" s="34">
        <v>300637.09586543619</v>
      </c>
      <c r="BJ28" s="34">
        <v>90658.00162469536</v>
      </c>
      <c r="BK28" s="34">
        <v>1759190.3769595993</v>
      </c>
      <c r="BL28" s="34">
        <v>383723.61341668712</v>
      </c>
      <c r="BM28" s="34">
        <v>100282.05115267597</v>
      </c>
      <c r="BN28" s="34">
        <v>2019772</v>
      </c>
      <c r="BO28" s="34">
        <v>393586</v>
      </c>
      <c r="BP28" s="34">
        <v>106407</v>
      </c>
      <c r="BQ28" s="34">
        <v>2202731</v>
      </c>
      <c r="BR28" s="34">
        <v>269555</v>
      </c>
      <c r="BS28" s="34">
        <v>111825</v>
      </c>
      <c r="BT28" s="34">
        <v>2171583</v>
      </c>
      <c r="BU28" s="34">
        <v>175362</v>
      </c>
      <c r="BV28" s="34">
        <v>116979</v>
      </c>
      <c r="BW28" s="34">
        <v>2209838</v>
      </c>
      <c r="BX28" s="34">
        <v>183269</v>
      </c>
      <c r="BY28" s="34">
        <v>117182</v>
      </c>
      <c r="BZ28" s="34">
        <v>2278983</v>
      </c>
      <c r="CA28" s="34">
        <v>197817</v>
      </c>
      <c r="CB28" s="34">
        <v>125120</v>
      </c>
      <c r="CC28" s="34">
        <v>2412550</v>
      </c>
      <c r="CD28" s="34">
        <v>217463</v>
      </c>
      <c r="CE28" s="34">
        <v>140306</v>
      </c>
      <c r="CF28" s="34">
        <v>2562770</v>
      </c>
      <c r="CG28" s="34">
        <v>256185</v>
      </c>
      <c r="CH28" s="34">
        <v>149586</v>
      </c>
      <c r="CI28" s="34">
        <v>2781082</v>
      </c>
      <c r="CJ28" s="34">
        <v>268681</v>
      </c>
      <c r="CK28" s="34">
        <v>161164</v>
      </c>
      <c r="CL28" s="34">
        <v>151556.32697751158</v>
      </c>
      <c r="CM28" s="34">
        <v>-243437.22300387998</v>
      </c>
      <c r="CN28" s="34">
        <v>193603.6449687423</v>
      </c>
      <c r="CO28" s="34">
        <v>871027</v>
      </c>
      <c r="CP28" s="34">
        <v>202619.02239085865</v>
      </c>
      <c r="CQ28" s="34">
        <v>-240578.53283719</v>
      </c>
      <c r="CR28" s="34">
        <v>210411.84177552629</v>
      </c>
      <c r="CS28" s="34">
        <v>879264</v>
      </c>
      <c r="CT28" s="34">
        <v>174952.444863793</v>
      </c>
      <c r="CU28" s="34">
        <v>-124171.29604494</v>
      </c>
      <c r="CV28" s="34">
        <v>199601.22642635979</v>
      </c>
      <c r="CW28" s="34">
        <v>898294</v>
      </c>
      <c r="CX28" s="34">
        <v>277022.67005060764</v>
      </c>
      <c r="CY28" s="34">
        <v>-249944</v>
      </c>
      <c r="CZ28" s="34">
        <v>199187.14775141148</v>
      </c>
      <c r="DA28" s="34">
        <v>922129</v>
      </c>
      <c r="DB28" s="34">
        <v>393428</v>
      </c>
      <c r="DC28" s="34">
        <v>-271354</v>
      </c>
      <c r="DD28" s="34">
        <v>210687</v>
      </c>
      <c r="DE28" s="34">
        <v>933868</v>
      </c>
      <c r="DF28" s="34">
        <v>189683</v>
      </c>
      <c r="DG28" s="34">
        <v>-230148</v>
      </c>
      <c r="DH28" s="34">
        <v>208998</v>
      </c>
      <c r="DI28" s="34">
        <v>1005139</v>
      </c>
      <c r="DJ28" s="34">
        <v>162022</v>
      </c>
      <c r="DK28" s="34">
        <v>-340422</v>
      </c>
      <c r="DL28" s="34">
        <v>217889</v>
      </c>
      <c r="DM28" s="34">
        <v>1169569</v>
      </c>
      <c r="DN28" s="34">
        <v>154562</v>
      </c>
      <c r="DO28" s="34">
        <v>-337315</v>
      </c>
      <c r="DP28" s="34">
        <v>225635</v>
      </c>
      <c r="DQ28" s="34">
        <v>1362050</v>
      </c>
      <c r="DR28" s="34">
        <v>245835</v>
      </c>
      <c r="DS28" s="34">
        <v>-327946</v>
      </c>
      <c r="DT28" s="34">
        <v>229100</v>
      </c>
      <c r="DU28" s="34">
        <v>1559306</v>
      </c>
      <c r="DV28" s="34">
        <v>235205</v>
      </c>
      <c r="DW28" s="34">
        <v>-334497</v>
      </c>
      <c r="DX28" s="34">
        <v>234314</v>
      </c>
      <c r="DY28" s="34">
        <v>1671349</v>
      </c>
      <c r="DZ28" s="34">
        <v>248206</v>
      </c>
      <c r="EA28" s="34">
        <v>-403441</v>
      </c>
      <c r="EB28" s="34">
        <v>245420</v>
      </c>
      <c r="EC28" s="34">
        <v>1840484</v>
      </c>
      <c r="ED28" s="34">
        <v>3140714.7650498757</v>
      </c>
      <c r="EE28" s="34">
        <v>4518.8732081678791</v>
      </c>
      <c r="EF28" s="34">
        <v>3211612.3671946088</v>
      </c>
      <c r="EG28" s="34">
        <v>11738.00357567532</v>
      </c>
      <c r="EH28" s="34">
        <v>3377265.0288526388</v>
      </c>
      <c r="EI28" s="34">
        <v>-8047.119529477457</v>
      </c>
      <c r="EJ28" s="34">
        <v>3663094.6914844778</v>
      </c>
      <c r="EK28" s="34">
        <v>107990.10382240702</v>
      </c>
      <c r="EL28" s="34">
        <v>3872951</v>
      </c>
      <c r="EM28" s="34">
        <v>196594</v>
      </c>
      <c r="EN28" s="34">
        <v>4029181</v>
      </c>
      <c r="EO28" s="34">
        <v>-3182</v>
      </c>
      <c r="EP28" s="34">
        <v>4265792</v>
      </c>
      <c r="EQ28" s="34">
        <v>-46255</v>
      </c>
      <c r="ER28" s="34">
        <v>4505832</v>
      </c>
      <c r="ES28" s="34">
        <v>-54024</v>
      </c>
      <c r="ET28" s="34">
        <v>4671960</v>
      </c>
      <c r="EU28" s="34">
        <v>94780</v>
      </c>
      <c r="EV28" s="34">
        <v>4957044</v>
      </c>
      <c r="EW28" s="34">
        <v>24410</v>
      </c>
      <c r="EX28" s="34">
        <v>5348206</v>
      </c>
      <c r="EY28" s="34">
        <v>45017</v>
      </c>
      <c r="EZ28" s="34">
        <v>303895</v>
      </c>
      <c r="FA28" s="34">
        <v>360068</v>
      </c>
      <c r="FB28" s="34">
        <v>994131</v>
      </c>
      <c r="FC28" s="34">
        <v>3238560</v>
      </c>
      <c r="FD28" s="34">
        <v>1340746</v>
      </c>
      <c r="FE28" s="34">
        <v>1286399</v>
      </c>
      <c r="FF28" s="34">
        <v>120877</v>
      </c>
      <c r="FG28" s="34">
        <v>2845433</v>
      </c>
      <c r="FH28" s="34">
        <v>223139</v>
      </c>
      <c r="FI28" s="34">
        <v>169906</v>
      </c>
      <c r="FJ28" s="34">
        <v>262129</v>
      </c>
      <c r="FK28" s="34">
        <v>-337993</v>
      </c>
      <c r="FL28" s="34">
        <v>264943</v>
      </c>
      <c r="FM28" s="34">
        <v>2001164</v>
      </c>
      <c r="FN28" s="34">
        <v>337993</v>
      </c>
      <c r="FO28" s="34">
        <v>5643148</v>
      </c>
      <c r="FP28" s="34">
        <v>11423</v>
      </c>
      <c r="FQ28" s="34">
        <v>998456</v>
      </c>
      <c r="FR28" s="34">
        <v>3371659</v>
      </c>
      <c r="FS28" s="34">
        <v>1384474</v>
      </c>
      <c r="FT28" s="34">
        <v>1462091</v>
      </c>
      <c r="FU28" s="34">
        <v>71785</v>
      </c>
      <c r="FV28" s="34">
        <v>2902896</v>
      </c>
      <c r="FW28" s="34">
        <v>261679</v>
      </c>
      <c r="FX28" s="34">
        <v>207032</v>
      </c>
      <c r="FY28" s="34">
        <v>383587</v>
      </c>
      <c r="FZ28" s="34">
        <v>-355243</v>
      </c>
      <c r="GA28" s="34">
        <v>274721</v>
      </c>
      <c r="GB28" s="34">
        <v>2079864</v>
      </c>
      <c r="GC28" s="34">
        <v>355243</v>
      </c>
      <c r="GD28" s="34">
        <v>5874258</v>
      </c>
      <c r="GE28" s="34">
        <v>95893</v>
      </c>
      <c r="GF28" s="34">
        <v>471880</v>
      </c>
      <c r="GG28" s="57">
        <v>327</v>
      </c>
      <c r="GH28" s="34">
        <v>1002597</v>
      </c>
      <c r="GI28" s="34">
        <v>3476737</v>
      </c>
      <c r="GJ28">
        <v>1432907</v>
      </c>
      <c r="GK28">
        <v>1502940</v>
      </c>
      <c r="GL28">
        <v>108321</v>
      </c>
      <c r="GM28">
        <v>2971198</v>
      </c>
      <c r="GN28">
        <v>290994</v>
      </c>
      <c r="GO28">
        <v>214495</v>
      </c>
      <c r="GP28">
        <v>270126</v>
      </c>
      <c r="GQ28">
        <v>-373404</v>
      </c>
      <c r="GR28">
        <v>284248</v>
      </c>
      <c r="GS28">
        <v>2179422</v>
      </c>
      <c r="GT28">
        <v>373404</v>
      </c>
      <c r="GU28">
        <v>6168872</v>
      </c>
      <c r="GV28">
        <v>43037</v>
      </c>
      <c r="GW28" s="34">
        <v>1006217</v>
      </c>
      <c r="GX28" s="34">
        <v>3522569</v>
      </c>
      <c r="GY28">
        <v>1472375</v>
      </c>
      <c r="GZ28">
        <v>1549325</v>
      </c>
      <c r="HA28">
        <v>103573</v>
      </c>
      <c r="HB28">
        <v>3084855</v>
      </c>
      <c r="HC28">
        <v>202625</v>
      </c>
      <c r="HD28">
        <v>235041</v>
      </c>
      <c r="HE28">
        <v>114774</v>
      </c>
      <c r="HF28">
        <v>-448440</v>
      </c>
      <c r="HG28">
        <v>311042</v>
      </c>
      <c r="HH28">
        <v>2475554</v>
      </c>
      <c r="HI28">
        <v>448440</v>
      </c>
      <c r="HJ28">
        <v>6484336</v>
      </c>
      <c r="HK28">
        <v>-150909</v>
      </c>
      <c r="HL28">
        <v>427696</v>
      </c>
      <c r="HM28" s="57">
        <v>19.485294117647058</v>
      </c>
      <c r="HN28" s="190">
        <v>-31149.58129615707</v>
      </c>
      <c r="HO28" s="34">
        <v>-12440.356356578588</v>
      </c>
      <c r="HP28" s="34">
        <v>13322.333842942753</v>
      </c>
      <c r="HQ28" s="34">
        <v>103726.53988660772</v>
      </c>
      <c r="HR28">
        <v>248985</v>
      </c>
      <c r="HS28">
        <v>262667</v>
      </c>
      <c r="HT28">
        <v>271754</v>
      </c>
      <c r="HU28">
        <v>232056</v>
      </c>
      <c r="HV28">
        <v>335198</v>
      </c>
      <c r="HW28">
        <v>288767</v>
      </c>
      <c r="HX28">
        <v>337355</v>
      </c>
      <c r="HY28">
        <v>379852</v>
      </c>
      <c r="HZ28">
        <v>471880</v>
      </c>
      <c r="IA28" s="34">
        <v>532946</v>
      </c>
      <c r="IB28">
        <v>427696</v>
      </c>
      <c r="IC28">
        <v>813302</v>
      </c>
      <c r="ID28">
        <v>865540</v>
      </c>
      <c r="IE28">
        <v>789288</v>
      </c>
      <c r="IF28" s="57">
        <v>17.720588235294116</v>
      </c>
      <c r="IG28" s="57">
        <v>17.926470588235293</v>
      </c>
      <c r="IH28" s="57">
        <v>17.955882352941178</v>
      </c>
      <c r="II28" s="57">
        <v>17.941176470588236</v>
      </c>
      <c r="IJ28" s="57">
        <v>18.147058823529413</v>
      </c>
      <c r="IK28" s="57">
        <v>18.382352941176471</v>
      </c>
      <c r="IL28" s="57">
        <v>18.397058823529413</v>
      </c>
      <c r="IM28" s="57">
        <v>18.529411764705884</v>
      </c>
      <c r="IN28" s="57">
        <v>18.558823529411764</v>
      </c>
      <c r="IO28" s="57">
        <v>18.602941176470587</v>
      </c>
      <c r="IP28" s="57">
        <v>18.808823529411764</v>
      </c>
      <c r="IQ28" s="57">
        <v>18.926470588235293</v>
      </c>
      <c r="IR28" s="57">
        <v>19.235294117647058</v>
      </c>
      <c r="IS28" s="57">
        <v>19.352941176470587</v>
      </c>
      <c r="IT28" s="57">
        <v>19.485294117647058</v>
      </c>
      <c r="IU28" s="57">
        <v>19.647058823529413</v>
      </c>
      <c r="IV28" s="57">
        <v>20.147058823529413</v>
      </c>
      <c r="IW28" s="57">
        <v>20.308823529411764</v>
      </c>
      <c r="IX28">
        <v>1010513</v>
      </c>
      <c r="IY28">
        <v>1576428</v>
      </c>
      <c r="IZ28">
        <v>6566069</v>
      </c>
      <c r="JA28" s="34">
        <v>7558904</v>
      </c>
      <c r="JB28" s="34">
        <v>1471221</v>
      </c>
      <c r="JC28">
        <v>80011</v>
      </c>
      <c r="JD28">
        <v>309425</v>
      </c>
      <c r="JE28">
        <v>342641</v>
      </c>
      <c r="JF28">
        <v>-400521</v>
      </c>
      <c r="JG28">
        <v>-24068</v>
      </c>
      <c r="JH28">
        <v>-18579</v>
      </c>
      <c r="JI28" s="34">
        <v>3301904</v>
      </c>
      <c r="JJ28" s="173">
        <v>222903</v>
      </c>
      <c r="JK28" s="34">
        <v>254645</v>
      </c>
      <c r="JL28">
        <v>2678068</v>
      </c>
      <c r="JM28">
        <v>1013402</v>
      </c>
      <c r="JN28">
        <v>1587431</v>
      </c>
      <c r="JO28" s="173">
        <v>6724897</v>
      </c>
      <c r="JP28" s="34">
        <v>7755114</v>
      </c>
      <c r="JQ28" s="34">
        <v>1467153</v>
      </c>
      <c r="JR28" s="34">
        <v>186667</v>
      </c>
      <c r="JS28" s="173">
        <v>262562</v>
      </c>
      <c r="JT28">
        <v>339897</v>
      </c>
      <c r="JU28">
        <v>-372790</v>
      </c>
      <c r="JV28" s="173">
        <v>27168</v>
      </c>
      <c r="JW28" s="34">
        <v>3356685</v>
      </c>
      <c r="JX28" s="173">
        <v>232647</v>
      </c>
      <c r="JY28" s="34">
        <v>288225</v>
      </c>
      <c r="JZ28">
        <v>2851869</v>
      </c>
      <c r="KA28">
        <v>1015590</v>
      </c>
      <c r="KB28">
        <v>1477999</v>
      </c>
      <c r="KC28" s="173">
        <v>6762702</v>
      </c>
      <c r="KD28" s="34">
        <v>7972516</v>
      </c>
      <c r="KE28" s="34">
        <v>1483102</v>
      </c>
      <c r="KF28" s="34">
        <v>194870</v>
      </c>
      <c r="KG28" s="173">
        <v>251048</v>
      </c>
      <c r="KH28">
        <v>338059</v>
      </c>
      <c r="KI28" s="173">
        <v>-329226</v>
      </c>
      <c r="KJ28" s="173">
        <v>-27442</v>
      </c>
      <c r="KK28" s="34">
        <v>3431131</v>
      </c>
      <c r="KL28" s="173">
        <v>257203</v>
      </c>
      <c r="KM28" s="34">
        <v>297924</v>
      </c>
      <c r="KN28">
        <v>2963063</v>
      </c>
      <c r="KO28">
        <v>1016239</v>
      </c>
      <c r="KP28">
        <v>4028697</v>
      </c>
      <c r="KQ28">
        <v>1605578</v>
      </c>
      <c r="KR28">
        <v>1494441</v>
      </c>
      <c r="KS28">
        <v>83668</v>
      </c>
      <c r="KT28">
        <v>3485521</v>
      </c>
      <c r="KU28">
        <v>232619</v>
      </c>
      <c r="KV28">
        <v>310557</v>
      </c>
      <c r="KW28">
        <v>391462</v>
      </c>
      <c r="KX28">
        <v>-382850</v>
      </c>
      <c r="KY28">
        <v>353333</v>
      </c>
      <c r="KZ28">
        <v>3104202</v>
      </c>
      <c r="LA28">
        <v>6800096</v>
      </c>
      <c r="LB28">
        <v>33675</v>
      </c>
      <c r="LC28">
        <v>427877</v>
      </c>
      <c r="LD28" s="57">
        <v>20.382352941176471</v>
      </c>
      <c r="LE28">
        <v>1014830</v>
      </c>
      <c r="LF28" s="34">
        <v>4034309</v>
      </c>
      <c r="LG28" s="34">
        <v>1569414</v>
      </c>
      <c r="LH28">
        <v>1305433</v>
      </c>
      <c r="LI28" s="173">
        <v>138971</v>
      </c>
      <c r="LJ28" s="34">
        <v>3451235</v>
      </c>
      <c r="LK28" s="173">
        <v>264486</v>
      </c>
      <c r="LL28" s="34">
        <v>318588</v>
      </c>
      <c r="LM28" s="173">
        <v>444773</v>
      </c>
      <c r="LN28" s="173">
        <v>-366878</v>
      </c>
      <c r="LO28">
        <v>373227</v>
      </c>
      <c r="LP28">
        <v>3261327</v>
      </c>
      <c r="LQ28" s="173">
        <v>6532116</v>
      </c>
      <c r="LR28" s="173">
        <v>107459</v>
      </c>
      <c r="LS28" s="173">
        <v>530932</v>
      </c>
      <c r="LT28" s="57">
        <v>20.5</v>
      </c>
      <c r="LU28">
        <v>1013940</v>
      </c>
      <c r="LV28" s="34">
        <v>4003241</v>
      </c>
      <c r="LW28" s="34">
        <v>1592815</v>
      </c>
      <c r="LX28" s="172">
        <v>1487538</v>
      </c>
      <c r="LY28" s="173">
        <v>67466</v>
      </c>
      <c r="LZ28" s="34">
        <v>3423047</v>
      </c>
      <c r="MA28" s="173">
        <v>266913</v>
      </c>
      <c r="MB28" s="34">
        <v>313281</v>
      </c>
      <c r="MC28" s="173">
        <v>194763</v>
      </c>
      <c r="MD28" s="34">
        <v>-439811</v>
      </c>
      <c r="ME28">
        <v>366776</v>
      </c>
      <c r="MF28">
        <v>3507042</v>
      </c>
      <c r="MG28" s="173">
        <v>6948044</v>
      </c>
      <c r="MH28" s="173">
        <v>-151560</v>
      </c>
      <c r="MI28" s="173">
        <v>409634</v>
      </c>
      <c r="MJ28" s="57">
        <v>20.5</v>
      </c>
    </row>
    <row r="29" spans="1:348" x14ac:dyDescent="0.2">
      <c r="A29" t="s">
        <v>743</v>
      </c>
      <c r="B29" s="34">
        <v>602242</v>
      </c>
      <c r="C29" s="34">
        <v>597296</v>
      </c>
      <c r="D29" s="34">
        <v>592714</v>
      </c>
      <c r="E29" s="34">
        <v>588390</v>
      </c>
      <c r="F29" s="34">
        <v>585244</v>
      </c>
      <c r="G29" s="34">
        <v>582971</v>
      </c>
      <c r="H29" s="34">
        <v>581746</v>
      </c>
      <c r="I29" s="34">
        <v>580109</v>
      </c>
      <c r="J29" s="34">
        <v>578050</v>
      </c>
      <c r="K29" s="34">
        <v>577296</v>
      </c>
      <c r="L29" s="34">
        <v>575372</v>
      </c>
      <c r="M29" s="34">
        <v>1158404</v>
      </c>
      <c r="N29" s="34">
        <v>585979</v>
      </c>
      <c r="O29" s="34">
        <v>358342</v>
      </c>
      <c r="P29" s="34">
        <v>36271.071844836544</v>
      </c>
      <c r="Q29" s="34">
        <v>1164337</v>
      </c>
      <c r="R29" s="34">
        <v>593681</v>
      </c>
      <c r="S29" s="34">
        <v>373873</v>
      </c>
      <c r="T29" s="34">
        <v>41775.189926215957</v>
      </c>
      <c r="U29" s="34">
        <v>1161411</v>
      </c>
      <c r="V29" s="34">
        <v>627024</v>
      </c>
      <c r="W29" s="34">
        <v>384001</v>
      </c>
      <c r="X29" s="34">
        <v>33202.819502399201</v>
      </c>
      <c r="Y29" s="34">
        <v>1256634</v>
      </c>
      <c r="Z29" s="34">
        <v>717397</v>
      </c>
      <c r="AA29" s="34">
        <v>394156</v>
      </c>
      <c r="AB29" s="34">
        <v>33627.325828788045</v>
      </c>
      <c r="AC29" s="34">
        <v>1293248</v>
      </c>
      <c r="AD29" s="34">
        <v>776282</v>
      </c>
      <c r="AE29" s="34">
        <v>412920</v>
      </c>
      <c r="AF29" s="34">
        <v>25388</v>
      </c>
      <c r="AG29" s="34">
        <v>1239493</v>
      </c>
      <c r="AH29" s="34">
        <v>821990</v>
      </c>
      <c r="AI29" s="34">
        <v>444255</v>
      </c>
      <c r="AJ29" s="34">
        <v>43069</v>
      </c>
      <c r="AK29" s="34">
        <v>1259441</v>
      </c>
      <c r="AL29" s="34">
        <v>853757</v>
      </c>
      <c r="AM29" s="34">
        <v>471470</v>
      </c>
      <c r="AN29" s="34">
        <v>33175</v>
      </c>
      <c r="AO29" s="34">
        <v>1317575</v>
      </c>
      <c r="AP29" s="34">
        <v>883971</v>
      </c>
      <c r="AQ29" s="34">
        <v>482316</v>
      </c>
      <c r="AR29" s="34">
        <v>39441</v>
      </c>
      <c r="AS29" s="34">
        <v>1398198</v>
      </c>
      <c r="AT29" s="34">
        <v>937632</v>
      </c>
      <c r="AU29" s="34">
        <v>517400</v>
      </c>
      <c r="AV29" s="34">
        <v>34331</v>
      </c>
      <c r="AW29" s="34">
        <v>1506991</v>
      </c>
      <c r="AX29" s="34">
        <v>977822</v>
      </c>
      <c r="AY29" s="34">
        <v>541625</v>
      </c>
      <c r="AZ29" s="34">
        <v>32991</v>
      </c>
      <c r="BA29" s="34">
        <v>1626460</v>
      </c>
      <c r="BB29" s="34">
        <v>1084484</v>
      </c>
      <c r="BC29" s="34">
        <v>568175</v>
      </c>
      <c r="BD29" s="34">
        <v>17219</v>
      </c>
      <c r="BE29" s="34">
        <v>916778.76391965302</v>
      </c>
      <c r="BF29" s="34">
        <v>194437.85708399137</v>
      </c>
      <c r="BG29" s="34">
        <v>46944.445846010487</v>
      </c>
      <c r="BH29" s="34">
        <v>930371.71213627257</v>
      </c>
      <c r="BI29" s="34">
        <v>180098.82722558882</v>
      </c>
      <c r="BJ29" s="34">
        <v>53666.076327044786</v>
      </c>
      <c r="BK29" s="34">
        <v>914575.16570715432</v>
      </c>
      <c r="BL29" s="34">
        <v>189266.24653322631</v>
      </c>
      <c r="BM29" s="34">
        <v>57323.490975876797</v>
      </c>
      <c r="BN29" s="34">
        <v>1052140</v>
      </c>
      <c r="BO29" s="34">
        <v>142778</v>
      </c>
      <c r="BP29" s="34">
        <v>61526</v>
      </c>
      <c r="BQ29" s="34">
        <v>1131177</v>
      </c>
      <c r="BR29" s="34">
        <v>96018</v>
      </c>
      <c r="BS29" s="34">
        <v>65885</v>
      </c>
      <c r="BT29" s="34">
        <v>1116473</v>
      </c>
      <c r="BU29" s="34">
        <v>56133</v>
      </c>
      <c r="BV29" s="34">
        <v>66756</v>
      </c>
      <c r="BW29" s="34">
        <v>1121539</v>
      </c>
      <c r="BX29" s="34">
        <v>69344</v>
      </c>
      <c r="BY29" s="34">
        <v>68434</v>
      </c>
      <c r="BZ29" s="34">
        <v>1159610</v>
      </c>
      <c r="CA29" s="34">
        <v>86458</v>
      </c>
      <c r="CB29" s="34">
        <v>71401</v>
      </c>
      <c r="CC29" s="34">
        <v>1217025</v>
      </c>
      <c r="CD29" s="34">
        <v>99680</v>
      </c>
      <c r="CE29" s="34">
        <v>81389</v>
      </c>
      <c r="CF29" s="34">
        <v>1300177</v>
      </c>
      <c r="CG29" s="34">
        <v>119579</v>
      </c>
      <c r="CH29" s="34">
        <v>87182</v>
      </c>
      <c r="CI29" s="34">
        <v>1408162</v>
      </c>
      <c r="CJ29" s="34">
        <v>123528</v>
      </c>
      <c r="CK29" s="34">
        <v>94767</v>
      </c>
      <c r="CL29" s="34">
        <v>70306.589771146697</v>
      </c>
      <c r="CM29" s="34">
        <v>-136121.38458861999</v>
      </c>
      <c r="CN29" s="34">
        <v>88734.099933902166</v>
      </c>
      <c r="CO29" s="34">
        <v>480057</v>
      </c>
      <c r="CP29" s="34">
        <v>67794.534901517545</v>
      </c>
      <c r="CQ29" s="34">
        <v>-38209.605876966991</v>
      </c>
      <c r="CR29" s="34">
        <v>92089.11269095639</v>
      </c>
      <c r="CS29" s="34">
        <v>502088</v>
      </c>
      <c r="CT29" s="34">
        <v>24331.91550911326</v>
      </c>
      <c r="CU29" s="34">
        <v>-101424.55173010002</v>
      </c>
      <c r="CV29" s="34">
        <v>94955.034957860495</v>
      </c>
      <c r="CW29" s="34">
        <v>529301</v>
      </c>
      <c r="CX29" s="34">
        <v>99036.955933081408</v>
      </c>
      <c r="CY29" s="34">
        <v>-137078</v>
      </c>
      <c r="CZ29" s="34">
        <v>95198.739263303214</v>
      </c>
      <c r="DA29" s="34">
        <v>586998</v>
      </c>
      <c r="DB29" s="34">
        <v>193367</v>
      </c>
      <c r="DC29" s="34">
        <v>-138541</v>
      </c>
      <c r="DD29" s="34">
        <v>99610</v>
      </c>
      <c r="DE29" s="34">
        <v>579416</v>
      </c>
      <c r="DF29" s="34">
        <v>104316</v>
      </c>
      <c r="DG29" s="34">
        <v>-162425</v>
      </c>
      <c r="DH29" s="34">
        <v>104450</v>
      </c>
      <c r="DI29" s="34">
        <v>604068</v>
      </c>
      <c r="DJ29" s="34">
        <v>51026</v>
      </c>
      <c r="DK29" s="34">
        <v>-161848</v>
      </c>
      <c r="DL29" s="34">
        <v>108316</v>
      </c>
      <c r="DM29" s="34">
        <v>690133</v>
      </c>
      <c r="DN29" s="34">
        <v>46222</v>
      </c>
      <c r="DO29" s="34">
        <v>-164027</v>
      </c>
      <c r="DP29" s="34">
        <v>113055</v>
      </c>
      <c r="DQ29" s="34">
        <v>787522</v>
      </c>
      <c r="DR29" s="34">
        <v>89752</v>
      </c>
      <c r="DS29" s="34">
        <v>-168953</v>
      </c>
      <c r="DT29" s="34">
        <v>114391</v>
      </c>
      <c r="DU29" s="34">
        <v>868957</v>
      </c>
      <c r="DV29" s="34">
        <v>135592</v>
      </c>
      <c r="DW29" s="34">
        <v>-173922</v>
      </c>
      <c r="DX29" s="34">
        <v>115995</v>
      </c>
      <c r="DY29" s="34">
        <v>911957</v>
      </c>
      <c r="DZ29" s="34">
        <v>165028</v>
      </c>
      <c r="EA29" s="34">
        <v>-215488</v>
      </c>
      <c r="EB29" s="34">
        <v>124544</v>
      </c>
      <c r="EC29" s="34">
        <v>935776</v>
      </c>
      <c r="ED29" s="34">
        <v>1949397.3910688844</v>
      </c>
      <c r="EE29" s="34">
        <v>-13065.502469839692</v>
      </c>
      <c r="EF29" s="34">
        <v>1990909.0052861464</v>
      </c>
      <c r="EG29" s="34">
        <v>17818.266217941284</v>
      </c>
      <c r="EH29" s="34">
        <v>2058982.9255617049</v>
      </c>
      <c r="EI29" s="34">
        <v>-32573.460281580232</v>
      </c>
      <c r="EJ29" s="34">
        <v>2165195.1820886582</v>
      </c>
      <c r="EK29" s="34">
        <v>23537.774167343614</v>
      </c>
      <c r="EL29" s="34">
        <v>2278502.3999999999</v>
      </c>
      <c r="EM29" s="34">
        <v>92177.95</v>
      </c>
      <c r="EN29" s="34">
        <v>2408992.4500000002</v>
      </c>
      <c r="EO29" s="34">
        <v>12648.55</v>
      </c>
      <c r="EP29" s="34">
        <v>2540850.15</v>
      </c>
      <c r="EQ29" s="34">
        <v>-51931.35</v>
      </c>
      <c r="ER29" s="34">
        <v>2648451.75</v>
      </c>
      <c r="ES29" s="34">
        <v>-54318.3</v>
      </c>
      <c r="ET29" s="34">
        <v>2769811.8</v>
      </c>
      <c r="EU29" s="34">
        <v>-9490.85</v>
      </c>
      <c r="EV29" s="34">
        <v>2879951</v>
      </c>
      <c r="EW29" s="34">
        <v>23102</v>
      </c>
      <c r="EX29" s="34">
        <v>3087992</v>
      </c>
      <c r="EY29" s="34">
        <v>49960</v>
      </c>
      <c r="EZ29" s="34">
        <v>115011</v>
      </c>
      <c r="FA29" s="34">
        <v>168510</v>
      </c>
      <c r="FB29" s="34">
        <v>574012</v>
      </c>
      <c r="FC29" s="34">
        <v>1640231</v>
      </c>
      <c r="FD29" s="34">
        <v>1159780</v>
      </c>
      <c r="FE29" s="34">
        <v>619075</v>
      </c>
      <c r="FF29" s="34">
        <v>25824</v>
      </c>
      <c r="FG29" s="34">
        <v>1436611</v>
      </c>
      <c r="FH29" s="34">
        <v>99329</v>
      </c>
      <c r="FI29" s="34">
        <v>104287</v>
      </c>
      <c r="FJ29" s="34">
        <v>195591</v>
      </c>
      <c r="FK29" s="34">
        <v>-197171</v>
      </c>
      <c r="FL29" s="34">
        <v>129298</v>
      </c>
      <c r="FM29" s="34">
        <v>1009356</v>
      </c>
      <c r="FN29" s="34">
        <v>197171</v>
      </c>
      <c r="FO29" s="34">
        <v>3220881</v>
      </c>
      <c r="FP29" s="34">
        <v>66451</v>
      </c>
      <c r="FQ29" s="34">
        <v>572136</v>
      </c>
      <c r="FR29" s="34">
        <v>1681144</v>
      </c>
      <c r="FS29" s="34">
        <v>1237727</v>
      </c>
      <c r="FT29" s="34">
        <v>652286</v>
      </c>
      <c r="FU29" s="34">
        <v>31746</v>
      </c>
      <c r="FV29" s="34">
        <v>1439260</v>
      </c>
      <c r="FW29" s="34">
        <v>120861</v>
      </c>
      <c r="FX29" s="34">
        <v>121023</v>
      </c>
      <c r="FY29" s="34">
        <v>248799</v>
      </c>
      <c r="FZ29" s="34">
        <v>-213694</v>
      </c>
      <c r="GA29" s="34">
        <v>130518</v>
      </c>
      <c r="GB29" s="34">
        <v>1001144</v>
      </c>
      <c r="GC29" s="34">
        <v>213694</v>
      </c>
      <c r="GD29" s="34">
        <v>3330576</v>
      </c>
      <c r="GE29" s="34">
        <v>117879</v>
      </c>
      <c r="GF29" s="34">
        <v>350807</v>
      </c>
      <c r="GG29" s="57">
        <v>1453</v>
      </c>
      <c r="GH29" s="34">
        <v>569689</v>
      </c>
      <c r="GI29" s="34">
        <v>1718585</v>
      </c>
      <c r="GJ29">
        <v>1272755</v>
      </c>
      <c r="GK29">
        <v>646681</v>
      </c>
      <c r="GL29">
        <v>20456</v>
      </c>
      <c r="GM29">
        <v>1461843</v>
      </c>
      <c r="GN29">
        <v>132614</v>
      </c>
      <c r="GO29">
        <v>124128</v>
      </c>
      <c r="GP29">
        <v>158937</v>
      </c>
      <c r="GQ29">
        <v>-242314</v>
      </c>
      <c r="GR29">
        <v>137120</v>
      </c>
      <c r="GS29">
        <v>1039150</v>
      </c>
      <c r="GT29">
        <v>242314</v>
      </c>
      <c r="GU29">
        <v>3475064</v>
      </c>
      <c r="GV29">
        <v>22189</v>
      </c>
      <c r="GW29" s="34">
        <v>567486</v>
      </c>
      <c r="GX29" s="34">
        <v>1738616</v>
      </c>
      <c r="GY29">
        <v>1338929</v>
      </c>
      <c r="GZ29">
        <v>668042</v>
      </c>
      <c r="HA29">
        <v>26712</v>
      </c>
      <c r="HB29">
        <v>1513196</v>
      </c>
      <c r="HC29">
        <v>91145</v>
      </c>
      <c r="HD29">
        <v>134275</v>
      </c>
      <c r="HE29">
        <v>84727</v>
      </c>
      <c r="HF29">
        <v>-247250</v>
      </c>
      <c r="HG29">
        <v>142379</v>
      </c>
      <c r="HH29">
        <v>1166909</v>
      </c>
      <c r="HI29">
        <v>247250</v>
      </c>
      <c r="HJ29">
        <v>3663825</v>
      </c>
      <c r="HK29">
        <v>-51652</v>
      </c>
      <c r="HL29">
        <v>319077</v>
      </c>
      <c r="HM29" s="57">
        <v>19.824324324324323</v>
      </c>
      <c r="HN29" s="190">
        <v>5967.9803825602621</v>
      </c>
      <c r="HO29" s="34">
        <v>24364.207590993872</v>
      </c>
      <c r="HP29" s="34">
        <v>607.66297830543317</v>
      </c>
      <c r="HQ29" s="34">
        <v>33094.842853610906</v>
      </c>
      <c r="HR29">
        <v>134783</v>
      </c>
      <c r="HS29">
        <v>149445</v>
      </c>
      <c r="HT29">
        <v>135642</v>
      </c>
      <c r="HU29">
        <v>87054</v>
      </c>
      <c r="HV29">
        <v>92159</v>
      </c>
      <c r="HW29">
        <v>121442</v>
      </c>
      <c r="HX29">
        <v>177642</v>
      </c>
      <c r="HY29">
        <v>233589</v>
      </c>
      <c r="HZ29">
        <v>350807</v>
      </c>
      <c r="IA29" s="34">
        <v>369718</v>
      </c>
      <c r="IB29">
        <v>319077</v>
      </c>
      <c r="IC29">
        <v>694726</v>
      </c>
      <c r="ID29">
        <v>833274</v>
      </c>
      <c r="IE29">
        <v>869964</v>
      </c>
      <c r="IF29" s="57">
        <v>17.952702702702702</v>
      </c>
      <c r="IG29" s="57">
        <v>18.118243243243242</v>
      </c>
      <c r="IH29" s="57">
        <v>18.246621621621621</v>
      </c>
      <c r="II29" s="57">
        <v>18.266891891891891</v>
      </c>
      <c r="IJ29" s="57">
        <v>18.425675675675677</v>
      </c>
      <c r="IK29" s="57">
        <v>18.496621621621621</v>
      </c>
      <c r="IL29" s="57">
        <v>18.560810810810811</v>
      </c>
      <c r="IM29" s="57">
        <v>18.70945945945946</v>
      </c>
      <c r="IN29" s="57">
        <v>18.922297297297298</v>
      </c>
      <c r="IO29" s="57">
        <v>19.064189189189189</v>
      </c>
      <c r="IP29" s="57">
        <v>19.212837837837839</v>
      </c>
      <c r="IQ29" s="57">
        <v>19.293918918918919</v>
      </c>
      <c r="IR29" s="57">
        <v>19.635135135135137</v>
      </c>
      <c r="IS29" s="57">
        <v>19.695945945945947</v>
      </c>
      <c r="IT29" s="57">
        <v>19.824324324324323</v>
      </c>
      <c r="IU29" s="57">
        <v>20.248310810810811</v>
      </c>
      <c r="IV29" s="57">
        <v>20.567567567567568</v>
      </c>
      <c r="IW29" s="57">
        <v>20.652027027027028</v>
      </c>
      <c r="IX29">
        <v>564470</v>
      </c>
      <c r="IY29">
        <v>694870</v>
      </c>
      <c r="IZ29">
        <v>3785531</v>
      </c>
      <c r="JA29" s="34">
        <v>3727100</v>
      </c>
      <c r="JB29" s="34">
        <v>1382032</v>
      </c>
      <c r="JC29">
        <v>53866</v>
      </c>
      <c r="JD29">
        <v>160905</v>
      </c>
      <c r="JE29">
        <v>158749</v>
      </c>
      <c r="JF29">
        <v>-241219</v>
      </c>
      <c r="JG29">
        <v>31166</v>
      </c>
      <c r="JH29">
        <v>32927</v>
      </c>
      <c r="JI29" s="34">
        <v>1612951</v>
      </c>
      <c r="JJ29" s="173">
        <v>107334</v>
      </c>
      <c r="JK29" s="34">
        <v>143265</v>
      </c>
      <c r="JL29">
        <v>1295781</v>
      </c>
      <c r="JM29">
        <v>561127</v>
      </c>
      <c r="JN29">
        <v>676247</v>
      </c>
      <c r="JO29" s="173">
        <v>3808085</v>
      </c>
      <c r="JP29" s="34">
        <v>3847600</v>
      </c>
      <c r="JQ29" s="34">
        <v>1395839</v>
      </c>
      <c r="JR29" s="34">
        <v>50010</v>
      </c>
      <c r="JS29" s="173">
        <v>194496</v>
      </c>
      <c r="JT29">
        <v>164724</v>
      </c>
      <c r="JU29">
        <v>-259001</v>
      </c>
      <c r="JV29" s="173">
        <v>57718</v>
      </c>
      <c r="JW29" s="34">
        <v>1639390</v>
      </c>
      <c r="JX29" s="173">
        <v>121011</v>
      </c>
      <c r="JY29" s="34">
        <v>163399</v>
      </c>
      <c r="JZ29">
        <v>1397788</v>
      </c>
      <c r="KA29">
        <v>556762</v>
      </c>
      <c r="KB29">
        <v>672341</v>
      </c>
      <c r="KC29" s="173">
        <v>3830803</v>
      </c>
      <c r="KD29" s="34">
        <v>3939798</v>
      </c>
      <c r="KE29" s="34">
        <v>1375339</v>
      </c>
      <c r="KF29" s="34">
        <v>36919</v>
      </c>
      <c r="KG29" s="173">
        <v>195235</v>
      </c>
      <c r="KH29">
        <v>170616</v>
      </c>
      <c r="KI29" s="173">
        <v>-251052</v>
      </c>
      <c r="KJ29" s="173">
        <v>30250</v>
      </c>
      <c r="KK29" s="34">
        <v>1665656</v>
      </c>
      <c r="KL29" s="173">
        <v>135015</v>
      </c>
      <c r="KM29" s="34">
        <v>169228</v>
      </c>
      <c r="KN29">
        <v>1486132</v>
      </c>
      <c r="KO29">
        <v>552137</v>
      </c>
      <c r="KP29">
        <v>1964271</v>
      </c>
      <c r="KQ29">
        <v>1438053</v>
      </c>
      <c r="KR29">
        <v>680893</v>
      </c>
      <c r="KS29">
        <v>31393</v>
      </c>
      <c r="KT29">
        <v>1663774</v>
      </c>
      <c r="KU29">
        <v>120723</v>
      </c>
      <c r="KV29">
        <v>179774</v>
      </c>
      <c r="KW29">
        <v>237187</v>
      </c>
      <c r="KX29">
        <v>-251915</v>
      </c>
      <c r="KY29">
        <v>182469</v>
      </c>
      <c r="KZ29">
        <v>1573877</v>
      </c>
      <c r="LA29">
        <v>3856782</v>
      </c>
      <c r="LB29">
        <v>58027</v>
      </c>
      <c r="LC29">
        <v>490999</v>
      </c>
      <c r="LD29" s="57">
        <v>20.766891891891891</v>
      </c>
      <c r="LE29">
        <v>548164</v>
      </c>
      <c r="LF29" s="34">
        <v>1996713</v>
      </c>
      <c r="LG29" s="34">
        <v>1420589</v>
      </c>
      <c r="LH29">
        <v>642531</v>
      </c>
      <c r="LI29" s="173">
        <v>37879</v>
      </c>
      <c r="LJ29" s="34">
        <v>1671864</v>
      </c>
      <c r="LK29" s="173">
        <v>147999</v>
      </c>
      <c r="LL29" s="34">
        <v>176851</v>
      </c>
      <c r="LM29" s="173">
        <v>282326</v>
      </c>
      <c r="LN29" s="173">
        <v>-260747</v>
      </c>
      <c r="LO29">
        <v>190089</v>
      </c>
      <c r="LP29">
        <v>1611366</v>
      </c>
      <c r="LQ29" s="173">
        <v>3795062</v>
      </c>
      <c r="LR29" s="173">
        <v>103322</v>
      </c>
      <c r="LS29" s="173">
        <v>595877</v>
      </c>
      <c r="LT29" s="57">
        <v>20.83445945945946</v>
      </c>
      <c r="LU29">
        <v>541539</v>
      </c>
      <c r="LV29" s="34">
        <v>1964646</v>
      </c>
      <c r="LW29" s="34">
        <v>1397217</v>
      </c>
      <c r="LX29" s="172">
        <v>634245</v>
      </c>
      <c r="LY29" s="173">
        <v>24312</v>
      </c>
      <c r="LZ29" s="34">
        <v>1646478</v>
      </c>
      <c r="MA29" s="173">
        <v>130355</v>
      </c>
      <c r="MB29" s="34">
        <v>187813</v>
      </c>
      <c r="MC29" s="173">
        <v>134283</v>
      </c>
      <c r="MD29" s="34">
        <v>-206830</v>
      </c>
      <c r="ME29">
        <v>182758</v>
      </c>
      <c r="MF29">
        <v>1650187</v>
      </c>
      <c r="MG29" s="173">
        <v>3873579</v>
      </c>
      <c r="MH29" s="173">
        <v>-33252</v>
      </c>
      <c r="MI29" s="173">
        <v>562560</v>
      </c>
      <c r="MJ29" s="57">
        <v>20.976351351351351</v>
      </c>
    </row>
    <row r="30" spans="1:348" x14ac:dyDescent="0.2">
      <c r="A30" t="s">
        <v>103</v>
      </c>
      <c r="B30" s="34">
        <v>63374</v>
      </c>
      <c r="C30" s="34">
        <v>62507</v>
      </c>
      <c r="D30" s="34">
        <v>61537</v>
      </c>
      <c r="E30" s="34">
        <v>60537</v>
      </c>
      <c r="F30" s="34">
        <v>59910</v>
      </c>
      <c r="G30" s="34">
        <v>59366</v>
      </c>
      <c r="H30" s="34">
        <v>58581</v>
      </c>
      <c r="I30" s="34">
        <v>57918</v>
      </c>
      <c r="J30" s="34">
        <v>57347</v>
      </c>
      <c r="K30" s="34">
        <v>56500</v>
      </c>
      <c r="L30" s="34">
        <v>55644</v>
      </c>
      <c r="M30" s="34">
        <v>118248</v>
      </c>
      <c r="N30" s="34">
        <v>84047</v>
      </c>
      <c r="O30" s="34">
        <v>45378</v>
      </c>
      <c r="P30" s="34">
        <v>4044.4150676199565</v>
      </c>
      <c r="Q30" s="34">
        <v>112713</v>
      </c>
      <c r="R30" s="34">
        <v>81590</v>
      </c>
      <c r="S30" s="34">
        <v>47239</v>
      </c>
      <c r="T30" s="34">
        <v>5123.6769917234697</v>
      </c>
      <c r="U30" s="34">
        <v>114279</v>
      </c>
      <c r="V30" s="34">
        <v>84699</v>
      </c>
      <c r="W30" s="34">
        <v>47281</v>
      </c>
      <c r="X30" s="34">
        <v>5436.506534941881</v>
      </c>
      <c r="Y30" s="34">
        <v>119579</v>
      </c>
      <c r="Z30" s="34">
        <v>94173</v>
      </c>
      <c r="AA30" s="34">
        <v>48484</v>
      </c>
      <c r="AB30" s="34">
        <v>4776.537111506912</v>
      </c>
      <c r="AC30" s="34">
        <v>112828</v>
      </c>
      <c r="AD30" s="34">
        <v>102908</v>
      </c>
      <c r="AE30" s="34">
        <v>51907</v>
      </c>
      <c r="AF30" s="34">
        <v>3681</v>
      </c>
      <c r="AG30" s="34">
        <v>111058</v>
      </c>
      <c r="AH30" s="34">
        <v>116154</v>
      </c>
      <c r="AI30" s="34">
        <v>53779</v>
      </c>
      <c r="AJ30" s="34">
        <v>5007</v>
      </c>
      <c r="AK30" s="34">
        <v>113705</v>
      </c>
      <c r="AL30" s="34">
        <v>115977</v>
      </c>
      <c r="AM30" s="34">
        <v>55531</v>
      </c>
      <c r="AN30" s="34">
        <v>4826</v>
      </c>
      <c r="AO30" s="34">
        <v>116691</v>
      </c>
      <c r="AP30" s="34">
        <v>115541</v>
      </c>
      <c r="AQ30" s="34">
        <v>58235</v>
      </c>
      <c r="AR30" s="34">
        <v>4287</v>
      </c>
      <c r="AS30" s="34">
        <v>123766</v>
      </c>
      <c r="AT30" s="34">
        <v>120195</v>
      </c>
      <c r="AU30" s="34">
        <v>63456</v>
      </c>
      <c r="AV30" s="34">
        <v>4390</v>
      </c>
      <c r="AW30" s="34">
        <v>133969</v>
      </c>
      <c r="AX30" s="34">
        <v>123053</v>
      </c>
      <c r="AY30" s="34">
        <v>63227</v>
      </c>
      <c r="AZ30" s="34">
        <v>6084</v>
      </c>
      <c r="BA30" s="34">
        <v>144759</v>
      </c>
      <c r="BB30" s="34">
        <v>136906</v>
      </c>
      <c r="BC30" s="34">
        <v>70037</v>
      </c>
      <c r="BD30" s="34">
        <v>4243</v>
      </c>
      <c r="BE30" s="34">
        <v>81921.98434843155</v>
      </c>
      <c r="BF30" s="34">
        <v>31313.228148604125</v>
      </c>
      <c r="BG30" s="34">
        <v>4989.7994022601079</v>
      </c>
      <c r="BH30" s="34">
        <v>81864.295889655245</v>
      </c>
      <c r="BI30" s="34">
        <v>25385.108304615238</v>
      </c>
      <c r="BJ30" s="34">
        <v>5448.4478777206486</v>
      </c>
      <c r="BK30" s="34">
        <v>77425.816510335993</v>
      </c>
      <c r="BL30" s="34">
        <v>31001.071357091558</v>
      </c>
      <c r="BM30" s="34">
        <v>5835.1119206556641</v>
      </c>
      <c r="BN30" s="34">
        <v>90177</v>
      </c>
      <c r="BO30" s="34">
        <v>23133</v>
      </c>
      <c r="BP30" s="34">
        <v>6259</v>
      </c>
      <c r="BQ30" s="34">
        <v>95877</v>
      </c>
      <c r="BR30" s="34">
        <v>10202</v>
      </c>
      <c r="BS30" s="34">
        <v>6735</v>
      </c>
      <c r="BT30" s="34">
        <v>95949</v>
      </c>
      <c r="BU30" s="34">
        <v>7885</v>
      </c>
      <c r="BV30" s="34">
        <v>7213</v>
      </c>
      <c r="BW30" s="34">
        <v>97124</v>
      </c>
      <c r="BX30" s="34">
        <v>9270</v>
      </c>
      <c r="BY30" s="34">
        <v>7304</v>
      </c>
      <c r="BZ30" s="34">
        <v>97345</v>
      </c>
      <c r="CA30" s="34">
        <v>11514</v>
      </c>
      <c r="CB30" s="34">
        <v>7826</v>
      </c>
      <c r="CC30" s="34">
        <v>101731</v>
      </c>
      <c r="CD30" s="34">
        <v>13243</v>
      </c>
      <c r="CE30" s="34">
        <v>8786</v>
      </c>
      <c r="CF30" s="34">
        <v>108211</v>
      </c>
      <c r="CG30" s="34">
        <v>16420</v>
      </c>
      <c r="CH30" s="34">
        <v>9336</v>
      </c>
      <c r="CI30" s="34">
        <v>116762</v>
      </c>
      <c r="CJ30" s="34">
        <v>17953</v>
      </c>
      <c r="CK30" s="34">
        <v>10042</v>
      </c>
      <c r="CL30" s="34">
        <v>13035.405240399414</v>
      </c>
      <c r="CM30" s="34">
        <v>-14694.410946860002</v>
      </c>
      <c r="CN30" s="34">
        <v>9285.1508561606388</v>
      </c>
      <c r="CO30" s="34">
        <v>40014</v>
      </c>
      <c r="CP30" s="34">
        <v>4719.0168406570756</v>
      </c>
      <c r="CQ30" s="34">
        <v>-5125.6952466099983</v>
      </c>
      <c r="CR30" s="34">
        <v>9273.2095133818711</v>
      </c>
      <c r="CS30" s="34">
        <v>41929</v>
      </c>
      <c r="CT30" s="34">
        <v>1327.0027397813224</v>
      </c>
      <c r="CU30" s="34">
        <v>-8301.2514863799988</v>
      </c>
      <c r="CV30" s="34">
        <v>9553.5787867932104</v>
      </c>
      <c r="CW30" s="34">
        <v>43970</v>
      </c>
      <c r="CX30" s="34">
        <v>-63.575036202450406</v>
      </c>
      <c r="CY30" s="34">
        <v>-14896</v>
      </c>
      <c r="CZ30" s="34">
        <v>9690.4837589328818</v>
      </c>
      <c r="DA30" s="34">
        <v>51332</v>
      </c>
      <c r="DB30" s="34">
        <v>5387</v>
      </c>
      <c r="DC30" s="34">
        <v>-13416</v>
      </c>
      <c r="DD30" s="34">
        <v>10348</v>
      </c>
      <c r="DE30" s="34">
        <v>61363</v>
      </c>
      <c r="DF30" s="34">
        <v>10467</v>
      </c>
      <c r="DG30" s="34">
        <v>-16817</v>
      </c>
      <c r="DH30" s="34">
        <v>10696</v>
      </c>
      <c r="DI30" s="34">
        <v>64980</v>
      </c>
      <c r="DJ30" s="34">
        <v>2540</v>
      </c>
      <c r="DK30" s="34">
        <v>-21825</v>
      </c>
      <c r="DL30" s="34">
        <v>10988</v>
      </c>
      <c r="DM30" s="34">
        <v>78239</v>
      </c>
      <c r="DN30" s="34">
        <v>914</v>
      </c>
      <c r="DO30" s="34">
        <v>-21660</v>
      </c>
      <c r="DP30" s="34">
        <v>11029</v>
      </c>
      <c r="DQ30" s="34">
        <v>94793</v>
      </c>
      <c r="DR30" s="34">
        <v>10113</v>
      </c>
      <c r="DS30" s="34">
        <v>-8701</v>
      </c>
      <c r="DT30" s="34">
        <v>10940</v>
      </c>
      <c r="DU30" s="34">
        <v>98399</v>
      </c>
      <c r="DV30" s="34">
        <v>13560</v>
      </c>
      <c r="DW30" s="34">
        <v>-12013</v>
      </c>
      <c r="DX30" s="34">
        <v>11091</v>
      </c>
      <c r="DY30" s="34">
        <v>97433</v>
      </c>
      <c r="DZ30" s="34">
        <v>19012</v>
      </c>
      <c r="EA30" s="34">
        <v>-18865</v>
      </c>
      <c r="EB30" s="34">
        <v>11723</v>
      </c>
      <c r="EC30" s="34">
        <v>93865</v>
      </c>
      <c r="ED30" s="34">
        <v>225830.30174595877</v>
      </c>
      <c r="EE30" s="34">
        <v>3302.5381239982303</v>
      </c>
      <c r="EF30" s="34">
        <v>229578.87425093303</v>
      </c>
      <c r="EG30" s="34">
        <v>3244.0087255896242</v>
      </c>
      <c r="EH30" s="34">
        <v>237327.29202301483</v>
      </c>
      <c r="EI30" s="34">
        <v>7946.3749615270126</v>
      </c>
      <c r="EJ30" s="34">
        <v>252229.24687128406</v>
      </c>
      <c r="EK30" s="34">
        <v>-7797.8650224614976</v>
      </c>
      <c r="EL30" s="34">
        <v>261434</v>
      </c>
      <c r="EM30" s="34">
        <v>-4947</v>
      </c>
      <c r="EN30" s="34">
        <v>271153</v>
      </c>
      <c r="EO30" s="34">
        <v>686</v>
      </c>
      <c r="EP30" s="34">
        <v>283689</v>
      </c>
      <c r="EQ30" s="34">
        <v>-5289</v>
      </c>
      <c r="ER30" s="34">
        <v>290695</v>
      </c>
      <c r="ES30" s="34">
        <v>-8239</v>
      </c>
      <c r="ET30" s="34">
        <v>297602</v>
      </c>
      <c r="EU30" s="34">
        <v>3028</v>
      </c>
      <c r="EV30" s="34">
        <v>306218</v>
      </c>
      <c r="EW30" s="34">
        <v>6562</v>
      </c>
      <c r="EX30" s="34">
        <v>330526</v>
      </c>
      <c r="EY30" s="34">
        <v>10221</v>
      </c>
      <c r="EZ30" s="34">
        <v>24591</v>
      </c>
      <c r="FA30" s="34">
        <v>34736</v>
      </c>
      <c r="FB30" s="34">
        <v>54960</v>
      </c>
      <c r="FC30" s="34">
        <v>143930</v>
      </c>
      <c r="FD30" s="34">
        <v>145899</v>
      </c>
      <c r="FE30" s="34">
        <v>68430</v>
      </c>
      <c r="FF30" s="34">
        <v>5534</v>
      </c>
      <c r="FG30" s="34">
        <v>117980</v>
      </c>
      <c r="FH30" s="34">
        <v>15195</v>
      </c>
      <c r="FI30" s="34">
        <v>10753</v>
      </c>
      <c r="FJ30" s="34">
        <v>22053</v>
      </c>
      <c r="FK30" s="34">
        <v>-14949</v>
      </c>
      <c r="FL30" s="34">
        <v>11347</v>
      </c>
      <c r="FM30" s="34">
        <v>93332</v>
      </c>
      <c r="FN30" s="34">
        <v>14949</v>
      </c>
      <c r="FO30" s="34">
        <v>337193</v>
      </c>
      <c r="FP30" s="34">
        <v>11667</v>
      </c>
      <c r="FQ30" s="34">
        <v>54445</v>
      </c>
      <c r="FR30" s="34">
        <v>144506</v>
      </c>
      <c r="FS30" s="34">
        <v>160543</v>
      </c>
      <c r="FT30" s="34">
        <v>74440</v>
      </c>
      <c r="FU30" s="34">
        <v>4424</v>
      </c>
      <c r="FV30" s="34">
        <v>114276</v>
      </c>
      <c r="FW30" s="34">
        <v>17966</v>
      </c>
      <c r="FX30" s="34">
        <v>12264</v>
      </c>
      <c r="FY30" s="34">
        <v>29306</v>
      </c>
      <c r="FZ30" s="34">
        <v>-18415</v>
      </c>
      <c r="GA30" s="34">
        <v>11920</v>
      </c>
      <c r="GB30" s="34">
        <v>89765</v>
      </c>
      <c r="GC30" s="34">
        <v>18415</v>
      </c>
      <c r="GD30" s="34">
        <v>351988</v>
      </c>
      <c r="GE30" s="34">
        <v>16340</v>
      </c>
      <c r="GF30" s="34">
        <v>64300</v>
      </c>
      <c r="GG30" s="57">
        <v>673.25</v>
      </c>
      <c r="GH30" s="34">
        <v>53797</v>
      </c>
      <c r="GI30" s="34">
        <v>144602</v>
      </c>
      <c r="GJ30">
        <v>162558</v>
      </c>
      <c r="GK30">
        <v>80618</v>
      </c>
      <c r="GL30">
        <v>2612</v>
      </c>
      <c r="GM30">
        <v>115047</v>
      </c>
      <c r="GN30">
        <v>17271</v>
      </c>
      <c r="GO30">
        <v>12284</v>
      </c>
      <c r="GP30">
        <v>13502</v>
      </c>
      <c r="GQ30">
        <v>-30755</v>
      </c>
      <c r="GR30">
        <v>12336</v>
      </c>
      <c r="GS30">
        <v>96737</v>
      </c>
      <c r="GT30">
        <v>30755</v>
      </c>
      <c r="GU30">
        <v>374876</v>
      </c>
      <c r="GV30">
        <v>266</v>
      </c>
      <c r="GW30" s="34">
        <v>53136</v>
      </c>
      <c r="GX30" s="34">
        <v>144414</v>
      </c>
      <c r="GY30">
        <v>172565</v>
      </c>
      <c r="GZ30">
        <v>84312</v>
      </c>
      <c r="HA30">
        <v>3938</v>
      </c>
      <c r="HB30">
        <v>120509</v>
      </c>
      <c r="HC30">
        <v>10766</v>
      </c>
      <c r="HD30">
        <v>13139</v>
      </c>
      <c r="HE30">
        <v>6941</v>
      </c>
      <c r="HF30">
        <v>-28382</v>
      </c>
      <c r="HG30">
        <v>13264</v>
      </c>
      <c r="HH30">
        <v>108912</v>
      </c>
      <c r="HI30">
        <v>28382</v>
      </c>
      <c r="HJ30">
        <v>395230</v>
      </c>
      <c r="HK30">
        <v>-5082</v>
      </c>
      <c r="HL30">
        <v>59601</v>
      </c>
      <c r="HM30" s="57">
        <v>19.992647058823529</v>
      </c>
      <c r="HN30" s="190">
        <v>13338.648071809519</v>
      </c>
      <c r="HO30" s="34">
        <v>16454.833973288391</v>
      </c>
      <c r="HP30" s="34">
        <v>32038.118111653246</v>
      </c>
      <c r="HQ30" s="34">
        <v>26351.51613006309</v>
      </c>
      <c r="HR30">
        <v>21969</v>
      </c>
      <c r="HS30">
        <v>20746</v>
      </c>
      <c r="HT30">
        <v>20935</v>
      </c>
      <c r="HU30">
        <v>12327</v>
      </c>
      <c r="HV30">
        <v>16880</v>
      </c>
      <c r="HW30">
        <v>24591</v>
      </c>
      <c r="HX30">
        <v>34736</v>
      </c>
      <c r="HY30">
        <v>47913</v>
      </c>
      <c r="HZ30">
        <v>64300</v>
      </c>
      <c r="IA30" s="34">
        <v>64576</v>
      </c>
      <c r="IB30">
        <v>59601</v>
      </c>
      <c r="IC30">
        <v>123762</v>
      </c>
      <c r="ID30">
        <v>139164</v>
      </c>
      <c r="IE30">
        <v>152946</v>
      </c>
      <c r="IF30" s="57">
        <v>18.397058823529413</v>
      </c>
      <c r="IG30" s="57">
        <v>18.389705882352942</v>
      </c>
      <c r="IH30" s="57">
        <v>18.5</v>
      </c>
      <c r="II30" s="57">
        <v>18.514705882352942</v>
      </c>
      <c r="IJ30" s="57">
        <v>18.639705882352942</v>
      </c>
      <c r="IK30" s="57">
        <v>18.823529411764707</v>
      </c>
      <c r="IL30" s="57">
        <v>18.845588235294116</v>
      </c>
      <c r="IM30" s="57">
        <v>18.911764705882351</v>
      </c>
      <c r="IN30" s="57">
        <v>19.036764705882351</v>
      </c>
      <c r="IO30" s="57">
        <v>19.264705882352942</v>
      </c>
      <c r="IP30" s="57">
        <v>19.470588235294116</v>
      </c>
      <c r="IQ30" s="57">
        <v>19.551470588235293</v>
      </c>
      <c r="IR30" s="57">
        <v>19.801470588235293</v>
      </c>
      <c r="IS30" s="57">
        <v>19.808823529411764</v>
      </c>
      <c r="IT30" s="57">
        <v>19.992647058823529</v>
      </c>
      <c r="IU30" s="57">
        <v>20.242647058823529</v>
      </c>
      <c r="IV30" s="57">
        <v>20.544117647058822</v>
      </c>
      <c r="IW30" s="57">
        <v>20.779411764705884</v>
      </c>
      <c r="IX30">
        <v>52537</v>
      </c>
      <c r="IY30">
        <v>85426</v>
      </c>
      <c r="IZ30">
        <v>404906</v>
      </c>
      <c r="JA30" s="34">
        <v>308944</v>
      </c>
      <c r="JB30" s="34">
        <v>177413</v>
      </c>
      <c r="JC30">
        <v>2930</v>
      </c>
      <c r="JD30">
        <v>13618</v>
      </c>
      <c r="JE30">
        <v>15264</v>
      </c>
      <c r="JF30">
        <v>-35812</v>
      </c>
      <c r="JG30">
        <v>-1508</v>
      </c>
      <c r="JH30">
        <v>-957</v>
      </c>
      <c r="JI30" s="34">
        <v>126706</v>
      </c>
      <c r="JJ30" s="173">
        <v>13530</v>
      </c>
      <c r="JK30" s="34">
        <v>14236</v>
      </c>
      <c r="JL30">
        <v>129826</v>
      </c>
      <c r="JM30">
        <v>51999</v>
      </c>
      <c r="JN30">
        <v>85093</v>
      </c>
      <c r="JO30" s="173">
        <v>405005</v>
      </c>
      <c r="JP30" s="34">
        <v>323310</v>
      </c>
      <c r="JQ30" s="34">
        <v>179997</v>
      </c>
      <c r="JR30" s="34">
        <v>3905</v>
      </c>
      <c r="JS30" s="173">
        <v>22578</v>
      </c>
      <c r="JT30">
        <v>15898</v>
      </c>
      <c r="JU30">
        <v>-29185</v>
      </c>
      <c r="JV30" s="173">
        <v>7656</v>
      </c>
      <c r="JW30" s="34">
        <v>129564</v>
      </c>
      <c r="JX30" s="173">
        <v>15350</v>
      </c>
      <c r="JY30" s="34">
        <v>16741</v>
      </c>
      <c r="JZ30">
        <v>140351</v>
      </c>
      <c r="KA30">
        <v>51109</v>
      </c>
      <c r="KB30">
        <v>82483</v>
      </c>
      <c r="KC30" s="173">
        <v>403996</v>
      </c>
      <c r="KD30" s="34">
        <v>335574</v>
      </c>
      <c r="KE30" s="34">
        <v>175760</v>
      </c>
      <c r="KF30" s="34">
        <v>3998</v>
      </c>
      <c r="KG30" s="173">
        <v>22646</v>
      </c>
      <c r="KH30">
        <v>17400</v>
      </c>
      <c r="KI30" s="173">
        <v>-22511</v>
      </c>
      <c r="KJ30" s="173">
        <v>5938</v>
      </c>
      <c r="KK30" s="34">
        <v>132494</v>
      </c>
      <c r="KL30" s="173">
        <v>17570</v>
      </c>
      <c r="KM30" s="34">
        <v>17723</v>
      </c>
      <c r="KN30">
        <v>148447</v>
      </c>
      <c r="KO30">
        <v>50592</v>
      </c>
      <c r="KP30">
        <v>164380</v>
      </c>
      <c r="KQ30">
        <v>178472</v>
      </c>
      <c r="KR30">
        <v>80294</v>
      </c>
      <c r="KS30">
        <v>8218</v>
      </c>
      <c r="KT30">
        <v>129564</v>
      </c>
      <c r="KU30">
        <v>16320</v>
      </c>
      <c r="KV30">
        <v>18496</v>
      </c>
      <c r="KW30">
        <v>19495</v>
      </c>
      <c r="KX30">
        <v>-12486</v>
      </c>
      <c r="KY30">
        <v>19904</v>
      </c>
      <c r="KZ30">
        <v>151083</v>
      </c>
      <c r="LA30">
        <v>404776</v>
      </c>
      <c r="LB30">
        <v>6339</v>
      </c>
      <c r="LC30">
        <v>84539</v>
      </c>
      <c r="LD30" s="57">
        <v>20.955882352941178</v>
      </c>
      <c r="LE30">
        <v>49819</v>
      </c>
      <c r="LF30" s="34">
        <v>169002</v>
      </c>
      <c r="LG30" s="34">
        <v>176672</v>
      </c>
      <c r="LH30">
        <v>79629</v>
      </c>
      <c r="LI30" s="173">
        <v>2743</v>
      </c>
      <c r="LJ30" s="34">
        <v>131052</v>
      </c>
      <c r="LK30" s="173">
        <v>19171</v>
      </c>
      <c r="LL30" s="34">
        <v>18779</v>
      </c>
      <c r="LM30" s="173">
        <v>27356</v>
      </c>
      <c r="LN30" s="173">
        <v>-19502</v>
      </c>
      <c r="LO30">
        <v>18213</v>
      </c>
      <c r="LP30">
        <v>151463</v>
      </c>
      <c r="LQ30" s="173">
        <v>399338</v>
      </c>
      <c r="LR30" s="173">
        <v>10344</v>
      </c>
      <c r="LS30" s="173">
        <v>94958</v>
      </c>
      <c r="LT30" s="57">
        <v>21.051470588235293</v>
      </c>
      <c r="LU30">
        <v>48871</v>
      </c>
      <c r="LV30" s="34">
        <v>164283</v>
      </c>
      <c r="LW30" s="34">
        <v>172786</v>
      </c>
      <c r="LX30" s="172">
        <v>81337</v>
      </c>
      <c r="LY30" s="173">
        <v>1840</v>
      </c>
      <c r="LZ30" s="34">
        <v>126068</v>
      </c>
      <c r="MA30" s="173">
        <v>18305</v>
      </c>
      <c r="MB30" s="34">
        <v>19910</v>
      </c>
      <c r="MC30" s="173">
        <v>9139</v>
      </c>
      <c r="MD30" s="34">
        <v>-13764</v>
      </c>
      <c r="ME30">
        <v>17909</v>
      </c>
      <c r="MF30">
        <v>145108</v>
      </c>
      <c r="MG30" s="173">
        <v>410495</v>
      </c>
      <c r="MH30" s="173">
        <v>-7881</v>
      </c>
      <c r="MI30" s="173">
        <v>87195</v>
      </c>
      <c r="MJ30" s="57">
        <v>21.147058823529413</v>
      </c>
    </row>
    <row r="31" spans="1:348" x14ac:dyDescent="0.2">
      <c r="A31" t="s">
        <v>104</v>
      </c>
      <c r="B31" s="34">
        <v>1774576</v>
      </c>
      <c r="C31" s="34">
        <v>1794621</v>
      </c>
      <c r="D31" s="34">
        <v>1813161</v>
      </c>
      <c r="E31" s="34">
        <v>1831953</v>
      </c>
      <c r="F31" s="34">
        <v>1845870</v>
      </c>
      <c r="G31" s="34">
        <v>1856250</v>
      </c>
      <c r="H31" s="34">
        <v>1866684</v>
      </c>
      <c r="I31" s="34">
        <v>1880147</v>
      </c>
      <c r="J31" s="34">
        <v>1895534</v>
      </c>
      <c r="K31" s="34">
        <v>1911102</v>
      </c>
      <c r="L31" s="34">
        <v>1930948</v>
      </c>
      <c r="M31" s="34">
        <v>4865124</v>
      </c>
      <c r="N31" s="34">
        <v>541960</v>
      </c>
      <c r="O31" s="34">
        <v>2201233</v>
      </c>
      <c r="P31" s="34">
        <v>175512.00609513049</v>
      </c>
      <c r="Q31" s="34">
        <v>4999940</v>
      </c>
      <c r="R31" s="34">
        <v>522495</v>
      </c>
      <c r="S31" s="34">
        <v>2283726</v>
      </c>
      <c r="T31" s="34">
        <v>163919.31688791787</v>
      </c>
      <c r="U31" s="34">
        <v>5689751</v>
      </c>
      <c r="V31" s="34">
        <v>515294</v>
      </c>
      <c r="W31" s="34">
        <v>2479261</v>
      </c>
      <c r="X31" s="34">
        <v>171294.02108740219</v>
      </c>
      <c r="Y31" s="34">
        <v>6134409</v>
      </c>
      <c r="Z31" s="34">
        <v>477344</v>
      </c>
      <c r="AA31" s="34">
        <v>2636929</v>
      </c>
      <c r="AB31" s="34">
        <v>189592.36292263528</v>
      </c>
      <c r="AC31" s="34">
        <v>5871415</v>
      </c>
      <c r="AD31" s="34">
        <v>426503</v>
      </c>
      <c r="AE31" s="34">
        <v>2826854</v>
      </c>
      <c r="AF31" s="34">
        <v>172991</v>
      </c>
      <c r="AG31" s="34">
        <v>5666906</v>
      </c>
      <c r="AH31" s="34">
        <v>616754</v>
      </c>
      <c r="AI31" s="34">
        <v>3061777</v>
      </c>
      <c r="AJ31" s="34">
        <v>298906</v>
      </c>
      <c r="AK31" s="34">
        <v>5693830</v>
      </c>
      <c r="AL31" s="34">
        <v>814909</v>
      </c>
      <c r="AM31" s="34">
        <v>3247107</v>
      </c>
      <c r="AN31" s="34">
        <v>307118</v>
      </c>
      <c r="AO31" s="34">
        <v>5960886</v>
      </c>
      <c r="AP31" s="34">
        <v>972651</v>
      </c>
      <c r="AQ31" s="34">
        <v>2884944</v>
      </c>
      <c r="AR31" s="34">
        <v>443363</v>
      </c>
      <c r="AS31" s="34">
        <v>6332461</v>
      </c>
      <c r="AT31" s="34">
        <v>1123440</v>
      </c>
      <c r="AU31" s="34">
        <v>3535539</v>
      </c>
      <c r="AV31" s="34">
        <v>806088</v>
      </c>
      <c r="AW31" s="34">
        <v>6809548</v>
      </c>
      <c r="AX31" s="34">
        <v>1178074</v>
      </c>
      <c r="AY31" s="34">
        <v>3570006</v>
      </c>
      <c r="AZ31" s="34">
        <v>463907</v>
      </c>
      <c r="BA31" s="34">
        <v>7270728</v>
      </c>
      <c r="BB31" s="34">
        <v>1304222</v>
      </c>
      <c r="BC31" s="34">
        <v>3902927</v>
      </c>
      <c r="BD31" s="34">
        <v>331517</v>
      </c>
      <c r="BE31" s="34">
        <v>3617837.6751046549</v>
      </c>
      <c r="BF31" s="34">
        <v>1034376.7712291003</v>
      </c>
      <c r="BG31" s="34">
        <v>210559.00621118012</v>
      </c>
      <c r="BH31" s="34">
        <v>3725599.3797229277</v>
      </c>
      <c r="BI31" s="34">
        <v>1042405.8946504466</v>
      </c>
      <c r="BJ31" s="34">
        <v>229554.48700159608</v>
      </c>
      <c r="BK31" s="34">
        <v>4014628.4812798426</v>
      </c>
      <c r="BL31" s="34">
        <v>1420249.1535942601</v>
      </c>
      <c r="BM31" s="34">
        <v>252483.71520402035</v>
      </c>
      <c r="BN31" s="34">
        <v>4526913</v>
      </c>
      <c r="BO31" s="34">
        <v>1338757</v>
      </c>
      <c r="BP31" s="34">
        <v>266479</v>
      </c>
      <c r="BQ31" s="34">
        <v>4855717</v>
      </c>
      <c r="BR31" s="34">
        <v>736000</v>
      </c>
      <c r="BS31" s="34">
        <v>277556</v>
      </c>
      <c r="BT31" s="34">
        <v>4848743</v>
      </c>
      <c r="BU31" s="34">
        <v>523518</v>
      </c>
      <c r="BV31" s="34">
        <v>292593</v>
      </c>
      <c r="BW31" s="34">
        <v>4841815</v>
      </c>
      <c r="BX31" s="34">
        <v>540271</v>
      </c>
      <c r="BY31" s="34">
        <v>309783</v>
      </c>
      <c r="BZ31" s="34">
        <v>5043802</v>
      </c>
      <c r="CA31" s="34">
        <v>588987</v>
      </c>
      <c r="CB31" s="34">
        <v>326217</v>
      </c>
      <c r="CC31" s="34">
        <v>5376491</v>
      </c>
      <c r="CD31" s="34">
        <v>612435</v>
      </c>
      <c r="CE31" s="34">
        <v>341741</v>
      </c>
      <c r="CF31" s="34">
        <v>5710132</v>
      </c>
      <c r="CG31" s="34">
        <v>714484</v>
      </c>
      <c r="CH31" s="34">
        <v>383229</v>
      </c>
      <c r="CI31" s="34">
        <v>6114885</v>
      </c>
      <c r="CJ31" s="34">
        <v>754397</v>
      </c>
      <c r="CK31" s="34">
        <v>400437</v>
      </c>
      <c r="CL31" s="34">
        <v>795420.57913830597</v>
      </c>
      <c r="CM31" s="34">
        <v>-776709.33596599998</v>
      </c>
      <c r="CN31" s="34">
        <v>502054.92008550669</v>
      </c>
      <c r="CO31" s="34">
        <v>1434068</v>
      </c>
      <c r="CP31" s="34">
        <v>754848.26926214283</v>
      </c>
      <c r="CQ31" s="34">
        <v>-696652.72388329997</v>
      </c>
      <c r="CR31" s="34">
        <v>541235.8112460539</v>
      </c>
      <c r="CS31" s="34">
        <v>1305822</v>
      </c>
      <c r="CT31" s="34">
        <v>1091923.111207539</v>
      </c>
      <c r="CU31" s="34">
        <v>-799532.94211210008</v>
      </c>
      <c r="CV31" s="34">
        <v>569009.35629434895</v>
      </c>
      <c r="CW31" s="34">
        <v>1109011</v>
      </c>
      <c r="CX31" s="34">
        <v>999954.08469607576</v>
      </c>
      <c r="CY31" s="34">
        <v>-1141734</v>
      </c>
      <c r="CZ31" s="34">
        <v>571297.21665800503</v>
      </c>
      <c r="DA31" s="34">
        <v>1076796</v>
      </c>
      <c r="DB31" s="34">
        <v>723459</v>
      </c>
      <c r="DC31" s="34">
        <v>-1063762</v>
      </c>
      <c r="DD31" s="34">
        <v>636510</v>
      </c>
      <c r="DE31" s="34">
        <v>1485171</v>
      </c>
      <c r="DF31" s="34">
        <v>639694</v>
      </c>
      <c r="DG31" s="34">
        <v>-934127</v>
      </c>
      <c r="DH31" s="34">
        <v>671119</v>
      </c>
      <c r="DI31" s="34">
        <v>1938456</v>
      </c>
      <c r="DJ31" s="34">
        <v>710163</v>
      </c>
      <c r="DK31" s="34">
        <v>-932754</v>
      </c>
      <c r="DL31" s="34">
        <v>709434</v>
      </c>
      <c r="DM31" s="34">
        <v>2258462</v>
      </c>
      <c r="DN31" s="34">
        <v>717928</v>
      </c>
      <c r="DO31" s="34">
        <v>-598404</v>
      </c>
      <c r="DP31" s="34">
        <v>728827</v>
      </c>
      <c r="DQ31" s="34">
        <v>2527538</v>
      </c>
      <c r="DR31" s="34">
        <v>1029200</v>
      </c>
      <c r="DS31" s="34">
        <v>-184982</v>
      </c>
      <c r="DT31" s="34">
        <v>726061</v>
      </c>
      <c r="DU31" s="34">
        <v>2629695</v>
      </c>
      <c r="DV31" s="34">
        <v>1166096</v>
      </c>
      <c r="DW31" s="34">
        <v>-1099218</v>
      </c>
      <c r="DX31" s="34">
        <v>739896</v>
      </c>
      <c r="DY31" s="34">
        <v>2822263</v>
      </c>
      <c r="DZ31" s="34">
        <v>1020269</v>
      </c>
      <c r="EA31" s="34">
        <v>-1098142</v>
      </c>
      <c r="EB31" s="34">
        <v>789366</v>
      </c>
      <c r="EC31" s="34">
        <v>2831716</v>
      </c>
      <c r="ED31" s="34">
        <v>6560306.3038516724</v>
      </c>
      <c r="EE31" s="34">
        <v>176235.88693062082</v>
      </c>
      <c r="EF31" s="34">
        <v>6843451.3508013319</v>
      </c>
      <c r="EG31" s="34">
        <v>192278.32410822556</v>
      </c>
      <c r="EH31" s="34">
        <v>7389542.0747326231</v>
      </c>
      <c r="EI31" s="34">
        <v>444828.64173112472</v>
      </c>
      <c r="EJ31" s="34">
        <v>8042919.7087657852</v>
      </c>
      <c r="EK31" s="34">
        <v>353266.29362584569</v>
      </c>
      <c r="EL31" s="34">
        <v>8498703</v>
      </c>
      <c r="EM31" s="34">
        <v>197075</v>
      </c>
      <c r="EN31" s="34">
        <v>8798255</v>
      </c>
      <c r="EO31" s="34">
        <v>77202</v>
      </c>
      <c r="EP31" s="34">
        <v>9161572</v>
      </c>
      <c r="EQ31" s="34">
        <v>138430</v>
      </c>
      <c r="ER31" s="34">
        <v>9502343</v>
      </c>
      <c r="ES31" s="34">
        <v>237068</v>
      </c>
      <c r="ET31" s="34">
        <v>10078463</v>
      </c>
      <c r="EU31" s="34">
        <v>422881</v>
      </c>
      <c r="EV31" s="34">
        <v>10530224</v>
      </c>
      <c r="EW31" s="34">
        <v>404883</v>
      </c>
      <c r="EX31" s="34">
        <v>11466823</v>
      </c>
      <c r="EY31" s="34">
        <v>503460</v>
      </c>
      <c r="EZ31" s="34">
        <v>3055001</v>
      </c>
      <c r="FA31" s="34">
        <v>3724836</v>
      </c>
      <c r="FB31" s="34">
        <v>1952779</v>
      </c>
      <c r="FC31" s="34">
        <v>7267384</v>
      </c>
      <c r="FD31" s="34">
        <v>1375632</v>
      </c>
      <c r="FE31" s="34">
        <v>3754846</v>
      </c>
      <c r="FF31" s="34">
        <v>321106</v>
      </c>
      <c r="FG31" s="34">
        <v>6270151</v>
      </c>
      <c r="FH31" s="34">
        <v>575863</v>
      </c>
      <c r="FI31" s="34">
        <v>420644</v>
      </c>
      <c r="FJ31" s="34">
        <v>818213</v>
      </c>
      <c r="FK31" s="34">
        <v>-1237359</v>
      </c>
      <c r="FL31" s="34">
        <v>819485</v>
      </c>
      <c r="FM31" s="34">
        <v>3436304</v>
      </c>
      <c r="FN31" s="34">
        <v>1237359</v>
      </c>
      <c r="FO31" s="34">
        <v>11785672</v>
      </c>
      <c r="FP31" s="34">
        <v>116938</v>
      </c>
      <c r="FQ31" s="34">
        <v>1972270</v>
      </c>
      <c r="FR31" s="34">
        <v>7648640</v>
      </c>
      <c r="FS31" s="34">
        <v>1579743</v>
      </c>
      <c r="FT31" s="34">
        <v>3863859</v>
      </c>
      <c r="FU31" s="34">
        <v>1289064</v>
      </c>
      <c r="FV31" s="34">
        <v>6478607</v>
      </c>
      <c r="FW31" s="34">
        <v>665252</v>
      </c>
      <c r="FX31" s="34">
        <v>504102</v>
      </c>
      <c r="FY31" s="34">
        <v>1106815</v>
      </c>
      <c r="FZ31" s="34">
        <v>103138</v>
      </c>
      <c r="GA31" s="34">
        <v>829656</v>
      </c>
      <c r="GB31" s="34">
        <v>3957094</v>
      </c>
      <c r="GC31" s="34">
        <v>-103138</v>
      </c>
      <c r="GD31" s="34">
        <v>12214859</v>
      </c>
      <c r="GE31" s="34">
        <v>1373828</v>
      </c>
      <c r="GF31" s="34">
        <v>5154281</v>
      </c>
      <c r="GG31" s="57">
        <v>168.5</v>
      </c>
      <c r="GH31" s="34">
        <v>1995052</v>
      </c>
      <c r="GI31" s="34">
        <v>8035977</v>
      </c>
      <c r="GJ31">
        <v>1643877</v>
      </c>
      <c r="GK31">
        <v>4186256</v>
      </c>
      <c r="GL31">
        <v>229977</v>
      </c>
      <c r="GM31">
        <v>6709108</v>
      </c>
      <c r="GN31">
        <v>815084</v>
      </c>
      <c r="GO31">
        <v>511135</v>
      </c>
      <c r="GP31">
        <v>1127997</v>
      </c>
      <c r="GQ31">
        <v>-1308789</v>
      </c>
      <c r="GR31">
        <v>851670</v>
      </c>
      <c r="GS31">
        <v>4243349</v>
      </c>
      <c r="GT31">
        <v>1308789</v>
      </c>
      <c r="GU31">
        <v>12918021</v>
      </c>
      <c r="GV31">
        <v>342121</v>
      </c>
      <c r="GW31" s="34">
        <v>2020232</v>
      </c>
      <c r="GX31" s="34">
        <v>8143176</v>
      </c>
      <c r="GY31">
        <v>1780395</v>
      </c>
      <c r="GZ31">
        <v>4386098</v>
      </c>
      <c r="HA31">
        <v>380098</v>
      </c>
      <c r="HB31">
        <v>6979330</v>
      </c>
      <c r="HC31">
        <v>630257</v>
      </c>
      <c r="HD31">
        <v>532964</v>
      </c>
      <c r="HE31">
        <v>850561</v>
      </c>
      <c r="HF31">
        <v>-1342149</v>
      </c>
      <c r="HG31">
        <v>937992</v>
      </c>
      <c r="HH31">
        <v>4684814</v>
      </c>
      <c r="HI31">
        <v>1342149</v>
      </c>
      <c r="HJ31">
        <v>13692834</v>
      </c>
      <c r="HK31">
        <v>66707</v>
      </c>
      <c r="HL31">
        <v>4890302</v>
      </c>
      <c r="HM31" s="57">
        <v>18.944444444444443</v>
      </c>
      <c r="HN31" s="190">
        <v>305008.46826209733</v>
      </c>
      <c r="HO31" s="34">
        <v>497732.65856337245</v>
      </c>
      <c r="HP31" s="34">
        <v>975918.6845013143</v>
      </c>
      <c r="HQ31" s="34">
        <v>1345341.2785309793</v>
      </c>
      <c r="HR31">
        <v>1530999</v>
      </c>
      <c r="HS31">
        <v>1710635</v>
      </c>
      <c r="HT31">
        <v>1966890</v>
      </c>
      <c r="HU31">
        <v>2213558</v>
      </c>
      <c r="HV31">
        <v>2654441</v>
      </c>
      <c r="HW31">
        <v>3040467</v>
      </c>
      <c r="HX31">
        <v>3703798</v>
      </c>
      <c r="HY31">
        <v>3846181</v>
      </c>
      <c r="HZ31">
        <v>5154281</v>
      </c>
      <c r="IA31" s="34">
        <v>5497993</v>
      </c>
      <c r="IB31">
        <v>4890302</v>
      </c>
      <c r="IC31">
        <v>10088686</v>
      </c>
      <c r="ID31">
        <v>14118658</v>
      </c>
      <c r="IE31">
        <v>14175886</v>
      </c>
      <c r="IF31" s="57">
        <v>17.472222222222221</v>
      </c>
      <c r="IG31" s="57">
        <v>17.472222222222221</v>
      </c>
      <c r="IH31" s="57">
        <v>17.527777777777779</v>
      </c>
      <c r="II31" s="57">
        <v>17.583333333333332</v>
      </c>
      <c r="IJ31" s="57">
        <v>17.638888888888889</v>
      </c>
      <c r="IK31" s="57">
        <v>17.805555555555557</v>
      </c>
      <c r="IL31" s="57">
        <v>17.944444444444443</v>
      </c>
      <c r="IM31" s="57">
        <v>18.194444444444443</v>
      </c>
      <c r="IN31" s="57">
        <v>18.194444444444443</v>
      </c>
      <c r="IO31" s="57">
        <v>18.194444444444443</v>
      </c>
      <c r="IP31" s="57">
        <v>18.194444444444443</v>
      </c>
      <c r="IQ31" s="57">
        <v>18.194444444444443</v>
      </c>
      <c r="IR31" s="57">
        <v>18.722222222222221</v>
      </c>
      <c r="IS31" s="57">
        <v>18.888888888888889</v>
      </c>
      <c r="IT31" s="57">
        <v>18.944444444444443</v>
      </c>
      <c r="IU31" s="57">
        <v>19.027777777777779</v>
      </c>
      <c r="IV31" s="57">
        <v>19.5</v>
      </c>
      <c r="IW31" s="57">
        <v>19.5</v>
      </c>
      <c r="IX31">
        <v>2045946</v>
      </c>
      <c r="IY31">
        <v>4369564</v>
      </c>
      <c r="IZ31">
        <v>14046459</v>
      </c>
      <c r="JA31" s="34">
        <v>17300200</v>
      </c>
      <c r="JB31" s="34">
        <v>1825826</v>
      </c>
      <c r="JC31">
        <v>360264</v>
      </c>
      <c r="JD31">
        <v>1020823</v>
      </c>
      <c r="JE31">
        <v>1011849</v>
      </c>
      <c r="JF31">
        <v>-1336836</v>
      </c>
      <c r="JG31">
        <v>137432</v>
      </c>
      <c r="JH31">
        <v>149112</v>
      </c>
      <c r="JI31" s="34">
        <v>7429008</v>
      </c>
      <c r="JJ31" s="173">
        <v>652189</v>
      </c>
      <c r="JK31" s="34">
        <v>568331</v>
      </c>
      <c r="JL31">
        <v>5538394</v>
      </c>
      <c r="JM31">
        <v>2070775</v>
      </c>
      <c r="JN31">
        <v>4346087</v>
      </c>
      <c r="JO31" s="173">
        <v>14068181</v>
      </c>
      <c r="JP31" s="34">
        <v>17696984</v>
      </c>
      <c r="JQ31" s="34">
        <v>1711968</v>
      </c>
      <c r="JR31" s="34">
        <v>1850838</v>
      </c>
      <c r="JS31" s="173">
        <v>1027485</v>
      </c>
      <c r="JT31">
        <v>995772</v>
      </c>
      <c r="JU31">
        <v>-309546</v>
      </c>
      <c r="JV31" s="173">
        <v>2073913</v>
      </c>
      <c r="JW31" s="34">
        <v>7495212</v>
      </c>
      <c r="JX31" s="173">
        <v>740558</v>
      </c>
      <c r="JY31" s="34">
        <v>612183</v>
      </c>
      <c r="JZ31">
        <v>6002690</v>
      </c>
      <c r="KA31">
        <v>2095198</v>
      </c>
      <c r="KB31">
        <v>3489711</v>
      </c>
      <c r="KC31" s="173">
        <v>13790473</v>
      </c>
      <c r="KD31" s="34">
        <v>18261036</v>
      </c>
      <c r="KE31" s="34">
        <v>1784808</v>
      </c>
      <c r="KF31" s="34">
        <v>569890</v>
      </c>
      <c r="KG31" s="173">
        <v>840022</v>
      </c>
      <c r="KH31">
        <v>1005446</v>
      </c>
      <c r="KI31" s="173">
        <v>-1163293</v>
      </c>
      <c r="KJ31" s="173">
        <v>98375</v>
      </c>
      <c r="KK31" s="34">
        <v>7627048</v>
      </c>
      <c r="KL31" s="173">
        <v>845796</v>
      </c>
      <c r="KM31" s="34">
        <v>657674</v>
      </c>
      <c r="KN31">
        <v>6464799</v>
      </c>
      <c r="KO31">
        <v>2121551</v>
      </c>
      <c r="KP31">
        <v>9383236</v>
      </c>
      <c r="KQ31">
        <v>2000883</v>
      </c>
      <c r="KR31">
        <v>3554120</v>
      </c>
      <c r="KS31">
        <v>502002</v>
      </c>
      <c r="KT31">
        <v>7888598</v>
      </c>
      <c r="KU31">
        <v>814272</v>
      </c>
      <c r="KV31">
        <v>680366</v>
      </c>
      <c r="KW31">
        <v>1311819</v>
      </c>
      <c r="KX31">
        <v>-1133921</v>
      </c>
      <c r="KY31">
        <v>983285</v>
      </c>
      <c r="KZ31">
        <v>6637868</v>
      </c>
      <c r="LA31">
        <v>13872048</v>
      </c>
      <c r="LB31">
        <v>586496</v>
      </c>
      <c r="LC31">
        <v>7687334</v>
      </c>
      <c r="LD31" s="57">
        <v>19.5</v>
      </c>
      <c r="LE31">
        <v>2146645</v>
      </c>
      <c r="LF31" s="34">
        <v>9700581</v>
      </c>
      <c r="LG31" s="34">
        <v>1797004</v>
      </c>
      <c r="LH31">
        <v>3460435</v>
      </c>
      <c r="LI31" s="173">
        <v>377885</v>
      </c>
      <c r="LJ31" s="34">
        <v>7913993</v>
      </c>
      <c r="LK31" s="173">
        <v>1042101</v>
      </c>
      <c r="LL31" s="34">
        <v>744487</v>
      </c>
      <c r="LM31" s="173">
        <v>1661477</v>
      </c>
      <c r="LN31" s="173">
        <v>-1006396</v>
      </c>
      <c r="LO31">
        <v>1010451</v>
      </c>
      <c r="LP31">
        <v>6387025</v>
      </c>
      <c r="LQ31" s="173">
        <v>13598167</v>
      </c>
      <c r="LR31" s="173">
        <v>722576</v>
      </c>
      <c r="LS31" s="173">
        <v>8288579</v>
      </c>
      <c r="LT31" s="57">
        <v>19.5</v>
      </c>
      <c r="LU31">
        <v>2169897</v>
      </c>
      <c r="LV31" s="34">
        <v>9757425</v>
      </c>
      <c r="LW31" s="34">
        <v>1796565</v>
      </c>
      <c r="LX31" s="172">
        <v>3447076</v>
      </c>
      <c r="LY31" s="173">
        <v>277369</v>
      </c>
      <c r="LZ31" s="34">
        <v>7913897</v>
      </c>
      <c r="MA31" s="173">
        <v>1069036</v>
      </c>
      <c r="MB31" s="34">
        <v>774492</v>
      </c>
      <c r="MC31" s="173">
        <v>1298613</v>
      </c>
      <c r="MD31" s="34">
        <v>-1274369</v>
      </c>
      <c r="ME31">
        <v>1004806</v>
      </c>
      <c r="MF31">
        <v>6428235</v>
      </c>
      <c r="MG31" s="173">
        <v>13964168</v>
      </c>
      <c r="MH31" s="173">
        <v>332212</v>
      </c>
      <c r="MI31" s="173">
        <v>8560085</v>
      </c>
      <c r="MJ31" s="57">
        <v>19.5</v>
      </c>
    </row>
    <row r="32" spans="1:348" x14ac:dyDescent="0.2">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57"/>
      <c r="GH32" s="34"/>
      <c r="GI32" s="34"/>
      <c r="GW32" s="34"/>
      <c r="GX32" s="34"/>
      <c r="HM32" s="57"/>
    </row>
    <row r="33" spans="1:348" x14ac:dyDescent="0.2">
      <c r="B33" s="34">
        <f>SUM(B25:B32)</f>
        <v>5132206</v>
      </c>
      <c r="C33" s="34">
        <f t="shared" ref="C33:BN33" si="4">SUM(C25:C32)</f>
        <v>5143799</v>
      </c>
      <c r="D33" s="34">
        <f t="shared" si="4"/>
        <v>5153542</v>
      </c>
      <c r="E33" s="34">
        <f t="shared" si="4"/>
        <v>5167133</v>
      </c>
      <c r="F33" s="34">
        <f t="shared" si="4"/>
        <v>5178310</v>
      </c>
      <c r="G33" s="34">
        <f t="shared" si="4"/>
        <v>5191651</v>
      </c>
      <c r="H33" s="34">
        <f t="shared" si="4"/>
        <v>5208378</v>
      </c>
      <c r="I33" s="34">
        <f t="shared" si="4"/>
        <v>5227141</v>
      </c>
      <c r="J33" s="34">
        <f t="shared" si="4"/>
        <v>5248388</v>
      </c>
      <c r="K33" s="34">
        <f t="shared" si="4"/>
        <v>5273331</v>
      </c>
      <c r="L33" s="34">
        <f t="shared" si="4"/>
        <v>5298858</v>
      </c>
      <c r="M33" s="34">
        <f t="shared" si="4"/>
        <v>11732281</v>
      </c>
      <c r="N33" s="34">
        <f t="shared" si="4"/>
        <v>3162541</v>
      </c>
      <c r="O33" s="34">
        <f t="shared" si="4"/>
        <v>4502467</v>
      </c>
      <c r="P33" s="34">
        <f t="shared" si="4"/>
        <v>373008.52880975092</v>
      </c>
      <c r="Q33" s="34">
        <f t="shared" si="4"/>
        <v>12042296</v>
      </c>
      <c r="R33" s="34">
        <f t="shared" si="4"/>
        <v>3170805</v>
      </c>
      <c r="S33" s="34">
        <f t="shared" si="4"/>
        <v>4629908</v>
      </c>
      <c r="T33" s="34">
        <f t="shared" si="4"/>
        <v>397443.2071419321</v>
      </c>
      <c r="U33" s="34">
        <f t="shared" si="4"/>
        <v>12851678</v>
      </c>
      <c r="V33" s="34">
        <f t="shared" si="4"/>
        <v>3327137</v>
      </c>
      <c r="W33" s="34">
        <f t="shared" si="4"/>
        <v>4910875</v>
      </c>
      <c r="X33" s="34">
        <f t="shared" si="4"/>
        <v>367140.62024343514</v>
      </c>
      <c r="Y33" s="34">
        <f t="shared" si="4"/>
        <v>14030498</v>
      </c>
      <c r="Z33" s="34">
        <f t="shared" si="4"/>
        <v>3643742</v>
      </c>
      <c r="AA33" s="34">
        <f t="shared" si="4"/>
        <v>5165160</v>
      </c>
      <c r="AB33" s="34">
        <f t="shared" si="4"/>
        <v>377961.3268681895</v>
      </c>
      <c r="AC33" s="34">
        <f t="shared" si="4"/>
        <v>14006292</v>
      </c>
      <c r="AD33" s="34">
        <f t="shared" si="4"/>
        <v>3866902</v>
      </c>
      <c r="AE33" s="34">
        <f t="shared" si="4"/>
        <v>5484635</v>
      </c>
      <c r="AF33" s="34">
        <f t="shared" si="4"/>
        <v>335566</v>
      </c>
      <c r="AG33" s="34">
        <f t="shared" si="4"/>
        <v>13435545</v>
      </c>
      <c r="AH33" s="34">
        <f t="shared" si="4"/>
        <v>4263572</v>
      </c>
      <c r="AI33" s="34">
        <f t="shared" si="4"/>
        <v>5828453</v>
      </c>
      <c r="AJ33" s="34">
        <f t="shared" si="4"/>
        <v>595616</v>
      </c>
      <c r="AK33" s="34">
        <f t="shared" si="4"/>
        <v>13608134</v>
      </c>
      <c r="AL33" s="34">
        <f t="shared" si="4"/>
        <v>4710841</v>
      </c>
      <c r="AM33" s="34">
        <f t="shared" si="4"/>
        <v>6160562</v>
      </c>
      <c r="AN33" s="34">
        <f t="shared" si="4"/>
        <v>539602</v>
      </c>
      <c r="AO33" s="34">
        <f t="shared" si="4"/>
        <v>14179422</v>
      </c>
      <c r="AP33" s="34">
        <f t="shared" si="4"/>
        <v>5044830</v>
      </c>
      <c r="AQ33" s="34">
        <f t="shared" si="4"/>
        <v>5888324</v>
      </c>
      <c r="AR33" s="34">
        <f t="shared" si="4"/>
        <v>730499</v>
      </c>
      <c r="AS33" s="34">
        <f t="shared" si="4"/>
        <v>15085563</v>
      </c>
      <c r="AT33" s="34">
        <f t="shared" si="4"/>
        <v>5470838</v>
      </c>
      <c r="AU33" s="34">
        <f t="shared" si="4"/>
        <v>6743835</v>
      </c>
      <c r="AV33" s="34">
        <f t="shared" si="4"/>
        <v>1092941</v>
      </c>
      <c r="AW33" s="34">
        <f t="shared" si="4"/>
        <v>16221207</v>
      </c>
      <c r="AX33" s="34">
        <f t="shared" si="4"/>
        <v>5729834</v>
      </c>
      <c r="AY33" s="34">
        <f t="shared" si="4"/>
        <v>6965402</v>
      </c>
      <c r="AZ33" s="34">
        <f t="shared" si="4"/>
        <v>748304</v>
      </c>
      <c r="BA33" s="34">
        <f t="shared" si="4"/>
        <v>17446352</v>
      </c>
      <c r="BB33" s="34">
        <f t="shared" si="4"/>
        <v>6388223</v>
      </c>
      <c r="BC33" s="34">
        <f t="shared" si="4"/>
        <v>7490452</v>
      </c>
      <c r="BD33" s="34">
        <f t="shared" si="4"/>
        <v>516980</v>
      </c>
      <c r="BE33" s="34">
        <f t="shared" si="4"/>
        <v>9211187.3563044406</v>
      </c>
      <c r="BF33" s="34">
        <f t="shared" si="4"/>
        <v>2057696.6999846946</v>
      </c>
      <c r="BG33" s="34">
        <f t="shared" si="4"/>
        <v>458985.69225309591</v>
      </c>
      <c r="BH33" s="34">
        <f t="shared" si="4"/>
        <v>9449733.6744184494</v>
      </c>
      <c r="BI33" s="34">
        <f t="shared" si="4"/>
        <v>2070163.4618457281</v>
      </c>
      <c r="BJ33" s="34">
        <f t="shared" si="4"/>
        <v>518035.12773032073</v>
      </c>
      <c r="BK33" s="34">
        <f t="shared" si="4"/>
        <v>9627548.0050389096</v>
      </c>
      <c r="BL33" s="34">
        <f t="shared" si="4"/>
        <v>2651599.046710833</v>
      </c>
      <c r="BM33" s="34">
        <f t="shared" si="4"/>
        <v>568250.15599430178</v>
      </c>
      <c r="BN33" s="34">
        <f t="shared" si="4"/>
        <v>10988695</v>
      </c>
      <c r="BO33" s="34">
        <f t="shared" ref="BO33:DZ33" si="5">SUM(BO25:BO32)</f>
        <v>2434376</v>
      </c>
      <c r="BP33" s="34">
        <f t="shared" si="5"/>
        <v>603534</v>
      </c>
      <c r="BQ33" s="34">
        <f t="shared" si="5"/>
        <v>11889771</v>
      </c>
      <c r="BR33" s="34">
        <f t="shared" si="5"/>
        <v>1480152</v>
      </c>
      <c r="BS33" s="34">
        <f t="shared" si="5"/>
        <v>632862</v>
      </c>
      <c r="BT33" s="34">
        <f t="shared" si="5"/>
        <v>11781826</v>
      </c>
      <c r="BU33" s="34">
        <f t="shared" si="5"/>
        <v>989415</v>
      </c>
      <c r="BV33" s="34">
        <f t="shared" si="5"/>
        <v>661081</v>
      </c>
      <c r="BW33" s="34">
        <f t="shared" si="5"/>
        <v>11872223</v>
      </c>
      <c r="BX33" s="34">
        <f t="shared" si="5"/>
        <v>1049208</v>
      </c>
      <c r="BY33" s="34">
        <f t="shared" si="5"/>
        <v>683603</v>
      </c>
      <c r="BZ33" s="34">
        <f t="shared" si="5"/>
        <v>12302497</v>
      </c>
      <c r="CA33" s="34">
        <f t="shared" si="5"/>
        <v>1150310</v>
      </c>
      <c r="CB33" s="34">
        <f t="shared" si="5"/>
        <v>723786</v>
      </c>
      <c r="CC33" s="34">
        <f t="shared" si="5"/>
        <v>13061390</v>
      </c>
      <c r="CD33" s="34">
        <f t="shared" si="5"/>
        <v>1238081</v>
      </c>
      <c r="CE33" s="34">
        <f t="shared" si="5"/>
        <v>783445</v>
      </c>
      <c r="CF33" s="34">
        <f t="shared" si="5"/>
        <v>13902143</v>
      </c>
      <c r="CG33" s="34">
        <f t="shared" si="5"/>
        <v>1461942</v>
      </c>
      <c r="CH33" s="34">
        <f t="shared" si="5"/>
        <v>854899</v>
      </c>
      <c r="CI33" s="34">
        <f t="shared" si="5"/>
        <v>15008919</v>
      </c>
      <c r="CJ33" s="34">
        <f t="shared" si="5"/>
        <v>1523132</v>
      </c>
      <c r="CK33" s="34">
        <f t="shared" si="5"/>
        <v>912962</v>
      </c>
      <c r="CL33" s="34">
        <f t="shared" si="5"/>
        <v>1255117.7063203342</v>
      </c>
      <c r="CM33" s="34">
        <f t="shared" si="5"/>
        <v>-1544111.488433687</v>
      </c>
      <c r="CN33" s="34">
        <f t="shared" si="5"/>
        <v>1081772.4652818074</v>
      </c>
      <c r="CO33" s="34">
        <f t="shared" si="5"/>
        <v>4022469</v>
      </c>
      <c r="CP33" s="34">
        <f t="shared" si="5"/>
        <v>1309407.0871028453</v>
      </c>
      <c r="CQ33" s="34">
        <f t="shared" si="5"/>
        <v>-1180511.2240200869</v>
      </c>
      <c r="CR33" s="34">
        <f t="shared" si="5"/>
        <v>1155086.2551780858</v>
      </c>
      <c r="CS33" s="34">
        <f t="shared" si="5"/>
        <v>3931214</v>
      </c>
      <c r="CT33" s="34">
        <f t="shared" si="5"/>
        <v>1479285.8067890741</v>
      </c>
      <c r="CU33" s="34">
        <f t="shared" si="5"/>
        <v>-1447178.2270472052</v>
      </c>
      <c r="CV33" s="34">
        <f t="shared" si="5"/>
        <v>1182329.1673183949</v>
      </c>
      <c r="CW33" s="34">
        <f t="shared" si="5"/>
        <v>3844899</v>
      </c>
      <c r="CX33" s="34">
        <f t="shared" si="5"/>
        <v>1705209.7892100716</v>
      </c>
      <c r="CY33" s="34">
        <f t="shared" si="5"/>
        <v>-2048258</v>
      </c>
      <c r="CZ33" s="34">
        <f t="shared" si="5"/>
        <v>1192093.8219528971</v>
      </c>
      <c r="DA33" s="34">
        <f t="shared" si="5"/>
        <v>4034818</v>
      </c>
      <c r="DB33" s="34">
        <f t="shared" si="5"/>
        <v>1966951</v>
      </c>
      <c r="DC33" s="34">
        <f t="shared" si="5"/>
        <v>-1946216</v>
      </c>
      <c r="DD33" s="34">
        <f t="shared" si="5"/>
        <v>1285332</v>
      </c>
      <c r="DE33" s="34">
        <f t="shared" si="5"/>
        <v>4466138</v>
      </c>
      <c r="DF33" s="34">
        <f t="shared" si="5"/>
        <v>1237495</v>
      </c>
      <c r="DG33" s="34">
        <f t="shared" si="5"/>
        <v>-1887871</v>
      </c>
      <c r="DH33" s="34">
        <f t="shared" si="5"/>
        <v>1331929</v>
      </c>
      <c r="DI33" s="34">
        <f t="shared" si="5"/>
        <v>5186325</v>
      </c>
      <c r="DJ33" s="34">
        <f t="shared" si="5"/>
        <v>1098314</v>
      </c>
      <c r="DK33" s="34">
        <f t="shared" si="5"/>
        <v>-2009928</v>
      </c>
      <c r="DL33" s="34">
        <f t="shared" si="5"/>
        <v>1396620</v>
      </c>
      <c r="DM33" s="34">
        <f t="shared" si="5"/>
        <v>6107197</v>
      </c>
      <c r="DN33" s="34">
        <f t="shared" si="5"/>
        <v>1114660</v>
      </c>
      <c r="DO33" s="34">
        <f t="shared" si="5"/>
        <v>-1625997</v>
      </c>
      <c r="DP33" s="34">
        <f t="shared" si="5"/>
        <v>1443387</v>
      </c>
      <c r="DQ33" s="34">
        <f t="shared" si="5"/>
        <v>7042050</v>
      </c>
      <c r="DR33" s="34">
        <f t="shared" si="5"/>
        <v>1716961</v>
      </c>
      <c r="DS33" s="34">
        <f t="shared" si="5"/>
        <v>-1218111</v>
      </c>
      <c r="DT33" s="34">
        <f t="shared" si="5"/>
        <v>1448356</v>
      </c>
      <c r="DU33" s="34">
        <f t="shared" si="5"/>
        <v>7666099</v>
      </c>
      <c r="DV33" s="34">
        <f t="shared" si="5"/>
        <v>2015466</v>
      </c>
      <c r="DW33" s="34">
        <f t="shared" si="5"/>
        <v>-2184712</v>
      </c>
      <c r="DX33" s="34">
        <f t="shared" si="5"/>
        <v>1480364</v>
      </c>
      <c r="DY33" s="34">
        <f t="shared" si="5"/>
        <v>8147761</v>
      </c>
      <c r="DZ33" s="34">
        <f t="shared" si="5"/>
        <v>1918409</v>
      </c>
      <c r="EA33" s="34">
        <f t="shared" ref="EA33:GL33" si="6">SUM(EA25:EA32)</f>
        <v>-2459114</v>
      </c>
      <c r="EB33" s="34">
        <f t="shared" si="6"/>
        <v>1569515</v>
      </c>
      <c r="EC33" s="34">
        <f t="shared" si="6"/>
        <v>8631028</v>
      </c>
      <c r="ED33" s="34">
        <f t="shared" si="6"/>
        <v>17415482.035006635</v>
      </c>
      <c r="EE33" s="34">
        <f t="shared" si="6"/>
        <v>146662.39469333459</v>
      </c>
      <c r="EF33" s="34">
        <f t="shared" si="6"/>
        <v>17920082.479359135</v>
      </c>
      <c r="EG33" s="34">
        <f t="shared" si="6"/>
        <v>271956.0087659547</v>
      </c>
      <c r="EH33" s="34">
        <f t="shared" si="6"/>
        <v>18917745.171745099</v>
      </c>
      <c r="EI33" s="34">
        <f t="shared" si="6"/>
        <v>398064.8297181339</v>
      </c>
      <c r="EJ33" s="34">
        <f t="shared" si="6"/>
        <v>20311479.330544773</v>
      </c>
      <c r="EK33" s="34">
        <f t="shared" si="6"/>
        <v>501713.16221893689</v>
      </c>
      <c r="EL33" s="34">
        <f t="shared" si="6"/>
        <v>21417142</v>
      </c>
      <c r="EM33" s="34">
        <f t="shared" si="6"/>
        <v>803511</v>
      </c>
      <c r="EN33" s="34">
        <f t="shared" si="6"/>
        <v>22443523</v>
      </c>
      <c r="EO33" s="34">
        <f t="shared" si="6"/>
        <v>74332</v>
      </c>
      <c r="EP33" s="34">
        <f t="shared" si="6"/>
        <v>23565167</v>
      </c>
      <c r="EQ33" s="34">
        <f t="shared" si="6"/>
        <v>-98602</v>
      </c>
      <c r="ER33" s="34">
        <f t="shared" si="6"/>
        <v>24562390</v>
      </c>
      <c r="ES33" s="34">
        <f t="shared" si="6"/>
        <v>-18341</v>
      </c>
      <c r="ET33" s="34">
        <f t="shared" si="6"/>
        <v>25772231</v>
      </c>
      <c r="EU33" s="34">
        <f t="shared" si="6"/>
        <v>526671</v>
      </c>
      <c r="EV33" s="34">
        <f t="shared" si="6"/>
        <v>27049052</v>
      </c>
      <c r="EW33" s="34">
        <f t="shared" si="6"/>
        <v>557231</v>
      </c>
      <c r="EX33" s="34">
        <f t="shared" si="6"/>
        <v>29323839</v>
      </c>
      <c r="EY33" s="34">
        <f t="shared" si="6"/>
        <v>735109</v>
      </c>
      <c r="EZ33" s="34">
        <f t="shared" si="6"/>
        <v>4007290</v>
      </c>
      <c r="FA33" s="34">
        <f t="shared" si="6"/>
        <v>4930908</v>
      </c>
      <c r="FB33" s="34">
        <f t="shared" si="6"/>
        <v>5323693</v>
      </c>
      <c r="FC33" s="34">
        <f t="shared" si="6"/>
        <v>17526079</v>
      </c>
      <c r="FD33" s="34">
        <f t="shared" si="6"/>
        <v>6854306</v>
      </c>
      <c r="FE33" s="34">
        <f t="shared" si="6"/>
        <v>7739148</v>
      </c>
      <c r="FF33" s="34">
        <f t="shared" si="6"/>
        <v>557884</v>
      </c>
      <c r="FG33" s="34">
        <f t="shared" si="6"/>
        <v>15365152</v>
      </c>
      <c r="FH33" s="34">
        <f t="shared" si="6"/>
        <v>1189002</v>
      </c>
      <c r="FI33" s="34">
        <f t="shared" si="6"/>
        <v>971068</v>
      </c>
      <c r="FJ33" s="34">
        <f t="shared" si="6"/>
        <v>1795977</v>
      </c>
      <c r="FK33" s="34">
        <f t="shared" si="6"/>
        <v>-2466264</v>
      </c>
      <c r="FL33" s="34">
        <f t="shared" si="6"/>
        <v>1658956</v>
      </c>
      <c r="FM33" s="34">
        <f t="shared" si="6"/>
        <v>9783492</v>
      </c>
      <c r="FN33" s="34">
        <f t="shared" si="6"/>
        <v>2466264</v>
      </c>
      <c r="FO33" s="34">
        <f t="shared" si="6"/>
        <v>30565058</v>
      </c>
      <c r="FP33" s="34">
        <f t="shared" si="6"/>
        <v>288392</v>
      </c>
      <c r="FQ33" s="34">
        <f t="shared" si="6"/>
        <v>5347269</v>
      </c>
      <c r="FR33" s="34">
        <f t="shared" si="6"/>
        <v>18266294</v>
      </c>
      <c r="FS33" s="34">
        <f t="shared" si="6"/>
        <v>7394694</v>
      </c>
      <c r="FT33" s="34">
        <f t="shared" si="6"/>
        <v>8285349</v>
      </c>
      <c r="FU33" s="34">
        <f t="shared" si="6"/>
        <v>1472484</v>
      </c>
      <c r="FV33" s="34">
        <f t="shared" si="6"/>
        <v>15690676</v>
      </c>
      <c r="FW33" s="34">
        <f t="shared" si="6"/>
        <v>1407162</v>
      </c>
      <c r="FX33" s="34">
        <f t="shared" si="6"/>
        <v>1167652</v>
      </c>
      <c r="FY33" s="34">
        <f t="shared" si="6"/>
        <v>2465988</v>
      </c>
      <c r="FZ33" s="34">
        <f t="shared" si="6"/>
        <v>-1081354</v>
      </c>
      <c r="GA33" s="34">
        <f t="shared" si="6"/>
        <v>1696228</v>
      </c>
      <c r="GB33" s="34">
        <f t="shared" si="6"/>
        <v>10459031</v>
      </c>
      <c r="GC33" s="34">
        <f t="shared" si="6"/>
        <v>1081354</v>
      </c>
      <c r="GD33" s="34">
        <f t="shared" si="6"/>
        <v>31765384</v>
      </c>
      <c r="GE33" s="34">
        <f t="shared" si="6"/>
        <v>1837457</v>
      </c>
      <c r="GF33" s="34">
        <f t="shared" si="6"/>
        <v>7005659</v>
      </c>
      <c r="GG33" s="34">
        <f t="shared" si="6"/>
        <v>5800.5</v>
      </c>
      <c r="GH33" s="34">
        <f t="shared" si="6"/>
        <v>5372913</v>
      </c>
      <c r="GI33" s="34">
        <f t="shared" si="6"/>
        <v>18973738</v>
      </c>
      <c r="GJ33" s="34">
        <f t="shared" si="6"/>
        <v>7621841</v>
      </c>
      <c r="GK33" s="34">
        <f t="shared" si="6"/>
        <v>8732777</v>
      </c>
      <c r="GL33" s="34">
        <f t="shared" si="6"/>
        <v>454524</v>
      </c>
      <c r="GM33" s="34">
        <f t="shared" ref="GM33:HL33" si="7">SUM(GM25:GM32)</f>
        <v>16127866</v>
      </c>
      <c r="GN33" s="34">
        <f t="shared" si="7"/>
        <v>1645217</v>
      </c>
      <c r="GO33" s="34">
        <f t="shared" si="7"/>
        <v>1199955</v>
      </c>
      <c r="GP33" s="34">
        <f t="shared" si="7"/>
        <v>2054472</v>
      </c>
      <c r="GQ33" s="34">
        <f t="shared" si="7"/>
        <v>-2640768</v>
      </c>
      <c r="GR33" s="34">
        <f t="shared" si="7"/>
        <v>1745335</v>
      </c>
      <c r="GS33" s="34">
        <f t="shared" si="7"/>
        <v>10947669</v>
      </c>
      <c r="GT33" s="34">
        <f t="shared" si="7"/>
        <v>2640768</v>
      </c>
      <c r="GU33" s="34">
        <f t="shared" si="7"/>
        <v>33460309</v>
      </c>
      <c r="GV33" s="34">
        <f t="shared" si="7"/>
        <v>465969</v>
      </c>
      <c r="GW33" s="34">
        <f t="shared" si="7"/>
        <v>5398173</v>
      </c>
      <c r="GX33" s="34">
        <f t="shared" si="7"/>
        <v>19228651</v>
      </c>
      <c r="GY33" s="34">
        <f t="shared" si="7"/>
        <v>8031581</v>
      </c>
      <c r="GZ33" s="34">
        <f t="shared" si="7"/>
        <v>9056776</v>
      </c>
      <c r="HA33" s="34">
        <f t="shared" si="7"/>
        <v>693795</v>
      </c>
      <c r="HB33" s="34">
        <f t="shared" si="7"/>
        <v>16754413</v>
      </c>
      <c r="HC33" s="34">
        <f t="shared" si="7"/>
        <v>1205379</v>
      </c>
      <c r="HD33" s="34">
        <f t="shared" si="7"/>
        <v>1268178</v>
      </c>
      <c r="HE33" s="34">
        <f t="shared" si="7"/>
        <v>1340812</v>
      </c>
      <c r="HF33" s="34">
        <f t="shared" si="7"/>
        <v>-2719195</v>
      </c>
      <c r="HG33" s="34">
        <f t="shared" si="7"/>
        <v>1891826</v>
      </c>
      <c r="HH33" s="34">
        <f t="shared" si="7"/>
        <v>12212446</v>
      </c>
      <c r="HI33" s="34">
        <f t="shared" si="7"/>
        <v>2719195</v>
      </c>
      <c r="HJ33" s="34">
        <f t="shared" si="7"/>
        <v>35283938</v>
      </c>
      <c r="HK33" s="34">
        <f t="shared" si="7"/>
        <v>-283917</v>
      </c>
      <c r="HL33" s="34">
        <f t="shared" si="7"/>
        <v>6571755</v>
      </c>
      <c r="HM33" s="77">
        <v>19.260000000000002</v>
      </c>
    </row>
    <row r="34" spans="1:348" x14ac:dyDescent="0.2">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57"/>
      <c r="GH34" s="34"/>
      <c r="GI34" s="34"/>
      <c r="GW34" s="34"/>
      <c r="GX34" s="34"/>
      <c r="HM34" s="57"/>
    </row>
    <row r="35" spans="1:348" x14ac:dyDescent="0.2">
      <c r="B35" s="34" t="s">
        <v>1</v>
      </c>
      <c r="C35" s="34" t="s">
        <v>2</v>
      </c>
      <c r="D35" s="34" t="s">
        <v>3</v>
      </c>
      <c r="E35" s="34" t="s">
        <v>4</v>
      </c>
      <c r="F35" s="34" t="s">
        <v>5</v>
      </c>
      <c r="G35" s="34" t="s">
        <v>6</v>
      </c>
      <c r="H35" s="34" t="s">
        <v>7</v>
      </c>
      <c r="I35" s="34" t="s">
        <v>8</v>
      </c>
      <c r="J35" s="34" t="s">
        <v>453</v>
      </c>
      <c r="K35" s="34" t="s">
        <v>466</v>
      </c>
      <c r="L35" s="34" t="s">
        <v>479</v>
      </c>
      <c r="M35" s="34" t="s">
        <v>9</v>
      </c>
      <c r="N35" s="34" t="s">
        <v>10</v>
      </c>
      <c r="O35" s="34" t="s">
        <v>11</v>
      </c>
      <c r="P35" s="34" t="s">
        <v>12</v>
      </c>
      <c r="Q35" s="34" t="s">
        <v>13</v>
      </c>
      <c r="R35" s="34" t="s">
        <v>14</v>
      </c>
      <c r="S35" s="34" t="s">
        <v>15</v>
      </c>
      <c r="T35" s="34" t="s">
        <v>16</v>
      </c>
      <c r="U35" s="34" t="s">
        <v>17</v>
      </c>
      <c r="V35" s="34" t="s">
        <v>18</v>
      </c>
      <c r="W35" s="34" t="s">
        <v>19</v>
      </c>
      <c r="X35" s="34" t="s">
        <v>20</v>
      </c>
      <c r="Y35" s="34" t="s">
        <v>21</v>
      </c>
      <c r="Z35" s="34" t="s">
        <v>22</v>
      </c>
      <c r="AA35" s="34" t="s">
        <v>23</v>
      </c>
      <c r="AB35" s="34" t="s">
        <v>24</v>
      </c>
      <c r="AC35" s="34" t="s">
        <v>25</v>
      </c>
      <c r="AD35" s="34" t="s">
        <v>26</v>
      </c>
      <c r="AE35" s="34" t="s">
        <v>27</v>
      </c>
      <c r="AF35" s="34" t="s">
        <v>28</v>
      </c>
      <c r="AG35" s="34" t="s">
        <v>29</v>
      </c>
      <c r="AH35" s="34" t="s">
        <v>30</v>
      </c>
      <c r="AI35" s="34" t="s">
        <v>31</v>
      </c>
      <c r="AJ35" s="34" t="s">
        <v>32</v>
      </c>
      <c r="AK35" s="34" t="s">
        <v>33</v>
      </c>
      <c r="AL35" s="34" t="s">
        <v>34</v>
      </c>
      <c r="AM35" s="34" t="s">
        <v>35</v>
      </c>
      <c r="AN35" s="34" t="s">
        <v>36</v>
      </c>
      <c r="AO35" s="34" t="s">
        <v>37</v>
      </c>
      <c r="AP35" s="34" t="s">
        <v>38</v>
      </c>
      <c r="AQ35" s="34" t="s">
        <v>39</v>
      </c>
      <c r="AR35" s="34" t="s">
        <v>40</v>
      </c>
      <c r="AS35" s="34" t="s">
        <v>454</v>
      </c>
      <c r="AT35" s="34" t="s">
        <v>455</v>
      </c>
      <c r="AU35" s="34" t="s">
        <v>456</v>
      </c>
      <c r="AV35" s="34" t="s">
        <v>457</v>
      </c>
      <c r="AW35" s="34" t="s">
        <v>467</v>
      </c>
      <c r="AX35" s="34" t="s">
        <v>468</v>
      </c>
      <c r="AY35" s="34" t="s">
        <v>469</v>
      </c>
      <c r="AZ35" s="34" t="s">
        <v>470</v>
      </c>
      <c r="BA35" s="34" t="s">
        <v>480</v>
      </c>
      <c r="BB35" s="34" t="s">
        <v>481</v>
      </c>
      <c r="BC35" s="34" t="s">
        <v>482</v>
      </c>
      <c r="BD35" s="34" t="s">
        <v>483</v>
      </c>
      <c r="BE35" s="34" t="s">
        <v>41</v>
      </c>
      <c r="BF35" s="34" t="s">
        <v>42</v>
      </c>
      <c r="BG35" s="34" t="s">
        <v>43</v>
      </c>
      <c r="BH35" s="34" t="s">
        <v>44</v>
      </c>
      <c r="BI35" s="34" t="s">
        <v>45</v>
      </c>
      <c r="BJ35" s="34" t="s">
        <v>46</v>
      </c>
      <c r="BK35" s="34" t="s">
        <v>47</v>
      </c>
      <c r="BL35" s="34" t="s">
        <v>48</v>
      </c>
      <c r="BM35" s="34" t="s">
        <v>49</v>
      </c>
      <c r="BN35" s="34" t="s">
        <v>50</v>
      </c>
      <c r="BO35" s="34" t="s">
        <v>51</v>
      </c>
      <c r="BP35" s="34" t="s">
        <v>52</v>
      </c>
      <c r="BQ35" s="34" t="s">
        <v>53</v>
      </c>
      <c r="BR35" s="34" t="s">
        <v>54</v>
      </c>
      <c r="BS35" s="34" t="s">
        <v>55</v>
      </c>
      <c r="BT35" s="34" t="s">
        <v>56</v>
      </c>
      <c r="BU35" s="34" t="s">
        <v>57</v>
      </c>
      <c r="BV35" s="34" t="s">
        <v>58</v>
      </c>
      <c r="BW35" s="34" t="s">
        <v>59</v>
      </c>
      <c r="BX35" s="34" t="s">
        <v>60</v>
      </c>
      <c r="BY35" s="34" t="s">
        <v>61</v>
      </c>
      <c r="BZ35" s="34" t="s">
        <v>62</v>
      </c>
      <c r="CA35" s="34" t="s">
        <v>63</v>
      </c>
      <c r="CB35" s="34" t="s">
        <v>64</v>
      </c>
      <c r="CC35" s="34" t="s">
        <v>458</v>
      </c>
      <c r="CD35" s="34" t="s">
        <v>459</v>
      </c>
      <c r="CE35" s="34" t="s">
        <v>460</v>
      </c>
      <c r="CF35" s="34" t="s">
        <v>471</v>
      </c>
      <c r="CG35" s="34" t="s">
        <v>472</v>
      </c>
      <c r="CH35" s="34" t="s">
        <v>473</v>
      </c>
      <c r="CI35" s="34" t="s">
        <v>484</v>
      </c>
      <c r="CJ35" s="34" t="s">
        <v>485</v>
      </c>
      <c r="CK35" s="34" t="s">
        <v>486</v>
      </c>
      <c r="CL35" s="34" t="s">
        <v>65</v>
      </c>
      <c r="CM35" s="34" t="s">
        <v>66</v>
      </c>
      <c r="CN35" s="34" t="s">
        <v>67</v>
      </c>
      <c r="CO35" s="34" t="s">
        <v>68</v>
      </c>
      <c r="CP35" s="34" t="s">
        <v>69</v>
      </c>
      <c r="CQ35" s="34" t="s">
        <v>70</v>
      </c>
      <c r="CR35" s="34" t="s">
        <v>71</v>
      </c>
      <c r="CS35" s="34" t="s">
        <v>72</v>
      </c>
      <c r="CT35" s="34" t="s">
        <v>73</v>
      </c>
      <c r="CU35" s="34" t="s">
        <v>74</v>
      </c>
      <c r="CV35" s="34" t="s">
        <v>75</v>
      </c>
      <c r="CW35" s="34" t="s">
        <v>76</v>
      </c>
      <c r="CX35" s="34" t="s">
        <v>77</v>
      </c>
      <c r="CY35" s="34" t="s">
        <v>78</v>
      </c>
      <c r="CZ35" s="34" t="s">
        <v>79</v>
      </c>
      <c r="DA35" s="34" t="s">
        <v>80</v>
      </c>
      <c r="DB35" s="34" t="s">
        <v>81</v>
      </c>
      <c r="DC35" s="34" t="s">
        <v>82</v>
      </c>
      <c r="DD35" s="34" t="s">
        <v>83</v>
      </c>
      <c r="DE35" s="34" t="s">
        <v>84</v>
      </c>
      <c r="DF35" s="34" t="s">
        <v>85</v>
      </c>
      <c r="DG35" s="34" t="s">
        <v>86</v>
      </c>
      <c r="DH35" s="34" t="s">
        <v>87</v>
      </c>
      <c r="DI35" s="34" t="s">
        <v>88</v>
      </c>
      <c r="DJ35" s="34" t="s">
        <v>89</v>
      </c>
      <c r="DK35" s="34" t="s">
        <v>90</v>
      </c>
      <c r="DL35" s="34" t="s">
        <v>91</v>
      </c>
      <c r="DM35" s="34" t="s">
        <v>92</v>
      </c>
      <c r="DN35" s="34" t="s">
        <v>93</v>
      </c>
      <c r="DO35" s="34" t="s">
        <v>94</v>
      </c>
      <c r="DP35" s="34" t="s">
        <v>95</v>
      </c>
      <c r="DQ35" s="34" t="s">
        <v>96</v>
      </c>
      <c r="DR35" s="34" t="s">
        <v>461</v>
      </c>
      <c r="DS35" s="34" t="s">
        <v>462</v>
      </c>
      <c r="DT35" s="34" t="s">
        <v>463</v>
      </c>
      <c r="DU35" s="34" t="s">
        <v>464</v>
      </c>
      <c r="DV35" s="34" t="s">
        <v>474</v>
      </c>
      <c r="DW35" s="34" t="s">
        <v>475</v>
      </c>
      <c r="DX35" s="34" t="s">
        <v>476</v>
      </c>
      <c r="DY35" s="34" t="s">
        <v>477</v>
      </c>
      <c r="DZ35" s="34" t="s">
        <v>487</v>
      </c>
      <c r="EA35" s="34" t="s">
        <v>489</v>
      </c>
      <c r="EB35" s="34" t="s">
        <v>488</v>
      </c>
      <c r="EC35" s="34" t="s">
        <v>490</v>
      </c>
      <c r="ED35" s="34" t="s">
        <v>491</v>
      </c>
      <c r="EE35" s="34" t="s">
        <v>492</v>
      </c>
      <c r="EF35" s="34" t="s">
        <v>493</v>
      </c>
      <c r="EG35" s="34" t="s">
        <v>494</v>
      </c>
      <c r="EH35" s="34" t="s">
        <v>495</v>
      </c>
      <c r="EI35" s="34" t="s">
        <v>496</v>
      </c>
      <c r="EJ35" s="34" t="s">
        <v>497</v>
      </c>
      <c r="EK35" s="34" t="s">
        <v>498</v>
      </c>
      <c r="EL35" s="34" t="s">
        <v>499</v>
      </c>
      <c r="EM35" s="34" t="s">
        <v>500</v>
      </c>
      <c r="EN35" s="34" t="s">
        <v>501</v>
      </c>
      <c r="EO35" s="34" t="s">
        <v>502</v>
      </c>
      <c r="EP35" s="34" t="s">
        <v>503</v>
      </c>
      <c r="EQ35" s="34" t="s">
        <v>504</v>
      </c>
      <c r="ER35" s="34" t="s">
        <v>505</v>
      </c>
      <c r="ES35" s="34" t="s">
        <v>506</v>
      </c>
      <c r="ET35" s="34" t="s">
        <v>507</v>
      </c>
      <c r="EU35" s="34" t="s">
        <v>508</v>
      </c>
      <c r="EV35" s="34" t="s">
        <v>509</v>
      </c>
      <c r="EW35" s="34" t="s">
        <v>510</v>
      </c>
      <c r="EX35" s="34" t="s">
        <v>511</v>
      </c>
      <c r="EY35" s="34" t="s">
        <v>512</v>
      </c>
      <c r="EZ35" s="34" t="s">
        <v>513</v>
      </c>
      <c r="FA35" s="34" t="s">
        <v>514</v>
      </c>
      <c r="FB35" s="34" t="s">
        <v>527</v>
      </c>
      <c r="FC35" s="34" t="s">
        <v>528</v>
      </c>
      <c r="FD35" s="34" t="s">
        <v>529</v>
      </c>
      <c r="FE35" s="34" t="s">
        <v>530</v>
      </c>
      <c r="FF35" s="34" t="s">
        <v>531</v>
      </c>
      <c r="FG35" s="34" t="s">
        <v>532</v>
      </c>
      <c r="FH35" s="34" t="s">
        <v>533</v>
      </c>
      <c r="FI35" s="34" t="s">
        <v>534</v>
      </c>
      <c r="FJ35" s="34" t="s">
        <v>535</v>
      </c>
      <c r="FK35" s="34" t="s">
        <v>536</v>
      </c>
      <c r="FL35" s="34" t="s">
        <v>537</v>
      </c>
      <c r="FM35" s="34" t="s">
        <v>538</v>
      </c>
      <c r="FN35" s="34" t="s">
        <v>541</v>
      </c>
      <c r="FO35" s="34" t="s">
        <v>539</v>
      </c>
      <c r="FP35" s="34" t="s">
        <v>540</v>
      </c>
      <c r="FQ35" s="34" t="s">
        <v>543</v>
      </c>
      <c r="FR35" s="34" t="s">
        <v>544</v>
      </c>
      <c r="FS35" s="34" t="s">
        <v>545</v>
      </c>
      <c r="FT35" s="34" t="s">
        <v>546</v>
      </c>
      <c r="FU35" s="34" t="s">
        <v>547</v>
      </c>
      <c r="FV35" s="34" t="s">
        <v>548</v>
      </c>
      <c r="FW35" s="34" t="s">
        <v>549</v>
      </c>
      <c r="FX35" s="34" t="s">
        <v>550</v>
      </c>
      <c r="FY35" s="34" t="s">
        <v>551</v>
      </c>
      <c r="FZ35" s="34" t="s">
        <v>552</v>
      </c>
      <c r="GA35" s="34" t="s">
        <v>553</v>
      </c>
      <c r="GB35" s="34" t="s">
        <v>554</v>
      </c>
      <c r="GC35" s="34" t="s">
        <v>555</v>
      </c>
      <c r="GD35" s="34" t="s">
        <v>556</v>
      </c>
      <c r="GE35" s="34" t="s">
        <v>557</v>
      </c>
      <c r="GF35" s="34" t="s">
        <v>558</v>
      </c>
      <c r="GG35" s="57" t="s">
        <v>605</v>
      </c>
      <c r="GH35" s="34" t="s">
        <v>564</v>
      </c>
      <c r="GI35" s="34" t="s">
        <v>567</v>
      </c>
      <c r="GJ35" t="s">
        <v>568</v>
      </c>
      <c r="GK35" t="s">
        <v>565</v>
      </c>
      <c r="GL35" t="s">
        <v>571</v>
      </c>
      <c r="GM35" t="s">
        <v>573</v>
      </c>
      <c r="GN35" t="s">
        <v>574</v>
      </c>
      <c r="GO35" t="s">
        <v>575</v>
      </c>
      <c r="GP35" t="s">
        <v>569</v>
      </c>
      <c r="GQ35" t="s">
        <v>592</v>
      </c>
      <c r="GR35" t="s">
        <v>570</v>
      </c>
      <c r="GS35" t="s">
        <v>576</v>
      </c>
      <c r="GT35" t="s">
        <v>593</v>
      </c>
      <c r="GU35" t="s">
        <v>566</v>
      </c>
      <c r="GV35" t="s">
        <v>572</v>
      </c>
      <c r="GW35" s="34" t="s">
        <v>577</v>
      </c>
      <c r="GX35" s="34" t="s">
        <v>580</v>
      </c>
      <c r="GY35" t="s">
        <v>581</v>
      </c>
      <c r="GZ35" t="s">
        <v>578</v>
      </c>
      <c r="HA35" t="s">
        <v>584</v>
      </c>
      <c r="HB35" t="s">
        <v>587</v>
      </c>
      <c r="HC35" t="s">
        <v>588</v>
      </c>
      <c r="HD35" t="s">
        <v>589</v>
      </c>
      <c r="HE35" t="s">
        <v>582</v>
      </c>
      <c r="HF35" t="s">
        <v>594</v>
      </c>
      <c r="HG35" t="s">
        <v>583</v>
      </c>
      <c r="HH35" t="s">
        <v>590</v>
      </c>
      <c r="HI35" t="s">
        <v>595</v>
      </c>
      <c r="HJ35" t="s">
        <v>579</v>
      </c>
      <c r="HK35" t="s">
        <v>585</v>
      </c>
      <c r="HL35" t="s">
        <v>586</v>
      </c>
      <c r="HM35" s="57" t="s">
        <v>591</v>
      </c>
      <c r="HN35" s="174" t="s">
        <v>606</v>
      </c>
      <c r="HO35" t="s">
        <v>607</v>
      </c>
      <c r="HP35" t="s">
        <v>608</v>
      </c>
      <c r="HQ35" t="s">
        <v>609</v>
      </c>
      <c r="HR35" t="s">
        <v>610</v>
      </c>
      <c r="HS35" t="s">
        <v>611</v>
      </c>
      <c r="HT35" t="s">
        <v>612</v>
      </c>
      <c r="HU35" t="s">
        <v>613</v>
      </c>
      <c r="HV35" t="s">
        <v>614</v>
      </c>
      <c r="HW35" t="s">
        <v>615</v>
      </c>
      <c r="HX35" t="s">
        <v>514</v>
      </c>
      <c r="HY35" t="s">
        <v>616</v>
      </c>
      <c r="HZ35" t="s">
        <v>617</v>
      </c>
      <c r="IA35" t="s">
        <v>618</v>
      </c>
      <c r="IB35" t="s">
        <v>586</v>
      </c>
      <c r="IC35" t="s">
        <v>619</v>
      </c>
      <c r="ID35" t="s">
        <v>620</v>
      </c>
      <c r="IE35" t="s">
        <v>621</v>
      </c>
      <c r="IF35" t="s">
        <v>622</v>
      </c>
      <c r="IG35" t="s">
        <v>623</v>
      </c>
      <c r="IH35" t="s">
        <v>624</v>
      </c>
      <c r="II35" t="s">
        <v>625</v>
      </c>
      <c r="IJ35" t="s">
        <v>626</v>
      </c>
      <c r="IK35" t="s">
        <v>627</v>
      </c>
      <c r="IL35" t="s">
        <v>628</v>
      </c>
      <c r="IM35" t="s">
        <v>629</v>
      </c>
      <c r="IN35" t="s">
        <v>630</v>
      </c>
      <c r="IO35" t="s">
        <v>631</v>
      </c>
      <c r="IP35" t="s">
        <v>632</v>
      </c>
      <c r="IQ35" t="s">
        <v>633</v>
      </c>
      <c r="IR35" t="s">
        <v>559</v>
      </c>
      <c r="IS35" t="s">
        <v>634</v>
      </c>
      <c r="IT35" t="s">
        <v>591</v>
      </c>
      <c r="IU35" t="s">
        <v>635</v>
      </c>
      <c r="IV35" t="s">
        <v>636</v>
      </c>
      <c r="IW35" t="s">
        <v>637</v>
      </c>
      <c r="IX35" t="s">
        <v>638</v>
      </c>
      <c r="IY35" t="s">
        <v>639</v>
      </c>
      <c r="IZ35" t="s">
        <v>640</v>
      </c>
      <c r="JA35" t="s">
        <v>641</v>
      </c>
      <c r="JB35" t="s">
        <v>642</v>
      </c>
      <c r="JC35" t="s">
        <v>643</v>
      </c>
      <c r="JD35" t="s">
        <v>644</v>
      </c>
      <c r="JE35" t="s">
        <v>645</v>
      </c>
      <c r="JF35" t="s">
        <v>646</v>
      </c>
      <c r="JG35" t="s">
        <v>647</v>
      </c>
      <c r="JH35" t="s">
        <v>648</v>
      </c>
      <c r="JI35" t="s">
        <v>649</v>
      </c>
      <c r="JJ35" t="s">
        <v>650</v>
      </c>
      <c r="JK35" t="s">
        <v>651</v>
      </c>
      <c r="JL35" t="s">
        <v>652</v>
      </c>
      <c r="JM35" t="s">
        <v>653</v>
      </c>
      <c r="JN35" t="s">
        <v>654</v>
      </c>
      <c r="JO35" t="s">
        <v>655</v>
      </c>
      <c r="JP35" t="s">
        <v>656</v>
      </c>
      <c r="JQ35" t="s">
        <v>657</v>
      </c>
      <c r="JR35" t="s">
        <v>658</v>
      </c>
      <c r="JS35" t="s">
        <v>659</v>
      </c>
      <c r="JT35" t="s">
        <v>660</v>
      </c>
      <c r="JU35" t="s">
        <v>661</v>
      </c>
      <c r="JV35" t="s">
        <v>662</v>
      </c>
      <c r="JW35" t="s">
        <v>663</v>
      </c>
      <c r="JX35" t="s">
        <v>664</v>
      </c>
      <c r="JY35" t="s">
        <v>665</v>
      </c>
      <c r="JZ35" t="s">
        <v>666</v>
      </c>
      <c r="KA35" t="s">
        <v>667</v>
      </c>
      <c r="KB35" t="s">
        <v>668</v>
      </c>
      <c r="KC35" t="s">
        <v>669</v>
      </c>
      <c r="KD35" t="s">
        <v>670</v>
      </c>
      <c r="KE35" t="s">
        <v>671</v>
      </c>
      <c r="KF35" t="s">
        <v>672</v>
      </c>
      <c r="KG35" t="s">
        <v>673</v>
      </c>
      <c r="KH35" t="s">
        <v>674</v>
      </c>
      <c r="KI35" t="s">
        <v>675</v>
      </c>
      <c r="KJ35" t="s">
        <v>676</v>
      </c>
      <c r="KK35" t="s">
        <v>677</v>
      </c>
      <c r="KL35" t="s">
        <v>678</v>
      </c>
      <c r="KM35" t="s">
        <v>679</v>
      </c>
      <c r="KN35" t="s">
        <v>680</v>
      </c>
      <c r="KO35" t="s">
        <v>691</v>
      </c>
      <c r="KP35" t="s">
        <v>692</v>
      </c>
      <c r="KQ35" t="s">
        <v>693</v>
      </c>
      <c r="KR35" t="s">
        <v>694</v>
      </c>
      <c r="KS35" t="s">
        <v>695</v>
      </c>
      <c r="KT35" t="s">
        <v>696</v>
      </c>
      <c r="KU35" t="s">
        <v>697</v>
      </c>
      <c r="KV35" t="s">
        <v>698</v>
      </c>
      <c r="KW35" t="s">
        <v>699</v>
      </c>
      <c r="KX35" t="s">
        <v>700</v>
      </c>
      <c r="KY35" t="s">
        <v>701</v>
      </c>
      <c r="KZ35" t="s">
        <v>702</v>
      </c>
      <c r="LA35" t="s">
        <v>703</v>
      </c>
      <c r="LB35" t="s">
        <v>704</v>
      </c>
      <c r="LC35" t="s">
        <v>705</v>
      </c>
      <c r="LD35" t="s">
        <v>706</v>
      </c>
      <c r="LE35" t="s">
        <v>710</v>
      </c>
      <c r="LF35" t="s">
        <v>711</v>
      </c>
      <c r="LG35" t="s">
        <v>712</v>
      </c>
      <c r="LH35" t="s">
        <v>713</v>
      </c>
      <c r="LI35" t="s">
        <v>715</v>
      </c>
      <c r="LJ35" t="s">
        <v>720</v>
      </c>
      <c r="LK35" t="s">
        <v>721</v>
      </c>
      <c r="LL35" t="s">
        <v>722</v>
      </c>
      <c r="LM35" t="s">
        <v>716</v>
      </c>
      <c r="LN35" t="s">
        <v>724</v>
      </c>
      <c r="LO35" t="s">
        <v>717</v>
      </c>
      <c r="LP35" t="s">
        <v>725</v>
      </c>
      <c r="LQ35" t="s">
        <v>714</v>
      </c>
      <c r="LR35" t="s">
        <v>718</v>
      </c>
      <c r="LS35" t="s">
        <v>719</v>
      </c>
      <c r="LT35" t="s">
        <v>723</v>
      </c>
      <c r="LU35" t="s">
        <v>727</v>
      </c>
      <c r="LV35" t="s">
        <v>728</v>
      </c>
      <c r="LW35" t="s">
        <v>729</v>
      </c>
      <c r="LX35" t="s">
        <v>730</v>
      </c>
      <c r="LY35" t="s">
        <v>731</v>
      </c>
      <c r="LZ35" t="s">
        <v>732</v>
      </c>
      <c r="MA35" t="s">
        <v>733</v>
      </c>
      <c r="MB35" t="s">
        <v>734</v>
      </c>
      <c r="MC35" t="s">
        <v>735</v>
      </c>
      <c r="MD35" t="s">
        <v>736</v>
      </c>
      <c r="ME35" t="s">
        <v>737</v>
      </c>
      <c r="MF35" t="s">
        <v>738</v>
      </c>
      <c r="MG35" t="s">
        <v>739</v>
      </c>
      <c r="MH35" t="s">
        <v>740</v>
      </c>
      <c r="MI35" t="s">
        <v>741</v>
      </c>
      <c r="MJ35" t="s">
        <v>742</v>
      </c>
    </row>
    <row r="36" spans="1:348" x14ac:dyDescent="0.2">
      <c r="A36">
        <v>110</v>
      </c>
      <c r="B36" s="34">
        <v>1243269</v>
      </c>
      <c r="C36" s="34">
        <v>1258905</v>
      </c>
      <c r="D36" s="34">
        <v>1273029</v>
      </c>
      <c r="E36" s="34">
        <v>1286514</v>
      </c>
      <c r="F36" s="34">
        <v>1296781</v>
      </c>
      <c r="G36" s="34">
        <v>1304357</v>
      </c>
      <c r="H36" s="34">
        <v>1312152</v>
      </c>
      <c r="I36" s="34">
        <v>1323423</v>
      </c>
      <c r="J36" s="34">
        <v>1337103</v>
      </c>
      <c r="K36" s="34">
        <v>1351064</v>
      </c>
      <c r="L36" s="34">
        <v>1366894</v>
      </c>
      <c r="M36" s="34">
        <v>3696524</v>
      </c>
      <c r="N36" s="34">
        <v>222926</v>
      </c>
      <c r="O36" s="34">
        <v>1637665</v>
      </c>
      <c r="P36" s="34">
        <v>117290.72796780209</v>
      </c>
      <c r="Q36" s="34">
        <v>3791950</v>
      </c>
      <c r="R36" s="34">
        <v>185646</v>
      </c>
      <c r="S36" s="34">
        <v>1711022</v>
      </c>
      <c r="T36" s="34">
        <v>105522.11418951079</v>
      </c>
      <c r="U36" s="34">
        <v>4408526</v>
      </c>
      <c r="V36" s="34">
        <v>158664</v>
      </c>
      <c r="W36" s="34">
        <v>1867082</v>
      </c>
      <c r="X36" s="34">
        <v>119709.60672617155</v>
      </c>
      <c r="Y36" s="34">
        <v>4722767</v>
      </c>
      <c r="Z36" s="34">
        <v>81490</v>
      </c>
      <c r="AA36" s="34">
        <v>1993027</v>
      </c>
      <c r="AB36" s="34">
        <v>128740.28924959595</v>
      </c>
      <c r="AC36" s="34">
        <v>4427387</v>
      </c>
      <c r="AD36" s="34">
        <v>-8881</v>
      </c>
      <c r="AE36" s="34">
        <v>2128419</v>
      </c>
      <c r="AF36" s="34">
        <v>112914</v>
      </c>
      <c r="AG36" s="34">
        <v>4285622</v>
      </c>
      <c r="AH36" s="34">
        <v>159484</v>
      </c>
      <c r="AI36" s="34">
        <v>2309223</v>
      </c>
      <c r="AJ36" s="34">
        <v>218762</v>
      </c>
      <c r="AK36" s="34">
        <v>4291312</v>
      </c>
      <c r="AL36" s="34">
        <v>310186</v>
      </c>
      <c r="AM36" s="34">
        <v>2423307</v>
      </c>
      <c r="AN36" s="34">
        <v>211919</v>
      </c>
      <c r="AO36" s="34">
        <v>4515110</v>
      </c>
      <c r="AP36" s="34">
        <v>428839</v>
      </c>
      <c r="AQ36" s="34">
        <v>2096479</v>
      </c>
      <c r="AR36" s="34">
        <v>260090</v>
      </c>
      <c r="AS36" s="34">
        <v>4805084</v>
      </c>
      <c r="AT36" s="34">
        <v>518217</v>
      </c>
      <c r="AU36" s="34">
        <v>2631414</v>
      </c>
      <c r="AV36" s="34">
        <v>694413</v>
      </c>
      <c r="AW36" s="34">
        <v>5198877</v>
      </c>
      <c r="AX36" s="34">
        <v>537913</v>
      </c>
      <c r="AY36" s="34">
        <v>2682936</v>
      </c>
      <c r="AZ36" s="34">
        <v>288979</v>
      </c>
      <c r="BA36" s="34">
        <v>5554180</v>
      </c>
      <c r="BB36" s="34">
        <v>579323</v>
      </c>
      <c r="BC36" s="34">
        <v>2951870</v>
      </c>
      <c r="BD36" s="34">
        <v>283099</v>
      </c>
      <c r="BE36" s="34">
        <v>2667103.6188996132</v>
      </c>
      <c r="BF36" s="34">
        <v>866108.28275081422</v>
      </c>
      <c r="BG36" s="34">
        <v>161249.83811912077</v>
      </c>
      <c r="BH36" s="34">
        <v>2762338.8549429593</v>
      </c>
      <c r="BI36" s="34">
        <v>854996.94738913467</v>
      </c>
      <c r="BJ36" s="34">
        <v>172604.37322246385</v>
      </c>
      <c r="BK36" s="34">
        <v>3065898.3842185908</v>
      </c>
      <c r="BL36" s="34">
        <v>1152655.7714527906</v>
      </c>
      <c r="BM36" s="34">
        <v>187926.62969896043</v>
      </c>
      <c r="BN36" s="34">
        <v>3441717</v>
      </c>
      <c r="BO36" s="34">
        <v>1080541</v>
      </c>
      <c r="BP36" s="34">
        <v>198569</v>
      </c>
      <c r="BQ36" s="34">
        <v>3648560</v>
      </c>
      <c r="BR36" s="34">
        <v>571086</v>
      </c>
      <c r="BS36" s="34">
        <v>205886</v>
      </c>
      <c r="BT36" s="34">
        <v>3658308</v>
      </c>
      <c r="BU36" s="34">
        <v>409413</v>
      </c>
      <c r="BV36" s="34">
        <v>216106</v>
      </c>
      <c r="BW36" s="34">
        <v>3635523</v>
      </c>
      <c r="BX36" s="34">
        <v>420480</v>
      </c>
      <c r="BY36" s="34">
        <v>233591</v>
      </c>
      <c r="BZ36" s="34">
        <v>3808689</v>
      </c>
      <c r="CA36" s="34">
        <v>460031</v>
      </c>
      <c r="CB36" s="34">
        <v>244731</v>
      </c>
      <c r="CC36" s="34">
        <v>4068523</v>
      </c>
      <c r="CD36" s="34">
        <v>479490</v>
      </c>
      <c r="CE36" s="34">
        <v>255504</v>
      </c>
      <c r="CF36" s="34">
        <v>4345038</v>
      </c>
      <c r="CG36" s="34">
        <v>561800</v>
      </c>
      <c r="CH36" s="34">
        <v>290536</v>
      </c>
      <c r="CI36" s="34">
        <v>4656236</v>
      </c>
      <c r="CJ36" s="34">
        <v>594755</v>
      </c>
      <c r="CK36" s="34">
        <v>302317</v>
      </c>
      <c r="CL36" s="34">
        <v>680925.97544792655</v>
      </c>
      <c r="CM36" s="34">
        <v>-577006.86040990008</v>
      </c>
      <c r="CN36" s="34">
        <v>383456.53098946635</v>
      </c>
      <c r="CO36" s="34">
        <v>960665</v>
      </c>
      <c r="CP36" s="34">
        <v>611929.23324806208</v>
      </c>
      <c r="CQ36" s="34">
        <v>-547338.34195250005</v>
      </c>
      <c r="CR36" s="34">
        <v>416696.52002361359</v>
      </c>
      <c r="CS36" s="34">
        <v>818654</v>
      </c>
      <c r="CT36" s="34">
        <v>933463.17441256158</v>
      </c>
      <c r="CU36" s="34">
        <v>-678733.64580930001</v>
      </c>
      <c r="CV36" s="34">
        <v>437175.08194956713</v>
      </c>
      <c r="CW36" s="34">
        <v>601822</v>
      </c>
      <c r="CX36" s="34">
        <v>794853.61763820401</v>
      </c>
      <c r="CY36" s="34">
        <v>-938369</v>
      </c>
      <c r="CZ36" s="34">
        <v>440526.05819638632</v>
      </c>
      <c r="DA36" s="34">
        <v>600514</v>
      </c>
      <c r="DB36" s="34">
        <v>453080</v>
      </c>
      <c r="DC36" s="34">
        <v>-836098</v>
      </c>
      <c r="DD36" s="34">
        <v>492483</v>
      </c>
      <c r="DE36" s="34">
        <v>981518</v>
      </c>
      <c r="DF36" s="34">
        <v>484360</v>
      </c>
      <c r="DG36" s="34">
        <v>-725517</v>
      </c>
      <c r="DH36" s="34">
        <v>519050</v>
      </c>
      <c r="DI36" s="34">
        <v>1342975</v>
      </c>
      <c r="DJ36" s="34">
        <v>572250</v>
      </c>
      <c r="DK36" s="34">
        <v>-702502</v>
      </c>
      <c r="DL36" s="34">
        <v>544423</v>
      </c>
      <c r="DM36" s="34">
        <v>1624829</v>
      </c>
      <c r="DN36" s="34">
        <v>596716</v>
      </c>
      <c r="DO36" s="34">
        <v>-504075</v>
      </c>
      <c r="DP36" s="34">
        <v>548644</v>
      </c>
      <c r="DQ36" s="34">
        <v>1713002</v>
      </c>
      <c r="DR36" s="34">
        <v>819519</v>
      </c>
      <c r="DS36" s="34">
        <v>53430</v>
      </c>
      <c r="DT36" s="34">
        <v>548518</v>
      </c>
      <c r="DU36" s="34">
        <v>1727930</v>
      </c>
      <c r="DV36" s="34">
        <v>951739</v>
      </c>
      <c r="DW36" s="34">
        <v>-896227</v>
      </c>
      <c r="DX36" s="34">
        <v>559110</v>
      </c>
      <c r="DY36" s="34">
        <v>1804253</v>
      </c>
      <c r="DZ36" s="34">
        <v>850686</v>
      </c>
      <c r="EA36" s="34">
        <v>-878295</v>
      </c>
      <c r="EB36" s="34">
        <v>580859</v>
      </c>
      <c r="EC36" s="34">
        <v>1774449</v>
      </c>
      <c r="ED36" s="34">
        <v>4687666.6111646509</v>
      </c>
      <c r="EE36" s="34">
        <v>148512.63007233763</v>
      </c>
      <c r="EF36" s="34">
        <v>4914951.2339107236</v>
      </c>
      <c r="EG36" s="34">
        <v>152847.84206480955</v>
      </c>
      <c r="EH36" s="34">
        <v>5360742.9197087651</v>
      </c>
      <c r="EI36" s="34">
        <v>397146.52363965404</v>
      </c>
      <c r="EJ36" s="34">
        <v>5859035.1395034753</v>
      </c>
      <c r="EK36" s="34">
        <v>271765.95640905318</v>
      </c>
      <c r="EL36" s="34">
        <v>6160241</v>
      </c>
      <c r="EM36" s="34">
        <v>86935</v>
      </c>
      <c r="EN36" s="34">
        <v>6323374</v>
      </c>
      <c r="EO36" s="34">
        <v>58928</v>
      </c>
      <c r="EP36" s="34">
        <v>6504326</v>
      </c>
      <c r="EQ36" s="34">
        <v>162915</v>
      </c>
      <c r="ER36" s="34">
        <v>6733797</v>
      </c>
      <c r="ES36" s="34">
        <v>169645</v>
      </c>
      <c r="ET36" s="34">
        <v>7196644</v>
      </c>
      <c r="EU36" s="34">
        <v>330563</v>
      </c>
      <c r="EV36" s="34">
        <v>7549211</v>
      </c>
      <c r="EW36" s="34">
        <v>328204</v>
      </c>
      <c r="EX36" s="34">
        <v>8232512</v>
      </c>
      <c r="EY36" s="34">
        <v>537059</v>
      </c>
      <c r="EZ36" s="34">
        <v>2396005</v>
      </c>
      <c r="FA36" s="34">
        <v>3067241</v>
      </c>
      <c r="FB36" s="34">
        <v>1384571</v>
      </c>
      <c r="FC36" s="34">
        <v>5535492</v>
      </c>
      <c r="FD36" s="34">
        <v>584870</v>
      </c>
      <c r="FE36" s="34">
        <v>2826130</v>
      </c>
      <c r="FF36" s="34">
        <v>178532</v>
      </c>
      <c r="FG36" s="34">
        <v>4771919</v>
      </c>
      <c r="FH36" s="34">
        <v>447128</v>
      </c>
      <c r="FI36" s="34">
        <v>315664</v>
      </c>
      <c r="FJ36" s="34">
        <v>609868</v>
      </c>
      <c r="FK36" s="34">
        <v>-1041264</v>
      </c>
      <c r="FL36" s="34">
        <v>623547</v>
      </c>
      <c r="FM36" s="34">
        <v>2292461</v>
      </c>
      <c r="FN36" s="34">
        <v>1041264</v>
      </c>
      <c r="FO36" s="34">
        <v>8461846</v>
      </c>
      <c r="FP36" s="34">
        <v>53374</v>
      </c>
      <c r="FQ36" s="34">
        <v>1398805</v>
      </c>
      <c r="FR36" s="34">
        <v>5818101</v>
      </c>
      <c r="FS36" s="34">
        <v>726887</v>
      </c>
      <c r="FT36" s="34">
        <v>2842643</v>
      </c>
      <c r="FU36" s="34">
        <v>1225340</v>
      </c>
      <c r="FV36" s="34">
        <v>4916640</v>
      </c>
      <c r="FW36" s="34">
        <v>520465</v>
      </c>
      <c r="FX36" s="34">
        <v>380265</v>
      </c>
      <c r="FY36" s="34">
        <v>844531</v>
      </c>
      <c r="FZ36" s="34">
        <v>391584</v>
      </c>
      <c r="GA36" s="34">
        <v>612137</v>
      </c>
      <c r="GB36" s="34">
        <v>2649956</v>
      </c>
      <c r="GC36" s="34">
        <v>-391584</v>
      </c>
      <c r="GD36" s="34">
        <v>8712333</v>
      </c>
      <c r="GE36" s="34">
        <v>1345763</v>
      </c>
      <c r="GF36" s="34">
        <v>4405982</v>
      </c>
      <c r="GG36" s="57">
        <v>185.5</v>
      </c>
      <c r="GH36" s="34">
        <v>1416465</v>
      </c>
      <c r="GI36" s="34">
        <v>6155234</v>
      </c>
      <c r="GJ36">
        <v>767066</v>
      </c>
      <c r="GK36">
        <v>3105500</v>
      </c>
      <c r="GL36">
        <v>175292</v>
      </c>
      <c r="GM36">
        <v>5124617</v>
      </c>
      <c r="GN36">
        <v>645048</v>
      </c>
      <c r="GO36">
        <v>384869</v>
      </c>
      <c r="GP36">
        <v>934390</v>
      </c>
      <c r="GQ36">
        <v>-1032851</v>
      </c>
      <c r="GR36">
        <v>646860</v>
      </c>
      <c r="GS36">
        <v>2807611</v>
      </c>
      <c r="GT36">
        <v>1032851</v>
      </c>
      <c r="GU36">
        <v>9222689</v>
      </c>
      <c r="GV36">
        <v>356547</v>
      </c>
      <c r="GW36" s="34">
        <v>1435758</v>
      </c>
      <c r="GX36" s="34">
        <v>6239785</v>
      </c>
      <c r="GY36">
        <v>854883</v>
      </c>
      <c r="GZ36">
        <v>3150725</v>
      </c>
      <c r="HA36">
        <v>280649</v>
      </c>
      <c r="HB36">
        <v>5337474</v>
      </c>
      <c r="HC36">
        <v>499674</v>
      </c>
      <c r="HD36">
        <v>401964</v>
      </c>
      <c r="HE36">
        <v>732530</v>
      </c>
      <c r="HF36">
        <v>-987797</v>
      </c>
      <c r="HG36">
        <v>711445</v>
      </c>
      <c r="HH36">
        <v>2928656</v>
      </c>
      <c r="HI36">
        <v>987797</v>
      </c>
      <c r="HJ36">
        <v>9670709</v>
      </c>
      <c r="HK36">
        <v>134338</v>
      </c>
      <c r="HL36">
        <v>4206561</v>
      </c>
      <c r="HM36" s="57">
        <v>18.649999999999999</v>
      </c>
      <c r="HN36" s="190">
        <v>229817.19654272901</v>
      </c>
      <c r="HO36" s="34">
        <v>384191.34404017677</v>
      </c>
      <c r="HP36" s="34">
        <v>787079.46711337368</v>
      </c>
      <c r="HQ36" s="34">
        <v>1058324.0409503963</v>
      </c>
      <c r="HR36">
        <v>1143823</v>
      </c>
      <c r="HS36">
        <v>1303426</v>
      </c>
      <c r="HT36">
        <v>1563592</v>
      </c>
      <c r="HU36">
        <v>1736147</v>
      </c>
      <c r="HV36">
        <v>2080429</v>
      </c>
      <c r="HW36">
        <v>2400618</v>
      </c>
      <c r="HX36">
        <v>3071836</v>
      </c>
      <c r="HY36">
        <v>3123277</v>
      </c>
      <c r="HZ36">
        <v>4405982</v>
      </c>
      <c r="IA36" s="34">
        <v>4747058</v>
      </c>
      <c r="IB36">
        <v>4206561</v>
      </c>
      <c r="IC36">
        <v>8970046</v>
      </c>
      <c r="ID36">
        <v>12096920</v>
      </c>
      <c r="IE36">
        <v>12064272</v>
      </c>
      <c r="IF36" s="57">
        <v>17.024999999999999</v>
      </c>
      <c r="IG36" s="57">
        <v>17.125</v>
      </c>
      <c r="IH36" s="57">
        <v>17.125</v>
      </c>
      <c r="II36" s="57">
        <v>17.175000000000001</v>
      </c>
      <c r="IJ36" s="57">
        <v>17.274999999999999</v>
      </c>
      <c r="IK36" s="57">
        <v>17.475000000000001</v>
      </c>
      <c r="IL36" s="57">
        <v>17.649999999999999</v>
      </c>
      <c r="IM36" s="57">
        <v>17.725000000000001</v>
      </c>
      <c r="IN36" s="57">
        <v>17.875</v>
      </c>
      <c r="IO36" s="57">
        <v>17.875</v>
      </c>
      <c r="IP36" s="57">
        <v>17.925000000000001</v>
      </c>
      <c r="IQ36" s="57">
        <v>18.05</v>
      </c>
      <c r="IR36" s="57">
        <v>18.55</v>
      </c>
      <c r="IS36" s="57">
        <v>18.649999999999999</v>
      </c>
      <c r="IT36" s="57">
        <v>18.649999999999999</v>
      </c>
      <c r="IU36" s="57">
        <v>18.75</v>
      </c>
      <c r="IV36" s="57">
        <v>19.05</v>
      </c>
      <c r="IW36" s="57">
        <v>19.074999999999999</v>
      </c>
      <c r="IX36">
        <v>1456160</v>
      </c>
      <c r="IY36">
        <v>3242955</v>
      </c>
      <c r="IZ36">
        <v>10023089</v>
      </c>
      <c r="JA36" s="34">
        <v>13201874</v>
      </c>
      <c r="JB36" s="34">
        <v>886782</v>
      </c>
      <c r="JC36">
        <v>268334</v>
      </c>
      <c r="JD36">
        <v>874272</v>
      </c>
      <c r="JE36">
        <v>718529</v>
      </c>
      <c r="JF36">
        <v>-942133</v>
      </c>
      <c r="JG36">
        <v>254635</v>
      </c>
      <c r="JH36">
        <v>263952</v>
      </c>
      <c r="JI36" s="34">
        <v>5669223</v>
      </c>
      <c r="JJ36" s="173">
        <v>514562</v>
      </c>
      <c r="JK36" s="34">
        <v>416580</v>
      </c>
      <c r="JL36">
        <v>3468544</v>
      </c>
      <c r="JM36">
        <v>1476399</v>
      </c>
      <c r="JN36">
        <v>3194117</v>
      </c>
      <c r="JO36" s="173">
        <v>10089143</v>
      </c>
      <c r="JP36" s="34">
        <v>13465032</v>
      </c>
      <c r="JQ36" s="34">
        <v>841249</v>
      </c>
      <c r="JR36" s="34">
        <v>1313142</v>
      </c>
      <c r="JS36" s="173">
        <v>814717</v>
      </c>
      <c r="JT36">
        <v>743877</v>
      </c>
      <c r="JU36">
        <v>-301080</v>
      </c>
      <c r="JV36" s="173">
        <v>1627440</v>
      </c>
      <c r="JW36" s="34">
        <v>5691636</v>
      </c>
      <c r="JX36" s="173">
        <v>587786</v>
      </c>
      <c r="JY36" s="34">
        <v>452555</v>
      </c>
      <c r="JZ36">
        <v>3692210</v>
      </c>
      <c r="KA36">
        <v>1495602</v>
      </c>
      <c r="KB36">
        <v>2561549</v>
      </c>
      <c r="KC36" s="173">
        <v>9895531</v>
      </c>
      <c r="KD36" s="34">
        <v>13904352</v>
      </c>
      <c r="KE36" s="34">
        <v>870646</v>
      </c>
      <c r="KF36" s="34">
        <v>339983</v>
      </c>
      <c r="KG36" s="173">
        <v>636596</v>
      </c>
      <c r="KH36">
        <v>770123</v>
      </c>
      <c r="KI36" s="173">
        <v>-1034792</v>
      </c>
      <c r="KJ36" s="173">
        <v>37498</v>
      </c>
      <c r="KK36" s="34">
        <v>5786190</v>
      </c>
      <c r="KL36" s="173">
        <v>678542</v>
      </c>
      <c r="KM36" s="34">
        <v>487444</v>
      </c>
      <c r="KN36">
        <v>4029969</v>
      </c>
      <c r="KO36">
        <v>1516596</v>
      </c>
      <c r="KP36">
        <v>7196758</v>
      </c>
      <c r="KQ36">
        <v>1015910</v>
      </c>
      <c r="KR36">
        <v>2632338</v>
      </c>
      <c r="KS36">
        <v>421973</v>
      </c>
      <c r="KT36">
        <v>6029699</v>
      </c>
      <c r="KU36">
        <v>664651</v>
      </c>
      <c r="KV36">
        <v>502408</v>
      </c>
      <c r="KW36">
        <v>1114179</v>
      </c>
      <c r="KX36">
        <v>-927088</v>
      </c>
      <c r="KY36">
        <v>744674</v>
      </c>
      <c r="KZ36">
        <v>4106721</v>
      </c>
      <c r="LA36">
        <v>9906920</v>
      </c>
      <c r="LB36">
        <v>615932</v>
      </c>
      <c r="LC36">
        <v>6643957</v>
      </c>
      <c r="LD36" s="57">
        <v>19.100000000000001</v>
      </c>
      <c r="LE36">
        <v>1538409</v>
      </c>
      <c r="LF36" s="34">
        <v>7473528</v>
      </c>
      <c r="LG36" s="34">
        <v>832419</v>
      </c>
      <c r="LH36">
        <v>2622150</v>
      </c>
      <c r="LI36" s="173">
        <v>242455</v>
      </c>
      <c r="LJ36" s="34">
        <v>6058945</v>
      </c>
      <c r="LK36" s="173">
        <v>845088</v>
      </c>
      <c r="LL36" s="34">
        <v>569495</v>
      </c>
      <c r="LM36" s="173">
        <v>1403536</v>
      </c>
      <c r="LN36" s="173">
        <v>-923505</v>
      </c>
      <c r="LO36">
        <v>789970</v>
      </c>
      <c r="LP36">
        <v>3864765</v>
      </c>
      <c r="LQ36" s="173">
        <v>9717181</v>
      </c>
      <c r="LR36" s="173">
        <v>637614</v>
      </c>
      <c r="LS36" s="173">
        <v>7131717</v>
      </c>
      <c r="LT36" s="57">
        <v>19.2</v>
      </c>
      <c r="LU36">
        <v>1558945</v>
      </c>
      <c r="LV36" s="34">
        <v>7525285</v>
      </c>
      <c r="LW36" s="34">
        <v>825703</v>
      </c>
      <c r="LX36" s="172">
        <v>2682447</v>
      </c>
      <c r="LY36" s="173">
        <v>194941</v>
      </c>
      <c r="LZ36" s="34">
        <v>6067832</v>
      </c>
      <c r="MA36" s="173">
        <v>878693</v>
      </c>
      <c r="MB36" s="34">
        <v>578760</v>
      </c>
      <c r="MC36" s="173">
        <v>1160476</v>
      </c>
      <c r="MD36" s="34">
        <v>-1039526</v>
      </c>
      <c r="ME36">
        <v>793364</v>
      </c>
      <c r="MF36">
        <v>3863803</v>
      </c>
      <c r="MG36" s="173">
        <v>10065530</v>
      </c>
      <c r="MH36" s="173">
        <v>387197</v>
      </c>
      <c r="MI36" s="173">
        <v>7456893</v>
      </c>
      <c r="MJ36" s="57">
        <v>19.149999999999999</v>
      </c>
    </row>
    <row r="37" spans="1:348" x14ac:dyDescent="0.2">
      <c r="A37">
        <v>120</v>
      </c>
      <c r="B37" s="34">
        <v>1059848</v>
      </c>
      <c r="C37" s="34">
        <v>1069928</v>
      </c>
      <c r="D37" s="34">
        <v>1079707</v>
      </c>
      <c r="E37" s="34">
        <v>1092044</v>
      </c>
      <c r="F37" s="34">
        <v>1101375</v>
      </c>
      <c r="G37" s="34">
        <v>1112296</v>
      </c>
      <c r="H37" s="34">
        <v>1122618</v>
      </c>
      <c r="I37" s="34">
        <v>1132681</v>
      </c>
      <c r="J37" s="34">
        <v>1141997</v>
      </c>
      <c r="K37" s="34">
        <v>1152226</v>
      </c>
      <c r="L37" s="34">
        <v>1163616</v>
      </c>
      <c r="M37" s="34">
        <v>2340831</v>
      </c>
      <c r="N37" s="34">
        <v>567063</v>
      </c>
      <c r="O37" s="34">
        <v>877209</v>
      </c>
      <c r="P37" s="34">
        <v>87296.765914362055</v>
      </c>
      <c r="Q37" s="34">
        <v>2425762</v>
      </c>
      <c r="R37" s="34">
        <v>577132</v>
      </c>
      <c r="S37" s="34">
        <v>897086</v>
      </c>
      <c r="T37" s="34">
        <v>90283.447112465583</v>
      </c>
      <c r="U37" s="34">
        <v>2577610</v>
      </c>
      <c r="V37" s="34">
        <v>618423</v>
      </c>
      <c r="W37" s="34">
        <v>950048</v>
      </c>
      <c r="X37" s="34">
        <v>84232.045518380415</v>
      </c>
      <c r="Y37" s="34">
        <v>2819305</v>
      </c>
      <c r="Z37" s="34">
        <v>692429</v>
      </c>
      <c r="AA37" s="34">
        <v>995755</v>
      </c>
      <c r="AB37" s="34">
        <v>91110.595334803293</v>
      </c>
      <c r="AC37" s="34">
        <v>2944167</v>
      </c>
      <c r="AD37" s="34">
        <v>765936</v>
      </c>
      <c r="AE37" s="34">
        <v>1076525</v>
      </c>
      <c r="AF37" s="34">
        <v>89477</v>
      </c>
      <c r="AG37" s="34">
        <v>2835562</v>
      </c>
      <c r="AH37" s="34">
        <v>811701</v>
      </c>
      <c r="AI37" s="34">
        <v>1145425</v>
      </c>
      <c r="AJ37" s="34">
        <v>159983</v>
      </c>
      <c r="AK37" s="34">
        <v>2900965</v>
      </c>
      <c r="AL37" s="34">
        <v>895796</v>
      </c>
      <c r="AM37" s="34">
        <v>1235176</v>
      </c>
      <c r="AN37" s="34">
        <v>137587</v>
      </c>
      <c r="AO37" s="34">
        <v>3036278</v>
      </c>
      <c r="AP37" s="34">
        <v>968137</v>
      </c>
      <c r="AQ37" s="34">
        <v>1241670</v>
      </c>
      <c r="AR37" s="34">
        <v>227244</v>
      </c>
      <c r="AS37" s="34">
        <v>3244469</v>
      </c>
      <c r="AT37" s="34">
        <v>1063749</v>
      </c>
      <c r="AU37" s="34">
        <v>1397086</v>
      </c>
      <c r="AV37" s="34">
        <v>136505</v>
      </c>
      <c r="AW37" s="34">
        <v>3478636</v>
      </c>
      <c r="AX37" s="34">
        <v>1119464</v>
      </c>
      <c r="AY37" s="34">
        <v>1417287</v>
      </c>
      <c r="AZ37" s="34">
        <v>213641</v>
      </c>
      <c r="BA37" s="34">
        <v>3736533</v>
      </c>
      <c r="BB37" s="34">
        <v>1255327</v>
      </c>
      <c r="BC37" s="34">
        <v>1514386</v>
      </c>
      <c r="BD37" s="34">
        <v>68250</v>
      </c>
      <c r="BE37" s="34">
        <v>1947413.3537849851</v>
      </c>
      <c r="BF37" s="34">
        <v>300898.1235273045</v>
      </c>
      <c r="BG37" s="34">
        <v>91772.414825429325</v>
      </c>
      <c r="BH37" s="34">
        <v>1993787.8107482176</v>
      </c>
      <c r="BI37" s="34">
        <v>323284.2729151845</v>
      </c>
      <c r="BJ37" s="34">
        <v>107947.21590115933</v>
      </c>
      <c r="BK37" s="34">
        <v>2011270.1047642592</v>
      </c>
      <c r="BL37" s="34">
        <v>443930.85457967309</v>
      </c>
      <c r="BM37" s="34">
        <v>121691.86962744693</v>
      </c>
      <c r="BN37" s="34">
        <v>2306282</v>
      </c>
      <c r="BO37" s="34">
        <v>382901</v>
      </c>
      <c r="BP37" s="34">
        <v>129441</v>
      </c>
      <c r="BQ37" s="34">
        <v>2538476</v>
      </c>
      <c r="BR37" s="34">
        <v>269398</v>
      </c>
      <c r="BS37" s="34">
        <v>135684</v>
      </c>
      <c r="BT37" s="34">
        <v>2520167</v>
      </c>
      <c r="BU37" s="34">
        <v>172937</v>
      </c>
      <c r="BV37" s="34">
        <v>141896</v>
      </c>
      <c r="BW37" s="34">
        <v>2567438</v>
      </c>
      <c r="BX37" s="34">
        <v>190087</v>
      </c>
      <c r="BY37" s="34">
        <v>142892</v>
      </c>
      <c r="BZ37" s="34">
        <v>2668845</v>
      </c>
      <c r="CA37" s="34">
        <v>213964</v>
      </c>
      <c r="CB37" s="34">
        <v>152982</v>
      </c>
      <c r="CC37" s="34">
        <v>2841121</v>
      </c>
      <c r="CD37" s="34">
        <v>232860</v>
      </c>
      <c r="CE37" s="34">
        <v>170024</v>
      </c>
      <c r="CF37" s="34">
        <v>3016067</v>
      </c>
      <c r="CG37" s="34">
        <v>278888</v>
      </c>
      <c r="CH37" s="34">
        <v>183255</v>
      </c>
      <c r="CI37" s="34">
        <v>3258215</v>
      </c>
      <c r="CJ37" s="34">
        <v>282066</v>
      </c>
      <c r="CK37" s="34">
        <v>195975</v>
      </c>
      <c r="CL37" s="34">
        <v>221189.32410317991</v>
      </c>
      <c r="CM37" s="34">
        <v>-282181.3301276</v>
      </c>
      <c r="CN37" s="34">
        <v>213801.50124543157</v>
      </c>
      <c r="CO37" s="34">
        <v>898052</v>
      </c>
      <c r="CP37" s="34">
        <v>259380.42931650107</v>
      </c>
      <c r="CQ37" s="34">
        <v>-270051.95325710002</v>
      </c>
      <c r="CR37" s="34">
        <v>224221.92060520744</v>
      </c>
      <c r="CS37" s="34">
        <v>914662</v>
      </c>
      <c r="CT37" s="34">
        <v>289787.29272940411</v>
      </c>
      <c r="CU37" s="34">
        <v>-217462.78422480004</v>
      </c>
      <c r="CV37" s="34">
        <v>236594.32903949558</v>
      </c>
      <c r="CW37" s="34">
        <v>932096</v>
      </c>
      <c r="CX37" s="34">
        <v>337712.27418668522</v>
      </c>
      <c r="CY37" s="34">
        <v>-375967</v>
      </c>
      <c r="CZ37" s="34">
        <v>234712.47433031767</v>
      </c>
      <c r="DA37" s="34">
        <v>915273</v>
      </c>
      <c r="DB37" s="34">
        <v>527922</v>
      </c>
      <c r="DC37" s="34">
        <v>-401942</v>
      </c>
      <c r="DD37" s="34">
        <v>254036</v>
      </c>
      <c r="DE37" s="34">
        <v>964305</v>
      </c>
      <c r="DF37" s="34">
        <v>293350</v>
      </c>
      <c r="DG37" s="34">
        <v>-341710</v>
      </c>
      <c r="DH37" s="34">
        <v>266231</v>
      </c>
      <c r="DI37" s="34">
        <v>1064466</v>
      </c>
      <c r="DJ37" s="34">
        <v>236281</v>
      </c>
      <c r="DK37" s="34">
        <v>-424820</v>
      </c>
      <c r="DL37" s="34">
        <v>284282</v>
      </c>
      <c r="DM37" s="34">
        <v>1208509</v>
      </c>
      <c r="DN37" s="34">
        <v>243244</v>
      </c>
      <c r="DO37" s="34">
        <v>-276964</v>
      </c>
      <c r="DP37" s="34">
        <v>312374</v>
      </c>
      <c r="DQ37" s="34">
        <v>1489112</v>
      </c>
      <c r="DR37" s="34">
        <v>380868</v>
      </c>
      <c r="DS37" s="34">
        <v>-439847</v>
      </c>
      <c r="DT37" s="34">
        <v>313074</v>
      </c>
      <c r="DU37" s="34">
        <v>1649185</v>
      </c>
      <c r="DV37" s="34">
        <v>400485</v>
      </c>
      <c r="DW37" s="34">
        <v>-408455</v>
      </c>
      <c r="DX37" s="34">
        <v>323318</v>
      </c>
      <c r="DY37" s="34">
        <v>1801072</v>
      </c>
      <c r="DZ37" s="34">
        <v>340217</v>
      </c>
      <c r="EA37" s="34">
        <v>-471747</v>
      </c>
      <c r="EB37" s="34">
        <v>359406</v>
      </c>
      <c r="EC37" s="34">
        <v>1966137</v>
      </c>
      <c r="ED37" s="34">
        <v>3419982.4075428913</v>
      </c>
      <c r="EE37" s="34">
        <v>75473.15468411785</v>
      </c>
      <c r="EF37" s="34">
        <v>3524681.0736444471</v>
      </c>
      <c r="EG37" s="34">
        <v>51770.598395823552</v>
      </c>
      <c r="EH37" s="34">
        <v>3715123.4583474188</v>
      </c>
      <c r="EI37" s="34">
        <v>85784.420079620148</v>
      </c>
      <c r="EJ37" s="34">
        <v>4019451.6064469786</v>
      </c>
      <c r="EK37" s="34">
        <v>103289.5876536607</v>
      </c>
      <c r="EL37" s="34">
        <v>4294964</v>
      </c>
      <c r="EM37" s="34">
        <v>245678</v>
      </c>
      <c r="EN37" s="34">
        <v>4551626</v>
      </c>
      <c r="EO37" s="34">
        <v>50283</v>
      </c>
      <c r="EP37" s="34">
        <v>4875010</v>
      </c>
      <c r="EQ37" s="34">
        <v>-26193</v>
      </c>
      <c r="ER37" s="34">
        <v>5133719</v>
      </c>
      <c r="ES37" s="34">
        <v>68000</v>
      </c>
      <c r="ET37" s="34">
        <v>5389419</v>
      </c>
      <c r="EU37" s="34">
        <v>128930</v>
      </c>
      <c r="EV37" s="34">
        <v>5676598</v>
      </c>
      <c r="EW37" s="34">
        <v>122381</v>
      </c>
      <c r="EX37" s="34">
        <v>6166216</v>
      </c>
      <c r="EY37" s="34">
        <v>-5563</v>
      </c>
      <c r="EZ37" s="34">
        <v>1042924</v>
      </c>
      <c r="FA37" s="34">
        <v>1079966</v>
      </c>
      <c r="FB37" s="34">
        <v>1174603</v>
      </c>
      <c r="FC37" s="34">
        <v>3778805</v>
      </c>
      <c r="FD37" s="34">
        <v>1362112</v>
      </c>
      <c r="FE37" s="34">
        <v>1521497</v>
      </c>
      <c r="FF37" s="34">
        <v>168990</v>
      </c>
      <c r="FG37" s="34">
        <v>3351727</v>
      </c>
      <c r="FH37" s="34">
        <v>218039</v>
      </c>
      <c r="FI37" s="34">
        <v>209004</v>
      </c>
      <c r="FJ37" s="34">
        <v>376767</v>
      </c>
      <c r="FK37" s="34">
        <v>-451934</v>
      </c>
      <c r="FL37" s="34">
        <v>360595</v>
      </c>
      <c r="FM37" s="34">
        <v>2206321</v>
      </c>
      <c r="FN37" s="34">
        <v>451934</v>
      </c>
      <c r="FO37" s="34">
        <v>6368576</v>
      </c>
      <c r="FP37" s="34">
        <v>68571</v>
      </c>
      <c r="FQ37" s="34">
        <v>1185605</v>
      </c>
      <c r="FR37" s="34">
        <v>3995629</v>
      </c>
      <c r="FS37" s="34">
        <v>1486727</v>
      </c>
      <c r="FT37" s="34">
        <v>1674079</v>
      </c>
      <c r="FU37" s="34">
        <v>93136</v>
      </c>
      <c r="FV37" s="34">
        <v>3483416</v>
      </c>
      <c r="FW37" s="34">
        <v>254504</v>
      </c>
      <c r="FX37" s="34">
        <v>257675</v>
      </c>
      <c r="FY37" s="34">
        <v>562267</v>
      </c>
      <c r="FZ37" s="34">
        <v>-491753</v>
      </c>
      <c r="GA37" s="34">
        <v>391384</v>
      </c>
      <c r="GB37" s="34">
        <v>2361027</v>
      </c>
      <c r="GC37" s="34">
        <v>491753</v>
      </c>
      <c r="GD37" s="34">
        <v>6663618</v>
      </c>
      <c r="GE37" s="34">
        <v>135909</v>
      </c>
      <c r="GF37" s="34">
        <v>1298964</v>
      </c>
      <c r="GG37" s="57">
        <v>307.75</v>
      </c>
      <c r="GH37" s="34">
        <v>1196851</v>
      </c>
      <c r="GI37" s="34">
        <v>4129061</v>
      </c>
      <c r="GJ37">
        <v>1537934</v>
      </c>
      <c r="GK37">
        <v>1772775</v>
      </c>
      <c r="GL37">
        <v>104671</v>
      </c>
      <c r="GM37">
        <v>3561925</v>
      </c>
      <c r="GN37">
        <v>303459</v>
      </c>
      <c r="GO37">
        <v>263677</v>
      </c>
      <c r="GP37">
        <v>451144</v>
      </c>
      <c r="GQ37">
        <v>-435122</v>
      </c>
      <c r="GR37">
        <v>389139</v>
      </c>
      <c r="GS37">
        <v>2433306</v>
      </c>
      <c r="GT37">
        <v>435122</v>
      </c>
      <c r="GU37">
        <v>7037471</v>
      </c>
      <c r="GV37">
        <v>96252</v>
      </c>
      <c r="GW37" s="34">
        <v>1208681</v>
      </c>
      <c r="GX37" s="34">
        <v>4195697</v>
      </c>
      <c r="GY37">
        <v>1606627</v>
      </c>
      <c r="GZ37">
        <v>1950523</v>
      </c>
      <c r="HA37">
        <v>123698</v>
      </c>
      <c r="HB37">
        <v>3695177</v>
      </c>
      <c r="HC37">
        <v>226367</v>
      </c>
      <c r="HD37">
        <v>274145</v>
      </c>
      <c r="HE37">
        <v>247247</v>
      </c>
      <c r="HF37">
        <v>-617330</v>
      </c>
      <c r="HG37">
        <v>419559</v>
      </c>
      <c r="HH37">
        <v>2878143</v>
      </c>
      <c r="HI37">
        <v>617330</v>
      </c>
      <c r="HJ37">
        <v>7587958</v>
      </c>
      <c r="HK37">
        <v>-137410</v>
      </c>
      <c r="HL37">
        <v>1315010</v>
      </c>
      <c r="HM37" s="57">
        <v>19.40625</v>
      </c>
      <c r="HN37" s="190">
        <v>93204.703207175568</v>
      </c>
      <c r="HO37" s="34">
        <v>129459.12444729242</v>
      </c>
      <c r="HP37" s="34">
        <v>257967.98711007732</v>
      </c>
      <c r="HQ37" s="34">
        <v>376949.34011467051</v>
      </c>
      <c r="HR37">
        <v>604417</v>
      </c>
      <c r="HS37">
        <v>656420</v>
      </c>
      <c r="HT37">
        <v>697255</v>
      </c>
      <c r="HU37">
        <v>770615</v>
      </c>
      <c r="HV37">
        <v>906955</v>
      </c>
      <c r="HW37">
        <v>1021007</v>
      </c>
      <c r="HX37">
        <v>1051380</v>
      </c>
      <c r="HY37">
        <v>1161951</v>
      </c>
      <c r="HZ37">
        <v>1298964</v>
      </c>
      <c r="IA37" s="34">
        <v>1411771</v>
      </c>
      <c r="IB37">
        <v>1315010</v>
      </c>
      <c r="IC37">
        <v>2447924</v>
      </c>
      <c r="ID37">
        <v>3317400</v>
      </c>
      <c r="IE37">
        <v>3457754</v>
      </c>
      <c r="IF37" s="57">
        <v>17.75</v>
      </c>
      <c r="IG37" s="57">
        <v>17.859375</v>
      </c>
      <c r="IH37" s="57">
        <v>17.90625</v>
      </c>
      <c r="II37" s="57">
        <v>17.921875</v>
      </c>
      <c r="IJ37" s="57">
        <v>18.03125</v>
      </c>
      <c r="IK37" s="57">
        <v>18.234375</v>
      </c>
      <c r="IL37" s="57">
        <v>18.296875</v>
      </c>
      <c r="IM37" s="57">
        <v>18.484375</v>
      </c>
      <c r="IN37" s="57">
        <v>18.484375</v>
      </c>
      <c r="IO37" s="57">
        <v>18.578125</v>
      </c>
      <c r="IP37" s="57">
        <v>18.65625</v>
      </c>
      <c r="IQ37" s="57">
        <v>18.78125</v>
      </c>
      <c r="IR37" s="57">
        <v>19.234375</v>
      </c>
      <c r="IS37" s="57">
        <v>19.34375</v>
      </c>
      <c r="IT37" s="57">
        <v>19.40625</v>
      </c>
      <c r="IU37" s="57">
        <v>19.546875</v>
      </c>
      <c r="IV37" s="57">
        <v>20.0625</v>
      </c>
      <c r="IW37" s="57">
        <v>20.140625</v>
      </c>
      <c r="IX37">
        <v>1219800</v>
      </c>
      <c r="IY37">
        <v>1899203</v>
      </c>
      <c r="IZ37">
        <v>7716044</v>
      </c>
      <c r="JA37" s="34">
        <v>9038454</v>
      </c>
      <c r="JB37" s="34">
        <v>1604420</v>
      </c>
      <c r="JC37">
        <v>143536</v>
      </c>
      <c r="JD37">
        <v>370085</v>
      </c>
      <c r="JE37">
        <v>508554</v>
      </c>
      <c r="JF37">
        <v>-652575</v>
      </c>
      <c r="JG37">
        <v>-79398</v>
      </c>
      <c r="JH37">
        <v>-80966</v>
      </c>
      <c r="JI37" s="34">
        <v>3973033</v>
      </c>
      <c r="JJ37" s="173">
        <v>241980</v>
      </c>
      <c r="JK37" s="34">
        <v>304214</v>
      </c>
      <c r="JL37">
        <v>3306354</v>
      </c>
      <c r="JM37">
        <v>1230172</v>
      </c>
      <c r="JN37">
        <v>1950632</v>
      </c>
      <c r="JO37" s="173">
        <v>7793926</v>
      </c>
      <c r="JP37" s="34">
        <v>9319622</v>
      </c>
      <c r="JQ37" s="34">
        <v>1527350</v>
      </c>
      <c r="JR37" s="34">
        <v>570672</v>
      </c>
      <c r="JS37" s="173">
        <v>413157</v>
      </c>
      <c r="JT37">
        <v>464450</v>
      </c>
      <c r="JU37">
        <v>-291590</v>
      </c>
      <c r="JV37" s="173">
        <v>434985</v>
      </c>
      <c r="JW37" s="34">
        <v>4063252</v>
      </c>
      <c r="JX37" s="173">
        <v>270789</v>
      </c>
      <c r="JY37" s="34">
        <v>325770</v>
      </c>
      <c r="JZ37">
        <v>3629869</v>
      </c>
      <c r="KA37">
        <v>1240702</v>
      </c>
      <c r="KB37">
        <v>1758398</v>
      </c>
      <c r="KC37" s="173">
        <v>7815048</v>
      </c>
      <c r="KD37" s="34">
        <v>9584212</v>
      </c>
      <c r="KE37" s="34">
        <v>1573253</v>
      </c>
      <c r="KF37" s="34">
        <v>330446</v>
      </c>
      <c r="KG37" s="173">
        <v>406252</v>
      </c>
      <c r="KH37">
        <v>462328</v>
      </c>
      <c r="KI37" s="173">
        <v>-317404</v>
      </c>
      <c r="KJ37" s="173">
        <v>88815</v>
      </c>
      <c r="KK37" s="34">
        <v>4148824</v>
      </c>
      <c r="KL37" s="173">
        <v>305066</v>
      </c>
      <c r="KM37" s="34">
        <v>338216</v>
      </c>
      <c r="KN37">
        <v>3867934</v>
      </c>
      <c r="KO37">
        <v>1250440</v>
      </c>
      <c r="KP37">
        <v>4868485</v>
      </c>
      <c r="KQ37">
        <v>1712806</v>
      </c>
      <c r="KR37">
        <v>1772246</v>
      </c>
      <c r="KS37">
        <v>136770</v>
      </c>
      <c r="KT37">
        <v>4251552</v>
      </c>
      <c r="KU37">
        <v>272326</v>
      </c>
      <c r="KV37">
        <v>344607</v>
      </c>
      <c r="KW37">
        <v>515142</v>
      </c>
      <c r="KX37">
        <v>-469931</v>
      </c>
      <c r="KY37">
        <v>479947</v>
      </c>
      <c r="KZ37">
        <v>4101636</v>
      </c>
      <c r="LA37">
        <v>7929112</v>
      </c>
      <c r="LB37">
        <v>35587</v>
      </c>
      <c r="LC37">
        <v>1780081</v>
      </c>
      <c r="LD37" s="57">
        <v>20.140625</v>
      </c>
      <c r="LE37">
        <v>1257620</v>
      </c>
      <c r="LF37" s="34">
        <v>4934908</v>
      </c>
      <c r="LG37" s="34">
        <v>1668159</v>
      </c>
      <c r="LH37">
        <v>1541531</v>
      </c>
      <c r="LI37" s="173">
        <v>173495</v>
      </c>
      <c r="LJ37" s="34">
        <v>4229861</v>
      </c>
      <c r="LK37" s="173">
        <v>345496</v>
      </c>
      <c r="LL37" s="34">
        <v>359551</v>
      </c>
      <c r="LM37" s="173">
        <v>580298</v>
      </c>
      <c r="LN37" s="173">
        <v>-425487</v>
      </c>
      <c r="LO37">
        <v>465854</v>
      </c>
      <c r="LP37">
        <v>4250810</v>
      </c>
      <c r="LQ37" s="173">
        <v>7706453</v>
      </c>
      <c r="LR37" s="173">
        <v>149131</v>
      </c>
      <c r="LS37" s="173">
        <v>1918184</v>
      </c>
      <c r="LT37" s="57">
        <v>20.15625</v>
      </c>
      <c r="LU37">
        <v>1265986</v>
      </c>
      <c r="LV37" s="34">
        <v>4949395</v>
      </c>
      <c r="LW37" s="34">
        <v>1680926</v>
      </c>
      <c r="LX37" s="172">
        <v>1675210</v>
      </c>
      <c r="LY37" s="173">
        <v>108574</v>
      </c>
      <c r="LZ37" s="34">
        <v>4224116</v>
      </c>
      <c r="MA37" s="173">
        <v>341286</v>
      </c>
      <c r="MB37" s="34">
        <v>383993</v>
      </c>
      <c r="MC37" s="173">
        <v>325222</v>
      </c>
      <c r="MD37" s="34">
        <v>-610497</v>
      </c>
      <c r="ME37">
        <v>467369</v>
      </c>
      <c r="MF37">
        <v>4500178</v>
      </c>
      <c r="MG37" s="173">
        <v>8075218</v>
      </c>
      <c r="MH37" s="173">
        <v>-120537</v>
      </c>
      <c r="MI37" s="173">
        <v>1798782</v>
      </c>
      <c r="MJ37" s="57">
        <v>20.21875</v>
      </c>
    </row>
    <row r="38" spans="1:348" x14ac:dyDescent="0.2">
      <c r="A38">
        <v>130</v>
      </c>
      <c r="B38" s="34">
        <v>771271</v>
      </c>
      <c r="C38" s="34">
        <v>770682</v>
      </c>
      <c r="D38" s="34">
        <v>770203</v>
      </c>
      <c r="E38" s="34">
        <v>769782</v>
      </c>
      <c r="F38" s="34">
        <v>769641</v>
      </c>
      <c r="G38" s="34">
        <v>770724</v>
      </c>
      <c r="H38" s="34">
        <v>772103</v>
      </c>
      <c r="I38" s="34">
        <v>773799</v>
      </c>
      <c r="J38" s="34">
        <v>775910</v>
      </c>
      <c r="K38" s="34">
        <v>778600</v>
      </c>
      <c r="L38" s="34">
        <v>782166</v>
      </c>
      <c r="M38" s="34">
        <v>1669636</v>
      </c>
      <c r="N38" s="34">
        <v>520483</v>
      </c>
      <c r="O38" s="34">
        <v>678404</v>
      </c>
      <c r="P38" s="34">
        <v>52259.52069804717</v>
      </c>
      <c r="Q38" s="34">
        <v>1738091</v>
      </c>
      <c r="R38" s="34">
        <v>532119</v>
      </c>
      <c r="S38" s="34">
        <v>693294</v>
      </c>
      <c r="T38" s="34">
        <v>57804.003881777338</v>
      </c>
      <c r="U38" s="34">
        <v>1751357</v>
      </c>
      <c r="V38" s="34">
        <v>559268</v>
      </c>
      <c r="W38" s="34">
        <v>733136</v>
      </c>
      <c r="X38" s="34">
        <v>45462.205650105199</v>
      </c>
      <c r="Y38" s="34">
        <v>1975306</v>
      </c>
      <c r="Z38" s="34">
        <v>625025</v>
      </c>
      <c r="AA38" s="34">
        <v>771761</v>
      </c>
      <c r="AB38" s="34">
        <v>45083.44643971388</v>
      </c>
      <c r="AC38" s="34">
        <v>2029443</v>
      </c>
      <c r="AD38" s="34">
        <v>669206</v>
      </c>
      <c r="AE38" s="34">
        <v>799539</v>
      </c>
      <c r="AF38" s="34">
        <v>40334</v>
      </c>
      <c r="AG38" s="34">
        <v>1936861</v>
      </c>
      <c r="AH38" s="34">
        <v>705588</v>
      </c>
      <c r="AI38" s="34">
        <v>811639</v>
      </c>
      <c r="AJ38" s="34">
        <v>59544</v>
      </c>
      <c r="AK38" s="34">
        <v>1962967</v>
      </c>
      <c r="AL38" s="34">
        <v>778434</v>
      </c>
      <c r="AM38" s="34">
        <v>860071</v>
      </c>
      <c r="AN38" s="34">
        <v>69856</v>
      </c>
      <c r="AO38" s="34">
        <v>2007971</v>
      </c>
      <c r="AP38" s="34">
        <v>809596</v>
      </c>
      <c r="AQ38" s="34">
        <v>847676</v>
      </c>
      <c r="AR38" s="34">
        <v>71427</v>
      </c>
      <c r="AS38" s="34">
        <v>2133309</v>
      </c>
      <c r="AT38" s="34">
        <v>880780</v>
      </c>
      <c r="AU38" s="34">
        <v>898600</v>
      </c>
      <c r="AV38" s="34">
        <v>136740</v>
      </c>
      <c r="AW38" s="34">
        <v>2298344</v>
      </c>
      <c r="AX38" s="34">
        <v>933134</v>
      </c>
      <c r="AY38" s="34">
        <v>978229</v>
      </c>
      <c r="AZ38" s="34">
        <v>93649</v>
      </c>
      <c r="BA38" s="34">
        <v>2501302</v>
      </c>
      <c r="BB38" s="34">
        <v>1059413</v>
      </c>
      <c r="BC38" s="34">
        <v>1024372</v>
      </c>
      <c r="BD38" s="34">
        <v>73171</v>
      </c>
      <c r="BE38" s="34">
        <v>1396950.9210811793</v>
      </c>
      <c r="BF38" s="34">
        <v>215274.15472952859</v>
      </c>
      <c r="BG38" s="34">
        <v>56724.237393894429</v>
      </c>
      <c r="BH38" s="34">
        <v>1425821.7241617094</v>
      </c>
      <c r="BI38" s="34">
        <v>243309.40019139784</v>
      </c>
      <c r="BJ38" s="34">
        <v>68142.179345513519</v>
      </c>
      <c r="BK38" s="34">
        <v>1378810.3395209671</v>
      </c>
      <c r="BL38" s="34">
        <v>298740.77699458267</v>
      </c>
      <c r="BM38" s="34">
        <v>73141.060895802526</v>
      </c>
      <c r="BN38" s="34">
        <v>1580704</v>
      </c>
      <c r="BO38" s="34">
        <v>316895</v>
      </c>
      <c r="BP38" s="34">
        <v>77148</v>
      </c>
      <c r="BQ38" s="34">
        <v>1741532</v>
      </c>
      <c r="BR38" s="34">
        <v>205469</v>
      </c>
      <c r="BS38" s="34">
        <v>81911</v>
      </c>
      <c r="BT38" s="34">
        <v>1712653</v>
      </c>
      <c r="BU38" s="34">
        <v>136935</v>
      </c>
      <c r="BV38" s="34">
        <v>86821</v>
      </c>
      <c r="BW38" s="34">
        <v>1737821</v>
      </c>
      <c r="BX38" s="34">
        <v>135814</v>
      </c>
      <c r="BY38" s="34">
        <v>88889</v>
      </c>
      <c r="BZ38" s="34">
        <v>1781410</v>
      </c>
      <c r="CA38" s="34">
        <v>131860</v>
      </c>
      <c r="CB38" s="34">
        <v>94295</v>
      </c>
      <c r="CC38" s="34">
        <v>1886745</v>
      </c>
      <c r="CD38" s="34">
        <v>144339</v>
      </c>
      <c r="CE38" s="34">
        <v>101862</v>
      </c>
      <c r="CF38" s="34">
        <v>2004666</v>
      </c>
      <c r="CG38" s="34">
        <v>184408</v>
      </c>
      <c r="CH38" s="34">
        <v>109123</v>
      </c>
      <c r="CI38" s="34">
        <v>2176983</v>
      </c>
      <c r="CJ38" s="34">
        <v>206643</v>
      </c>
      <c r="CK38" s="34">
        <v>117571</v>
      </c>
      <c r="CL38" s="34">
        <v>110814.14729562226</v>
      </c>
      <c r="CM38" s="34">
        <v>-219821.11532334</v>
      </c>
      <c r="CN38" s="34">
        <v>165750.04246745145</v>
      </c>
      <c r="CO38" s="34">
        <v>714322</v>
      </c>
      <c r="CP38" s="34">
        <v>168120.81947885291</v>
      </c>
      <c r="CQ38" s="34">
        <v>-169800.51231078999</v>
      </c>
      <c r="CR38" s="34">
        <v>173702.13581847816</v>
      </c>
      <c r="CS38" s="34">
        <v>679027</v>
      </c>
      <c r="CT38" s="34">
        <v>103017.12321279306</v>
      </c>
      <c r="CU38" s="34">
        <v>-143707.50101245096</v>
      </c>
      <c r="CV38" s="34">
        <v>169566.39470678961</v>
      </c>
      <c r="CW38" s="34">
        <v>709405</v>
      </c>
      <c r="CX38" s="34">
        <v>206128.76804025748</v>
      </c>
      <c r="CY38" s="34">
        <v>-200123</v>
      </c>
      <c r="CZ38" s="34">
        <v>175180.50769207481</v>
      </c>
      <c r="DA38" s="34">
        <v>759231</v>
      </c>
      <c r="DB38" s="34">
        <v>303620</v>
      </c>
      <c r="DC38" s="34">
        <v>-209705</v>
      </c>
      <c r="DD38" s="34">
        <v>181632</v>
      </c>
      <c r="DE38" s="34">
        <v>756312</v>
      </c>
      <c r="DF38" s="34">
        <v>156124</v>
      </c>
      <c r="DG38" s="34">
        <v>-250911</v>
      </c>
      <c r="DH38" s="34">
        <v>181012</v>
      </c>
      <c r="DI38" s="34">
        <v>854329</v>
      </c>
      <c r="DJ38" s="34">
        <v>130782</v>
      </c>
      <c r="DK38" s="34">
        <v>-256145</v>
      </c>
      <c r="DL38" s="34">
        <v>188220</v>
      </c>
      <c r="DM38" s="34">
        <v>1001568</v>
      </c>
      <c r="DN38" s="34">
        <v>104218</v>
      </c>
      <c r="DO38" s="34">
        <v>-271166</v>
      </c>
      <c r="DP38" s="34">
        <v>190656</v>
      </c>
      <c r="DQ38" s="34">
        <v>1163273</v>
      </c>
      <c r="DR38" s="34">
        <v>179950</v>
      </c>
      <c r="DS38" s="34">
        <v>-197993</v>
      </c>
      <c r="DT38" s="34">
        <v>192259</v>
      </c>
      <c r="DU38" s="34">
        <v>1311148</v>
      </c>
      <c r="DV38" s="34">
        <v>221542</v>
      </c>
      <c r="DW38" s="34">
        <v>-254005</v>
      </c>
      <c r="DX38" s="34">
        <v>198541</v>
      </c>
      <c r="DY38" s="34">
        <v>1367999</v>
      </c>
      <c r="DZ38" s="34">
        <v>252280</v>
      </c>
      <c r="EA38" s="34">
        <v>-364632</v>
      </c>
      <c r="EB38" s="34">
        <v>207018</v>
      </c>
      <c r="EC38" s="34">
        <v>1500293</v>
      </c>
      <c r="ED38" s="34">
        <v>2650529.7078743898</v>
      </c>
      <c r="EE38" s="34">
        <v>-26155.072631956038</v>
      </c>
      <c r="EF38" s="34">
        <v>2701015.0141361952</v>
      </c>
      <c r="EG38" s="34">
        <v>36489.88433716297</v>
      </c>
      <c r="EH38" s="34">
        <v>2825023.1678868704</v>
      </c>
      <c r="EI38" s="34">
        <v>-30333.028913186437</v>
      </c>
      <c r="EJ38" s="34">
        <v>2977911.5432419572</v>
      </c>
      <c r="EK38" s="34">
        <v>86243.236743007161</v>
      </c>
      <c r="EL38" s="34">
        <v>3133083</v>
      </c>
      <c r="EM38" s="34">
        <v>151993</v>
      </c>
      <c r="EN38" s="34">
        <v>3316407</v>
      </c>
      <c r="EO38" s="34">
        <v>-9446</v>
      </c>
      <c r="EP38" s="34">
        <v>3492296</v>
      </c>
      <c r="EQ38" s="34">
        <v>-43996</v>
      </c>
      <c r="ER38" s="34">
        <v>3626141</v>
      </c>
      <c r="ES38" s="34">
        <v>-75512</v>
      </c>
      <c r="ET38" s="34">
        <v>3758369</v>
      </c>
      <c r="EU38" s="34">
        <v>76610</v>
      </c>
      <c r="EV38" s="34">
        <v>4004522</v>
      </c>
      <c r="EW38" s="34">
        <v>37926</v>
      </c>
      <c r="EX38" s="34">
        <v>4326044</v>
      </c>
      <c r="EY38" s="34">
        <v>84415</v>
      </c>
      <c r="EZ38" s="34">
        <v>184731</v>
      </c>
      <c r="FA38" s="34">
        <v>267895</v>
      </c>
      <c r="FB38" s="34">
        <v>784335</v>
      </c>
      <c r="FC38" s="34">
        <v>2513588</v>
      </c>
      <c r="FD38" s="34">
        <v>1130136</v>
      </c>
      <c r="FE38" s="34">
        <v>1139715</v>
      </c>
      <c r="FF38" s="34">
        <v>61269</v>
      </c>
      <c r="FG38" s="34">
        <v>2230128</v>
      </c>
      <c r="FH38" s="34">
        <v>160104</v>
      </c>
      <c r="FI38" s="34">
        <v>123329</v>
      </c>
      <c r="FJ38" s="34">
        <v>237833</v>
      </c>
      <c r="FK38" s="34">
        <v>-336885</v>
      </c>
      <c r="FL38" s="34">
        <v>225238</v>
      </c>
      <c r="FM38" s="34">
        <v>1650719</v>
      </c>
      <c r="FN38" s="34">
        <v>336885</v>
      </c>
      <c r="FO38" s="34">
        <v>4579193</v>
      </c>
      <c r="FP38" s="34">
        <v>12946</v>
      </c>
      <c r="FQ38" s="34">
        <v>787010</v>
      </c>
      <c r="FR38" s="34">
        <v>2595863</v>
      </c>
      <c r="FS38" s="34">
        <v>1131699</v>
      </c>
      <c r="FT38" s="34">
        <v>1316619</v>
      </c>
      <c r="FU38" s="34">
        <v>67200</v>
      </c>
      <c r="FV38" s="34">
        <v>2265907</v>
      </c>
      <c r="FW38" s="34">
        <v>183898</v>
      </c>
      <c r="FX38" s="34">
        <v>146058</v>
      </c>
      <c r="FY38" s="34">
        <v>292084</v>
      </c>
      <c r="FZ38" s="34">
        <v>-313701</v>
      </c>
      <c r="GA38" s="34">
        <v>228777</v>
      </c>
      <c r="GB38" s="34">
        <v>1756702</v>
      </c>
      <c r="GC38" s="34">
        <v>313701</v>
      </c>
      <c r="GD38" s="34">
        <v>4785423</v>
      </c>
      <c r="GE38" s="34">
        <v>67580</v>
      </c>
      <c r="GF38" s="34">
        <v>349984</v>
      </c>
      <c r="GG38" s="57">
        <v>387.75</v>
      </c>
      <c r="GH38" s="34">
        <v>789487</v>
      </c>
      <c r="GI38" s="34">
        <v>2690404</v>
      </c>
      <c r="GJ38">
        <v>1185053</v>
      </c>
      <c r="GK38">
        <v>1366698</v>
      </c>
      <c r="GL38">
        <v>68256</v>
      </c>
      <c r="GM38">
        <v>2313374</v>
      </c>
      <c r="GN38">
        <v>224331</v>
      </c>
      <c r="GO38">
        <v>152699</v>
      </c>
      <c r="GP38">
        <v>227735</v>
      </c>
      <c r="GQ38">
        <v>-430272</v>
      </c>
      <c r="GR38">
        <v>232080</v>
      </c>
      <c r="GS38">
        <v>1883969</v>
      </c>
      <c r="GT38">
        <v>430272</v>
      </c>
      <c r="GU38">
        <v>5038376</v>
      </c>
      <c r="GV38">
        <v>12180</v>
      </c>
      <c r="GW38" s="34">
        <v>791056</v>
      </c>
      <c r="GX38" s="34">
        <v>2743452</v>
      </c>
      <c r="GY38">
        <v>1213950</v>
      </c>
      <c r="GZ38">
        <v>1409492</v>
      </c>
      <c r="HA38">
        <v>99331</v>
      </c>
      <c r="HB38">
        <v>2406638</v>
      </c>
      <c r="HC38">
        <v>170381</v>
      </c>
      <c r="HD38">
        <v>166433</v>
      </c>
      <c r="HE38">
        <v>157754</v>
      </c>
      <c r="HF38">
        <v>-386161</v>
      </c>
      <c r="HG38">
        <v>266541</v>
      </c>
      <c r="HH38">
        <v>2120776</v>
      </c>
      <c r="HI38">
        <v>386161</v>
      </c>
      <c r="HJ38">
        <v>5259854</v>
      </c>
      <c r="HK38">
        <v>-61516</v>
      </c>
      <c r="HL38">
        <v>314937</v>
      </c>
      <c r="HM38" s="57">
        <v>19.5</v>
      </c>
      <c r="HN38" s="190">
        <v>-26445.028617175689</v>
      </c>
      <c r="HO38" s="34">
        <v>15423.001044447023</v>
      </c>
      <c r="HP38" s="34">
        <v>23703.060852073686</v>
      </c>
      <c r="HQ38" s="34">
        <v>109004.78158274932</v>
      </c>
      <c r="HR38">
        <v>219587</v>
      </c>
      <c r="HS38">
        <v>210151</v>
      </c>
      <c r="HT38">
        <v>204537</v>
      </c>
      <c r="HU38">
        <v>132868</v>
      </c>
      <c r="HV38">
        <v>210877</v>
      </c>
      <c r="HW38">
        <v>176252</v>
      </c>
      <c r="HX38">
        <v>241527</v>
      </c>
      <c r="HY38">
        <v>288250</v>
      </c>
      <c r="HZ38">
        <v>349984</v>
      </c>
      <c r="IA38" s="34">
        <v>376434</v>
      </c>
      <c r="IB38">
        <v>314937</v>
      </c>
      <c r="IC38">
        <v>801576</v>
      </c>
      <c r="ID38">
        <v>1113232</v>
      </c>
      <c r="IE38">
        <v>951216</v>
      </c>
      <c r="IF38" s="57">
        <v>17.787500000000001</v>
      </c>
      <c r="IG38" s="57">
        <v>17.912500000000001</v>
      </c>
      <c r="IH38" s="57">
        <v>17.912500000000001</v>
      </c>
      <c r="II38" s="57">
        <v>17.887499999999999</v>
      </c>
      <c r="IJ38" s="57">
        <v>18.0625</v>
      </c>
      <c r="IK38" s="57">
        <v>18.262499999999999</v>
      </c>
      <c r="IL38" s="57">
        <v>18.3</v>
      </c>
      <c r="IM38" s="57">
        <v>18.45</v>
      </c>
      <c r="IN38" s="57">
        <v>18.637499999999999</v>
      </c>
      <c r="IO38" s="57">
        <v>18.737500000000001</v>
      </c>
      <c r="IP38" s="57">
        <v>18.9375</v>
      </c>
      <c r="IQ38" s="57">
        <v>19.012499999999999</v>
      </c>
      <c r="IR38" s="57">
        <v>19.387499999999999</v>
      </c>
      <c r="IS38" s="57">
        <v>19.387499999999999</v>
      </c>
      <c r="IT38" s="57">
        <v>19.5</v>
      </c>
      <c r="IU38" s="57">
        <v>19.850000000000001</v>
      </c>
      <c r="IV38" s="57">
        <v>20.262499999999999</v>
      </c>
      <c r="IW38" s="57">
        <v>20.362500000000001</v>
      </c>
      <c r="IX38">
        <v>793225</v>
      </c>
      <c r="IY38">
        <v>1431342</v>
      </c>
      <c r="IZ38">
        <v>5383370</v>
      </c>
      <c r="JA38" s="34">
        <v>5895694</v>
      </c>
      <c r="JB38" s="34">
        <v>1258125</v>
      </c>
      <c r="JC38">
        <v>141909</v>
      </c>
      <c r="JD38">
        <v>292806</v>
      </c>
      <c r="JE38">
        <v>287070</v>
      </c>
      <c r="JF38">
        <v>-325344</v>
      </c>
      <c r="JG38">
        <v>84955</v>
      </c>
      <c r="JH38">
        <v>94673</v>
      </c>
      <c r="JI38" s="34">
        <v>2571525</v>
      </c>
      <c r="JJ38" s="173">
        <v>194191</v>
      </c>
      <c r="JK38" s="34">
        <v>182131</v>
      </c>
      <c r="JL38">
        <v>2285627</v>
      </c>
      <c r="JM38">
        <v>793645</v>
      </c>
      <c r="JN38">
        <v>1522273</v>
      </c>
      <c r="JO38" s="173">
        <v>5478976</v>
      </c>
      <c r="JP38" s="34">
        <v>6055826</v>
      </c>
      <c r="JQ38" s="34">
        <v>1241528</v>
      </c>
      <c r="JR38" s="34">
        <v>173725</v>
      </c>
      <c r="JS38" s="173">
        <v>355029</v>
      </c>
      <c r="JT38">
        <v>287298</v>
      </c>
      <c r="JU38">
        <v>-253445</v>
      </c>
      <c r="JV38" s="173">
        <v>158686</v>
      </c>
      <c r="JW38" s="34">
        <v>2619207</v>
      </c>
      <c r="JX38" s="173">
        <v>198245</v>
      </c>
      <c r="JY38" s="34">
        <v>210461</v>
      </c>
      <c r="JZ38">
        <v>2356005</v>
      </c>
      <c r="KA38">
        <v>793174</v>
      </c>
      <c r="KB38">
        <v>1322534</v>
      </c>
      <c r="KC38" s="173">
        <v>5477762</v>
      </c>
      <c r="KD38" s="34">
        <v>6178242</v>
      </c>
      <c r="KE38" s="34">
        <v>1234961</v>
      </c>
      <c r="KF38" s="34">
        <v>102093</v>
      </c>
      <c r="KG38" s="173">
        <v>218261</v>
      </c>
      <c r="KH38">
        <v>278569</v>
      </c>
      <c r="KI38" s="173">
        <v>-364656</v>
      </c>
      <c r="KJ38" s="173">
        <v>-57902</v>
      </c>
      <c r="KK38" s="34">
        <v>2655187</v>
      </c>
      <c r="KL38" s="173">
        <v>212890</v>
      </c>
      <c r="KM38" s="34">
        <v>221044</v>
      </c>
      <c r="KN38">
        <v>2354961</v>
      </c>
      <c r="KO38">
        <v>791340</v>
      </c>
      <c r="KP38">
        <v>3101816</v>
      </c>
      <c r="KQ38">
        <v>1324752</v>
      </c>
      <c r="KR38">
        <v>1308155</v>
      </c>
      <c r="KS38">
        <v>79945</v>
      </c>
      <c r="KT38">
        <v>2683574</v>
      </c>
      <c r="KU38">
        <v>191379</v>
      </c>
      <c r="KV38">
        <v>226863</v>
      </c>
      <c r="KW38">
        <v>310857</v>
      </c>
      <c r="KX38">
        <v>-277542</v>
      </c>
      <c r="KY38">
        <v>279932</v>
      </c>
      <c r="KZ38">
        <v>2452519</v>
      </c>
      <c r="LA38">
        <v>5470267</v>
      </c>
      <c r="LB38">
        <v>45018</v>
      </c>
      <c r="LC38">
        <v>524979</v>
      </c>
      <c r="LD38" s="57">
        <v>20.462499999999999</v>
      </c>
      <c r="LE38">
        <v>788715</v>
      </c>
      <c r="LF38" s="34">
        <v>3123536</v>
      </c>
      <c r="LG38" s="34">
        <v>1301457</v>
      </c>
      <c r="LH38">
        <v>1153045</v>
      </c>
      <c r="LI38" s="173">
        <v>73428</v>
      </c>
      <c r="LJ38" s="34">
        <v>2671562</v>
      </c>
      <c r="LK38" s="173">
        <v>215280</v>
      </c>
      <c r="LL38" s="34">
        <v>236694</v>
      </c>
      <c r="LM38" s="173">
        <v>374666</v>
      </c>
      <c r="LN38" s="173">
        <v>-299331</v>
      </c>
      <c r="LO38">
        <v>299385</v>
      </c>
      <c r="LP38">
        <v>2493004</v>
      </c>
      <c r="LQ38" s="173">
        <v>5252329</v>
      </c>
      <c r="LR38" s="173">
        <v>67669</v>
      </c>
      <c r="LS38" s="173">
        <v>577779</v>
      </c>
      <c r="LT38" s="57">
        <v>20.5625</v>
      </c>
      <c r="LU38">
        <v>785197</v>
      </c>
      <c r="LV38" s="34">
        <v>3090709</v>
      </c>
      <c r="LW38" s="34">
        <v>1310431</v>
      </c>
      <c r="LX38" s="172">
        <v>1180495</v>
      </c>
      <c r="LY38" s="173">
        <v>47701</v>
      </c>
      <c r="LZ38" s="34">
        <v>2650310</v>
      </c>
      <c r="MA38" s="173">
        <v>199229</v>
      </c>
      <c r="MB38" s="34">
        <v>241170</v>
      </c>
      <c r="MC38" s="173">
        <v>183783</v>
      </c>
      <c r="MD38" s="34">
        <v>-316418</v>
      </c>
      <c r="ME38">
        <v>300235</v>
      </c>
      <c r="MF38">
        <v>2546607</v>
      </c>
      <c r="MG38" s="173">
        <v>5445553</v>
      </c>
      <c r="MH38" s="173">
        <v>-102193</v>
      </c>
      <c r="MI38" s="173">
        <v>473964</v>
      </c>
      <c r="MJ38" s="57">
        <v>20.5625</v>
      </c>
    </row>
    <row r="39" spans="1:348" x14ac:dyDescent="0.2">
      <c r="A39">
        <v>140</v>
      </c>
      <c r="B39" s="34">
        <v>362635</v>
      </c>
      <c r="C39" s="34">
        <v>360594</v>
      </c>
      <c r="D39" s="34">
        <v>358480</v>
      </c>
      <c r="E39" s="34">
        <v>356961</v>
      </c>
      <c r="F39" s="34">
        <v>355624</v>
      </c>
      <c r="G39" s="34">
        <v>354501</v>
      </c>
      <c r="H39" s="34">
        <v>353894</v>
      </c>
      <c r="I39" s="34">
        <v>352902</v>
      </c>
      <c r="J39" s="34">
        <v>351633</v>
      </c>
      <c r="K39" s="34">
        <v>350403</v>
      </c>
      <c r="L39" s="34">
        <v>349251</v>
      </c>
      <c r="M39" s="34">
        <v>803936</v>
      </c>
      <c r="N39" s="34">
        <v>209824</v>
      </c>
      <c r="O39" s="34">
        <v>278614</v>
      </c>
      <c r="P39" s="34">
        <v>19299.732749384853</v>
      </c>
      <c r="Q39" s="34">
        <v>836772</v>
      </c>
      <c r="R39" s="34">
        <v>209348</v>
      </c>
      <c r="S39" s="34">
        <v>276114</v>
      </c>
      <c r="T39" s="34">
        <v>25715.597580112109</v>
      </c>
      <c r="U39" s="34">
        <v>880229</v>
      </c>
      <c r="V39" s="34">
        <v>224894</v>
      </c>
      <c r="W39" s="34">
        <v>274906</v>
      </c>
      <c r="X39" s="34">
        <v>21028.536445482721</v>
      </c>
      <c r="Y39" s="34">
        <v>1016305</v>
      </c>
      <c r="Z39" s="34">
        <v>231284</v>
      </c>
      <c r="AA39" s="34">
        <v>285922</v>
      </c>
      <c r="AB39" s="34">
        <v>19153.913817142718</v>
      </c>
      <c r="AC39" s="34">
        <v>1009735</v>
      </c>
      <c r="AD39" s="34">
        <v>250399</v>
      </c>
      <c r="AE39" s="34">
        <v>301804</v>
      </c>
      <c r="AF39" s="34">
        <v>17850</v>
      </c>
      <c r="AG39" s="34">
        <v>942454</v>
      </c>
      <c r="AH39" s="34">
        <v>256429</v>
      </c>
      <c r="AI39" s="34">
        <v>319877</v>
      </c>
      <c r="AJ39" s="34">
        <v>42101</v>
      </c>
      <c r="AK39" s="34">
        <v>945279</v>
      </c>
      <c r="AL39" s="34">
        <v>298449</v>
      </c>
      <c r="AM39" s="34">
        <v>338381</v>
      </c>
      <c r="AN39" s="34">
        <v>26384</v>
      </c>
      <c r="AO39" s="34">
        <v>969389</v>
      </c>
      <c r="AP39" s="34">
        <v>328426</v>
      </c>
      <c r="AQ39" s="34">
        <v>335323</v>
      </c>
      <c r="AR39" s="34">
        <v>41367</v>
      </c>
      <c r="AS39" s="34">
        <v>1016613</v>
      </c>
      <c r="AT39" s="34">
        <v>352631</v>
      </c>
      <c r="AU39" s="34">
        <v>355581</v>
      </c>
      <c r="AV39" s="34">
        <v>26735</v>
      </c>
      <c r="AW39" s="34">
        <v>1073700</v>
      </c>
      <c r="AX39" s="34">
        <v>375109</v>
      </c>
      <c r="AY39" s="34">
        <v>349092</v>
      </c>
      <c r="AZ39" s="34">
        <v>27848</v>
      </c>
      <c r="BA39" s="34">
        <v>1146963</v>
      </c>
      <c r="BB39" s="34">
        <v>424075</v>
      </c>
      <c r="BC39" s="34">
        <v>378495</v>
      </c>
      <c r="BD39" s="34">
        <v>19727</v>
      </c>
      <c r="BE39" s="34">
        <v>670971.60483237542</v>
      </c>
      <c r="BF39" s="34">
        <v>104806.3063744906</v>
      </c>
      <c r="BG39" s="34">
        <v>27910.113644581907</v>
      </c>
      <c r="BH39" s="34">
        <v>683948.31248643983</v>
      </c>
      <c r="BI39" s="34">
        <v>119871.73988728043</v>
      </c>
      <c r="BJ39" s="34">
        <v>32751.234919850045</v>
      </c>
      <c r="BK39" s="34">
        <v>667888.88832826237</v>
      </c>
      <c r="BL39" s="34">
        <v>175239.87803011571</v>
      </c>
      <c r="BM39" s="34">
        <v>36882.098581671213</v>
      </c>
      <c r="BN39" s="34">
        <v>767824</v>
      </c>
      <c r="BO39" s="34">
        <v>209485</v>
      </c>
      <c r="BP39" s="34">
        <v>38800</v>
      </c>
      <c r="BQ39" s="34">
        <v>820157</v>
      </c>
      <c r="BR39" s="34">
        <v>148682</v>
      </c>
      <c r="BS39" s="34">
        <v>40791</v>
      </c>
      <c r="BT39" s="34">
        <v>799126</v>
      </c>
      <c r="BU39" s="34">
        <v>100891</v>
      </c>
      <c r="BV39" s="34">
        <v>42351</v>
      </c>
      <c r="BW39" s="34">
        <v>805110</v>
      </c>
      <c r="BX39" s="34">
        <v>98696</v>
      </c>
      <c r="BY39" s="34">
        <v>41350</v>
      </c>
      <c r="BZ39" s="34">
        <v>827834</v>
      </c>
      <c r="CA39" s="34">
        <v>97891</v>
      </c>
      <c r="CB39" s="34">
        <v>43621</v>
      </c>
      <c r="CC39" s="34">
        <v>866459</v>
      </c>
      <c r="CD39" s="34">
        <v>102985</v>
      </c>
      <c r="CE39" s="34">
        <v>47119</v>
      </c>
      <c r="CF39" s="34">
        <v>913403</v>
      </c>
      <c r="CG39" s="34">
        <v>110189</v>
      </c>
      <c r="CH39" s="34">
        <v>50065</v>
      </c>
      <c r="CI39" s="34">
        <v>981454</v>
      </c>
      <c r="CJ39" s="34">
        <v>111486</v>
      </c>
      <c r="CK39" s="34">
        <v>53985</v>
      </c>
      <c r="CL39" s="34">
        <v>41776.030865848261</v>
      </c>
      <c r="CM39" s="34">
        <v>-96658.778652239998</v>
      </c>
      <c r="CN39" s="34">
        <v>68233.673577508554</v>
      </c>
      <c r="CO39" s="34">
        <v>312187</v>
      </c>
      <c r="CP39" s="34">
        <v>60912.789514491902</v>
      </c>
      <c r="CQ39" s="34">
        <v>-11680.98787384</v>
      </c>
      <c r="CR39" s="34">
        <v>78662.334145681016</v>
      </c>
      <c r="CS39" s="34">
        <v>322554</v>
      </c>
      <c r="CT39" s="34">
        <v>80368.937035485971</v>
      </c>
      <c r="CU39" s="34">
        <v>-97393.591710520006</v>
      </c>
      <c r="CV39" s="34">
        <v>69465.313762986218</v>
      </c>
      <c r="CW39" s="34">
        <v>321522</v>
      </c>
      <c r="CX39" s="34">
        <v>134373.91203435068</v>
      </c>
      <c r="CY39" s="34">
        <v>-109088</v>
      </c>
      <c r="CZ39" s="34">
        <v>70260.674467222692</v>
      </c>
      <c r="DA39" s="34">
        <v>331255</v>
      </c>
      <c r="DB39" s="34">
        <v>147529</v>
      </c>
      <c r="DC39" s="34">
        <v>-107017</v>
      </c>
      <c r="DD39" s="34">
        <v>77203</v>
      </c>
      <c r="DE39" s="34">
        <v>324114</v>
      </c>
      <c r="DF39" s="34">
        <v>29411</v>
      </c>
      <c r="DG39" s="34">
        <v>-117215</v>
      </c>
      <c r="DH39" s="34">
        <v>76982</v>
      </c>
      <c r="DI39" s="34">
        <v>384174</v>
      </c>
      <c r="DJ39" s="34">
        <v>24280</v>
      </c>
      <c r="DK39" s="34">
        <v>-128462</v>
      </c>
      <c r="DL39" s="34">
        <v>80896</v>
      </c>
      <c r="DM39" s="34">
        <v>468119</v>
      </c>
      <c r="DN39" s="34">
        <v>29980</v>
      </c>
      <c r="DO39" s="34">
        <v>-100030</v>
      </c>
      <c r="DP39" s="34">
        <v>82883</v>
      </c>
      <c r="DQ39" s="34">
        <v>561618</v>
      </c>
      <c r="DR39" s="34">
        <v>66768</v>
      </c>
      <c r="DS39" s="34">
        <v>-150590</v>
      </c>
      <c r="DT39" s="34">
        <v>81737</v>
      </c>
      <c r="DU39" s="34">
        <v>633720</v>
      </c>
      <c r="DV39" s="34">
        <v>71618</v>
      </c>
      <c r="DW39" s="34">
        <v>-134224</v>
      </c>
      <c r="DX39" s="34">
        <v>78856</v>
      </c>
      <c r="DY39" s="34">
        <v>691572</v>
      </c>
      <c r="DZ39" s="34">
        <v>76235</v>
      </c>
      <c r="EA39" s="34">
        <v>-132010</v>
      </c>
      <c r="EB39" s="34">
        <v>82949</v>
      </c>
      <c r="EC39" s="34">
        <v>742435</v>
      </c>
      <c r="ED39" s="34">
        <v>1191444.6165567557</v>
      </c>
      <c r="EE39" s="34">
        <v>-12024.595802365729</v>
      </c>
      <c r="EF39" s="34">
        <v>1216013.67704218</v>
      </c>
      <c r="EG39" s="34">
        <v>4355.8991074266733</v>
      </c>
      <c r="EH39" s="34">
        <v>1243299.3089158102</v>
      </c>
      <c r="EI39" s="34">
        <v>28751.221464815924</v>
      </c>
      <c r="EJ39" s="34">
        <v>1335619.8481935775</v>
      </c>
      <c r="EK39" s="34">
        <v>47055.954441254478</v>
      </c>
      <c r="EL39" s="34">
        <v>1411198</v>
      </c>
      <c r="EM39" s="34">
        <v>62198</v>
      </c>
      <c r="EN39" s="34">
        <v>1488453</v>
      </c>
      <c r="EO39" s="34">
        <v>-40085</v>
      </c>
      <c r="EP39" s="34">
        <v>1562438</v>
      </c>
      <c r="EQ39" s="34">
        <v>-51763</v>
      </c>
      <c r="ER39" s="34">
        <v>1619599</v>
      </c>
      <c r="ES39" s="34">
        <v>-37722</v>
      </c>
      <c r="ET39" s="34">
        <v>1667358</v>
      </c>
      <c r="EU39" s="34">
        <v>-220</v>
      </c>
      <c r="EV39" s="34">
        <v>1720262</v>
      </c>
      <c r="EW39" s="34">
        <v>753</v>
      </c>
      <c r="EX39" s="34">
        <v>1853635</v>
      </c>
      <c r="EY39" s="34">
        <v>13626</v>
      </c>
      <c r="EZ39" s="34">
        <v>52950</v>
      </c>
      <c r="FA39" s="34">
        <v>66496</v>
      </c>
      <c r="FB39" s="34">
        <v>348211</v>
      </c>
      <c r="FC39" s="34">
        <v>1156242</v>
      </c>
      <c r="FD39" s="34">
        <v>486980</v>
      </c>
      <c r="FE39" s="34">
        <v>392016</v>
      </c>
      <c r="FF39" s="34">
        <v>63869</v>
      </c>
      <c r="FG39" s="34">
        <v>989925</v>
      </c>
      <c r="FH39" s="34">
        <v>107318</v>
      </c>
      <c r="FI39" s="34">
        <v>58999</v>
      </c>
      <c r="FJ39" s="34">
        <v>86583</v>
      </c>
      <c r="FK39" s="34">
        <v>-67764</v>
      </c>
      <c r="FL39" s="34">
        <v>94407</v>
      </c>
      <c r="FM39" s="34">
        <v>774206</v>
      </c>
      <c r="FN39" s="34">
        <v>67764</v>
      </c>
      <c r="FO39" s="34">
        <v>1945477</v>
      </c>
      <c r="FP39" s="34">
        <v>12630</v>
      </c>
      <c r="FQ39" s="34">
        <v>347726</v>
      </c>
      <c r="FR39" s="34">
        <v>1185612</v>
      </c>
      <c r="FS39" s="34">
        <v>529154</v>
      </c>
      <c r="FT39" s="34">
        <v>442656</v>
      </c>
      <c r="FU39" s="34">
        <v>14034</v>
      </c>
      <c r="FV39" s="34">
        <v>988917</v>
      </c>
      <c r="FW39" s="34">
        <v>124999</v>
      </c>
      <c r="FX39" s="34">
        <v>71657</v>
      </c>
      <c r="FY39" s="34">
        <v>129617</v>
      </c>
      <c r="FZ39" s="34">
        <v>-103547</v>
      </c>
      <c r="GA39" s="34">
        <v>93681</v>
      </c>
      <c r="GB39" s="34">
        <v>794552</v>
      </c>
      <c r="GC39" s="34">
        <v>103547</v>
      </c>
      <c r="GD39" s="34">
        <v>2025265</v>
      </c>
      <c r="GE39" s="34">
        <v>39192</v>
      </c>
      <c r="GF39" s="34">
        <v>114942</v>
      </c>
      <c r="GG39" s="57">
        <v>217.75</v>
      </c>
      <c r="GH39" s="34">
        <v>346501</v>
      </c>
      <c r="GI39" s="34">
        <v>1197031</v>
      </c>
      <c r="GJ39">
        <v>548474</v>
      </c>
      <c r="GK39">
        <v>452444</v>
      </c>
      <c r="GL39">
        <v>40302</v>
      </c>
      <c r="GM39">
        <v>1015407</v>
      </c>
      <c r="GN39">
        <v>107619</v>
      </c>
      <c r="GO39">
        <v>74005</v>
      </c>
      <c r="GP39">
        <v>68464</v>
      </c>
      <c r="GQ39">
        <v>-89725</v>
      </c>
      <c r="GR39">
        <v>95541</v>
      </c>
      <c r="GS39">
        <v>782519</v>
      </c>
      <c r="GT39">
        <v>89725</v>
      </c>
      <c r="GU39">
        <v>2123036</v>
      </c>
      <c r="GV39">
        <v>3163</v>
      </c>
      <c r="GW39" s="34">
        <v>344688</v>
      </c>
      <c r="GX39" s="34">
        <v>1177615</v>
      </c>
      <c r="GY39">
        <v>588239</v>
      </c>
      <c r="GZ39">
        <v>450528</v>
      </c>
      <c r="HA39">
        <v>63807</v>
      </c>
      <c r="HB39">
        <v>1041528</v>
      </c>
      <c r="HC39">
        <v>56995</v>
      </c>
      <c r="HD39">
        <v>79092</v>
      </c>
      <c r="HE39">
        <v>-14387</v>
      </c>
      <c r="HF39">
        <v>-86578</v>
      </c>
      <c r="HG39">
        <v>93192</v>
      </c>
      <c r="HH39">
        <v>877126</v>
      </c>
      <c r="HI39">
        <v>86578</v>
      </c>
      <c r="HJ39">
        <v>2231946</v>
      </c>
      <c r="HK39">
        <v>-71124</v>
      </c>
      <c r="HL39">
        <v>53047</v>
      </c>
      <c r="HM39" s="57">
        <v>19.977272727272727</v>
      </c>
      <c r="HN39" s="190">
        <v>-20804.00556365661</v>
      </c>
      <c r="HO39" s="34">
        <v>-11552.324104861809</v>
      </c>
      <c r="HP39" s="34">
        <v>5405.2235806200424</v>
      </c>
      <c r="HQ39" s="34">
        <v>49849.219523927262</v>
      </c>
      <c r="HR39">
        <v>112634</v>
      </c>
      <c r="HS39">
        <v>89949</v>
      </c>
      <c r="HT39">
        <v>61656</v>
      </c>
      <c r="HU39">
        <v>37074</v>
      </c>
      <c r="HV39">
        <v>59035</v>
      </c>
      <c r="HW39">
        <v>53534</v>
      </c>
      <c r="HX39">
        <v>76738</v>
      </c>
      <c r="HY39">
        <v>72800</v>
      </c>
      <c r="HZ39">
        <v>114942</v>
      </c>
      <c r="IA39" s="34">
        <v>118863</v>
      </c>
      <c r="IB39">
        <v>53047</v>
      </c>
      <c r="IC39">
        <v>122504</v>
      </c>
      <c r="ID39">
        <v>172632</v>
      </c>
      <c r="IE39">
        <v>158700</v>
      </c>
      <c r="IF39" s="57">
        <v>17.84090909090909</v>
      </c>
      <c r="IG39" s="57">
        <v>17.977272727272727</v>
      </c>
      <c r="IH39" s="57">
        <v>18.022727272727273</v>
      </c>
      <c r="II39" s="57">
        <v>18.022727272727273</v>
      </c>
      <c r="IJ39" s="57">
        <v>18.181818181818183</v>
      </c>
      <c r="IK39" s="57">
        <v>18.386363636363637</v>
      </c>
      <c r="IL39" s="57">
        <v>18.363636363636363</v>
      </c>
      <c r="IM39" s="57">
        <v>18.522727272727273</v>
      </c>
      <c r="IN39" s="57">
        <v>18.727272727272727</v>
      </c>
      <c r="IO39" s="57">
        <v>18.75</v>
      </c>
      <c r="IP39" s="57">
        <v>19</v>
      </c>
      <c r="IQ39" s="57">
        <v>19.272727272727273</v>
      </c>
      <c r="IR39" s="57">
        <v>19.795454545454547</v>
      </c>
      <c r="IS39" s="57">
        <v>19.90909090909091</v>
      </c>
      <c r="IT39" s="57">
        <v>19.977272727272727</v>
      </c>
      <c r="IU39" s="57">
        <v>20.272727272727273</v>
      </c>
      <c r="IV39" s="57">
        <v>20.636363636363637</v>
      </c>
      <c r="IW39" s="57">
        <v>20.795454545454547</v>
      </c>
      <c r="IX39">
        <v>342722</v>
      </c>
      <c r="IY39">
        <v>463484</v>
      </c>
      <c r="IZ39">
        <v>2272566</v>
      </c>
      <c r="JA39" s="34">
        <v>2520836</v>
      </c>
      <c r="JB39" s="34">
        <v>623947</v>
      </c>
      <c r="JC39">
        <v>47033</v>
      </c>
      <c r="JD39">
        <v>81884</v>
      </c>
      <c r="JE39">
        <v>101552</v>
      </c>
      <c r="JF39">
        <v>-93852</v>
      </c>
      <c r="JG39">
        <v>6763</v>
      </c>
      <c r="JH39">
        <v>8830</v>
      </c>
      <c r="JI39" s="34">
        <v>1108809</v>
      </c>
      <c r="JJ39" s="173">
        <v>68405</v>
      </c>
      <c r="JK39" s="34">
        <v>83204</v>
      </c>
      <c r="JL39">
        <v>944019</v>
      </c>
      <c r="JM39">
        <v>340385</v>
      </c>
      <c r="JN39">
        <v>436218</v>
      </c>
      <c r="JO39" s="173">
        <v>2281133</v>
      </c>
      <c r="JP39" s="34">
        <v>2521228</v>
      </c>
      <c r="JQ39" s="34">
        <v>634153</v>
      </c>
      <c r="JR39" s="34">
        <v>81704</v>
      </c>
      <c r="JS39" s="173">
        <v>57833</v>
      </c>
      <c r="JT39">
        <v>98243</v>
      </c>
      <c r="JU39">
        <v>-68611</v>
      </c>
      <c r="JV39" s="173">
        <v>25467</v>
      </c>
      <c r="JW39" s="34">
        <v>1090760</v>
      </c>
      <c r="JX39" s="173">
        <v>76615</v>
      </c>
      <c r="JY39" s="34">
        <v>93239</v>
      </c>
      <c r="JZ39">
        <v>974413</v>
      </c>
      <c r="KA39">
        <v>337838</v>
      </c>
      <c r="KB39">
        <v>400873</v>
      </c>
      <c r="KC39" s="173">
        <v>2278804</v>
      </c>
      <c r="KD39" s="34">
        <v>2594156</v>
      </c>
      <c r="KE39" s="34">
        <v>644947</v>
      </c>
      <c r="KF39" s="34">
        <v>49249</v>
      </c>
      <c r="KG39" s="173">
        <v>76190</v>
      </c>
      <c r="KH39">
        <v>94226</v>
      </c>
      <c r="KI39" s="173">
        <v>-97066</v>
      </c>
      <c r="KJ39" s="173">
        <v>-6967</v>
      </c>
      <c r="KK39" s="34">
        <v>1120389</v>
      </c>
      <c r="KL39" s="173">
        <v>78400</v>
      </c>
      <c r="KM39" s="34">
        <v>98289</v>
      </c>
      <c r="KN39">
        <v>1025480</v>
      </c>
      <c r="KO39">
        <v>335417</v>
      </c>
      <c r="KP39">
        <v>1305876</v>
      </c>
      <c r="KQ39">
        <v>689592</v>
      </c>
      <c r="KR39">
        <v>401275</v>
      </c>
      <c r="KS39">
        <v>22504</v>
      </c>
      <c r="KT39">
        <v>1132171</v>
      </c>
      <c r="KU39">
        <v>74183</v>
      </c>
      <c r="KV39">
        <v>99522</v>
      </c>
      <c r="KW39">
        <v>112885</v>
      </c>
      <c r="KX39">
        <v>-98566</v>
      </c>
      <c r="KY39">
        <v>100764</v>
      </c>
      <c r="KZ39">
        <v>1042843</v>
      </c>
      <c r="LA39">
        <v>2296390</v>
      </c>
      <c r="LB39">
        <v>13144</v>
      </c>
      <c r="LC39">
        <v>91936</v>
      </c>
      <c r="LD39" s="57">
        <v>20.90909090909091</v>
      </c>
      <c r="LE39">
        <v>331133</v>
      </c>
      <c r="LF39" s="34">
        <v>1311364</v>
      </c>
      <c r="LG39" s="34">
        <v>683200</v>
      </c>
      <c r="LH39">
        <v>383736</v>
      </c>
      <c r="LI39" s="173">
        <v>58291</v>
      </c>
      <c r="LJ39" s="34">
        <v>1120961</v>
      </c>
      <c r="LK39" s="173">
        <v>84999</v>
      </c>
      <c r="LL39" s="34">
        <v>105404</v>
      </c>
      <c r="LM39" s="173">
        <v>136012</v>
      </c>
      <c r="LN39" s="173">
        <v>-65301</v>
      </c>
      <c r="LO39">
        <v>110118</v>
      </c>
      <c r="LP39">
        <v>1048959</v>
      </c>
      <c r="LQ39" s="173">
        <v>2257874</v>
      </c>
      <c r="LR39" s="173">
        <v>67287</v>
      </c>
      <c r="LS39" s="173">
        <v>159400</v>
      </c>
      <c r="LT39" s="57">
        <v>21.15909090909091</v>
      </c>
      <c r="LU39">
        <v>326322</v>
      </c>
      <c r="LV39" s="34">
        <v>1269794</v>
      </c>
      <c r="LW39" s="34">
        <v>689986</v>
      </c>
      <c r="LX39" s="172">
        <v>377400</v>
      </c>
      <c r="LY39" s="173">
        <v>20046</v>
      </c>
      <c r="LZ39" s="34">
        <v>1085944</v>
      </c>
      <c r="MA39" s="173">
        <v>87294</v>
      </c>
      <c r="MB39" s="34">
        <v>96556</v>
      </c>
      <c r="MC39" s="173">
        <v>36120</v>
      </c>
      <c r="MD39" s="34">
        <v>-123942</v>
      </c>
      <c r="ME39">
        <v>102009</v>
      </c>
      <c r="MF39">
        <v>1144247</v>
      </c>
      <c r="MG39" s="173">
        <v>2313234</v>
      </c>
      <c r="MH39" s="173">
        <v>-55483</v>
      </c>
      <c r="MI39" s="173">
        <v>137804</v>
      </c>
      <c r="MJ39" s="57">
        <v>21.15909090909091</v>
      </c>
    </row>
    <row r="40" spans="1:348" x14ac:dyDescent="0.2">
      <c r="A40">
        <v>210</v>
      </c>
      <c r="B40" s="34">
        <v>48393</v>
      </c>
      <c r="C40" s="34">
        <v>49320</v>
      </c>
      <c r="D40" s="34">
        <v>50107</v>
      </c>
      <c r="E40" s="34">
        <v>50789</v>
      </c>
      <c r="F40" s="34">
        <v>51602</v>
      </c>
      <c r="G40" s="34">
        <v>52145</v>
      </c>
      <c r="H40" s="34">
        <v>52644</v>
      </c>
      <c r="I40" s="34">
        <v>53322</v>
      </c>
      <c r="J40" s="34">
        <v>54289</v>
      </c>
      <c r="K40" s="34">
        <v>55086</v>
      </c>
      <c r="L40" s="34">
        <v>55954</v>
      </c>
      <c r="M40" s="34">
        <v>97185</v>
      </c>
      <c r="N40" s="34">
        <v>29830</v>
      </c>
      <c r="O40" s="34">
        <v>21673</v>
      </c>
      <c r="P40" s="34">
        <v>2175.6790167061067</v>
      </c>
      <c r="Q40" s="34">
        <v>101744</v>
      </c>
      <c r="R40" s="34">
        <v>30958</v>
      </c>
      <c r="S40" s="34">
        <v>21188</v>
      </c>
      <c r="T40" s="34">
        <v>2044.9969978455124</v>
      </c>
      <c r="U40" s="34">
        <v>108578</v>
      </c>
      <c r="V40" s="34">
        <v>36217</v>
      </c>
      <c r="W40" s="34">
        <v>23465</v>
      </c>
      <c r="X40" s="34">
        <v>1862.6812855612347</v>
      </c>
      <c r="Y40" s="34">
        <v>123153</v>
      </c>
      <c r="Z40" s="34">
        <v>39896</v>
      </c>
      <c r="AA40" s="34">
        <v>23021</v>
      </c>
      <c r="AB40" s="34">
        <v>1508.6457003597538</v>
      </c>
      <c r="AC40" s="34">
        <v>130984</v>
      </c>
      <c r="AD40" s="34">
        <v>43808</v>
      </c>
      <c r="AE40" s="34">
        <v>25120</v>
      </c>
      <c r="AF40" s="34">
        <v>1403</v>
      </c>
      <c r="AG40" s="34">
        <v>128639</v>
      </c>
      <c r="AH40" s="34">
        <v>46084</v>
      </c>
      <c r="AI40" s="34">
        <v>26875</v>
      </c>
      <c r="AJ40" s="34">
        <v>1315</v>
      </c>
      <c r="AK40" s="34">
        <v>133436</v>
      </c>
      <c r="AL40" s="34">
        <v>49399</v>
      </c>
      <c r="AM40" s="34">
        <v>31079</v>
      </c>
      <c r="AN40" s="34">
        <v>1469</v>
      </c>
      <c r="AO40" s="34">
        <v>138190</v>
      </c>
      <c r="AP40" s="34">
        <v>52173</v>
      </c>
      <c r="AQ40" s="34">
        <v>34227</v>
      </c>
      <c r="AR40" s="34">
        <v>1182</v>
      </c>
      <c r="AS40" s="34">
        <v>151528</v>
      </c>
      <c r="AT40" s="34">
        <v>54701</v>
      </c>
      <c r="AU40" s="34">
        <v>34935</v>
      </c>
      <c r="AV40" s="34">
        <v>1049</v>
      </c>
      <c r="AW40" s="34">
        <v>165359</v>
      </c>
      <c r="AX40" s="34">
        <v>56184</v>
      </c>
      <c r="AY40" s="34">
        <v>36877</v>
      </c>
      <c r="AZ40" s="34">
        <v>1503</v>
      </c>
      <c r="BA40" s="34">
        <v>180698</v>
      </c>
      <c r="BB40" s="34">
        <v>62187</v>
      </c>
      <c r="BC40" s="34">
        <v>35427</v>
      </c>
      <c r="BD40" s="34">
        <v>1180</v>
      </c>
      <c r="BE40" s="34">
        <v>84866.78675284615</v>
      </c>
      <c r="BF40" s="34">
        <v>9003.099703484686</v>
      </c>
      <c r="BG40" s="34">
        <v>3312.2930237329983</v>
      </c>
      <c r="BH40" s="34">
        <v>88591.308384336327</v>
      </c>
      <c r="BI40" s="34">
        <v>9307.8562262329433</v>
      </c>
      <c r="BJ40" s="34">
        <v>3842.2531800132197</v>
      </c>
      <c r="BK40" s="34">
        <v>94660.201522773481</v>
      </c>
      <c r="BL40" s="34">
        <v>9825.0341001020897</v>
      </c>
      <c r="BM40" s="34">
        <v>4091.003123249794</v>
      </c>
      <c r="BN40" s="34">
        <v>107426</v>
      </c>
      <c r="BO40" s="34">
        <v>11066</v>
      </c>
      <c r="BP40" s="34">
        <v>4659</v>
      </c>
      <c r="BQ40" s="34">
        <v>120364</v>
      </c>
      <c r="BR40" s="34">
        <v>5690</v>
      </c>
      <c r="BS40" s="34">
        <v>4927</v>
      </c>
      <c r="BT40" s="34">
        <v>119540</v>
      </c>
      <c r="BU40" s="34">
        <v>4082</v>
      </c>
      <c r="BV40" s="34">
        <v>5015</v>
      </c>
      <c r="BW40" s="34">
        <v>123533</v>
      </c>
      <c r="BX40" s="34">
        <v>4703</v>
      </c>
      <c r="BY40" s="34">
        <v>5198</v>
      </c>
      <c r="BZ40" s="34">
        <v>127070</v>
      </c>
      <c r="CA40" s="34">
        <v>5597</v>
      </c>
      <c r="CB40" s="34">
        <v>5520</v>
      </c>
      <c r="CC40" s="34">
        <v>138634</v>
      </c>
      <c r="CD40" s="34">
        <v>6317</v>
      </c>
      <c r="CE40" s="34">
        <v>6574</v>
      </c>
      <c r="CF40" s="34">
        <v>150221</v>
      </c>
      <c r="CG40" s="34">
        <v>7896</v>
      </c>
      <c r="CH40" s="34">
        <v>7242</v>
      </c>
      <c r="CI40" s="34">
        <v>164311</v>
      </c>
      <c r="CJ40" s="34">
        <v>8616</v>
      </c>
      <c r="CK40" s="34">
        <v>7771</v>
      </c>
      <c r="CL40" s="34">
        <v>4796.7196626822943</v>
      </c>
      <c r="CM40" s="34">
        <v>-10554.296949</v>
      </c>
      <c r="CN40" s="34">
        <v>6932.5381408170233</v>
      </c>
      <c r="CO40" s="34">
        <v>42239</v>
      </c>
      <c r="CP40" s="34">
        <v>3613.1812241726416</v>
      </c>
      <c r="CQ40" s="34">
        <v>-10372.149425200001</v>
      </c>
      <c r="CR40" s="34">
        <v>7532.4644745052337</v>
      </c>
      <c r="CS40" s="34">
        <v>47815</v>
      </c>
      <c r="CT40" s="34">
        <v>6417.0421462124914</v>
      </c>
      <c r="CU40" s="34">
        <v>-9150.7687027499996</v>
      </c>
      <c r="CV40" s="34">
        <v>7359.9036619557228</v>
      </c>
      <c r="CW40" s="34">
        <v>46801</v>
      </c>
      <c r="CX40" s="34">
        <v>10514.604598594286</v>
      </c>
      <c r="CY40" s="34">
        <v>-17019</v>
      </c>
      <c r="CZ40" s="34">
        <v>7418.7694362172515</v>
      </c>
      <c r="DA40" s="34">
        <v>57829</v>
      </c>
      <c r="DB40" s="34">
        <v>19167</v>
      </c>
      <c r="DC40" s="34">
        <v>-18429</v>
      </c>
      <c r="DD40" s="34">
        <v>8464</v>
      </c>
      <c r="DE40" s="34">
        <v>60843</v>
      </c>
      <c r="DF40" s="34">
        <v>7807</v>
      </c>
      <c r="DG40" s="34">
        <v>-23961</v>
      </c>
      <c r="DH40" s="34">
        <v>8943</v>
      </c>
      <c r="DI40" s="34">
        <v>71175</v>
      </c>
      <c r="DJ40" s="34">
        <v>9095</v>
      </c>
      <c r="DK40" s="34">
        <v>-15893</v>
      </c>
      <c r="DL40" s="34">
        <v>9576</v>
      </c>
      <c r="DM40" s="34">
        <v>79236</v>
      </c>
      <c r="DN40" s="34">
        <v>7520</v>
      </c>
      <c r="DO40" s="34">
        <v>-17790</v>
      </c>
      <c r="DP40" s="34">
        <v>10214</v>
      </c>
      <c r="DQ40" s="34">
        <v>94882</v>
      </c>
      <c r="DR40" s="34">
        <v>11824</v>
      </c>
      <c r="DS40" s="34">
        <v>-22165</v>
      </c>
      <c r="DT40" s="34">
        <v>10818</v>
      </c>
      <c r="DU40" s="34">
        <v>111501</v>
      </c>
      <c r="DV40" s="34">
        <v>17122</v>
      </c>
      <c r="DW40" s="34">
        <v>-18226</v>
      </c>
      <c r="DX40" s="34">
        <v>11224</v>
      </c>
      <c r="DY40" s="34">
        <v>112883</v>
      </c>
      <c r="DZ40" s="34">
        <v>13096</v>
      </c>
      <c r="EA40" s="34">
        <v>-26842</v>
      </c>
      <c r="EB40" s="34">
        <v>11788</v>
      </c>
      <c r="EC40" s="34">
        <v>124312</v>
      </c>
      <c r="ED40" s="34">
        <v>136688.51427831402</v>
      </c>
      <c r="EE40" s="34">
        <v>-2371.4497631073054</v>
      </c>
      <c r="EF40" s="34">
        <v>141989.29315660146</v>
      </c>
      <c r="EG40" s="34">
        <v>-3571.4706184101865</v>
      </c>
      <c r="EH40" s="34">
        <v>153407.40329614698</v>
      </c>
      <c r="EI40" s="34">
        <v>4047.778826149186</v>
      </c>
      <c r="EJ40" s="34">
        <v>165494.06044337701</v>
      </c>
      <c r="EK40" s="34">
        <v>3243.3359738837789</v>
      </c>
      <c r="EL40" s="34">
        <v>179202</v>
      </c>
      <c r="EM40" s="34">
        <v>10965</v>
      </c>
      <c r="EN40" s="34">
        <v>192678</v>
      </c>
      <c r="EO40" s="34">
        <v>-1516</v>
      </c>
      <c r="EP40" s="34">
        <v>203472</v>
      </c>
      <c r="EQ40" s="34">
        <v>-1831</v>
      </c>
      <c r="ER40" s="34">
        <v>215787</v>
      </c>
      <c r="ES40" s="34">
        <v>-4177</v>
      </c>
      <c r="ET40" s="34">
        <v>226948</v>
      </c>
      <c r="EU40" s="34">
        <v>-2464</v>
      </c>
      <c r="EV40" s="34">
        <v>238308</v>
      </c>
      <c r="EW40" s="34">
        <v>2965</v>
      </c>
      <c r="EX40" s="34">
        <v>261741</v>
      </c>
      <c r="EY40" s="34">
        <v>-1633</v>
      </c>
      <c r="EZ40" s="34">
        <v>16079</v>
      </c>
      <c r="FA40" s="34">
        <v>14447</v>
      </c>
      <c r="FB40" s="34">
        <v>54542</v>
      </c>
      <c r="FC40" s="34">
        <v>185789</v>
      </c>
      <c r="FD40" s="34">
        <v>65379</v>
      </c>
      <c r="FE40" s="34">
        <v>44165</v>
      </c>
      <c r="FF40" s="34">
        <v>919</v>
      </c>
      <c r="FG40" s="34">
        <v>171201</v>
      </c>
      <c r="FH40" s="34">
        <v>6636</v>
      </c>
      <c r="FI40" s="34">
        <v>7952</v>
      </c>
      <c r="FJ40" s="34">
        <v>21580</v>
      </c>
      <c r="FK40" s="34">
        <v>-24515</v>
      </c>
      <c r="FL40" s="34">
        <v>12650</v>
      </c>
      <c r="FM40" s="34">
        <v>135022</v>
      </c>
      <c r="FN40" s="34">
        <v>24515</v>
      </c>
      <c r="FO40" s="34">
        <v>271006</v>
      </c>
      <c r="FP40" s="34">
        <v>4204</v>
      </c>
      <c r="FQ40" s="34">
        <v>55096</v>
      </c>
      <c r="FR40" s="34">
        <v>192516</v>
      </c>
      <c r="FS40" s="34">
        <v>69213</v>
      </c>
      <c r="FT40" s="34">
        <v>45431</v>
      </c>
      <c r="FU40" s="34">
        <v>973</v>
      </c>
      <c r="FV40" s="34">
        <v>171722</v>
      </c>
      <c r="FW40" s="34">
        <v>9965</v>
      </c>
      <c r="FX40" s="34">
        <v>10829</v>
      </c>
      <c r="FY40" s="34">
        <v>22278</v>
      </c>
      <c r="FZ40" s="34">
        <v>-17511</v>
      </c>
      <c r="GA40" s="34">
        <v>14663</v>
      </c>
      <c r="GB40" s="34">
        <v>137337</v>
      </c>
      <c r="GC40" s="34">
        <v>17511</v>
      </c>
      <c r="GD40" s="34">
        <v>283163</v>
      </c>
      <c r="GE40" s="34">
        <v>5491</v>
      </c>
      <c r="GF40" s="34">
        <v>23868</v>
      </c>
      <c r="GG40" s="57">
        <v>77.75</v>
      </c>
      <c r="GH40" s="34">
        <v>56097</v>
      </c>
      <c r="GI40" s="34">
        <v>195564</v>
      </c>
      <c r="GJ40">
        <v>71722</v>
      </c>
      <c r="GK40">
        <v>48068</v>
      </c>
      <c r="GL40">
        <v>9667</v>
      </c>
      <c r="GM40">
        <v>171054</v>
      </c>
      <c r="GN40">
        <v>12391</v>
      </c>
      <c r="GO40">
        <v>12119</v>
      </c>
      <c r="GP40">
        <v>14416</v>
      </c>
      <c r="GQ40">
        <v>-24851</v>
      </c>
      <c r="GR40">
        <v>14193</v>
      </c>
      <c r="GS40">
        <v>136302</v>
      </c>
      <c r="GT40">
        <v>24851</v>
      </c>
      <c r="GU40">
        <v>299041</v>
      </c>
      <c r="GV40">
        <v>-735</v>
      </c>
      <c r="GW40" s="34">
        <v>56864</v>
      </c>
      <c r="GX40" s="34">
        <v>201840</v>
      </c>
      <c r="GY40">
        <v>75411</v>
      </c>
      <c r="GZ40">
        <v>51319</v>
      </c>
      <c r="HA40">
        <v>33896</v>
      </c>
      <c r="HB40">
        <v>180269</v>
      </c>
      <c r="HC40">
        <v>8201</v>
      </c>
      <c r="HD40">
        <v>13370</v>
      </c>
      <c r="HE40">
        <v>13191</v>
      </c>
      <c r="HF40">
        <v>7689</v>
      </c>
      <c r="HG40">
        <v>14976</v>
      </c>
      <c r="HH40">
        <v>140484</v>
      </c>
      <c r="HI40">
        <v>-7689</v>
      </c>
      <c r="HJ40">
        <v>313153</v>
      </c>
      <c r="HK40">
        <v>-885</v>
      </c>
      <c r="HL40">
        <v>21774</v>
      </c>
      <c r="HM40" s="57">
        <v>19.4375</v>
      </c>
      <c r="HN40" s="190">
        <v>-3369.3087308034505</v>
      </c>
      <c r="HO40" s="34">
        <v>-6571.1022868512355</v>
      </c>
      <c r="HP40" s="34">
        <v>-2407.4419793700686</v>
      </c>
      <c r="HQ40" s="34">
        <v>820.75708113217388</v>
      </c>
      <c r="HR40">
        <v>11785</v>
      </c>
      <c r="HS40">
        <v>10262</v>
      </c>
      <c r="HT40">
        <v>13091</v>
      </c>
      <c r="HU40">
        <v>14988</v>
      </c>
      <c r="HV40">
        <v>12957</v>
      </c>
      <c r="HW40">
        <v>16079</v>
      </c>
      <c r="HX40">
        <v>14447</v>
      </c>
      <c r="HY40">
        <v>18714</v>
      </c>
      <c r="HZ40">
        <v>23868</v>
      </c>
      <c r="IA40" s="34">
        <v>23134</v>
      </c>
      <c r="IB40">
        <v>21774</v>
      </c>
      <c r="IC40">
        <v>50002</v>
      </c>
      <c r="ID40">
        <v>53150</v>
      </c>
      <c r="IE40">
        <v>56410</v>
      </c>
      <c r="IF40" s="57">
        <v>17.875</v>
      </c>
      <c r="IG40" s="57">
        <v>18.25</v>
      </c>
      <c r="IH40" s="57">
        <v>18.25</v>
      </c>
      <c r="II40" s="57">
        <v>18.25</v>
      </c>
      <c r="IJ40" s="57">
        <v>18.5</v>
      </c>
      <c r="IK40" s="57">
        <v>18.5</v>
      </c>
      <c r="IL40" s="57">
        <v>18.5</v>
      </c>
      <c r="IM40" s="57">
        <v>18.5</v>
      </c>
      <c r="IN40" s="57">
        <v>18.8125</v>
      </c>
      <c r="IO40" s="57">
        <v>18.875</v>
      </c>
      <c r="IP40" s="57">
        <v>18.875</v>
      </c>
      <c r="IQ40" s="57">
        <v>19.125</v>
      </c>
      <c r="IR40" s="57">
        <v>19.4375</v>
      </c>
      <c r="IS40" s="57">
        <v>19.4375</v>
      </c>
      <c r="IT40" s="57">
        <v>19.4375</v>
      </c>
      <c r="IU40" s="57">
        <v>19.4375</v>
      </c>
      <c r="IV40" s="57">
        <v>19.75</v>
      </c>
      <c r="IW40" s="57">
        <v>19.875</v>
      </c>
      <c r="IX40">
        <v>57224</v>
      </c>
      <c r="IY40">
        <v>64924</v>
      </c>
      <c r="IZ40">
        <v>336748</v>
      </c>
      <c r="JA40" s="34">
        <v>439024</v>
      </c>
      <c r="JB40" s="34">
        <v>75296</v>
      </c>
      <c r="JC40">
        <v>2917</v>
      </c>
      <c r="JD40">
        <v>21434</v>
      </c>
      <c r="JE40">
        <v>19283</v>
      </c>
      <c r="JF40">
        <v>-29783</v>
      </c>
      <c r="JG40">
        <v>4140</v>
      </c>
      <c r="JH40">
        <v>4611</v>
      </c>
      <c r="JI40" s="34">
        <v>196791</v>
      </c>
      <c r="JJ40" s="173">
        <v>8625</v>
      </c>
      <c r="JK40" s="34">
        <v>14096</v>
      </c>
      <c r="JL40">
        <v>145695</v>
      </c>
      <c r="JM40">
        <v>57609</v>
      </c>
      <c r="JN40">
        <v>67612</v>
      </c>
      <c r="JO40" s="173">
        <v>343494</v>
      </c>
      <c r="JP40" s="34">
        <v>447490</v>
      </c>
      <c r="JQ40" s="34">
        <v>73795</v>
      </c>
      <c r="JR40" s="34">
        <v>454</v>
      </c>
      <c r="JS40" s="173">
        <v>20027</v>
      </c>
      <c r="JT40">
        <v>19743</v>
      </c>
      <c r="JU40">
        <v>-21670</v>
      </c>
      <c r="JV40" s="173">
        <v>1604</v>
      </c>
      <c r="JW40" s="34">
        <v>198825</v>
      </c>
      <c r="JX40" s="173">
        <v>9593</v>
      </c>
      <c r="JY40" s="34">
        <v>15327</v>
      </c>
      <c r="JZ40">
        <v>140399</v>
      </c>
      <c r="KA40">
        <v>58116</v>
      </c>
      <c r="KB40">
        <v>73035</v>
      </c>
      <c r="KC40" s="173">
        <v>343365</v>
      </c>
      <c r="KD40" s="34">
        <v>456564</v>
      </c>
      <c r="KE40" s="34">
        <v>70860</v>
      </c>
      <c r="KF40" s="34">
        <v>1342</v>
      </c>
      <c r="KG40" s="173">
        <v>28110</v>
      </c>
      <c r="KH40">
        <v>19828</v>
      </c>
      <c r="KI40" s="173">
        <v>-21636</v>
      </c>
      <c r="KJ40" s="173">
        <v>1883</v>
      </c>
      <c r="KK40" s="34">
        <v>201394</v>
      </c>
      <c r="KL40" s="173">
        <v>10782</v>
      </c>
      <c r="KM40" s="34">
        <v>16106</v>
      </c>
      <c r="KN40">
        <v>137456</v>
      </c>
      <c r="KO40">
        <v>58909</v>
      </c>
      <c r="KP40">
        <v>236972</v>
      </c>
      <c r="KQ40">
        <v>74547</v>
      </c>
      <c r="KR40">
        <v>69447</v>
      </c>
      <c r="KS40">
        <v>6871</v>
      </c>
      <c r="KT40">
        <v>209323</v>
      </c>
      <c r="KU40">
        <v>10011</v>
      </c>
      <c r="KV40">
        <v>17638</v>
      </c>
      <c r="KW40">
        <v>27510</v>
      </c>
      <c r="KX40">
        <v>-32966</v>
      </c>
      <c r="KY40">
        <v>18767</v>
      </c>
      <c r="KZ40">
        <v>151696</v>
      </c>
      <c r="LA40">
        <v>352475</v>
      </c>
      <c r="LB40">
        <v>3331</v>
      </c>
      <c r="LC40">
        <v>31556</v>
      </c>
      <c r="LD40" s="57">
        <v>19.875</v>
      </c>
      <c r="LE40">
        <v>59969</v>
      </c>
      <c r="LF40" s="34">
        <v>243147</v>
      </c>
      <c r="LG40" s="34">
        <v>72336</v>
      </c>
      <c r="LH40">
        <v>63939</v>
      </c>
      <c r="LI40" s="173">
        <v>-724</v>
      </c>
      <c r="LJ40" s="34">
        <v>213056</v>
      </c>
      <c r="LK40" s="173">
        <v>11913</v>
      </c>
      <c r="LL40" s="34">
        <v>18178</v>
      </c>
      <c r="LM40" s="173">
        <v>27174</v>
      </c>
      <c r="LN40" s="173">
        <v>-36490</v>
      </c>
      <c r="LO40">
        <v>20285</v>
      </c>
      <c r="LP40">
        <v>168787</v>
      </c>
      <c r="LQ40" s="173">
        <v>351524</v>
      </c>
      <c r="LR40" s="173">
        <v>6520</v>
      </c>
      <c r="LS40" s="173">
        <v>38077</v>
      </c>
      <c r="LT40" s="57">
        <v>19.875</v>
      </c>
      <c r="LU40">
        <v>60529</v>
      </c>
      <c r="LV40" s="34">
        <v>245565</v>
      </c>
      <c r="LW40" s="34">
        <v>70889</v>
      </c>
      <c r="LX40" s="172">
        <v>67559</v>
      </c>
      <c r="LY40" s="173">
        <v>-453</v>
      </c>
      <c r="LZ40" s="34">
        <v>214099</v>
      </c>
      <c r="MA40" s="173">
        <v>11926</v>
      </c>
      <c r="MB40" s="34">
        <v>19540</v>
      </c>
      <c r="MC40" s="173">
        <v>15618</v>
      </c>
      <c r="MD40" s="34">
        <v>-42945</v>
      </c>
      <c r="ME40">
        <v>21770</v>
      </c>
      <c r="MF40">
        <v>196241</v>
      </c>
      <c r="MG40" s="173">
        <v>367942</v>
      </c>
      <c r="MH40" s="173">
        <v>-4615</v>
      </c>
      <c r="MI40" s="173">
        <v>33463</v>
      </c>
      <c r="MJ40" s="57">
        <v>19.875</v>
      </c>
    </row>
    <row r="41" spans="1:348" x14ac:dyDescent="0.2">
      <c r="A41">
        <v>220</v>
      </c>
      <c r="B41" s="34">
        <v>134391</v>
      </c>
      <c r="C41" s="34">
        <v>134686</v>
      </c>
      <c r="D41" s="34">
        <v>135202</v>
      </c>
      <c r="E41" s="34">
        <v>136049</v>
      </c>
      <c r="F41" s="34">
        <v>137038</v>
      </c>
      <c r="G41" s="34">
        <v>137679</v>
      </c>
      <c r="H41" s="34">
        <v>139482</v>
      </c>
      <c r="I41" s="34">
        <v>140965</v>
      </c>
      <c r="J41" s="34">
        <v>142702</v>
      </c>
      <c r="K41" s="34">
        <v>144523</v>
      </c>
      <c r="L41" s="34">
        <v>146181</v>
      </c>
      <c r="M41" s="34">
        <v>294075</v>
      </c>
      <c r="N41" s="34">
        <v>83577</v>
      </c>
      <c r="O41" s="34">
        <v>77489</v>
      </c>
      <c r="P41" s="34">
        <v>9279.6006545874079</v>
      </c>
      <c r="Q41" s="34">
        <v>301772</v>
      </c>
      <c r="R41" s="34">
        <v>83188</v>
      </c>
      <c r="S41" s="34">
        <v>78696</v>
      </c>
      <c r="T41" s="34">
        <v>10447.497615936143</v>
      </c>
      <c r="U41" s="34">
        <v>317206</v>
      </c>
      <c r="V41" s="34">
        <v>87384</v>
      </c>
      <c r="W41" s="34">
        <v>84700</v>
      </c>
      <c r="X41" s="34">
        <v>7946.0385856740877</v>
      </c>
      <c r="Y41" s="34">
        <v>337896</v>
      </c>
      <c r="Z41" s="34">
        <v>99286</v>
      </c>
      <c r="AA41" s="34">
        <v>88627</v>
      </c>
      <c r="AB41" s="34">
        <v>9059.7790347022146</v>
      </c>
      <c r="AC41" s="34">
        <v>346016</v>
      </c>
      <c r="AD41" s="34">
        <v>109705</v>
      </c>
      <c r="AE41" s="34">
        <v>93056</v>
      </c>
      <c r="AF41" s="34">
        <v>6112</v>
      </c>
      <c r="AG41" s="34">
        <v>324933</v>
      </c>
      <c r="AH41" s="34">
        <v>118212</v>
      </c>
      <c r="AI41" s="34">
        <v>97734</v>
      </c>
      <c r="AJ41" s="34">
        <v>12489</v>
      </c>
      <c r="AK41" s="34">
        <v>331353</v>
      </c>
      <c r="AL41" s="34">
        <v>137672</v>
      </c>
      <c r="AM41" s="34">
        <v>107037</v>
      </c>
      <c r="AN41" s="34">
        <v>5139</v>
      </c>
      <c r="AO41" s="34">
        <v>347663</v>
      </c>
      <c r="AP41" s="34">
        <v>147410</v>
      </c>
      <c r="AQ41" s="34">
        <v>114596</v>
      </c>
      <c r="AR41" s="34">
        <v>7512</v>
      </c>
      <c r="AS41" s="34">
        <v>377578</v>
      </c>
      <c r="AT41" s="34">
        <v>154829</v>
      </c>
      <c r="AU41" s="34">
        <v>126030</v>
      </c>
      <c r="AV41" s="34">
        <v>11522</v>
      </c>
      <c r="AW41" s="34">
        <v>410935</v>
      </c>
      <c r="AX41" s="34">
        <v>164678</v>
      </c>
      <c r="AY41" s="34">
        <v>134445</v>
      </c>
      <c r="AZ41" s="34">
        <v>11432</v>
      </c>
      <c r="BA41" s="34">
        <v>444302</v>
      </c>
      <c r="BB41" s="34">
        <v>187978</v>
      </c>
      <c r="BC41" s="34">
        <v>138664</v>
      </c>
      <c r="BD41" s="34">
        <v>3653</v>
      </c>
      <c r="BE41" s="34">
        <v>229921.13668128219</v>
      </c>
      <c r="BF41" s="34">
        <v>55480.655865638029</v>
      </c>
      <c r="BG41" s="34">
        <v>8632.2453256370536</v>
      </c>
      <c r="BH41" s="34">
        <v>238873.10725512262</v>
      </c>
      <c r="BI41" s="34">
        <v>53381.165979618985</v>
      </c>
      <c r="BJ41" s="34">
        <v>9478.7351595178388</v>
      </c>
      <c r="BK41" s="34">
        <v>240896.23982252809</v>
      </c>
      <c r="BL41" s="34">
        <v>65797.807838566499</v>
      </c>
      <c r="BM41" s="34">
        <v>10476.089563434598</v>
      </c>
      <c r="BN41" s="34">
        <v>273376</v>
      </c>
      <c r="BO41" s="34">
        <v>52980</v>
      </c>
      <c r="BP41" s="34">
        <v>11514</v>
      </c>
      <c r="BQ41" s="34">
        <v>299271</v>
      </c>
      <c r="BR41" s="34">
        <v>34865</v>
      </c>
      <c r="BS41" s="34">
        <v>11866</v>
      </c>
      <c r="BT41" s="34">
        <v>295693</v>
      </c>
      <c r="BU41" s="34">
        <v>16471</v>
      </c>
      <c r="BV41" s="34">
        <v>12755</v>
      </c>
      <c r="BW41" s="34">
        <v>298215</v>
      </c>
      <c r="BX41" s="34">
        <v>20270</v>
      </c>
      <c r="BY41" s="34">
        <v>12854</v>
      </c>
      <c r="BZ41" s="34">
        <v>311955</v>
      </c>
      <c r="CA41" s="34">
        <v>21850</v>
      </c>
      <c r="CB41" s="34">
        <v>13844</v>
      </c>
      <c r="CC41" s="34">
        <v>337649</v>
      </c>
      <c r="CD41" s="34">
        <v>24359</v>
      </c>
      <c r="CE41" s="34">
        <v>15555</v>
      </c>
      <c r="CF41" s="34">
        <v>365592</v>
      </c>
      <c r="CG41" s="34">
        <v>28476</v>
      </c>
      <c r="CH41" s="34">
        <v>16848</v>
      </c>
      <c r="CI41" s="34">
        <v>396813</v>
      </c>
      <c r="CJ41" s="34">
        <v>28576</v>
      </c>
      <c r="CK41" s="34">
        <v>18895</v>
      </c>
      <c r="CL41" s="34">
        <v>29285.890883037071</v>
      </c>
      <c r="CM41" s="34">
        <v>-32647.967532400002</v>
      </c>
      <c r="CN41" s="34">
        <v>23172.764319940525</v>
      </c>
      <c r="CO41" s="34">
        <v>86249</v>
      </c>
      <c r="CP41" s="34">
        <v>31186.078076199221</v>
      </c>
      <c r="CQ41" s="34">
        <v>-32097.320262199999</v>
      </c>
      <c r="CR41" s="34">
        <v>24683.764651270747</v>
      </c>
      <c r="CS41" s="34">
        <v>101462</v>
      </c>
      <c r="CT41" s="34">
        <v>35984.479618146128</v>
      </c>
      <c r="CU41" s="34">
        <v>-47033.753633</v>
      </c>
      <c r="CV41" s="34">
        <v>25665.813953879508</v>
      </c>
      <c r="CW41" s="34">
        <v>103475</v>
      </c>
      <c r="CX41" s="34">
        <v>35436.691541660985</v>
      </c>
      <c r="CY41" s="34">
        <v>-40003</v>
      </c>
      <c r="CZ41" s="34">
        <v>27529.672554925972</v>
      </c>
      <c r="DA41" s="34">
        <v>105347</v>
      </c>
      <c r="DB41" s="34">
        <v>58934</v>
      </c>
      <c r="DC41" s="34">
        <v>-39813</v>
      </c>
      <c r="DD41" s="34">
        <v>27106</v>
      </c>
      <c r="DE41" s="34">
        <v>101235</v>
      </c>
      <c r="DF41" s="34">
        <v>28053</v>
      </c>
      <c r="DG41" s="34">
        <v>-53600</v>
      </c>
      <c r="DH41" s="34">
        <v>28517</v>
      </c>
      <c r="DI41" s="34">
        <v>122574</v>
      </c>
      <c r="DJ41" s="34">
        <v>13420</v>
      </c>
      <c r="DK41" s="34">
        <v>-63468</v>
      </c>
      <c r="DL41" s="34">
        <v>29763</v>
      </c>
      <c r="DM41" s="34">
        <v>159978</v>
      </c>
      <c r="DN41" s="34">
        <v>13233</v>
      </c>
      <c r="DO41" s="34">
        <v>-50232</v>
      </c>
      <c r="DP41" s="34">
        <v>31195</v>
      </c>
      <c r="DQ41" s="34">
        <v>188561</v>
      </c>
      <c r="DR41" s="34">
        <v>31651</v>
      </c>
      <c r="DS41" s="34">
        <v>-59445</v>
      </c>
      <c r="DT41" s="34">
        <v>32963</v>
      </c>
      <c r="DU41" s="34">
        <v>220584</v>
      </c>
      <c r="DV41" s="34">
        <v>44377</v>
      </c>
      <c r="DW41" s="34">
        <v>-69088</v>
      </c>
      <c r="DX41" s="34">
        <v>34875</v>
      </c>
      <c r="DY41" s="34">
        <v>239599</v>
      </c>
      <c r="DZ41" s="34">
        <v>36268</v>
      </c>
      <c r="EA41" s="34">
        <v>-71062</v>
      </c>
      <c r="EB41" s="34">
        <v>37910</v>
      </c>
      <c r="EC41" s="34">
        <v>268732</v>
      </c>
      <c r="ED41" s="34">
        <v>409516.40925504523</v>
      </c>
      <c r="EE41" s="34">
        <v>-6608.1036306727674</v>
      </c>
      <c r="EF41" s="34">
        <v>418290.43700268934</v>
      </c>
      <c r="EG41" s="34">
        <v>1070.3479640010564</v>
      </c>
      <c r="EH41" s="34">
        <v>434169.39551577345</v>
      </c>
      <c r="EI41" s="34">
        <v>16108.535032704143</v>
      </c>
      <c r="EJ41" s="34">
        <v>470553.65783511871</v>
      </c>
      <c r="EK41" s="34">
        <v>10296.969421753089</v>
      </c>
      <c r="EL41" s="34">
        <v>490598</v>
      </c>
      <c r="EM41" s="34">
        <v>32059</v>
      </c>
      <c r="EN41" s="34">
        <v>519163</v>
      </c>
      <c r="EO41" s="34">
        <v>-38</v>
      </c>
      <c r="EP41" s="34">
        <v>562358</v>
      </c>
      <c r="EQ41" s="34">
        <v>-14834</v>
      </c>
      <c r="ER41" s="34">
        <v>597874</v>
      </c>
      <c r="ES41" s="34">
        <v>-16381</v>
      </c>
      <c r="ET41" s="34">
        <v>624442</v>
      </c>
      <c r="EU41" s="34">
        <v>7479</v>
      </c>
      <c r="EV41" s="34">
        <v>661198</v>
      </c>
      <c r="EW41" s="34">
        <v>14934</v>
      </c>
      <c r="EX41" s="34">
        <v>726820</v>
      </c>
      <c r="EY41" s="34">
        <v>-1006</v>
      </c>
      <c r="EZ41" s="34">
        <v>88577</v>
      </c>
      <c r="FA41" s="34">
        <v>87701</v>
      </c>
      <c r="FB41" s="34">
        <v>147577</v>
      </c>
      <c r="FC41" s="34">
        <v>451013</v>
      </c>
      <c r="FD41" s="34">
        <v>197968</v>
      </c>
      <c r="FE41" s="34">
        <v>149549</v>
      </c>
      <c r="FF41" s="34">
        <v>2601</v>
      </c>
      <c r="FG41" s="34">
        <v>409547</v>
      </c>
      <c r="FH41" s="34">
        <v>21100</v>
      </c>
      <c r="FI41" s="34">
        <v>20366</v>
      </c>
      <c r="FJ41" s="34">
        <v>32009</v>
      </c>
      <c r="FK41" s="34">
        <v>-64486</v>
      </c>
      <c r="FL41" s="34">
        <v>40638</v>
      </c>
      <c r="FM41" s="34">
        <v>304047</v>
      </c>
      <c r="FN41" s="34">
        <v>64486</v>
      </c>
      <c r="FO41" s="34">
        <v>761760</v>
      </c>
      <c r="FP41" s="34">
        <v>-8799</v>
      </c>
      <c r="FQ41" s="34">
        <v>148916</v>
      </c>
      <c r="FR41" s="34">
        <v>474908</v>
      </c>
      <c r="FS41" s="34">
        <v>212900</v>
      </c>
      <c r="FT41" s="34">
        <v>163161</v>
      </c>
      <c r="FU41" s="34">
        <v>2288</v>
      </c>
      <c r="FV41" s="34">
        <v>422751</v>
      </c>
      <c r="FW41" s="34">
        <v>25219</v>
      </c>
      <c r="FX41" s="34">
        <v>26938</v>
      </c>
      <c r="FY41" s="34">
        <v>48084</v>
      </c>
      <c r="FZ41" s="34">
        <v>-69474</v>
      </c>
      <c r="GA41" s="34">
        <v>42357</v>
      </c>
      <c r="GB41" s="34">
        <v>336347</v>
      </c>
      <c r="GC41" s="34">
        <v>69474</v>
      </c>
      <c r="GD41" s="34">
        <v>798800</v>
      </c>
      <c r="GE41" s="34">
        <v>2058</v>
      </c>
      <c r="GF41" s="34">
        <v>80553</v>
      </c>
      <c r="GG41" s="57">
        <v>194.25</v>
      </c>
      <c r="GH41" s="34">
        <v>150212</v>
      </c>
      <c r="GI41" s="34">
        <v>493271</v>
      </c>
      <c r="GJ41">
        <v>214461</v>
      </c>
      <c r="GK41">
        <v>171495</v>
      </c>
      <c r="GL41">
        <v>3456</v>
      </c>
      <c r="GM41">
        <v>435344</v>
      </c>
      <c r="GN41">
        <v>30159</v>
      </c>
      <c r="GO41">
        <v>27768</v>
      </c>
      <c r="GP41">
        <v>43863</v>
      </c>
      <c r="GQ41">
        <v>-57497</v>
      </c>
      <c r="GR41">
        <v>43274</v>
      </c>
      <c r="GS41">
        <v>350849</v>
      </c>
      <c r="GT41">
        <v>57497</v>
      </c>
      <c r="GU41">
        <v>831535</v>
      </c>
      <c r="GV41">
        <v>1256</v>
      </c>
      <c r="GW41" s="34">
        <v>151292</v>
      </c>
      <c r="GX41" s="34">
        <v>504820</v>
      </c>
      <c r="GY41">
        <v>221902</v>
      </c>
      <c r="GZ41">
        <v>172291</v>
      </c>
      <c r="HA41">
        <v>14613</v>
      </c>
      <c r="HB41">
        <v>453715</v>
      </c>
      <c r="HC41">
        <v>21954</v>
      </c>
      <c r="HD41">
        <v>29151</v>
      </c>
      <c r="HE41">
        <v>24956</v>
      </c>
      <c r="HF41">
        <v>-59771</v>
      </c>
      <c r="HG41">
        <v>46446</v>
      </c>
      <c r="HH41">
        <v>384196</v>
      </c>
      <c r="HI41">
        <v>59771</v>
      </c>
      <c r="HJ41">
        <v>871048</v>
      </c>
      <c r="HK41">
        <v>-10175</v>
      </c>
      <c r="HL41">
        <v>72023</v>
      </c>
      <c r="HM41" s="57">
        <v>19.675000000000001</v>
      </c>
      <c r="HN41" s="190">
        <v>-3107.9446930822623</v>
      </c>
      <c r="HO41" s="34">
        <v>-2571.5933955965038</v>
      </c>
      <c r="HP41" s="34">
        <v>13735.907954111606</v>
      </c>
      <c r="HQ41" s="34">
        <v>32438.405376631632</v>
      </c>
      <c r="HR41">
        <v>64957</v>
      </c>
      <c r="HS41">
        <v>65172</v>
      </c>
      <c r="HT41">
        <v>80124</v>
      </c>
      <c r="HU41">
        <v>63876</v>
      </c>
      <c r="HV41">
        <v>70639</v>
      </c>
      <c r="HW41">
        <v>85864</v>
      </c>
      <c r="HX41">
        <v>85631</v>
      </c>
      <c r="HY41">
        <v>78496</v>
      </c>
      <c r="HZ41">
        <v>80553</v>
      </c>
      <c r="IA41" s="34">
        <v>81951</v>
      </c>
      <c r="IB41">
        <v>72023</v>
      </c>
      <c r="IC41">
        <v>177770</v>
      </c>
      <c r="ID41">
        <v>190034</v>
      </c>
      <c r="IE41">
        <v>190512</v>
      </c>
      <c r="IF41" s="57">
        <v>17.774999999999999</v>
      </c>
      <c r="IG41" s="57">
        <v>17.95</v>
      </c>
      <c r="IH41" s="57">
        <v>18.05</v>
      </c>
      <c r="II41" s="57">
        <v>18.074999999999999</v>
      </c>
      <c r="IJ41" s="57">
        <v>18.25</v>
      </c>
      <c r="IK41" s="57">
        <v>18.324999999999999</v>
      </c>
      <c r="IL41" s="57">
        <v>18.45</v>
      </c>
      <c r="IM41" s="57">
        <v>18.55</v>
      </c>
      <c r="IN41" s="57">
        <v>18.75</v>
      </c>
      <c r="IO41" s="57">
        <v>18.899999999999999</v>
      </c>
      <c r="IP41" s="57">
        <v>18.95</v>
      </c>
      <c r="IQ41" s="57">
        <v>19.125</v>
      </c>
      <c r="IR41" s="57">
        <v>19.425000000000001</v>
      </c>
      <c r="IS41" s="57">
        <v>19.524999999999999</v>
      </c>
      <c r="IT41" s="57">
        <v>19.675000000000001</v>
      </c>
      <c r="IU41" s="57">
        <v>19.95</v>
      </c>
      <c r="IV41" s="57">
        <v>20.175000000000001</v>
      </c>
      <c r="IW41" s="57">
        <v>20.475000000000001</v>
      </c>
      <c r="IX41">
        <v>152327</v>
      </c>
      <c r="IY41">
        <v>178229</v>
      </c>
      <c r="IZ41">
        <v>906594</v>
      </c>
      <c r="JA41" s="34">
        <v>1090040</v>
      </c>
      <c r="JB41" s="34">
        <v>228999</v>
      </c>
      <c r="JC41">
        <v>25953</v>
      </c>
      <c r="JD41">
        <v>43732</v>
      </c>
      <c r="JE41">
        <v>48221</v>
      </c>
      <c r="JF41">
        <v>-51412</v>
      </c>
      <c r="JG41">
        <v>18183</v>
      </c>
      <c r="JH41">
        <v>16381</v>
      </c>
      <c r="JI41" s="34">
        <v>490740</v>
      </c>
      <c r="JJ41" s="173">
        <v>23471</v>
      </c>
      <c r="JK41" s="34">
        <v>30809</v>
      </c>
      <c r="JL41">
        <v>419285</v>
      </c>
      <c r="JM41">
        <v>153468</v>
      </c>
      <c r="JN41">
        <v>178835</v>
      </c>
      <c r="JO41" s="173">
        <v>912508</v>
      </c>
      <c r="JP41" s="34">
        <v>1121520</v>
      </c>
      <c r="JQ41" s="34">
        <v>228623</v>
      </c>
      <c r="JR41" s="34">
        <v>9860</v>
      </c>
      <c r="JS41" s="173">
        <v>53576</v>
      </c>
      <c r="JT41">
        <v>49351</v>
      </c>
      <c r="JU41">
        <v>-71118</v>
      </c>
      <c r="JV41" s="173">
        <v>5936</v>
      </c>
      <c r="JW41" s="34">
        <v>502441</v>
      </c>
      <c r="JX41" s="173">
        <v>24295</v>
      </c>
      <c r="JY41" s="34">
        <v>34007</v>
      </c>
      <c r="JZ41">
        <v>439912</v>
      </c>
      <c r="KA41">
        <v>153796</v>
      </c>
      <c r="KB41">
        <v>180869</v>
      </c>
      <c r="KC41" s="173">
        <v>935561</v>
      </c>
      <c r="KD41" s="34">
        <v>1159056</v>
      </c>
      <c r="KE41" s="34">
        <v>226866</v>
      </c>
      <c r="KF41" s="34">
        <v>5009</v>
      </c>
      <c r="KG41" s="173">
        <v>50663</v>
      </c>
      <c r="KH41">
        <v>50184</v>
      </c>
      <c r="KI41" s="173">
        <v>-50489</v>
      </c>
      <c r="KJ41" s="173">
        <v>-63</v>
      </c>
      <c r="KK41" s="34">
        <v>515153</v>
      </c>
      <c r="KL41" s="173">
        <v>29724</v>
      </c>
      <c r="KM41" s="34">
        <v>34651</v>
      </c>
      <c r="KN41">
        <v>437050</v>
      </c>
      <c r="KO41">
        <v>154224</v>
      </c>
      <c r="KP41">
        <v>589082</v>
      </c>
      <c r="KQ41">
        <v>243955</v>
      </c>
      <c r="KR41">
        <v>181671</v>
      </c>
      <c r="KS41">
        <v>6719</v>
      </c>
      <c r="KT41">
        <v>525803</v>
      </c>
      <c r="KU41">
        <v>25811</v>
      </c>
      <c r="KV41">
        <v>37468</v>
      </c>
      <c r="KW41">
        <v>73204</v>
      </c>
      <c r="KX41">
        <v>-66814</v>
      </c>
      <c r="KY41">
        <v>51504</v>
      </c>
      <c r="KZ41">
        <v>441637</v>
      </c>
      <c r="LA41">
        <v>941765</v>
      </c>
      <c r="LB41">
        <v>27395</v>
      </c>
      <c r="LC41">
        <v>123490</v>
      </c>
      <c r="LD41" s="57">
        <v>20.475000000000001</v>
      </c>
      <c r="LE41">
        <v>155116</v>
      </c>
      <c r="LF41" s="34">
        <v>597717</v>
      </c>
      <c r="LG41" s="34">
        <v>243458</v>
      </c>
      <c r="LH41">
        <v>178237</v>
      </c>
      <c r="LI41" s="173">
        <v>2782</v>
      </c>
      <c r="LJ41" s="34">
        <v>528881</v>
      </c>
      <c r="LK41" s="173">
        <v>29986</v>
      </c>
      <c r="LL41" s="34">
        <v>38850</v>
      </c>
      <c r="LM41" s="173">
        <v>81629</v>
      </c>
      <c r="LN41" s="173">
        <v>-69325</v>
      </c>
      <c r="LO41">
        <v>55442</v>
      </c>
      <c r="LP41">
        <v>427824</v>
      </c>
      <c r="LQ41" s="173">
        <v>938608</v>
      </c>
      <c r="LR41" s="173">
        <v>26134</v>
      </c>
      <c r="LS41" s="173">
        <v>149557</v>
      </c>
      <c r="LT41" s="57">
        <v>20.574999999999999</v>
      </c>
      <c r="LU41">
        <v>155488</v>
      </c>
      <c r="LV41" s="34">
        <v>596794</v>
      </c>
      <c r="LW41" s="34">
        <v>239523</v>
      </c>
      <c r="LX41" s="172">
        <v>176670</v>
      </c>
      <c r="LY41" s="173">
        <v>1979</v>
      </c>
      <c r="LZ41" s="34">
        <v>528350</v>
      </c>
      <c r="MA41" s="173">
        <v>29049</v>
      </c>
      <c r="MB41" s="34">
        <v>39395</v>
      </c>
      <c r="MC41" s="173">
        <v>38772</v>
      </c>
      <c r="MD41" s="34">
        <v>-113187</v>
      </c>
      <c r="ME41">
        <v>55529</v>
      </c>
      <c r="MF41">
        <v>496880</v>
      </c>
      <c r="MG41" s="173">
        <v>975133</v>
      </c>
      <c r="MH41" s="173">
        <v>-14705</v>
      </c>
      <c r="MI41" s="173">
        <v>134855</v>
      </c>
      <c r="MJ41" s="57">
        <v>20.65</v>
      </c>
    </row>
    <row r="42" spans="1:348" x14ac:dyDescent="0.2">
      <c r="A42">
        <v>230</v>
      </c>
      <c r="B42" s="34">
        <v>310759</v>
      </c>
      <c r="C42" s="34">
        <v>310676</v>
      </c>
      <c r="D42" s="34">
        <v>310503</v>
      </c>
      <c r="E42" s="34">
        <v>310757</v>
      </c>
      <c r="F42" s="34">
        <v>311252</v>
      </c>
      <c r="G42" s="34">
        <v>312179</v>
      </c>
      <c r="H42" s="34">
        <v>313332</v>
      </c>
      <c r="I42" s="34">
        <v>314660</v>
      </c>
      <c r="J42" s="34">
        <v>316848</v>
      </c>
      <c r="K42" s="34">
        <v>319376</v>
      </c>
      <c r="L42" s="34">
        <v>321030</v>
      </c>
      <c r="M42" s="34">
        <v>593337</v>
      </c>
      <c r="N42" s="34">
        <v>250982</v>
      </c>
      <c r="O42" s="34">
        <v>170878</v>
      </c>
      <c r="P42" s="34">
        <v>16867.39895689848</v>
      </c>
      <c r="Q42" s="34">
        <v>616253</v>
      </c>
      <c r="R42" s="34">
        <v>259983</v>
      </c>
      <c r="S42" s="34">
        <v>166795</v>
      </c>
      <c r="T42" s="34">
        <v>22108.975685071473</v>
      </c>
      <c r="U42" s="34">
        <v>611932</v>
      </c>
      <c r="V42" s="34">
        <v>276904</v>
      </c>
      <c r="W42" s="34">
        <v>171580</v>
      </c>
      <c r="X42" s="34">
        <v>17009.517754758457</v>
      </c>
      <c r="Y42" s="34">
        <v>669673</v>
      </c>
      <c r="Z42" s="34">
        <v>318768</v>
      </c>
      <c r="AA42" s="34">
        <v>178597</v>
      </c>
      <c r="AB42" s="34">
        <v>14950.561159016637</v>
      </c>
      <c r="AC42" s="34">
        <v>704255</v>
      </c>
      <c r="AD42" s="34">
        <v>349793</v>
      </c>
      <c r="AE42" s="34">
        <v>189658</v>
      </c>
      <c r="AF42" s="34">
        <v>12376</v>
      </c>
      <c r="AG42" s="34">
        <v>677642</v>
      </c>
      <c r="AH42" s="34">
        <v>362038</v>
      </c>
      <c r="AI42" s="34">
        <v>197839</v>
      </c>
      <c r="AJ42" s="34">
        <v>24637</v>
      </c>
      <c r="AK42" s="34">
        <v>693352</v>
      </c>
      <c r="AL42" s="34">
        <v>378301</v>
      </c>
      <c r="AM42" s="34">
        <v>206259</v>
      </c>
      <c r="AN42" s="34">
        <v>15280</v>
      </c>
      <c r="AO42" s="34">
        <v>724411</v>
      </c>
      <c r="AP42" s="34">
        <v>400012</v>
      </c>
      <c r="AQ42" s="34">
        <v>218319</v>
      </c>
      <c r="AR42" s="34">
        <v>14537</v>
      </c>
      <c r="AS42" s="34">
        <v>776421</v>
      </c>
      <c r="AT42" s="34">
        <v>423434</v>
      </c>
      <c r="AU42" s="34">
        <v>236608</v>
      </c>
      <c r="AV42" s="34">
        <v>11133</v>
      </c>
      <c r="AW42" s="34">
        <v>832094</v>
      </c>
      <c r="AX42" s="34">
        <v>445791</v>
      </c>
      <c r="AY42" s="34">
        <v>252310</v>
      </c>
      <c r="AZ42" s="34">
        <v>15834</v>
      </c>
      <c r="BA42" s="34">
        <v>908062</v>
      </c>
      <c r="BB42" s="34">
        <v>506800</v>
      </c>
      <c r="BC42" s="34">
        <v>265160</v>
      </c>
      <c r="BD42" s="34">
        <v>11642</v>
      </c>
      <c r="BE42" s="34">
        <v>490875.46861361014</v>
      </c>
      <c r="BF42" s="34">
        <v>81316.339625243651</v>
      </c>
      <c r="BG42" s="34">
        <v>20973.538993529808</v>
      </c>
      <c r="BH42" s="34">
        <v>511851.36223811045</v>
      </c>
      <c r="BI42" s="34">
        <v>80358.677571971813</v>
      </c>
      <c r="BJ42" s="34">
        <v>23907.913746503797</v>
      </c>
      <c r="BK42" s="34">
        <v>498159.51952073176</v>
      </c>
      <c r="BL42" s="34">
        <v>87030.019862994115</v>
      </c>
      <c r="BM42" s="34">
        <v>26602.11614049074</v>
      </c>
      <c r="BN42" s="34">
        <v>576220</v>
      </c>
      <c r="BO42" s="34">
        <v>65001</v>
      </c>
      <c r="BP42" s="34">
        <v>28316</v>
      </c>
      <c r="BQ42" s="34">
        <v>629272</v>
      </c>
      <c r="BR42" s="34">
        <v>45103</v>
      </c>
      <c r="BS42" s="34">
        <v>29762</v>
      </c>
      <c r="BT42" s="34">
        <v>619498</v>
      </c>
      <c r="BU42" s="34">
        <v>27113</v>
      </c>
      <c r="BV42" s="34">
        <v>30921</v>
      </c>
      <c r="BW42" s="34">
        <v>629988</v>
      </c>
      <c r="BX42" s="34">
        <v>31124</v>
      </c>
      <c r="BY42" s="34">
        <v>32141</v>
      </c>
      <c r="BZ42" s="34">
        <v>654051</v>
      </c>
      <c r="CA42" s="34">
        <v>35915</v>
      </c>
      <c r="CB42" s="34">
        <v>34362</v>
      </c>
      <c r="CC42" s="34">
        <v>699657</v>
      </c>
      <c r="CD42" s="34">
        <v>39363</v>
      </c>
      <c r="CE42" s="34">
        <v>37328</v>
      </c>
      <c r="CF42" s="34">
        <v>746155</v>
      </c>
      <c r="CG42" s="34">
        <v>45975</v>
      </c>
      <c r="CH42" s="34">
        <v>39932</v>
      </c>
      <c r="CI42" s="34">
        <v>816879</v>
      </c>
      <c r="CJ42" s="34">
        <v>46483</v>
      </c>
      <c r="CK42" s="34">
        <v>44697</v>
      </c>
      <c r="CL42" s="34">
        <v>22682.664702231687</v>
      </c>
      <c r="CM42" s="34">
        <v>-65462.272926229984</v>
      </c>
      <c r="CN42" s="34">
        <v>46327.700719676141</v>
      </c>
      <c r="CO42" s="34">
        <v>274406</v>
      </c>
      <c r="CP42" s="34">
        <v>50572.427607711747</v>
      </c>
      <c r="CQ42" s="34">
        <v>-19758.044849070004</v>
      </c>
      <c r="CR42" s="34">
        <v>48135.720929137387</v>
      </c>
      <c r="CS42" s="34">
        <v>274252</v>
      </c>
      <c r="CT42" s="34">
        <v>16834.602311238486</v>
      </c>
      <c r="CU42" s="34">
        <v>-80318.312469169992</v>
      </c>
      <c r="CV42" s="34">
        <v>50448.473105909623</v>
      </c>
      <c r="CW42" s="34">
        <v>297145</v>
      </c>
      <c r="CX42" s="34">
        <v>42485.615727589386</v>
      </c>
      <c r="CY42" s="34">
        <v>-88073</v>
      </c>
      <c r="CZ42" s="34">
        <v>50301.308670255792</v>
      </c>
      <c r="DA42" s="34">
        <v>322339</v>
      </c>
      <c r="DB42" s="34">
        <v>113677</v>
      </c>
      <c r="DC42" s="34">
        <v>-73895</v>
      </c>
      <c r="DD42" s="34">
        <v>52389</v>
      </c>
      <c r="DE42" s="34">
        <v>310249</v>
      </c>
      <c r="DF42" s="34">
        <v>50406</v>
      </c>
      <c r="DG42" s="34">
        <v>-70532</v>
      </c>
      <c r="DH42" s="34">
        <v>53216</v>
      </c>
      <c r="DI42" s="34">
        <v>321567</v>
      </c>
      <c r="DJ42" s="34">
        <v>22484</v>
      </c>
      <c r="DK42" s="34">
        <v>-95285</v>
      </c>
      <c r="DL42" s="34">
        <v>54919</v>
      </c>
      <c r="DM42" s="34">
        <v>375986</v>
      </c>
      <c r="DN42" s="34">
        <v>15488</v>
      </c>
      <c r="DO42" s="34">
        <v>-89631</v>
      </c>
      <c r="DP42" s="34">
        <v>55607</v>
      </c>
      <c r="DQ42" s="34">
        <v>447240</v>
      </c>
      <c r="DR42" s="34">
        <v>45737</v>
      </c>
      <c r="DS42" s="34">
        <v>-96791</v>
      </c>
      <c r="DT42" s="34">
        <v>55439</v>
      </c>
      <c r="DU42" s="34">
        <v>502764</v>
      </c>
      <c r="DV42" s="34">
        <v>55546</v>
      </c>
      <c r="DW42" s="34">
        <v>-89790</v>
      </c>
      <c r="DX42" s="34">
        <v>57047</v>
      </c>
      <c r="DY42" s="34">
        <v>548062</v>
      </c>
      <c r="DZ42" s="34">
        <v>66101</v>
      </c>
      <c r="EA42" s="34">
        <v>-133790</v>
      </c>
      <c r="EB42" s="34">
        <v>59368</v>
      </c>
      <c r="EC42" s="34">
        <v>614545</v>
      </c>
      <c r="ED42" s="34">
        <v>947129.88144433079</v>
      </c>
      <c r="EE42" s="34">
        <v>-15937.31131417</v>
      </c>
      <c r="EF42" s="34">
        <v>956477.57298094605</v>
      </c>
      <c r="EG42" s="34">
        <v>9525.9286916829387</v>
      </c>
      <c r="EH42" s="34">
        <v>999029.47997975</v>
      </c>
      <c r="EI42" s="34">
        <v>-22622.117048705546</v>
      </c>
      <c r="EJ42" s="34">
        <v>1072090.7188856541</v>
      </c>
      <c r="EK42" s="34">
        <v>-6273.3676100327484</v>
      </c>
      <c r="EL42" s="34">
        <v>1127842.3999999999</v>
      </c>
      <c r="EM42" s="34">
        <v>61345.95</v>
      </c>
      <c r="EN42" s="34">
        <v>1190108.45</v>
      </c>
      <c r="EO42" s="34">
        <v>5399.55</v>
      </c>
      <c r="EP42" s="34">
        <v>1259722.1499999999</v>
      </c>
      <c r="EQ42" s="34">
        <v>-26927.35</v>
      </c>
      <c r="ER42" s="34">
        <v>1332217.75</v>
      </c>
      <c r="ES42" s="34">
        <v>-35815.300000000003</v>
      </c>
      <c r="ET42" s="34">
        <v>1391078.8</v>
      </c>
      <c r="EU42" s="34">
        <v>-9275.85</v>
      </c>
      <c r="EV42" s="34">
        <v>1467393</v>
      </c>
      <c r="EW42" s="34">
        <v>1766</v>
      </c>
      <c r="EX42" s="34">
        <v>1598383</v>
      </c>
      <c r="EY42" s="34">
        <v>10202</v>
      </c>
      <c r="EZ42" s="34">
        <v>-5230</v>
      </c>
      <c r="FA42" s="34">
        <v>9577</v>
      </c>
      <c r="FB42" s="34">
        <v>322406</v>
      </c>
      <c r="FC42" s="34">
        <v>918382</v>
      </c>
      <c r="FD42" s="34">
        <v>546195</v>
      </c>
      <c r="FE42" s="34">
        <v>308857</v>
      </c>
      <c r="FF42" s="34">
        <v>12366</v>
      </c>
      <c r="FG42" s="34">
        <v>834376</v>
      </c>
      <c r="FH42" s="34">
        <v>35838</v>
      </c>
      <c r="FI42" s="34">
        <v>48168</v>
      </c>
      <c r="FJ42" s="34">
        <v>85941</v>
      </c>
      <c r="FK42" s="34">
        <v>-117460</v>
      </c>
      <c r="FL42" s="34">
        <v>62743</v>
      </c>
      <c r="FM42" s="34">
        <v>667120</v>
      </c>
      <c r="FN42" s="34">
        <v>117460</v>
      </c>
      <c r="FO42" s="34">
        <v>1680626</v>
      </c>
      <c r="FP42" s="34">
        <v>27130</v>
      </c>
      <c r="FQ42" s="34">
        <v>323519</v>
      </c>
      <c r="FR42" s="34">
        <v>951694</v>
      </c>
      <c r="FS42" s="34">
        <v>576347</v>
      </c>
      <c r="FT42" s="34">
        <v>393217</v>
      </c>
      <c r="FU42" s="34">
        <v>11666</v>
      </c>
      <c r="FV42" s="34">
        <v>845730</v>
      </c>
      <c r="FW42" s="34">
        <v>47354</v>
      </c>
      <c r="FX42" s="34">
        <v>58610</v>
      </c>
      <c r="FY42" s="34">
        <v>119709</v>
      </c>
      <c r="FZ42" s="34">
        <v>-93601</v>
      </c>
      <c r="GA42" s="34">
        <v>67576</v>
      </c>
      <c r="GB42" s="34">
        <v>667862</v>
      </c>
      <c r="GC42" s="34">
        <v>93601</v>
      </c>
      <c r="GD42" s="34">
        <v>1799208</v>
      </c>
      <c r="GE42" s="34">
        <v>48515</v>
      </c>
      <c r="GF42" s="34">
        <v>86167</v>
      </c>
      <c r="GG42" s="57">
        <v>454.75</v>
      </c>
      <c r="GH42" s="34">
        <v>324309</v>
      </c>
      <c r="GI42" s="58">
        <v>987784</v>
      </c>
      <c r="GJ42">
        <v>605387</v>
      </c>
      <c r="GK42">
        <v>402405</v>
      </c>
      <c r="GL42">
        <v>10044</v>
      </c>
      <c r="GM42">
        <v>869197</v>
      </c>
      <c r="GN42">
        <v>57182</v>
      </c>
      <c r="GO42">
        <v>61405</v>
      </c>
      <c r="GP42">
        <v>78318</v>
      </c>
      <c r="GQ42">
        <v>-126081</v>
      </c>
      <c r="GR42">
        <v>69468</v>
      </c>
      <c r="GS42">
        <v>679560</v>
      </c>
      <c r="GT42">
        <v>126081</v>
      </c>
      <c r="GU42">
        <v>1912391</v>
      </c>
      <c r="GV42">
        <v>13152</v>
      </c>
      <c r="GW42" s="34">
        <v>324578</v>
      </c>
      <c r="GX42" s="58">
        <v>1014035</v>
      </c>
      <c r="GY42">
        <v>624197</v>
      </c>
      <c r="GZ42">
        <v>418849</v>
      </c>
      <c r="HA42">
        <v>12579</v>
      </c>
      <c r="HB42">
        <v>910876</v>
      </c>
      <c r="HC42">
        <v>38611</v>
      </c>
      <c r="HD42">
        <v>64548</v>
      </c>
      <c r="HE42">
        <v>28093</v>
      </c>
      <c r="HF42">
        <v>-141203</v>
      </c>
      <c r="HG42">
        <v>71377</v>
      </c>
      <c r="HH42">
        <v>786867</v>
      </c>
      <c r="HI42">
        <v>141203</v>
      </c>
      <c r="HJ42">
        <v>2026355</v>
      </c>
      <c r="HK42">
        <v>-32927</v>
      </c>
      <c r="HL42">
        <v>67957</v>
      </c>
      <c r="HM42" s="57">
        <v>20.032608695652176</v>
      </c>
      <c r="HN42" s="190">
        <v>-28238.921040814159</v>
      </c>
      <c r="HO42" s="34">
        <v>-16055.555835868765</v>
      </c>
      <c r="HP42" s="34">
        <v>-33969.756447063693</v>
      </c>
      <c r="HQ42" s="34">
        <v>-27533.709065161049</v>
      </c>
      <c r="HR42" s="34">
        <v>36860</v>
      </c>
      <c r="HS42" s="34">
        <v>42976</v>
      </c>
      <c r="HT42" s="34">
        <v>40387</v>
      </c>
      <c r="HU42" s="34">
        <v>9856</v>
      </c>
      <c r="HV42" s="34">
        <v>10804</v>
      </c>
      <c r="HW42" s="34">
        <v>12697</v>
      </c>
      <c r="HX42" s="34">
        <v>28213</v>
      </c>
      <c r="HY42" s="34">
        <v>35667</v>
      </c>
      <c r="HZ42" s="34">
        <v>86167</v>
      </c>
      <c r="IA42" s="34">
        <v>101409</v>
      </c>
      <c r="IB42" s="34">
        <v>67957</v>
      </c>
      <c r="IC42" s="34">
        <v>153326</v>
      </c>
      <c r="ID42" s="34">
        <v>250848</v>
      </c>
      <c r="IE42" s="34">
        <v>296680</v>
      </c>
      <c r="IF42" s="57">
        <v>17.956521739130434</v>
      </c>
      <c r="IG42" s="57">
        <v>18.173913043478262</v>
      </c>
      <c r="IH42" s="57">
        <v>18.152173913043477</v>
      </c>
      <c r="II42" s="57">
        <v>18.217391304347824</v>
      </c>
      <c r="IJ42" s="57">
        <v>18.326086956521738</v>
      </c>
      <c r="IK42" s="57">
        <v>18.445652173913043</v>
      </c>
      <c r="IL42" s="57">
        <v>18.521739130434781</v>
      </c>
      <c r="IM42" s="57">
        <v>18.728260869565219</v>
      </c>
      <c r="IN42" s="57">
        <v>18.913043478260871</v>
      </c>
      <c r="IO42" s="57">
        <v>19.076086956521738</v>
      </c>
      <c r="IP42" s="57">
        <v>19.271739130434781</v>
      </c>
      <c r="IQ42" s="57">
        <v>19.423913043478262</v>
      </c>
      <c r="IR42" s="57">
        <v>19.771739130434781</v>
      </c>
      <c r="IS42" s="57">
        <v>19.815217391304348</v>
      </c>
      <c r="IT42" s="57">
        <v>20.032608695652176</v>
      </c>
      <c r="IU42" s="57">
        <v>20.260869565217391</v>
      </c>
      <c r="IV42" s="57">
        <v>20.673913043478262</v>
      </c>
      <c r="IW42" s="57">
        <v>21</v>
      </c>
      <c r="IX42">
        <v>324450</v>
      </c>
      <c r="IY42">
        <v>375373</v>
      </c>
      <c r="IZ42">
        <v>2033988</v>
      </c>
      <c r="JA42">
        <v>2170994</v>
      </c>
      <c r="JB42" s="34">
        <v>637878</v>
      </c>
      <c r="JC42">
        <v>35199</v>
      </c>
      <c r="JD42">
        <v>67517</v>
      </c>
      <c r="JE42">
        <v>84349</v>
      </c>
      <c r="JF42">
        <v>-112105</v>
      </c>
      <c r="JG42">
        <v>3444</v>
      </c>
      <c r="JH42">
        <v>5107</v>
      </c>
      <c r="JI42" s="34">
        <v>972572</v>
      </c>
      <c r="JJ42" s="173">
        <v>41550</v>
      </c>
      <c r="JK42" s="34">
        <v>71375</v>
      </c>
      <c r="JL42">
        <v>886093</v>
      </c>
      <c r="JM42">
        <v>324179</v>
      </c>
      <c r="JN42">
        <v>362186</v>
      </c>
      <c r="JO42" s="173">
        <v>2035488</v>
      </c>
      <c r="JP42">
        <v>2228412</v>
      </c>
      <c r="JQ42" s="34">
        <v>637927</v>
      </c>
      <c r="JR42" s="34">
        <v>67601</v>
      </c>
      <c r="JS42" s="173">
        <v>81331</v>
      </c>
      <c r="JT42">
        <v>95032</v>
      </c>
      <c r="JU42">
        <v>-100166</v>
      </c>
      <c r="JV42" s="173">
        <v>46234</v>
      </c>
      <c r="JW42" s="34">
        <v>986131</v>
      </c>
      <c r="JX42" s="173">
        <v>47644</v>
      </c>
      <c r="JY42" s="34">
        <v>80431</v>
      </c>
      <c r="JZ42">
        <v>950003</v>
      </c>
      <c r="KA42">
        <v>323361</v>
      </c>
      <c r="KB42">
        <v>357246</v>
      </c>
      <c r="KC42" s="173">
        <v>2052778</v>
      </c>
      <c r="KD42">
        <v>2300984</v>
      </c>
      <c r="KE42" s="34">
        <v>639112</v>
      </c>
      <c r="KF42" s="34">
        <v>29892</v>
      </c>
      <c r="KG42" s="173">
        <v>96789</v>
      </c>
      <c r="KH42">
        <v>88869</v>
      </c>
      <c r="KI42" s="173">
        <v>-145796</v>
      </c>
      <c r="KJ42" s="173">
        <v>24722</v>
      </c>
      <c r="KK42" s="34">
        <v>1011746</v>
      </c>
      <c r="KL42" s="173">
        <v>52885</v>
      </c>
      <c r="KM42" s="34">
        <v>85861</v>
      </c>
      <c r="KN42">
        <v>1005822</v>
      </c>
      <c r="KO42">
        <v>321896</v>
      </c>
      <c r="KP42">
        <v>1151552</v>
      </c>
      <c r="KQ42">
        <v>677465</v>
      </c>
      <c r="KR42">
        <v>354509</v>
      </c>
      <c r="KS42">
        <v>10954</v>
      </c>
      <c r="KT42">
        <v>1016267</v>
      </c>
      <c r="KU42">
        <v>46156</v>
      </c>
      <c r="KV42">
        <v>89129</v>
      </c>
      <c r="KW42">
        <v>115597</v>
      </c>
      <c r="KX42">
        <v>-133968</v>
      </c>
      <c r="KY42">
        <v>94755</v>
      </c>
      <c r="KZ42">
        <v>1046975</v>
      </c>
      <c r="LA42">
        <v>2073097</v>
      </c>
      <c r="LB42">
        <v>20443</v>
      </c>
      <c r="LC42">
        <v>169468</v>
      </c>
      <c r="LD42" s="57">
        <v>21.010869565217391</v>
      </c>
      <c r="LE42">
        <v>320173</v>
      </c>
      <c r="LF42" s="34">
        <v>1164311</v>
      </c>
      <c r="LG42" s="34">
        <v>673044</v>
      </c>
      <c r="LH42">
        <v>342733</v>
      </c>
      <c r="LI42" s="173">
        <v>9985</v>
      </c>
      <c r="LJ42" s="34">
        <v>1019429</v>
      </c>
      <c r="LK42" s="173">
        <v>54267</v>
      </c>
      <c r="LL42" s="34">
        <v>90615</v>
      </c>
      <c r="LM42" s="173">
        <v>137071</v>
      </c>
      <c r="LN42" s="173">
        <v>-143784</v>
      </c>
      <c r="LO42">
        <v>96051</v>
      </c>
      <c r="LP42">
        <v>1066334</v>
      </c>
      <c r="LQ42" s="173">
        <v>2050823</v>
      </c>
      <c r="LR42" s="173">
        <v>42839</v>
      </c>
      <c r="LS42" s="173">
        <v>212038</v>
      </c>
      <c r="LT42" s="57">
        <v>21.086956521739129</v>
      </c>
      <c r="LU42">
        <v>317921</v>
      </c>
      <c r="LV42" s="34">
        <v>1148627</v>
      </c>
      <c r="LW42" s="34">
        <v>663936</v>
      </c>
      <c r="LX42" s="172">
        <v>374587</v>
      </c>
      <c r="LY42" s="173">
        <v>8042</v>
      </c>
      <c r="LZ42" s="34">
        <v>1005819</v>
      </c>
      <c r="MA42" s="173">
        <v>49638</v>
      </c>
      <c r="MB42" s="34">
        <v>93170</v>
      </c>
      <c r="MC42" s="173">
        <v>61552</v>
      </c>
      <c r="MD42" s="34">
        <v>-157024</v>
      </c>
      <c r="ME42">
        <v>102411</v>
      </c>
      <c r="MF42">
        <v>1130412</v>
      </c>
      <c r="MG42" s="173">
        <v>2133640</v>
      </c>
      <c r="MH42" s="173">
        <v>-39161</v>
      </c>
      <c r="MI42" s="173">
        <v>173204</v>
      </c>
      <c r="MJ42" s="57">
        <v>21.152173913043477</v>
      </c>
    </row>
    <row r="43" spans="1:348" x14ac:dyDescent="0.2">
      <c r="A43">
        <v>240</v>
      </c>
      <c r="B43" s="34">
        <v>354968</v>
      </c>
      <c r="C43" s="34">
        <v>351095</v>
      </c>
      <c r="D43" s="34">
        <v>346927</v>
      </c>
      <c r="E43" s="34">
        <v>343446</v>
      </c>
      <c r="F43" s="34">
        <v>340309</v>
      </c>
      <c r="G43" s="34">
        <v>337586</v>
      </c>
      <c r="H43" s="34">
        <v>335606</v>
      </c>
      <c r="I43" s="34">
        <v>332952</v>
      </c>
      <c r="J43" s="34">
        <v>330490</v>
      </c>
      <c r="K43" s="34">
        <v>329133</v>
      </c>
      <c r="L43" s="34">
        <v>326271</v>
      </c>
      <c r="M43" s="34">
        <v>700365</v>
      </c>
      <c r="N43" s="34">
        <v>331421</v>
      </c>
      <c r="O43" s="34">
        <v>219811</v>
      </c>
      <c r="P43" s="34">
        <v>19734.66672721432</v>
      </c>
      <c r="Q43" s="34">
        <v>708759</v>
      </c>
      <c r="R43" s="34">
        <v>335923</v>
      </c>
      <c r="S43" s="34">
        <v>226146</v>
      </c>
      <c r="T43" s="34">
        <v>23650.418031091216</v>
      </c>
      <c r="U43" s="34">
        <v>697387</v>
      </c>
      <c r="V43" s="34">
        <v>356691</v>
      </c>
      <c r="W43" s="34">
        <v>233528</v>
      </c>
      <c r="X43" s="34">
        <v>17868.117119344468</v>
      </c>
      <c r="Y43" s="34">
        <v>757093</v>
      </c>
      <c r="Z43" s="34">
        <v>402914</v>
      </c>
      <c r="AA43" s="34">
        <v>235504</v>
      </c>
      <c r="AB43" s="34">
        <v>18530.609361676361</v>
      </c>
      <c r="AC43" s="34">
        <v>774340</v>
      </c>
      <c r="AD43" s="34">
        <v>438395</v>
      </c>
      <c r="AE43" s="34">
        <v>244729</v>
      </c>
      <c r="AF43" s="34">
        <v>16179</v>
      </c>
      <c r="AG43" s="34">
        <v>736513</v>
      </c>
      <c r="AH43" s="34">
        <v>461269</v>
      </c>
      <c r="AI43" s="34">
        <v>263558</v>
      </c>
      <c r="AJ43" s="34">
        <v>21404</v>
      </c>
      <c r="AK43" s="34">
        <v>742754</v>
      </c>
      <c r="AL43" s="34">
        <v>479226</v>
      </c>
      <c r="AM43" s="34">
        <v>268350</v>
      </c>
      <c r="AN43" s="34">
        <v>20439</v>
      </c>
      <c r="AO43" s="34">
        <v>770175</v>
      </c>
      <c r="AP43" s="34">
        <v>497816</v>
      </c>
      <c r="AQ43" s="34">
        <v>267367</v>
      </c>
      <c r="AR43" s="34">
        <v>56420</v>
      </c>
      <c r="AS43" s="34">
        <v>812189</v>
      </c>
      <c r="AT43" s="34">
        <v>533221</v>
      </c>
      <c r="AU43" s="34">
        <v>285362</v>
      </c>
      <c r="AV43" s="34">
        <v>28079</v>
      </c>
      <c r="AW43" s="34">
        <v>864324</v>
      </c>
      <c r="AX43" s="34">
        <v>549331</v>
      </c>
      <c r="AY43" s="34">
        <v>309298</v>
      </c>
      <c r="AZ43" s="34">
        <v>41272</v>
      </c>
      <c r="BA43" s="34">
        <v>928861</v>
      </c>
      <c r="BB43" s="34">
        <v>607604</v>
      </c>
      <c r="BC43" s="34">
        <v>329422</v>
      </c>
      <c r="BD43" s="34">
        <v>26687</v>
      </c>
      <c r="BE43" s="34">
        <v>560565.64963427535</v>
      </c>
      <c r="BF43" s="34">
        <v>111125.12677164959</v>
      </c>
      <c r="BG43" s="34">
        <v>28557.30078560581</v>
      </c>
      <c r="BH43" s="34">
        <v>563544.25781190873</v>
      </c>
      <c r="BI43" s="34">
        <v>112947.10657900709</v>
      </c>
      <c r="BJ43" s="34">
        <v>32147.776639706142</v>
      </c>
      <c r="BK43" s="34">
        <v>538027.62654880062</v>
      </c>
      <c r="BL43" s="34">
        <v>125597.19327988323</v>
      </c>
      <c r="BM43" s="34">
        <v>33621.439251361895</v>
      </c>
      <c r="BN43" s="34">
        <v>617020</v>
      </c>
      <c r="BO43" s="34">
        <v>104764</v>
      </c>
      <c r="BP43" s="34">
        <v>35228</v>
      </c>
      <c r="BQ43" s="34">
        <v>668826</v>
      </c>
      <c r="BR43" s="34">
        <v>68025</v>
      </c>
      <c r="BS43" s="34">
        <v>37428</v>
      </c>
      <c r="BT43" s="34">
        <v>654617</v>
      </c>
      <c r="BU43" s="34">
        <v>44314</v>
      </c>
      <c r="BV43" s="34">
        <v>37531</v>
      </c>
      <c r="BW43" s="34">
        <v>655977</v>
      </c>
      <c r="BX43" s="34">
        <v>48485</v>
      </c>
      <c r="BY43" s="34">
        <v>38253</v>
      </c>
      <c r="BZ43" s="34">
        <v>672973</v>
      </c>
      <c r="CA43" s="34">
        <v>57154</v>
      </c>
      <c r="CB43" s="34">
        <v>40011</v>
      </c>
      <c r="CC43" s="34">
        <v>703927</v>
      </c>
      <c r="CD43" s="34">
        <v>62728</v>
      </c>
      <c r="CE43" s="34">
        <v>45509</v>
      </c>
      <c r="CF43" s="34">
        <v>743689</v>
      </c>
      <c r="CG43" s="34">
        <v>72429</v>
      </c>
      <c r="CH43" s="34">
        <v>48188</v>
      </c>
      <c r="CI43" s="34">
        <v>804380</v>
      </c>
      <c r="CJ43" s="34">
        <v>72993</v>
      </c>
      <c r="CK43" s="34">
        <v>51488</v>
      </c>
      <c r="CL43" s="34">
        <v>42095.924301978055</v>
      </c>
      <c r="CM43" s="34">
        <v>-71280.566054370007</v>
      </c>
      <c r="CN43" s="34">
        <v>57281.612182187891</v>
      </c>
      <c r="CO43" s="34">
        <v>217929</v>
      </c>
      <c r="CP43" s="34">
        <v>46169.940444655229</v>
      </c>
      <c r="CQ43" s="34">
        <v>-61277.757310410001</v>
      </c>
      <c r="CR43" s="34">
        <v>58756.115733475948</v>
      </c>
      <c r="CS43" s="34">
        <v>226614</v>
      </c>
      <c r="CT43" s="34">
        <v>15672.423739389445</v>
      </c>
      <c r="CU43" s="34">
        <v>-51293.785623219992</v>
      </c>
      <c r="CV43" s="34">
        <v>59018.488898755917</v>
      </c>
      <c r="CW43" s="34">
        <v>229231</v>
      </c>
      <c r="CX43" s="34">
        <v>56168.712672792084</v>
      </c>
      <c r="CY43" s="34">
        <v>-84685</v>
      </c>
      <c r="CZ43" s="34">
        <v>58980.310239449151</v>
      </c>
      <c r="DA43" s="34">
        <v>249380</v>
      </c>
      <c r="DB43" s="34">
        <v>117329</v>
      </c>
      <c r="DC43" s="34">
        <v>-64656</v>
      </c>
      <c r="DD43" s="34">
        <v>61446</v>
      </c>
      <c r="DE43" s="34">
        <v>243336</v>
      </c>
      <c r="DF43" s="34">
        <v>50167</v>
      </c>
      <c r="DG43" s="34">
        <v>-84259</v>
      </c>
      <c r="DH43" s="34">
        <v>62538</v>
      </c>
      <c r="DI43" s="34">
        <v>258348</v>
      </c>
      <c r="DJ43" s="34">
        <v>17281</v>
      </c>
      <c r="DK43" s="34">
        <v>-98461</v>
      </c>
      <c r="DL43" s="34">
        <v>64204</v>
      </c>
      <c r="DM43" s="34">
        <v>317704</v>
      </c>
      <c r="DN43" s="34">
        <v>49822</v>
      </c>
      <c r="DO43" s="34">
        <v>-92733</v>
      </c>
      <c r="DP43" s="34">
        <v>67064</v>
      </c>
      <c r="DQ43" s="34">
        <v>389808</v>
      </c>
      <c r="DR43" s="34">
        <v>61222</v>
      </c>
      <c r="DS43" s="34">
        <v>-89431</v>
      </c>
      <c r="DT43" s="34">
        <v>66339</v>
      </c>
      <c r="DU43" s="34">
        <v>425384</v>
      </c>
      <c r="DV43" s="34">
        <v>80888</v>
      </c>
      <c r="DW43" s="34">
        <v>-110698</v>
      </c>
      <c r="DX43" s="34">
        <v>68043</v>
      </c>
      <c r="DY43" s="34">
        <v>456420</v>
      </c>
      <c r="DZ43" s="34">
        <v>79243</v>
      </c>
      <c r="EA43" s="34">
        <v>-108285</v>
      </c>
      <c r="EB43" s="34">
        <v>70807</v>
      </c>
      <c r="EC43" s="34">
        <v>484894</v>
      </c>
      <c r="ED43" s="34">
        <v>1162276.1965309558</v>
      </c>
      <c r="EE43" s="34">
        <v>-6469.8615645177269</v>
      </c>
      <c r="EF43" s="34">
        <v>1184858.814645132</v>
      </c>
      <c r="EG43" s="34">
        <v>5773.1178509619504</v>
      </c>
      <c r="EH43" s="34">
        <v>1222766.1615983236</v>
      </c>
      <c r="EI43" s="34">
        <v>-18943.006157359989</v>
      </c>
      <c r="EJ43" s="34">
        <v>1285057.0157070705</v>
      </c>
      <c r="EK43" s="34">
        <v>2858.1435753053011</v>
      </c>
      <c r="EL43" s="34">
        <v>1344367.6</v>
      </c>
      <c r="EM43" s="34">
        <v>60549.05</v>
      </c>
      <c r="EN43" s="34">
        <v>1420976.55</v>
      </c>
      <c r="EO43" s="34">
        <v>-6972.55</v>
      </c>
      <c r="EP43" s="34">
        <v>1484422.85</v>
      </c>
      <c r="EQ43" s="34">
        <v>-43548.65</v>
      </c>
      <c r="ER43" s="34">
        <v>1528754.25</v>
      </c>
      <c r="ES43" s="34">
        <v>-8162.7000000000007</v>
      </c>
      <c r="ET43" s="34">
        <v>1589447.2</v>
      </c>
      <c r="EU43" s="34">
        <v>2061.8500000000004</v>
      </c>
      <c r="EV43" s="34">
        <v>1657880</v>
      </c>
      <c r="EW43" s="34">
        <v>16558</v>
      </c>
      <c r="EX43" s="34">
        <v>1782526</v>
      </c>
      <c r="EY43" s="34">
        <v>36324</v>
      </c>
      <c r="EZ43" s="34">
        <v>45277</v>
      </c>
      <c r="FA43" s="34">
        <v>85047</v>
      </c>
      <c r="FB43" s="34">
        <v>324079</v>
      </c>
      <c r="FC43" s="34">
        <v>924207</v>
      </c>
      <c r="FD43" s="34">
        <v>651276</v>
      </c>
      <c r="FE43" s="34">
        <v>373417</v>
      </c>
      <c r="FF43" s="34">
        <v>25426</v>
      </c>
      <c r="FG43" s="34">
        <v>811641</v>
      </c>
      <c r="FH43" s="34">
        <v>57647</v>
      </c>
      <c r="FI43" s="34">
        <v>54919</v>
      </c>
      <c r="FJ43" s="34">
        <v>96740</v>
      </c>
      <c r="FK43" s="34">
        <v>-106389</v>
      </c>
      <c r="FL43" s="34">
        <v>74975</v>
      </c>
      <c r="FM43" s="34">
        <v>517420</v>
      </c>
      <c r="FN43" s="34">
        <v>106389</v>
      </c>
      <c r="FO43" s="34">
        <v>1866221</v>
      </c>
      <c r="FP43" s="34">
        <v>23702</v>
      </c>
      <c r="FQ43" s="34">
        <v>321582</v>
      </c>
      <c r="FR43" s="34">
        <v>950726</v>
      </c>
      <c r="FS43" s="34">
        <v>702309</v>
      </c>
      <c r="FT43" s="34">
        <v>386686</v>
      </c>
      <c r="FU43" s="34">
        <v>19715</v>
      </c>
      <c r="FV43" s="34">
        <v>817409</v>
      </c>
      <c r="FW43" s="34">
        <v>70674</v>
      </c>
      <c r="FX43" s="34">
        <v>62643</v>
      </c>
      <c r="FY43" s="34">
        <v>124473</v>
      </c>
      <c r="FZ43" s="34">
        <v>-95635</v>
      </c>
      <c r="GA43" s="34">
        <v>78891</v>
      </c>
      <c r="GB43" s="34">
        <v>518274</v>
      </c>
      <c r="GC43" s="34">
        <v>95635</v>
      </c>
      <c r="GD43" s="34">
        <v>1926923</v>
      </c>
      <c r="GE43" s="34">
        <v>45993</v>
      </c>
      <c r="GF43" s="34">
        <v>151361</v>
      </c>
      <c r="GG43" s="57">
        <v>516.5</v>
      </c>
      <c r="GH43" s="34">
        <v>319664</v>
      </c>
      <c r="GI43" s="34">
        <v>968454</v>
      </c>
      <c r="GJ43">
        <v>683702</v>
      </c>
      <c r="GK43">
        <v>401776</v>
      </c>
      <c r="GL43">
        <v>12820</v>
      </c>
      <c r="GM43">
        <v>824513</v>
      </c>
      <c r="GN43">
        <v>80016</v>
      </c>
      <c r="GO43">
        <v>63925</v>
      </c>
      <c r="GP43">
        <v>37503</v>
      </c>
      <c r="GQ43">
        <v>-124861</v>
      </c>
      <c r="GR43">
        <v>80353</v>
      </c>
      <c r="GS43">
        <v>563147</v>
      </c>
      <c r="GT43">
        <v>124861</v>
      </c>
      <c r="GU43">
        <v>2019118</v>
      </c>
      <c r="GV43">
        <v>-43610</v>
      </c>
      <c r="GW43" s="34">
        <v>317507</v>
      </c>
      <c r="GX43" s="34">
        <v>981216</v>
      </c>
      <c r="GY43">
        <v>744685</v>
      </c>
      <c r="GZ43">
        <v>402828</v>
      </c>
      <c r="HA43">
        <v>26051</v>
      </c>
      <c r="HB43">
        <v>853465</v>
      </c>
      <c r="HC43">
        <v>59639</v>
      </c>
      <c r="HD43">
        <v>68112</v>
      </c>
      <c r="HE43">
        <v>39648</v>
      </c>
      <c r="HF43">
        <v>-137881</v>
      </c>
      <c r="HG43">
        <v>83024</v>
      </c>
      <c r="HH43">
        <v>638375</v>
      </c>
      <c r="HI43">
        <v>137881</v>
      </c>
      <c r="HJ43">
        <v>2104875</v>
      </c>
      <c r="HK43">
        <v>-40995</v>
      </c>
      <c r="HL43">
        <v>66286</v>
      </c>
      <c r="HM43" s="57">
        <v>20.10576923076923</v>
      </c>
      <c r="HN43" s="190">
        <v>-11406.50517261968</v>
      </c>
      <c r="HO43" s="34">
        <v>-7489.5765532575497</v>
      </c>
      <c r="HP43" s="34">
        <v>-12727.453147048389</v>
      </c>
      <c r="HQ43" s="34">
        <v>-2724.9807845294017</v>
      </c>
      <c r="HR43">
        <v>55117</v>
      </c>
      <c r="HS43">
        <v>51617</v>
      </c>
      <c r="HT43">
        <v>19697</v>
      </c>
      <c r="HU43">
        <v>22806</v>
      </c>
      <c r="HV43">
        <v>34988</v>
      </c>
      <c r="HW43">
        <v>43636</v>
      </c>
      <c r="HX43">
        <v>85539</v>
      </c>
      <c r="HY43">
        <v>103840</v>
      </c>
      <c r="HZ43">
        <v>151361</v>
      </c>
      <c r="IA43" s="34">
        <v>107079</v>
      </c>
      <c r="IB43">
        <v>66286</v>
      </c>
      <c r="IC43">
        <v>187146</v>
      </c>
      <c r="ID43">
        <v>249138</v>
      </c>
      <c r="IE43">
        <v>272824</v>
      </c>
      <c r="IF43" s="57">
        <v>18</v>
      </c>
      <c r="IG43" s="57">
        <v>18.14423076923077</v>
      </c>
      <c r="IH43" s="57">
        <v>18.23076923076923</v>
      </c>
      <c r="II43" s="57">
        <v>18.26923076923077</v>
      </c>
      <c r="IJ43" s="57">
        <v>18.403846153846153</v>
      </c>
      <c r="IK43" s="57">
        <v>18.48076923076923</v>
      </c>
      <c r="IL43" s="57">
        <v>18.528846153846153</v>
      </c>
      <c r="IM43" s="57">
        <v>18.807692307692307</v>
      </c>
      <c r="IN43" s="57">
        <v>19.115384615384617</v>
      </c>
      <c r="IO43" s="57">
        <v>19.298076923076923</v>
      </c>
      <c r="IP43" s="57">
        <v>19.39423076923077</v>
      </c>
      <c r="IQ43" s="57">
        <v>19.471153846153847</v>
      </c>
      <c r="IR43" s="57">
        <v>19.865384615384617</v>
      </c>
      <c r="IS43" s="57">
        <v>19.932692307692307</v>
      </c>
      <c r="IT43" s="57">
        <v>20.10576923076923</v>
      </c>
      <c r="IU43" s="57">
        <v>20.423076923076923</v>
      </c>
      <c r="IV43" s="57">
        <v>20.759615384615383</v>
      </c>
      <c r="IW43" s="57">
        <v>20.884615384615383</v>
      </c>
      <c r="IX43">
        <v>314833</v>
      </c>
      <c r="IY43">
        <v>401283</v>
      </c>
      <c r="IZ43">
        <v>2156777</v>
      </c>
      <c r="JA43" s="34">
        <v>2099116</v>
      </c>
      <c r="JB43" s="34">
        <v>767067</v>
      </c>
      <c r="JC43">
        <v>59696</v>
      </c>
      <c r="JD43">
        <v>87348</v>
      </c>
      <c r="JE43">
        <v>88307</v>
      </c>
      <c r="JF43">
        <v>-126885</v>
      </c>
      <c r="JG43">
        <v>23983</v>
      </c>
      <c r="JH43">
        <v>23200</v>
      </c>
      <c r="JI43" s="34">
        <v>907203</v>
      </c>
      <c r="JJ43" s="173">
        <v>68370</v>
      </c>
      <c r="JK43" s="34">
        <v>73985</v>
      </c>
      <c r="JL43">
        <v>707688</v>
      </c>
      <c r="JM43">
        <v>311888</v>
      </c>
      <c r="JN43">
        <v>394867</v>
      </c>
      <c r="JO43" s="173">
        <v>2168438</v>
      </c>
      <c r="JP43" s="34">
        <v>2150470</v>
      </c>
      <c r="JQ43" s="34">
        <v>775553</v>
      </c>
      <c r="JR43" s="34">
        <v>46907</v>
      </c>
      <c r="JS43" s="173">
        <v>94381</v>
      </c>
      <c r="JT43">
        <v>91413</v>
      </c>
      <c r="JU43">
        <v>-151880</v>
      </c>
      <c r="JV43" s="173">
        <v>24691</v>
      </c>
      <c r="JW43" s="34">
        <v>918673</v>
      </c>
      <c r="JX43" s="173">
        <v>72806</v>
      </c>
      <c r="JY43" s="34">
        <v>83756</v>
      </c>
      <c r="JZ43">
        <v>794895</v>
      </c>
      <c r="KA43">
        <v>308668</v>
      </c>
      <c r="KB43">
        <v>395108</v>
      </c>
      <c r="KC43" s="173">
        <v>2181794</v>
      </c>
      <c r="KD43" s="34">
        <v>2200658</v>
      </c>
      <c r="KE43" s="34">
        <v>768172</v>
      </c>
      <c r="KF43" s="34">
        <v>52120</v>
      </c>
      <c r="KG43" s="173">
        <v>102796</v>
      </c>
      <c r="KH43">
        <v>95118</v>
      </c>
      <c r="KI43" s="173">
        <v>-113415</v>
      </c>
      <c r="KJ43" s="173">
        <v>13222</v>
      </c>
      <c r="KK43" s="34">
        <v>932071</v>
      </c>
      <c r="KL43" s="173">
        <v>84206</v>
      </c>
      <c r="KM43" s="34">
        <v>84052</v>
      </c>
      <c r="KN43">
        <v>846977</v>
      </c>
      <c r="KO43">
        <v>305241</v>
      </c>
      <c r="KP43">
        <v>1089419</v>
      </c>
      <c r="KQ43">
        <v>801133</v>
      </c>
      <c r="KR43">
        <v>392189</v>
      </c>
      <c r="KS43">
        <v>29271</v>
      </c>
      <c r="KT43">
        <v>921502</v>
      </c>
      <c r="KU43">
        <v>75046</v>
      </c>
      <c r="KV43">
        <v>92871</v>
      </c>
      <c r="KW43">
        <v>116528</v>
      </c>
      <c r="KX43">
        <v>-122726</v>
      </c>
      <c r="KY43">
        <v>104529</v>
      </c>
      <c r="KZ43">
        <v>885278</v>
      </c>
      <c r="LA43">
        <v>2185831</v>
      </c>
      <c r="LB43">
        <v>15244</v>
      </c>
      <c r="LC43">
        <v>152607</v>
      </c>
      <c r="LD43" s="57">
        <v>20.990384615384617</v>
      </c>
      <c r="LE43">
        <v>301259</v>
      </c>
      <c r="LF43" s="34">
        <v>1095512</v>
      </c>
      <c r="LG43" s="34">
        <v>797594</v>
      </c>
      <c r="LH43">
        <v>397257</v>
      </c>
      <c r="LI43" s="173">
        <v>23214</v>
      </c>
      <c r="LJ43" s="34">
        <v>913641</v>
      </c>
      <c r="LK43" s="173">
        <v>90644</v>
      </c>
      <c r="LL43" s="34">
        <v>91227</v>
      </c>
      <c r="LM43" s="173">
        <v>150281</v>
      </c>
      <c r="LN43" s="173">
        <v>-113366</v>
      </c>
      <c r="LO43">
        <v>108853</v>
      </c>
      <c r="LP43">
        <v>890002</v>
      </c>
      <c r="LQ43" s="173">
        <v>2161209</v>
      </c>
      <c r="LR43" s="173">
        <v>38074</v>
      </c>
      <c r="LS43" s="173">
        <v>189979</v>
      </c>
      <c r="LT43" s="57">
        <v>21.048076923076923</v>
      </c>
      <c r="LU43">
        <v>296522</v>
      </c>
      <c r="LV43" s="34">
        <v>1067913</v>
      </c>
      <c r="LW43" s="34">
        <v>783498</v>
      </c>
      <c r="LX43" s="172">
        <v>393815</v>
      </c>
      <c r="LY43" s="173">
        <v>25633</v>
      </c>
      <c r="LZ43" s="34">
        <v>892762</v>
      </c>
      <c r="MA43" s="173">
        <v>80701</v>
      </c>
      <c r="MB43" s="34">
        <v>94450</v>
      </c>
      <c r="MC43" s="173">
        <v>68189</v>
      </c>
      <c r="MD43" s="34">
        <v>-105630</v>
      </c>
      <c r="ME43">
        <v>104212</v>
      </c>
      <c r="MF43">
        <v>901532</v>
      </c>
      <c r="MG43" s="173">
        <v>2196849</v>
      </c>
      <c r="MH43" s="173">
        <v>-30116</v>
      </c>
      <c r="MI43" s="173">
        <v>163271</v>
      </c>
      <c r="MJ43" s="57">
        <v>21.14423076923077</v>
      </c>
    </row>
    <row r="44" spans="1:348" x14ac:dyDescent="0.2">
      <c r="A44">
        <v>310</v>
      </c>
      <c r="B44" s="34">
        <v>5865</v>
      </c>
      <c r="C44" s="34">
        <v>5901</v>
      </c>
      <c r="D44" s="34">
        <v>5932</v>
      </c>
      <c r="E44" s="34">
        <v>5906</v>
      </c>
      <c r="F44" s="34">
        <v>5940</v>
      </c>
      <c r="G44" s="34">
        <v>6017</v>
      </c>
      <c r="H44" s="34">
        <v>6085</v>
      </c>
      <c r="I44" s="34">
        <v>6135</v>
      </c>
      <c r="J44" s="34">
        <v>6221</v>
      </c>
      <c r="K44" s="34">
        <v>6302</v>
      </c>
      <c r="L44" s="34">
        <v>6359</v>
      </c>
      <c r="M44" s="34">
        <v>9780</v>
      </c>
      <c r="N44" s="34">
        <v>7040</v>
      </c>
      <c r="O44" s="34">
        <v>2399</v>
      </c>
      <c r="P44" s="34">
        <v>223.52175426734817</v>
      </c>
      <c r="Q44" s="34">
        <v>10182</v>
      </c>
      <c r="R44" s="34">
        <v>7309</v>
      </c>
      <c r="S44" s="34">
        <v>2483</v>
      </c>
      <c r="T44" s="34">
        <v>308.62484505687274</v>
      </c>
      <c r="U44" s="34">
        <v>9538</v>
      </c>
      <c r="V44" s="34">
        <v>8045</v>
      </c>
      <c r="W44" s="34">
        <v>2835</v>
      </c>
      <c r="X44" s="34">
        <v>247.90900360426724</v>
      </c>
      <c r="Y44" s="34">
        <v>10580</v>
      </c>
      <c r="Z44" s="34">
        <v>9601</v>
      </c>
      <c r="AA44" s="34">
        <v>2566</v>
      </c>
      <c r="AB44" s="34">
        <v>336.54404084948357</v>
      </c>
      <c r="AC44" s="34">
        <v>11426</v>
      </c>
      <c r="AD44" s="34">
        <v>10349</v>
      </c>
      <c r="AE44" s="34">
        <v>2677</v>
      </c>
      <c r="AF44" s="34">
        <v>365</v>
      </c>
      <c r="AG44" s="34">
        <v>11358</v>
      </c>
      <c r="AH44" s="34">
        <v>10317</v>
      </c>
      <c r="AI44" s="34">
        <v>2752</v>
      </c>
      <c r="AJ44" s="34">
        <v>146</v>
      </c>
      <c r="AK44" s="34">
        <v>11484</v>
      </c>
      <c r="AL44" s="34">
        <v>10001</v>
      </c>
      <c r="AM44" s="34">
        <v>3017</v>
      </c>
      <c r="AN44" s="34">
        <v>377</v>
      </c>
      <c r="AO44" s="34">
        <v>12344</v>
      </c>
      <c r="AP44" s="34">
        <v>10611</v>
      </c>
      <c r="AQ44" s="34">
        <v>3005</v>
      </c>
      <c r="AR44" s="34">
        <v>107</v>
      </c>
      <c r="AS44" s="34">
        <v>13176</v>
      </c>
      <c r="AT44" s="34">
        <v>11065</v>
      </c>
      <c r="AU44" s="34">
        <v>3608</v>
      </c>
      <c r="AV44" s="34">
        <v>171</v>
      </c>
      <c r="AW44" s="34">
        <v>14364</v>
      </c>
      <c r="AX44" s="34">
        <v>11730</v>
      </c>
      <c r="AY44" s="34">
        <v>3388</v>
      </c>
      <c r="AZ44" s="34">
        <v>354</v>
      </c>
      <c r="BA44" s="34">
        <v>15725</v>
      </c>
      <c r="BB44" s="34">
        <v>12863</v>
      </c>
      <c r="BC44" s="34">
        <v>3535</v>
      </c>
      <c r="BD44" s="34">
        <v>119</v>
      </c>
      <c r="BE44" s="34">
        <v>8315.2110842571055</v>
      </c>
      <c r="BF44" s="34">
        <v>845.98527010140049</v>
      </c>
      <c r="BG44" s="34">
        <v>615.90418670205349</v>
      </c>
      <c r="BH44" s="34">
        <v>8781.2598284819524</v>
      </c>
      <c r="BI44" s="34">
        <v>752.47278298880042</v>
      </c>
      <c r="BJ44" s="34">
        <v>645.16888590635631</v>
      </c>
      <c r="BK44" s="34">
        <v>8149.7141646189775</v>
      </c>
      <c r="BL44" s="34">
        <v>681.66566594850417</v>
      </c>
      <c r="BM44" s="34">
        <v>703.53009638850062</v>
      </c>
      <c r="BN44" s="34">
        <v>9341</v>
      </c>
      <c r="BO44" s="34">
        <v>497</v>
      </c>
      <c r="BP44" s="34">
        <v>738</v>
      </c>
      <c r="BQ44" s="34">
        <v>10330</v>
      </c>
      <c r="BR44" s="34">
        <v>300</v>
      </c>
      <c r="BS44" s="34">
        <v>793</v>
      </c>
      <c r="BT44" s="34">
        <v>10376</v>
      </c>
      <c r="BU44" s="34">
        <v>174</v>
      </c>
      <c r="BV44" s="34">
        <v>808</v>
      </c>
      <c r="BW44" s="34">
        <v>10316</v>
      </c>
      <c r="BX44" s="34">
        <v>310</v>
      </c>
      <c r="BY44" s="34">
        <v>858</v>
      </c>
      <c r="BZ44" s="34">
        <v>10971</v>
      </c>
      <c r="CA44" s="34">
        <v>479</v>
      </c>
      <c r="CB44" s="34">
        <v>894</v>
      </c>
      <c r="CC44" s="34">
        <v>11701</v>
      </c>
      <c r="CD44" s="34">
        <v>515</v>
      </c>
      <c r="CE44" s="34">
        <v>960</v>
      </c>
      <c r="CF44" s="34">
        <v>12754</v>
      </c>
      <c r="CG44" s="34">
        <v>607</v>
      </c>
      <c r="CH44" s="34">
        <v>1003</v>
      </c>
      <c r="CI44" s="34">
        <v>13932</v>
      </c>
      <c r="CJ44" s="34">
        <v>675</v>
      </c>
      <c r="CK44" s="34">
        <v>1118</v>
      </c>
      <c r="CL44" s="34">
        <v>1175.9699818188851</v>
      </c>
      <c r="CM44" s="34">
        <v>-664.17412160000003</v>
      </c>
      <c r="CN44" s="34">
        <v>569.14794314575329</v>
      </c>
      <c r="CO44" s="34">
        <v>2536</v>
      </c>
      <c r="CP44" s="34">
        <v>1369.2179093231612</v>
      </c>
      <c r="CQ44" s="34">
        <v>-637.43224129999987</v>
      </c>
      <c r="CR44" s="34">
        <v>600.76727332051746</v>
      </c>
      <c r="CS44" s="34">
        <v>2326</v>
      </c>
      <c r="CT44" s="34">
        <v>438.4659242851593</v>
      </c>
      <c r="CU44" s="34">
        <v>-1530.8465065999999</v>
      </c>
      <c r="CV44" s="34">
        <v>628.01371740728212</v>
      </c>
      <c r="CW44" s="34">
        <v>3494</v>
      </c>
      <c r="CX44" s="34">
        <v>1200.1890432293428</v>
      </c>
      <c r="CY44" s="34">
        <v>-1941</v>
      </c>
      <c r="CZ44" s="34">
        <v>710.25761344696105</v>
      </c>
      <c r="DA44" s="34">
        <v>3657</v>
      </c>
      <c r="DB44" s="34">
        <v>2806</v>
      </c>
      <c r="DC44" s="34">
        <v>-2452</v>
      </c>
      <c r="DD44" s="34">
        <v>830</v>
      </c>
      <c r="DE44" s="34">
        <v>4433</v>
      </c>
      <c r="DF44" s="34">
        <v>1156</v>
      </c>
      <c r="DG44" s="34">
        <v>-1476</v>
      </c>
      <c r="DH44" s="34">
        <v>917</v>
      </c>
      <c r="DI44" s="34">
        <v>4846</v>
      </c>
      <c r="DJ44" s="34">
        <v>-116</v>
      </c>
      <c r="DK44" s="34">
        <v>-1747</v>
      </c>
      <c r="DL44" s="34">
        <v>973</v>
      </c>
      <c r="DM44" s="34">
        <v>5288</v>
      </c>
      <c r="DN44" s="34">
        <v>310</v>
      </c>
      <c r="DO44" s="34">
        <v>-1469</v>
      </c>
      <c r="DP44" s="34">
        <v>1111</v>
      </c>
      <c r="DQ44" s="34">
        <v>7091</v>
      </c>
      <c r="DR44" s="34">
        <v>1272</v>
      </c>
      <c r="DS44" s="34">
        <v>-657</v>
      </c>
      <c r="DT44" s="34">
        <v>1125</v>
      </c>
      <c r="DU44" s="34">
        <v>6979</v>
      </c>
      <c r="DV44" s="34">
        <v>1442</v>
      </c>
      <c r="DW44" s="34">
        <v>-1239</v>
      </c>
      <c r="DX44" s="34">
        <v>1076</v>
      </c>
      <c r="DY44" s="34">
        <v>6968</v>
      </c>
      <c r="DZ44" s="34">
        <v>1648</v>
      </c>
      <c r="EA44" s="34">
        <v>-2778</v>
      </c>
      <c r="EB44" s="34">
        <v>1062</v>
      </c>
      <c r="EC44" s="34">
        <v>8074</v>
      </c>
      <c r="ED44" s="34">
        <v>17270.881792479646</v>
      </c>
      <c r="EE44" s="34">
        <v>605.98109904082423</v>
      </c>
      <c r="EF44" s="34">
        <v>17948.342760266612</v>
      </c>
      <c r="EG44" s="34">
        <v>849.18084070416921</v>
      </c>
      <c r="EH44" s="34">
        <v>19162.155025539338</v>
      </c>
      <c r="EI44" s="34">
        <v>-238.49047972242266</v>
      </c>
      <c r="EJ44" s="34">
        <v>20698.551733765238</v>
      </c>
      <c r="EK44" s="34">
        <v>481.35384553284462</v>
      </c>
      <c r="EL44" s="34">
        <v>21847</v>
      </c>
      <c r="EM44" s="34">
        <v>1967</v>
      </c>
      <c r="EN44" s="34">
        <v>23249</v>
      </c>
      <c r="EO44" s="34">
        <v>239</v>
      </c>
      <c r="EP44" s="34">
        <v>24752</v>
      </c>
      <c r="EQ44" s="34">
        <v>-1088</v>
      </c>
      <c r="ER44" s="34">
        <v>25560</v>
      </c>
      <c r="ES44" s="34">
        <v>-800</v>
      </c>
      <c r="ET44" s="34">
        <v>26558</v>
      </c>
      <c r="EU44" s="34">
        <v>-38</v>
      </c>
      <c r="EV44" s="34">
        <v>28116</v>
      </c>
      <c r="EW44" s="34">
        <v>368</v>
      </c>
      <c r="EX44" s="34">
        <v>30369</v>
      </c>
      <c r="EY44" s="34">
        <v>588</v>
      </c>
      <c r="EZ44" s="34">
        <v>5567</v>
      </c>
      <c r="FA44" s="34">
        <v>6155</v>
      </c>
      <c r="FB44" s="34">
        <v>6411</v>
      </c>
      <c r="FC44" s="34">
        <v>16025</v>
      </c>
      <c r="FD44" s="34">
        <v>13803</v>
      </c>
      <c r="FE44" s="34">
        <v>3688</v>
      </c>
      <c r="FF44" s="34">
        <v>141</v>
      </c>
      <c r="FG44" s="34">
        <v>14255</v>
      </c>
      <c r="FH44" s="34">
        <v>528</v>
      </c>
      <c r="FI44" s="34">
        <v>1242</v>
      </c>
      <c r="FJ44" s="34">
        <v>1882</v>
      </c>
      <c r="FK44" s="34">
        <v>-2047</v>
      </c>
      <c r="FL44" s="34">
        <v>1053</v>
      </c>
      <c r="FM44" s="34">
        <v>8724</v>
      </c>
      <c r="FN44" s="34">
        <v>2047</v>
      </c>
      <c r="FO44" s="34">
        <v>31670</v>
      </c>
      <c r="FP44" s="34">
        <v>831</v>
      </c>
      <c r="FQ44" s="34">
        <v>6516</v>
      </c>
      <c r="FR44" s="34">
        <v>16176</v>
      </c>
      <c r="FS44" s="34">
        <v>13972</v>
      </c>
      <c r="FT44" s="34">
        <v>4478</v>
      </c>
      <c r="FU44" s="34">
        <v>312</v>
      </c>
      <c r="FV44" s="34">
        <v>14020</v>
      </c>
      <c r="FW44" s="34">
        <v>626</v>
      </c>
      <c r="FX44" s="34">
        <v>1530</v>
      </c>
      <c r="FY44" s="34">
        <v>2331</v>
      </c>
      <c r="FZ44" s="34">
        <v>-2148</v>
      </c>
      <c r="GA44" s="34">
        <v>1066</v>
      </c>
      <c r="GB44" s="34">
        <v>10119</v>
      </c>
      <c r="GC44" s="34">
        <v>2148</v>
      </c>
      <c r="GD44" s="34">
        <v>32536</v>
      </c>
      <c r="GE44" s="34">
        <v>1266</v>
      </c>
      <c r="GF44" s="34">
        <v>8250</v>
      </c>
      <c r="GG44" s="57">
        <v>38.5</v>
      </c>
      <c r="GH44" s="34">
        <v>6611</v>
      </c>
      <c r="GI44" s="34">
        <v>16922</v>
      </c>
      <c r="GJ44">
        <v>14518</v>
      </c>
      <c r="GK44">
        <v>5212</v>
      </c>
      <c r="GL44">
        <v>177</v>
      </c>
      <c r="GM44">
        <v>14691</v>
      </c>
      <c r="GN44">
        <v>667</v>
      </c>
      <c r="GO44">
        <v>1564</v>
      </c>
      <c r="GP44">
        <v>1547</v>
      </c>
      <c r="GQ44">
        <v>-3530</v>
      </c>
      <c r="GR44">
        <v>1100</v>
      </c>
      <c r="GS44">
        <v>12262</v>
      </c>
      <c r="GT44">
        <v>3530</v>
      </c>
      <c r="GU44">
        <v>35166</v>
      </c>
      <c r="GV44">
        <v>449</v>
      </c>
      <c r="GW44" s="34">
        <v>6648</v>
      </c>
      <c r="GX44" s="34">
        <v>18121</v>
      </c>
      <c r="GY44">
        <v>15499</v>
      </c>
      <c r="GZ44">
        <v>5528</v>
      </c>
      <c r="HA44">
        <v>429</v>
      </c>
      <c r="HB44">
        <v>16087</v>
      </c>
      <c r="HC44">
        <v>391</v>
      </c>
      <c r="HD44">
        <v>1643</v>
      </c>
      <c r="HE44">
        <v>2706</v>
      </c>
      <c r="HF44">
        <v>-2583</v>
      </c>
      <c r="HG44">
        <v>1227</v>
      </c>
      <c r="HH44">
        <v>15721</v>
      </c>
      <c r="HI44">
        <v>2583</v>
      </c>
      <c r="HJ44">
        <v>36717</v>
      </c>
      <c r="HK44">
        <v>1520</v>
      </c>
      <c r="HL44">
        <v>10214</v>
      </c>
      <c r="HM44" s="57">
        <v>19.75</v>
      </c>
      <c r="HN44" s="190">
        <v>2950.857169767211</v>
      </c>
      <c r="HO44" s="34">
        <v>3799.8698225449189</v>
      </c>
      <c r="HP44" s="34">
        <v>3561.7157186754193</v>
      </c>
      <c r="HQ44" s="34">
        <v>4043.0695642082642</v>
      </c>
      <c r="HR44">
        <v>6010</v>
      </c>
      <c r="HS44">
        <v>6249</v>
      </c>
      <c r="HT44">
        <v>6037</v>
      </c>
      <c r="HU44">
        <v>5236</v>
      </c>
      <c r="HV44">
        <v>5199</v>
      </c>
      <c r="HW44">
        <v>5567</v>
      </c>
      <c r="HX44">
        <v>6155</v>
      </c>
      <c r="HY44">
        <v>6986</v>
      </c>
      <c r="HZ44">
        <v>8250</v>
      </c>
      <c r="IA44" s="34">
        <v>8699</v>
      </c>
      <c r="IB44">
        <v>10214</v>
      </c>
      <c r="IC44">
        <v>22762</v>
      </c>
      <c r="ID44">
        <v>26572</v>
      </c>
      <c r="IE44">
        <v>31646</v>
      </c>
      <c r="IF44" s="57">
        <v>18.5</v>
      </c>
      <c r="IG44" s="57">
        <v>18.5</v>
      </c>
      <c r="IH44" s="57">
        <v>18.5</v>
      </c>
      <c r="II44" s="57">
        <v>18</v>
      </c>
      <c r="IJ44" s="57">
        <v>18.25</v>
      </c>
      <c r="IK44" s="57">
        <v>18.25</v>
      </c>
      <c r="IL44" s="57">
        <v>18.25</v>
      </c>
      <c r="IM44" s="57">
        <v>18.75</v>
      </c>
      <c r="IN44" s="57">
        <v>18.75</v>
      </c>
      <c r="IO44" s="57">
        <v>19</v>
      </c>
      <c r="IP44" s="57">
        <v>19</v>
      </c>
      <c r="IQ44" s="57">
        <v>19</v>
      </c>
      <c r="IR44" s="57">
        <v>19.25</v>
      </c>
      <c r="IS44" s="57">
        <v>19.25</v>
      </c>
      <c r="IT44" s="57">
        <v>19.75</v>
      </c>
      <c r="IU44" s="57">
        <v>19.75</v>
      </c>
      <c r="IV44" s="57">
        <v>19.75</v>
      </c>
      <c r="IW44" s="57">
        <v>20.25</v>
      </c>
      <c r="IX44">
        <v>6732</v>
      </c>
      <c r="IY44">
        <v>4866</v>
      </c>
      <c r="IZ44">
        <v>38122</v>
      </c>
      <c r="JA44" s="34">
        <v>39156</v>
      </c>
      <c r="JB44" s="34">
        <v>16074</v>
      </c>
      <c r="JC44">
        <v>279</v>
      </c>
      <c r="JD44">
        <v>2491</v>
      </c>
      <c r="JE44">
        <v>1275</v>
      </c>
      <c r="JF44">
        <v>-5306</v>
      </c>
      <c r="JG44">
        <v>1216</v>
      </c>
      <c r="JH44">
        <v>1168</v>
      </c>
      <c r="JI44" s="34">
        <v>17425</v>
      </c>
      <c r="JJ44" s="173">
        <v>409</v>
      </c>
      <c r="JK44" s="34">
        <v>1744</v>
      </c>
      <c r="JL44">
        <v>19087</v>
      </c>
      <c r="JM44">
        <v>6752</v>
      </c>
      <c r="JN44">
        <v>5185</v>
      </c>
      <c r="JO44" s="173">
        <v>38335</v>
      </c>
      <c r="JP44" s="34">
        <v>40226</v>
      </c>
      <c r="JQ44" s="34">
        <v>16102</v>
      </c>
      <c r="JR44" s="34">
        <v>365</v>
      </c>
      <c r="JS44" s="173">
        <v>3203</v>
      </c>
      <c r="JT44">
        <v>1298</v>
      </c>
      <c r="JU44">
        <v>-5944</v>
      </c>
      <c r="JV44" s="173">
        <v>1905</v>
      </c>
      <c r="JW44" s="34">
        <v>17656</v>
      </c>
      <c r="JX44" s="173">
        <v>502</v>
      </c>
      <c r="JY44" s="34">
        <v>1955</v>
      </c>
      <c r="JZ44">
        <v>19564</v>
      </c>
      <c r="KA44">
        <v>6780</v>
      </c>
      <c r="KB44">
        <v>4978</v>
      </c>
      <c r="KC44" s="173">
        <v>39020</v>
      </c>
      <c r="KD44" s="34">
        <v>42434</v>
      </c>
      <c r="KE44" s="34">
        <v>17298</v>
      </c>
      <c r="KF44" s="34">
        <v>75</v>
      </c>
      <c r="KG44" s="173">
        <v>4355</v>
      </c>
      <c r="KH44">
        <v>1818</v>
      </c>
      <c r="KI44" s="173">
        <v>-2311</v>
      </c>
      <c r="KJ44" s="173">
        <v>2537</v>
      </c>
      <c r="KK44" s="34">
        <v>18521</v>
      </c>
      <c r="KL44" s="173">
        <v>581</v>
      </c>
      <c r="KM44" s="34">
        <v>2115</v>
      </c>
      <c r="KN44">
        <v>19242</v>
      </c>
      <c r="KO44">
        <v>6798</v>
      </c>
      <c r="KP44">
        <v>21075</v>
      </c>
      <c r="KQ44">
        <v>18143</v>
      </c>
      <c r="KR44">
        <v>4616</v>
      </c>
      <c r="KS44">
        <v>1460</v>
      </c>
      <c r="KT44">
        <v>18399</v>
      </c>
      <c r="KU44">
        <v>495</v>
      </c>
      <c r="KV44">
        <v>2181</v>
      </c>
      <c r="KW44">
        <v>4163</v>
      </c>
      <c r="KX44">
        <v>-2543</v>
      </c>
      <c r="KY44">
        <v>1942</v>
      </c>
      <c r="KZ44">
        <v>21257</v>
      </c>
      <c r="LA44">
        <v>39931</v>
      </c>
      <c r="LB44">
        <v>3291</v>
      </c>
      <c r="LC44">
        <v>19114</v>
      </c>
      <c r="LD44" s="57">
        <v>20.125</v>
      </c>
      <c r="LE44">
        <v>6918</v>
      </c>
      <c r="LF44" s="34">
        <v>21443</v>
      </c>
      <c r="LG44" s="34">
        <v>18166</v>
      </c>
      <c r="LH44">
        <v>5006</v>
      </c>
      <c r="LI44" s="173">
        <v>-192</v>
      </c>
      <c r="LJ44" s="34">
        <v>18589</v>
      </c>
      <c r="LK44" s="173">
        <v>606</v>
      </c>
      <c r="LL44" s="34">
        <v>2248</v>
      </c>
      <c r="LM44" s="173">
        <v>3962</v>
      </c>
      <c r="LN44" s="173">
        <v>-10298</v>
      </c>
      <c r="LO44">
        <v>1881</v>
      </c>
      <c r="LP44">
        <v>31361</v>
      </c>
      <c r="LQ44" s="173">
        <v>40461</v>
      </c>
      <c r="LR44" s="173">
        <v>2073</v>
      </c>
      <c r="LS44" s="173">
        <v>21187</v>
      </c>
      <c r="LT44" s="57">
        <v>20.125</v>
      </c>
      <c r="LU44">
        <v>7002</v>
      </c>
      <c r="LV44" s="34">
        <v>21672</v>
      </c>
      <c r="LW44" s="34">
        <v>17685</v>
      </c>
      <c r="LX44" s="172">
        <v>5240</v>
      </c>
      <c r="LY44" s="173">
        <v>-190</v>
      </c>
      <c r="LZ44" s="34">
        <v>18871</v>
      </c>
      <c r="MA44" s="173">
        <v>578</v>
      </c>
      <c r="MB44" s="34">
        <v>2223</v>
      </c>
      <c r="MC44" s="173">
        <v>2472</v>
      </c>
      <c r="MD44" s="34">
        <v>-3891</v>
      </c>
      <c r="ME44">
        <v>1923</v>
      </c>
      <c r="MF44">
        <v>33736</v>
      </c>
      <c r="MG44" s="173">
        <v>41935</v>
      </c>
      <c r="MH44" s="173">
        <v>543</v>
      </c>
      <c r="MI44" s="173">
        <v>21730</v>
      </c>
      <c r="MJ44" s="57">
        <v>20.125</v>
      </c>
    </row>
    <row r="45" spans="1:348" x14ac:dyDescent="0.2">
      <c r="A45">
        <v>320</v>
      </c>
      <c r="B45" s="34">
        <v>59488</v>
      </c>
      <c r="C45" s="34">
        <v>59117</v>
      </c>
      <c r="D45" s="34">
        <v>58966</v>
      </c>
      <c r="E45" s="34">
        <v>58670</v>
      </c>
      <c r="F45" s="34">
        <v>58849</v>
      </c>
      <c r="G45" s="34">
        <v>58870</v>
      </c>
      <c r="H45" s="34">
        <v>59210</v>
      </c>
      <c r="I45" s="34">
        <v>59397</v>
      </c>
      <c r="J45" s="34">
        <v>59596</v>
      </c>
      <c r="K45" s="34">
        <v>60008</v>
      </c>
      <c r="L45" s="34">
        <v>60331</v>
      </c>
      <c r="M45" s="34">
        <v>114580</v>
      </c>
      <c r="N45" s="34">
        <v>55710</v>
      </c>
      <c r="O45" s="34">
        <v>30783</v>
      </c>
      <c r="P45" s="34">
        <v>4424.6879693494311</v>
      </c>
      <c r="Q45" s="34">
        <v>114186</v>
      </c>
      <c r="R45" s="34">
        <v>56021</v>
      </c>
      <c r="S45" s="34">
        <v>32646</v>
      </c>
      <c r="T45" s="34">
        <v>4327.9799116340628</v>
      </c>
      <c r="U45" s="34">
        <v>111715</v>
      </c>
      <c r="V45" s="34">
        <v>59263</v>
      </c>
      <c r="W45" s="34">
        <v>33492</v>
      </c>
      <c r="X45" s="34">
        <v>3846.2896902482958</v>
      </c>
      <c r="Y45" s="34">
        <v>124038</v>
      </c>
      <c r="Z45" s="34">
        <v>70449</v>
      </c>
      <c r="AA45" s="34">
        <v>35523</v>
      </c>
      <c r="AB45" s="34">
        <v>3777.5008283255374</v>
      </c>
      <c r="AC45" s="34">
        <v>128017</v>
      </c>
      <c r="AD45" s="34">
        <v>78880</v>
      </c>
      <c r="AE45" s="34">
        <v>34805</v>
      </c>
      <c r="AF45" s="34">
        <v>3005</v>
      </c>
      <c r="AG45" s="34">
        <v>126308</v>
      </c>
      <c r="AH45" s="34">
        <v>82946</v>
      </c>
      <c r="AI45" s="34">
        <v>35730</v>
      </c>
      <c r="AJ45" s="34">
        <v>7148</v>
      </c>
      <c r="AK45" s="34">
        <v>127823</v>
      </c>
      <c r="AL45" s="34">
        <v>84536</v>
      </c>
      <c r="AM45" s="34">
        <v>40602</v>
      </c>
      <c r="AN45" s="34">
        <v>4424</v>
      </c>
      <c r="AO45" s="34">
        <v>134817</v>
      </c>
      <c r="AP45" s="34">
        <v>87812</v>
      </c>
      <c r="AQ45" s="34">
        <v>41539</v>
      </c>
      <c r="AR45" s="34">
        <v>4273</v>
      </c>
      <c r="AS45" s="34">
        <v>144352</v>
      </c>
      <c r="AT45" s="34">
        <v>92985</v>
      </c>
      <c r="AU45" s="34">
        <v>43557</v>
      </c>
      <c r="AV45" s="34">
        <v>4253</v>
      </c>
      <c r="AW45" s="34">
        <v>156465</v>
      </c>
      <c r="AX45" s="34">
        <v>96684</v>
      </c>
      <c r="AY45" s="34">
        <v>48035</v>
      </c>
      <c r="AZ45" s="34">
        <v>5594</v>
      </c>
      <c r="BA45" s="34">
        <v>176280</v>
      </c>
      <c r="BB45" s="34">
        <v>109261</v>
      </c>
      <c r="BC45" s="34">
        <v>47637</v>
      </c>
      <c r="BD45" s="34">
        <v>2765</v>
      </c>
      <c r="BE45" s="34">
        <v>87954.717082679505</v>
      </c>
      <c r="BF45" s="34">
        <v>18654.732051404957</v>
      </c>
      <c r="BG45" s="34">
        <v>7957.8117405263938</v>
      </c>
      <c r="BH45" s="34">
        <v>88957.789876095951</v>
      </c>
      <c r="BI45" s="34">
        <v>16476.698403728391</v>
      </c>
      <c r="BJ45" s="34">
        <v>8740.5583502782665</v>
      </c>
      <c r="BK45" s="34">
        <v>85973.799684815822</v>
      </c>
      <c r="BL45" s="34">
        <v>16761.945127007111</v>
      </c>
      <c r="BM45" s="34">
        <v>8968.1166147806925</v>
      </c>
      <c r="BN45" s="34">
        <v>102449</v>
      </c>
      <c r="BO45" s="34">
        <v>11796</v>
      </c>
      <c r="BP45" s="34">
        <v>9785</v>
      </c>
      <c r="BQ45" s="34">
        <v>109617</v>
      </c>
      <c r="BR45" s="34">
        <v>7407</v>
      </c>
      <c r="BS45" s="34">
        <v>10993</v>
      </c>
      <c r="BT45" s="34">
        <v>111025</v>
      </c>
      <c r="BU45" s="34">
        <v>3988</v>
      </c>
      <c r="BV45" s="34">
        <v>11295</v>
      </c>
      <c r="BW45" s="34">
        <v>110912</v>
      </c>
      <c r="BX45" s="34">
        <v>5413</v>
      </c>
      <c r="BY45" s="34">
        <v>11498</v>
      </c>
      <c r="BZ45" s="34">
        <v>115751</v>
      </c>
      <c r="CA45" s="34">
        <v>6697</v>
      </c>
      <c r="CB45" s="34">
        <v>12369</v>
      </c>
      <c r="CC45" s="34">
        <v>122334</v>
      </c>
      <c r="CD45" s="34">
        <v>7585</v>
      </c>
      <c r="CE45" s="34">
        <v>14433</v>
      </c>
      <c r="CF45" s="34">
        <v>130749</v>
      </c>
      <c r="CG45" s="34">
        <v>9678</v>
      </c>
      <c r="CH45" s="34">
        <v>16038</v>
      </c>
      <c r="CI45" s="34">
        <v>147293</v>
      </c>
      <c r="CJ45" s="34">
        <v>10362</v>
      </c>
      <c r="CK45" s="34">
        <v>18625</v>
      </c>
      <c r="CL45" s="34">
        <v>4291.9876953713001</v>
      </c>
      <c r="CM45" s="34">
        <v>-9537.0963691500001</v>
      </c>
      <c r="CN45" s="34">
        <v>7927.3697258368584</v>
      </c>
      <c r="CO45" s="34">
        <v>31150</v>
      </c>
      <c r="CP45" s="34">
        <v>3610.658405275718</v>
      </c>
      <c r="CQ45" s="34">
        <v>-9896.5139696669994</v>
      </c>
      <c r="CR45" s="34">
        <v>8481.2125676746164</v>
      </c>
      <c r="CS45" s="34">
        <v>31489</v>
      </c>
      <c r="CT45" s="34">
        <v>-5340.8076047852828</v>
      </c>
      <c r="CU45" s="34">
        <v>-10002.1359854</v>
      </c>
      <c r="CV45" s="34">
        <v>8398.8004837084773</v>
      </c>
      <c r="CW45" s="34">
        <v>40107</v>
      </c>
      <c r="CX45" s="34">
        <v>7166.3193585985236</v>
      </c>
      <c r="CY45" s="34">
        <v>-15803</v>
      </c>
      <c r="CZ45" s="34">
        <v>8916.3147334305449</v>
      </c>
      <c r="DA45" s="34">
        <v>56769</v>
      </c>
      <c r="DB45" s="34">
        <v>18705</v>
      </c>
      <c r="DC45" s="34">
        <v>-13324</v>
      </c>
      <c r="DD45" s="34">
        <v>9379</v>
      </c>
      <c r="DE45" s="34">
        <v>58880</v>
      </c>
      <c r="DF45" s="34">
        <v>12665</v>
      </c>
      <c r="DG45" s="34">
        <v>-18179</v>
      </c>
      <c r="DH45" s="34">
        <v>8839</v>
      </c>
      <c r="DI45" s="34">
        <v>58854</v>
      </c>
      <c r="DJ45" s="34">
        <v>6248</v>
      </c>
      <c r="DK45" s="34">
        <v>-17852</v>
      </c>
      <c r="DL45" s="34">
        <v>10291</v>
      </c>
      <c r="DM45" s="34">
        <v>65267</v>
      </c>
      <c r="DN45" s="34">
        <v>5470</v>
      </c>
      <c r="DO45" s="34">
        <v>-26179</v>
      </c>
      <c r="DP45" s="34">
        <v>10642</v>
      </c>
      <c r="DQ45" s="34">
        <v>76141</v>
      </c>
      <c r="DR45" s="34">
        <v>8617</v>
      </c>
      <c r="DS45" s="34">
        <v>-16962</v>
      </c>
      <c r="DT45" s="34">
        <v>11269</v>
      </c>
      <c r="DU45" s="34">
        <v>78688</v>
      </c>
      <c r="DV45" s="34">
        <v>16472</v>
      </c>
      <c r="DW45" s="34">
        <v>-18213</v>
      </c>
      <c r="DX45" s="34">
        <v>12508</v>
      </c>
      <c r="DY45" s="34">
        <v>88761</v>
      </c>
      <c r="DZ45" s="34">
        <v>24776</v>
      </c>
      <c r="EA45" s="34">
        <v>-27253</v>
      </c>
      <c r="EB45" s="34">
        <v>14342</v>
      </c>
      <c r="EC45" s="34">
        <v>96691</v>
      </c>
      <c r="ED45" s="34">
        <v>192312.12988144427</v>
      </c>
      <c r="EE45" s="34">
        <v>-2490.1904391891321</v>
      </c>
      <c r="EF45" s="34">
        <v>195095.80825230881</v>
      </c>
      <c r="EG45" s="34">
        <v>-3086.2484505687275</v>
      </c>
      <c r="EH45" s="34">
        <v>204218.15319565468</v>
      </c>
      <c r="EI45" s="34">
        <v>-10961.47991920252</v>
      </c>
      <c r="EJ45" s="34">
        <v>213461.42525812646</v>
      </c>
      <c r="EK45" s="34">
        <v>1873.7816887076947</v>
      </c>
      <c r="EL45" s="34">
        <v>222974</v>
      </c>
      <c r="EM45" s="34">
        <v>8077</v>
      </c>
      <c r="EN45" s="34">
        <v>233745</v>
      </c>
      <c r="EO45" s="34">
        <v>5370</v>
      </c>
      <c r="EP45" s="34">
        <v>249053</v>
      </c>
      <c r="EQ45" s="34">
        <v>-4026</v>
      </c>
      <c r="ER45" s="34">
        <v>260281</v>
      </c>
      <c r="ES45" s="34">
        <v>-3888</v>
      </c>
      <c r="ET45" s="34">
        <v>273176</v>
      </c>
      <c r="EU45" s="34">
        <v>-499</v>
      </c>
      <c r="EV45" s="34">
        <v>284331</v>
      </c>
      <c r="EW45" s="34">
        <v>6268</v>
      </c>
      <c r="EX45" s="34">
        <v>305402</v>
      </c>
      <c r="EY45" s="34">
        <v>12124</v>
      </c>
      <c r="EZ45" s="34">
        <v>18345</v>
      </c>
      <c r="FA45" s="34">
        <v>30483</v>
      </c>
      <c r="FB45" s="34">
        <v>60558</v>
      </c>
      <c r="FC45" s="34">
        <v>189821</v>
      </c>
      <c r="FD45" s="34">
        <v>117209</v>
      </c>
      <c r="FE45" s="34">
        <v>52167</v>
      </c>
      <c r="FF45" s="34">
        <v>4059</v>
      </c>
      <c r="FG45" s="34">
        <v>158376</v>
      </c>
      <c r="FH45" s="34">
        <v>8317</v>
      </c>
      <c r="FI45" s="34">
        <v>23128</v>
      </c>
      <c r="FJ45" s="34">
        <v>37288</v>
      </c>
      <c r="FK45" s="34">
        <v>-30096</v>
      </c>
      <c r="FL45" s="34">
        <v>14108</v>
      </c>
      <c r="FM45" s="34">
        <v>109171</v>
      </c>
      <c r="FN45" s="34">
        <v>30096</v>
      </c>
      <c r="FO45" s="34">
        <v>322857</v>
      </c>
      <c r="FP45" s="34">
        <v>22536</v>
      </c>
      <c r="FQ45" s="34">
        <v>60752</v>
      </c>
      <c r="FR45" s="34">
        <v>198530</v>
      </c>
      <c r="FS45" s="34">
        <v>127092</v>
      </c>
      <c r="FT45" s="34">
        <v>55431</v>
      </c>
      <c r="FU45" s="34">
        <v>4388</v>
      </c>
      <c r="FV45" s="34">
        <v>159924</v>
      </c>
      <c r="FW45" s="34">
        <v>11476</v>
      </c>
      <c r="FX45" s="34">
        <v>27130</v>
      </c>
      <c r="FY45" s="34">
        <v>42353</v>
      </c>
      <c r="FZ45" s="34">
        <v>-38186</v>
      </c>
      <c r="GA45" s="34">
        <v>14668</v>
      </c>
      <c r="GB45" s="34">
        <v>121567</v>
      </c>
      <c r="GC45" s="34">
        <v>38186</v>
      </c>
      <c r="GD45" s="34">
        <v>340262</v>
      </c>
      <c r="GE45" s="34">
        <v>25075</v>
      </c>
      <c r="GF45" s="34">
        <v>77010</v>
      </c>
      <c r="GG45" s="57">
        <v>253.25</v>
      </c>
      <c r="GH45" s="34">
        <v>60926</v>
      </c>
      <c r="GI45" s="34">
        <v>197535</v>
      </c>
      <c r="GJ45">
        <v>129424</v>
      </c>
      <c r="GK45">
        <v>58273</v>
      </c>
      <c r="GL45">
        <v>3831</v>
      </c>
      <c r="GM45">
        <v>156245</v>
      </c>
      <c r="GN45">
        <v>13836</v>
      </c>
      <c r="GO45">
        <v>27454</v>
      </c>
      <c r="GP45">
        <v>24288</v>
      </c>
      <c r="GQ45">
        <v>-32105</v>
      </c>
      <c r="GR45">
        <v>15423</v>
      </c>
      <c r="GS45">
        <v>120071</v>
      </c>
      <c r="GT45">
        <v>32105</v>
      </c>
      <c r="GU45">
        <v>361875</v>
      </c>
      <c r="GV45">
        <v>9393</v>
      </c>
      <c r="GW45" s="34">
        <v>61305</v>
      </c>
      <c r="GX45" s="34">
        <v>200004</v>
      </c>
      <c r="GY45">
        <v>140929</v>
      </c>
      <c r="GZ45">
        <v>56976</v>
      </c>
      <c r="HA45">
        <v>4826</v>
      </c>
      <c r="HB45">
        <v>158670</v>
      </c>
      <c r="HC45">
        <v>9752</v>
      </c>
      <c r="HD45">
        <v>31582</v>
      </c>
      <c r="HE45">
        <v>17518</v>
      </c>
      <c r="HF45">
        <v>-38627</v>
      </c>
      <c r="HG45">
        <v>16121</v>
      </c>
      <c r="HH45">
        <v>131197</v>
      </c>
      <c r="HI45">
        <v>38627</v>
      </c>
      <c r="HJ45">
        <v>382723</v>
      </c>
      <c r="HK45">
        <v>2672</v>
      </c>
      <c r="HL45">
        <v>81502</v>
      </c>
      <c r="HM45" s="57">
        <v>19.46153846153846</v>
      </c>
      <c r="HN45" s="190">
        <v>5302.4607575520586</v>
      </c>
      <c r="HO45" s="34">
        <v>3886.4866046725961</v>
      </c>
      <c r="HP45" s="34">
        <v>-7200.6296955966727</v>
      </c>
      <c r="HQ45" s="34">
        <v>-6263.8229452060568</v>
      </c>
      <c r="HR45">
        <v>6444</v>
      </c>
      <c r="HS45">
        <v>12551</v>
      </c>
      <c r="HT45">
        <v>14648</v>
      </c>
      <c r="HU45">
        <v>10950</v>
      </c>
      <c r="HV45">
        <v>11980</v>
      </c>
      <c r="HW45">
        <v>18085</v>
      </c>
      <c r="HX45">
        <v>31239</v>
      </c>
      <c r="HY45">
        <v>52088</v>
      </c>
      <c r="HZ45">
        <v>77010</v>
      </c>
      <c r="IA45" s="34">
        <v>81745</v>
      </c>
      <c r="IB45">
        <v>81502</v>
      </c>
      <c r="IC45">
        <v>186320</v>
      </c>
      <c r="ID45">
        <v>214798</v>
      </c>
      <c r="IE45">
        <v>220400</v>
      </c>
      <c r="IF45" s="57">
        <v>18.115384615384617</v>
      </c>
      <c r="IG45" s="57">
        <v>18.153846153846153</v>
      </c>
      <c r="IH45" s="57">
        <v>18.346153846153847</v>
      </c>
      <c r="II45" s="57">
        <v>18.346153846153847</v>
      </c>
      <c r="IJ45" s="57">
        <v>18.576923076923077</v>
      </c>
      <c r="IK45" s="57">
        <v>18.692307692307693</v>
      </c>
      <c r="IL45" s="57">
        <v>18.73076923076923</v>
      </c>
      <c r="IM45" s="57">
        <v>18.78846153846154</v>
      </c>
      <c r="IN45" s="57">
        <v>18.923076923076923</v>
      </c>
      <c r="IO45" s="57">
        <v>19.01923076923077</v>
      </c>
      <c r="IP45" s="57">
        <v>19.076923076923077</v>
      </c>
      <c r="IQ45" s="57">
        <v>19.23076923076923</v>
      </c>
      <c r="IR45" s="57">
        <v>19.48076923076923</v>
      </c>
      <c r="IS45" s="57">
        <v>19.51923076923077</v>
      </c>
      <c r="IT45" s="57">
        <v>19.46153846153846</v>
      </c>
      <c r="IU45" s="57">
        <v>20.33653846153846</v>
      </c>
      <c r="IV45" s="57">
        <v>20.615384615384617</v>
      </c>
      <c r="IW45" s="57">
        <v>19.903846153846153</v>
      </c>
      <c r="IX45">
        <v>61559</v>
      </c>
      <c r="IY45">
        <v>58889</v>
      </c>
      <c r="IZ45">
        <v>398118</v>
      </c>
      <c r="JA45" s="34">
        <v>437900</v>
      </c>
      <c r="JB45" s="34">
        <v>146698</v>
      </c>
      <c r="JC45">
        <v>4522</v>
      </c>
      <c r="JD45">
        <v>28906</v>
      </c>
      <c r="JE45">
        <v>16615</v>
      </c>
      <c r="JF45">
        <v>-32654</v>
      </c>
      <c r="JG45">
        <v>12340</v>
      </c>
      <c r="JH45">
        <v>13434</v>
      </c>
      <c r="JI45" s="34">
        <v>171977</v>
      </c>
      <c r="JJ45" s="173">
        <v>12822</v>
      </c>
      <c r="JK45" s="34">
        <v>34151</v>
      </c>
      <c r="JL45">
        <v>140805</v>
      </c>
      <c r="JM45">
        <v>61775</v>
      </c>
      <c r="JN45">
        <v>63605</v>
      </c>
      <c r="JO45" s="173">
        <v>408723</v>
      </c>
      <c r="JP45" s="34">
        <v>452496</v>
      </c>
      <c r="JQ45" s="34">
        <v>148175</v>
      </c>
      <c r="JR45" s="34">
        <v>4383</v>
      </c>
      <c r="JS45" s="173">
        <v>31266</v>
      </c>
      <c r="JT45">
        <v>17679</v>
      </c>
      <c r="JU45">
        <v>-38879</v>
      </c>
      <c r="JV45" s="173">
        <v>14138</v>
      </c>
      <c r="JW45" s="34">
        <v>174029</v>
      </c>
      <c r="JX45" s="173">
        <v>14892</v>
      </c>
      <c r="JY45" s="34">
        <v>37327</v>
      </c>
      <c r="JZ45">
        <v>150425</v>
      </c>
      <c r="KA45">
        <v>61803</v>
      </c>
      <c r="KB45">
        <v>62087</v>
      </c>
      <c r="KC45" s="173">
        <v>415043</v>
      </c>
      <c r="KD45" s="34">
        <v>458816</v>
      </c>
      <c r="KE45" s="34">
        <v>146637</v>
      </c>
      <c r="KF45" s="34">
        <v>7545</v>
      </c>
      <c r="KG45" s="173">
        <v>25709</v>
      </c>
      <c r="KH45">
        <v>19095</v>
      </c>
      <c r="KI45" s="173">
        <v>-32247</v>
      </c>
      <c r="KJ45" s="173">
        <v>6784</v>
      </c>
      <c r="KK45" s="34">
        <v>174685</v>
      </c>
      <c r="KL45" s="173">
        <v>16062</v>
      </c>
      <c r="KM45" s="34">
        <v>38661</v>
      </c>
      <c r="KN45">
        <v>153206</v>
      </c>
      <c r="KO45">
        <v>61979</v>
      </c>
      <c r="KP45">
        <v>236876</v>
      </c>
      <c r="KQ45">
        <v>157165</v>
      </c>
      <c r="KR45">
        <v>68932</v>
      </c>
      <c r="KS45">
        <v>5145</v>
      </c>
      <c r="KT45">
        <v>180435</v>
      </c>
      <c r="KU45">
        <v>14179</v>
      </c>
      <c r="KV45">
        <v>42262</v>
      </c>
      <c r="KW45">
        <v>38569</v>
      </c>
      <c r="KX45">
        <v>-36946</v>
      </c>
      <c r="KY45">
        <v>21198</v>
      </c>
      <c r="KZ45">
        <v>156343</v>
      </c>
      <c r="LA45">
        <v>426493</v>
      </c>
      <c r="LB45">
        <v>14983</v>
      </c>
      <c r="LC45">
        <v>125865</v>
      </c>
      <c r="LD45" s="57">
        <v>20.192307692307693</v>
      </c>
      <c r="LE45">
        <v>62482</v>
      </c>
      <c r="LF45" s="34">
        <v>243191</v>
      </c>
      <c r="LG45" s="34">
        <v>154933</v>
      </c>
      <c r="LH45">
        <v>68111</v>
      </c>
      <c r="LI45" s="173">
        <v>2881</v>
      </c>
      <c r="LJ45" s="34">
        <v>183966</v>
      </c>
      <c r="LK45" s="173">
        <v>22223</v>
      </c>
      <c r="LL45" s="34">
        <v>37003</v>
      </c>
      <c r="LM45" s="173">
        <v>46115</v>
      </c>
      <c r="LN45" s="173">
        <v>-32520</v>
      </c>
      <c r="LO45">
        <v>21349</v>
      </c>
      <c r="LP45">
        <v>158474</v>
      </c>
      <c r="LQ45" s="173">
        <v>423000</v>
      </c>
      <c r="LR45" s="173">
        <v>19189</v>
      </c>
      <c r="LS45" s="173">
        <v>144978</v>
      </c>
      <c r="LT45" s="57">
        <v>20.26923076923077</v>
      </c>
      <c r="LU45">
        <v>62430</v>
      </c>
      <c r="LV45" s="34">
        <v>242209</v>
      </c>
      <c r="LW45" s="34">
        <v>153565</v>
      </c>
      <c r="LX45" s="172">
        <v>65661</v>
      </c>
      <c r="LY45" s="173">
        <v>994</v>
      </c>
      <c r="LZ45" s="34">
        <v>182812</v>
      </c>
      <c r="MA45" s="173">
        <v>14123</v>
      </c>
      <c r="MB45" s="34">
        <v>45274</v>
      </c>
      <c r="MC45" s="173">
        <v>22083</v>
      </c>
      <c r="MD45" s="34">
        <v>-28646</v>
      </c>
      <c r="ME45">
        <v>21607</v>
      </c>
      <c r="MF45">
        <v>163983</v>
      </c>
      <c r="MG45" s="173">
        <v>440346</v>
      </c>
      <c r="MH45" s="173">
        <v>950</v>
      </c>
      <c r="MI45" s="173">
        <v>145933</v>
      </c>
      <c r="MJ45" s="57">
        <v>20.307692307692307</v>
      </c>
    </row>
    <row r="46" spans="1:348" x14ac:dyDescent="0.2">
      <c r="A46">
        <v>330</v>
      </c>
      <c r="B46" s="34">
        <v>192074</v>
      </c>
      <c r="C46" s="34">
        <v>191022</v>
      </c>
      <c r="D46" s="34">
        <v>190452</v>
      </c>
      <c r="E46" s="34">
        <v>189423</v>
      </c>
      <c r="F46" s="34">
        <v>189129</v>
      </c>
      <c r="G46" s="34">
        <v>189219</v>
      </c>
      <c r="H46" s="34">
        <v>189702</v>
      </c>
      <c r="I46" s="34">
        <v>189899</v>
      </c>
      <c r="J46" s="34">
        <v>189759</v>
      </c>
      <c r="K46" s="34">
        <v>189981</v>
      </c>
      <c r="L46" s="34">
        <v>189991</v>
      </c>
      <c r="M46" s="34">
        <v>344598</v>
      </c>
      <c r="N46" s="34">
        <v>204643</v>
      </c>
      <c r="O46" s="34">
        <v>112954</v>
      </c>
      <c r="P46" s="34">
        <v>10679.765142379489</v>
      </c>
      <c r="Q46" s="34">
        <v>346012</v>
      </c>
      <c r="R46" s="34">
        <v>211191</v>
      </c>
      <c r="S46" s="34">
        <v>115457</v>
      </c>
      <c r="T46" s="34">
        <v>11954.797812884206</v>
      </c>
      <c r="U46" s="34">
        <v>342210</v>
      </c>
      <c r="V46" s="34">
        <v>224974</v>
      </c>
      <c r="W46" s="34">
        <v>116462</v>
      </c>
      <c r="X46" s="34">
        <v>9856.4852423503944</v>
      </c>
      <c r="Y46" s="34">
        <v>383152</v>
      </c>
      <c r="Z46" s="34">
        <v>257670</v>
      </c>
      <c r="AA46" s="34">
        <v>119580</v>
      </c>
      <c r="AB46" s="34">
        <v>10121.213038600812</v>
      </c>
      <c r="AC46" s="34">
        <v>395774</v>
      </c>
      <c r="AD46" s="34">
        <v>272901</v>
      </c>
      <c r="AE46" s="34">
        <v>125300</v>
      </c>
      <c r="AF46" s="34">
        <v>7204</v>
      </c>
      <c r="AG46" s="34">
        <v>377562</v>
      </c>
      <c r="AH46" s="34">
        <v>286676</v>
      </c>
      <c r="AI46" s="34">
        <v>133106</v>
      </c>
      <c r="AJ46" s="34">
        <v>9834</v>
      </c>
      <c r="AK46" s="34">
        <v>388056</v>
      </c>
      <c r="AL46" s="34">
        <v>299858</v>
      </c>
      <c r="AM46" s="34">
        <v>144650</v>
      </c>
      <c r="AN46" s="34">
        <v>11563</v>
      </c>
      <c r="AO46" s="34">
        <v>405325</v>
      </c>
      <c r="AP46" s="34">
        <v>308214</v>
      </c>
      <c r="AQ46" s="34">
        <v>152596</v>
      </c>
      <c r="AR46" s="34">
        <v>9823</v>
      </c>
      <c r="AS46" s="34">
        <v>432245</v>
      </c>
      <c r="AT46" s="34">
        <v>322708</v>
      </c>
      <c r="AU46" s="34">
        <v>164116</v>
      </c>
      <c r="AV46" s="34">
        <v>6728</v>
      </c>
      <c r="AW46" s="34">
        <v>465917</v>
      </c>
      <c r="AX46" s="34">
        <v>334450</v>
      </c>
      <c r="AY46" s="34">
        <v>173337</v>
      </c>
      <c r="AZ46" s="34">
        <v>9345</v>
      </c>
      <c r="BA46" s="34">
        <v>504466</v>
      </c>
      <c r="BB46" s="34">
        <v>366930</v>
      </c>
      <c r="BC46" s="34">
        <v>177421</v>
      </c>
      <c r="BD46" s="34">
        <v>6011</v>
      </c>
      <c r="BE46" s="34">
        <v>273174.86666902126</v>
      </c>
      <c r="BF46" s="34">
        <v>58962.818695097165</v>
      </c>
      <c r="BG46" s="34">
        <v>12394.609240581058</v>
      </c>
      <c r="BH46" s="34">
        <v>278409.37950428284</v>
      </c>
      <c r="BI46" s="34">
        <v>53467.950949673141</v>
      </c>
      <c r="BJ46" s="34">
        <v>14079.011324093088</v>
      </c>
      <c r="BK46" s="34">
        <v>271881.16513867932</v>
      </c>
      <c r="BL46" s="34">
        <v>54136.834333210558</v>
      </c>
      <c r="BM46" s="34">
        <v>16129.558523511829</v>
      </c>
      <c r="BN46" s="34">
        <v>321447</v>
      </c>
      <c r="BO46" s="34">
        <v>44340</v>
      </c>
      <c r="BP46" s="34">
        <v>17321</v>
      </c>
      <c r="BQ46" s="34">
        <v>348344</v>
      </c>
      <c r="BR46" s="34">
        <v>28808</v>
      </c>
      <c r="BS46" s="34">
        <v>18586</v>
      </c>
      <c r="BT46" s="34">
        <v>341567</v>
      </c>
      <c r="BU46" s="34">
        <v>16896</v>
      </c>
      <c r="BV46" s="34">
        <v>19081</v>
      </c>
      <c r="BW46" s="34">
        <v>347375</v>
      </c>
      <c r="BX46" s="34">
        <v>21278</v>
      </c>
      <c r="BY46" s="34">
        <v>19385</v>
      </c>
      <c r="BZ46" s="34">
        <v>358779</v>
      </c>
      <c r="CA46" s="34">
        <v>25741</v>
      </c>
      <c r="CB46" s="34">
        <v>20788</v>
      </c>
      <c r="CC46" s="34">
        <v>379890</v>
      </c>
      <c r="CD46" s="34">
        <v>29231</v>
      </c>
      <c r="CE46" s="34">
        <v>23108</v>
      </c>
      <c r="CF46" s="34">
        <v>407702</v>
      </c>
      <c r="CG46" s="34">
        <v>33977</v>
      </c>
      <c r="CH46" s="34">
        <v>24230</v>
      </c>
      <c r="CI46" s="34">
        <v>444516</v>
      </c>
      <c r="CJ46" s="34">
        <v>33823</v>
      </c>
      <c r="CK46" s="34">
        <v>26119</v>
      </c>
      <c r="CL46" s="34">
        <v>18686.183193653258</v>
      </c>
      <c r="CM46" s="34">
        <v>-41061.400367729999</v>
      </c>
      <c r="CN46" s="34">
        <v>26024.390613095449</v>
      </c>
      <c r="CO46" s="34">
        <v>113286</v>
      </c>
      <c r="CP46" s="34">
        <v>18422.29633703515</v>
      </c>
      <c r="CQ46" s="34">
        <v>-18305.91029114</v>
      </c>
      <c r="CR46" s="34">
        <v>27155.790794402037</v>
      </c>
      <c r="CS46" s="34">
        <v>114687</v>
      </c>
      <c r="CT46" s="34">
        <v>-971.78983909461067</v>
      </c>
      <c r="CU46" s="34">
        <v>-42837.969432900005</v>
      </c>
      <c r="CV46" s="34">
        <v>27803.314311278857</v>
      </c>
      <c r="CW46" s="34">
        <v>132911</v>
      </c>
      <c r="CX46" s="34">
        <v>33348.974810494263</v>
      </c>
      <c r="CY46" s="34">
        <v>-43387</v>
      </c>
      <c r="CZ46" s="34">
        <v>27623.016854112109</v>
      </c>
      <c r="DA46" s="34">
        <v>147591</v>
      </c>
      <c r="DB46" s="34">
        <v>60629</v>
      </c>
      <c r="DC46" s="34">
        <v>-44375</v>
      </c>
      <c r="DD46" s="34">
        <v>28460</v>
      </c>
      <c r="DE46" s="34">
        <v>144560</v>
      </c>
      <c r="DF46" s="34">
        <v>28923</v>
      </c>
      <c r="DG46" s="34">
        <v>-49943</v>
      </c>
      <c r="DH46" s="34">
        <v>29698</v>
      </c>
      <c r="DI46" s="34">
        <v>153571</v>
      </c>
      <c r="DJ46" s="34">
        <v>16873</v>
      </c>
      <c r="DK46" s="34">
        <v>-48939</v>
      </c>
      <c r="DL46" s="34">
        <v>30859</v>
      </c>
      <c r="DM46" s="34">
        <v>177978</v>
      </c>
      <c r="DN46" s="34">
        <v>12478</v>
      </c>
      <c r="DO46" s="34">
        <v>-55439</v>
      </c>
      <c r="DP46" s="34">
        <v>31844</v>
      </c>
      <c r="DQ46" s="34">
        <v>209244</v>
      </c>
      <c r="DR46" s="34">
        <v>28879</v>
      </c>
      <c r="DS46" s="34">
        <v>-56120</v>
      </c>
      <c r="DT46" s="34">
        <v>32386</v>
      </c>
      <c r="DU46" s="34">
        <v>235103</v>
      </c>
      <c r="DV46" s="34">
        <v>40331</v>
      </c>
      <c r="DW46" s="34">
        <v>-47952</v>
      </c>
      <c r="DX46" s="34">
        <v>32831</v>
      </c>
      <c r="DY46" s="34">
        <v>243651</v>
      </c>
      <c r="DZ46" s="34">
        <v>44364</v>
      </c>
      <c r="EA46" s="34">
        <v>-66312</v>
      </c>
      <c r="EB46" s="34">
        <v>33870</v>
      </c>
      <c r="EC46" s="34">
        <v>266451</v>
      </c>
      <c r="ED46" s="34">
        <v>618052.61927467259</v>
      </c>
      <c r="EE46" s="34">
        <v>-4909.2373854850448</v>
      </c>
      <c r="EF46" s="34">
        <v>629929.04151382588</v>
      </c>
      <c r="EG46" s="34">
        <v>2121.6906923119609</v>
      </c>
      <c r="EH46" s="34">
        <v>655922.82192430552</v>
      </c>
      <c r="EI46" s="34">
        <v>-22765.74953790367</v>
      </c>
      <c r="EJ46" s="34">
        <v>693468.08550001413</v>
      </c>
      <c r="EK46" s="34">
        <v>7904.3279799116335</v>
      </c>
      <c r="EL46" s="34">
        <v>729783</v>
      </c>
      <c r="EM46" s="34">
        <v>29316</v>
      </c>
      <c r="EN46" s="34">
        <v>769380</v>
      </c>
      <c r="EO46" s="34">
        <v>-1352</v>
      </c>
      <c r="EP46" s="34">
        <v>817528</v>
      </c>
      <c r="EQ46" s="34">
        <v>-8639</v>
      </c>
      <c r="ER46" s="34">
        <v>855780</v>
      </c>
      <c r="ES46" s="34">
        <v>-16166</v>
      </c>
      <c r="ET46" s="34">
        <v>889939</v>
      </c>
      <c r="EU46" s="34">
        <v>-16</v>
      </c>
      <c r="EV46" s="34">
        <v>930665</v>
      </c>
      <c r="EW46" s="34">
        <v>7513</v>
      </c>
      <c r="EX46" s="34">
        <v>997905</v>
      </c>
      <c r="EY46" s="34">
        <v>11348</v>
      </c>
      <c r="EZ46" s="34">
        <v>40869</v>
      </c>
      <c r="FA46" s="34">
        <v>52363</v>
      </c>
      <c r="FB46" s="34">
        <v>190237</v>
      </c>
      <c r="FC46" s="34">
        <v>512078</v>
      </c>
      <c r="FD46" s="34">
        <v>394894</v>
      </c>
      <c r="FE46" s="34">
        <v>204939</v>
      </c>
      <c r="FF46" s="34">
        <v>6124</v>
      </c>
      <c r="FG46" s="34">
        <v>457188</v>
      </c>
      <c r="FH46" s="34">
        <v>26749</v>
      </c>
      <c r="FI46" s="34">
        <v>28133</v>
      </c>
      <c r="FJ46" s="34">
        <v>53602</v>
      </c>
      <c r="FK46" s="34">
        <v>-57350</v>
      </c>
      <c r="FL46" s="34">
        <v>36984</v>
      </c>
      <c r="FM46" s="34">
        <v>286200</v>
      </c>
      <c r="FN46" s="34">
        <v>57350</v>
      </c>
      <c r="FO46" s="34">
        <v>1057410</v>
      </c>
      <c r="FP46" s="34">
        <v>16797</v>
      </c>
      <c r="FQ46" s="34">
        <v>190221</v>
      </c>
      <c r="FR46" s="34">
        <v>521599</v>
      </c>
      <c r="FS46" s="34">
        <v>416522</v>
      </c>
      <c r="FT46" s="34">
        <v>216357</v>
      </c>
      <c r="FU46" s="34">
        <v>8855</v>
      </c>
      <c r="FV46" s="34">
        <v>454664</v>
      </c>
      <c r="FW46" s="34">
        <v>33531</v>
      </c>
      <c r="FX46" s="34">
        <v>33404</v>
      </c>
      <c r="FY46" s="34">
        <v>64714</v>
      </c>
      <c r="FZ46" s="34">
        <v>-58329</v>
      </c>
      <c r="GA46" s="34">
        <v>36965</v>
      </c>
      <c r="GB46" s="34">
        <v>279852</v>
      </c>
      <c r="GC46" s="34">
        <v>58329</v>
      </c>
      <c r="GD46" s="34">
        <v>1093175</v>
      </c>
      <c r="GE46" s="34">
        <v>23312</v>
      </c>
      <c r="GF46" s="34">
        <v>93914</v>
      </c>
      <c r="GG46" s="57">
        <v>752.25</v>
      </c>
      <c r="GH46" s="34">
        <v>189741</v>
      </c>
      <c r="GI46" s="34">
        <v>544987</v>
      </c>
      <c r="GJ46">
        <v>429783</v>
      </c>
      <c r="GK46">
        <v>218992</v>
      </c>
      <c r="GL46">
        <v>5885</v>
      </c>
      <c r="GM46">
        <v>472771</v>
      </c>
      <c r="GN46">
        <v>37673</v>
      </c>
      <c r="GO46">
        <v>34543</v>
      </c>
      <c r="GP46">
        <v>42565</v>
      </c>
      <c r="GQ46">
        <v>-73112</v>
      </c>
      <c r="GR46">
        <v>39484</v>
      </c>
      <c r="GS46">
        <v>304236</v>
      </c>
      <c r="GT46">
        <v>73112</v>
      </c>
      <c r="GU46">
        <v>1150704</v>
      </c>
      <c r="GV46">
        <v>4091</v>
      </c>
      <c r="GW46" s="34">
        <v>189342</v>
      </c>
      <c r="GX46" s="34">
        <v>552527</v>
      </c>
      <c r="GY46">
        <v>442956</v>
      </c>
      <c r="GZ46">
        <v>225867</v>
      </c>
      <c r="HA46">
        <v>7692</v>
      </c>
      <c r="HB46">
        <v>490415</v>
      </c>
      <c r="HC46">
        <v>25781</v>
      </c>
      <c r="HD46">
        <v>36331</v>
      </c>
      <c r="HE46">
        <v>7399</v>
      </c>
      <c r="HF46">
        <v>-78365</v>
      </c>
      <c r="HG46">
        <v>41378</v>
      </c>
      <c r="HH46">
        <v>351983</v>
      </c>
      <c r="HI46">
        <v>78365</v>
      </c>
      <c r="HJ46">
        <v>1214898</v>
      </c>
      <c r="HK46">
        <v>-34950</v>
      </c>
      <c r="HL46">
        <v>67464</v>
      </c>
      <c r="HM46" s="57">
        <v>19.986842105263158</v>
      </c>
      <c r="HN46" s="190">
        <v>5710.1482912947604</v>
      </c>
      <c r="HO46" s="34">
        <v>8581.4525718456771</v>
      </c>
      <c r="HP46" s="34">
        <v>-4053.3290277224141</v>
      </c>
      <c r="HQ46" s="34">
        <v>5486.7947249538738</v>
      </c>
      <c r="HR46">
        <v>34906</v>
      </c>
      <c r="HS46">
        <v>32928</v>
      </c>
      <c r="HT46">
        <v>42180</v>
      </c>
      <c r="HU46">
        <v>30482</v>
      </c>
      <c r="HV46">
        <v>32170</v>
      </c>
      <c r="HW46">
        <v>42231</v>
      </c>
      <c r="HX46">
        <v>53578</v>
      </c>
      <c r="HY46">
        <v>68378</v>
      </c>
      <c r="HZ46">
        <v>93914</v>
      </c>
      <c r="IA46" s="34">
        <v>97993</v>
      </c>
      <c r="IB46">
        <v>67464</v>
      </c>
      <c r="IC46">
        <v>196978</v>
      </c>
      <c r="ID46">
        <v>261048</v>
      </c>
      <c r="IE46">
        <v>261254</v>
      </c>
      <c r="IF46" s="57">
        <v>17.940789473684209</v>
      </c>
      <c r="IG46" s="57">
        <v>18.046052631578949</v>
      </c>
      <c r="IH46" s="57">
        <v>18.190789473684209</v>
      </c>
      <c r="II46" s="57">
        <v>18.263157894736842</v>
      </c>
      <c r="IJ46" s="57">
        <v>18.42763157894737</v>
      </c>
      <c r="IK46" s="57">
        <v>18.480263157894736</v>
      </c>
      <c r="IL46" s="57">
        <v>18.605263157894736</v>
      </c>
      <c r="IM46" s="57">
        <v>18.743421052631579</v>
      </c>
      <c r="IN46" s="57">
        <v>18.960526315789473</v>
      </c>
      <c r="IO46" s="57">
        <v>19.190789473684209</v>
      </c>
      <c r="IP46" s="57">
        <v>19.355263157894736</v>
      </c>
      <c r="IQ46" s="57">
        <v>19.473684210526315</v>
      </c>
      <c r="IR46" s="57">
        <v>19.796052631578949</v>
      </c>
      <c r="IS46" s="57">
        <v>19.848684210526315</v>
      </c>
      <c r="IT46" s="57">
        <v>19.986842105263158</v>
      </c>
      <c r="IU46" s="57">
        <v>20.230263157894736</v>
      </c>
      <c r="IV46" s="57">
        <v>20.605263157894736</v>
      </c>
      <c r="IW46" s="57">
        <v>20.82236842105263</v>
      </c>
      <c r="IX46">
        <v>189033</v>
      </c>
      <c r="IY46">
        <v>230897</v>
      </c>
      <c r="IZ46">
        <v>1242529</v>
      </c>
      <c r="JA46" s="34">
        <v>1197692</v>
      </c>
      <c r="JB46" s="34">
        <v>458962</v>
      </c>
      <c r="JC46">
        <v>33300</v>
      </c>
      <c r="JD46">
        <v>48000</v>
      </c>
      <c r="JE46">
        <v>44829</v>
      </c>
      <c r="JF46">
        <v>-48257</v>
      </c>
      <c r="JG46">
        <v>28142</v>
      </c>
      <c r="JH46">
        <v>31714</v>
      </c>
      <c r="JI46" s="34">
        <v>527785</v>
      </c>
      <c r="JJ46" s="173">
        <v>31273</v>
      </c>
      <c r="JK46" s="34">
        <v>39788</v>
      </c>
      <c r="JL46">
        <v>391904</v>
      </c>
      <c r="JM46">
        <v>188235</v>
      </c>
      <c r="JN46">
        <v>205078</v>
      </c>
      <c r="JO46" s="173">
        <v>1217612</v>
      </c>
      <c r="JP46" s="34">
        <v>1254336</v>
      </c>
      <c r="JQ46" s="34">
        <v>452316</v>
      </c>
      <c r="JR46" s="34">
        <v>15364</v>
      </c>
      <c r="JS46" s="173">
        <v>67169</v>
      </c>
      <c r="JT46">
        <v>46071</v>
      </c>
      <c r="JU46">
        <v>-66035</v>
      </c>
      <c r="JV46" s="173">
        <v>31168</v>
      </c>
      <c r="JW46" s="34">
        <v>543474</v>
      </c>
      <c r="JX46" s="173">
        <v>36662</v>
      </c>
      <c r="JY46" s="34">
        <v>47032</v>
      </c>
      <c r="JZ46">
        <v>407879</v>
      </c>
      <c r="KA46">
        <v>187281</v>
      </c>
      <c r="KB46">
        <v>201729</v>
      </c>
      <c r="KC46" s="173">
        <v>1242783</v>
      </c>
      <c r="KD46" s="34">
        <v>1280378</v>
      </c>
      <c r="KE46" s="34">
        <v>444595</v>
      </c>
      <c r="KF46" s="34">
        <v>7406</v>
      </c>
      <c r="KG46" s="173">
        <v>44072</v>
      </c>
      <c r="KH46">
        <v>46246</v>
      </c>
      <c r="KI46" s="173">
        <v>-86592</v>
      </c>
      <c r="KJ46" s="173">
        <v>362</v>
      </c>
      <c r="KK46" s="34">
        <v>548229</v>
      </c>
      <c r="KL46" s="173">
        <v>41950</v>
      </c>
      <c r="KM46" s="34">
        <v>50010</v>
      </c>
      <c r="KN46">
        <v>448570</v>
      </c>
      <c r="KO46">
        <v>186179</v>
      </c>
      <c r="KP46">
        <v>641150</v>
      </c>
      <c r="KQ46">
        <v>467676</v>
      </c>
      <c r="KR46">
        <v>195256</v>
      </c>
      <c r="KS46">
        <v>13678</v>
      </c>
      <c r="KT46">
        <v>550626</v>
      </c>
      <c r="KU46">
        <v>39390</v>
      </c>
      <c r="KV46">
        <v>51134</v>
      </c>
      <c r="KW46">
        <v>66442</v>
      </c>
      <c r="KX46">
        <v>-61542</v>
      </c>
      <c r="KY46">
        <v>48476</v>
      </c>
      <c r="KZ46">
        <v>466325</v>
      </c>
      <c r="LA46">
        <v>1239040</v>
      </c>
      <c r="LB46">
        <v>26512</v>
      </c>
      <c r="LC46">
        <v>157865</v>
      </c>
      <c r="LD46" s="57">
        <v>20.894736842105264</v>
      </c>
      <c r="LE46">
        <v>184978</v>
      </c>
      <c r="LF46" s="34">
        <v>649520</v>
      </c>
      <c r="LG46" s="34">
        <v>462115</v>
      </c>
      <c r="LH46">
        <v>188120</v>
      </c>
      <c r="LI46" s="173">
        <v>14731</v>
      </c>
      <c r="LJ46" s="34">
        <v>552451</v>
      </c>
      <c r="LK46" s="173">
        <v>45555</v>
      </c>
      <c r="LL46" s="34">
        <v>51514</v>
      </c>
      <c r="LM46" s="173">
        <v>74458</v>
      </c>
      <c r="LN46" s="173">
        <v>-70580</v>
      </c>
      <c r="LO46">
        <v>51931</v>
      </c>
      <c r="LP46">
        <v>490854</v>
      </c>
      <c r="LQ46" s="173">
        <v>1228195</v>
      </c>
      <c r="LR46" s="173">
        <v>34578</v>
      </c>
      <c r="LS46" s="173">
        <v>193820</v>
      </c>
      <c r="LT46" s="57">
        <v>20.934210526315791</v>
      </c>
      <c r="LU46">
        <v>183787</v>
      </c>
      <c r="LV46" s="34">
        <v>639109</v>
      </c>
      <c r="LW46" s="34">
        <v>456718</v>
      </c>
      <c r="LX46" s="172">
        <v>191223</v>
      </c>
      <c r="LY46" s="173">
        <v>5065</v>
      </c>
      <c r="LZ46" s="34">
        <v>543535</v>
      </c>
      <c r="MA46" s="173">
        <v>41187</v>
      </c>
      <c r="MB46" s="34">
        <v>54387</v>
      </c>
      <c r="MC46" s="173">
        <v>31843</v>
      </c>
      <c r="MD46" s="34">
        <v>-77779</v>
      </c>
      <c r="ME46">
        <v>54310</v>
      </c>
      <c r="MF46">
        <v>525822</v>
      </c>
      <c r="MG46" s="173">
        <v>1257979</v>
      </c>
      <c r="MH46" s="173">
        <v>-18430</v>
      </c>
      <c r="MI46" s="173">
        <v>175067</v>
      </c>
      <c r="MJ46" s="57">
        <v>21.065789473684209</v>
      </c>
    </row>
    <row r="47" spans="1:348" x14ac:dyDescent="0.2">
      <c r="A47">
        <v>340</v>
      </c>
      <c r="B47" s="34">
        <v>589245</v>
      </c>
      <c r="C47" s="34">
        <v>581873</v>
      </c>
      <c r="D47" s="34">
        <v>574034</v>
      </c>
      <c r="E47" s="34">
        <v>566792</v>
      </c>
      <c r="F47" s="34">
        <v>560770</v>
      </c>
      <c r="G47" s="34">
        <v>556078</v>
      </c>
      <c r="H47" s="34">
        <v>551550</v>
      </c>
      <c r="I47" s="34">
        <v>547006</v>
      </c>
      <c r="J47" s="34">
        <v>541840</v>
      </c>
      <c r="K47" s="34">
        <v>536629</v>
      </c>
      <c r="L47" s="34">
        <v>530814</v>
      </c>
      <c r="M47" s="34">
        <v>1067434</v>
      </c>
      <c r="N47" s="34">
        <v>679042</v>
      </c>
      <c r="O47" s="34">
        <v>394588</v>
      </c>
      <c r="P47" s="34">
        <v>33476.461258752075</v>
      </c>
      <c r="Q47" s="34">
        <v>1050813</v>
      </c>
      <c r="R47" s="34">
        <v>681987</v>
      </c>
      <c r="S47" s="34">
        <v>408981</v>
      </c>
      <c r="T47" s="34">
        <v>43274.753478546787</v>
      </c>
      <c r="U47" s="34">
        <v>1035390</v>
      </c>
      <c r="V47" s="34">
        <v>716410</v>
      </c>
      <c r="W47" s="34">
        <v>419641</v>
      </c>
      <c r="X47" s="34">
        <v>38071.18722175408</v>
      </c>
      <c r="Y47" s="34">
        <v>1091230</v>
      </c>
      <c r="Z47" s="34">
        <v>814930</v>
      </c>
      <c r="AA47" s="34">
        <v>435277</v>
      </c>
      <c r="AB47" s="34">
        <v>35588.228863402815</v>
      </c>
      <c r="AC47" s="34">
        <v>1104748</v>
      </c>
      <c r="AD47" s="34">
        <v>886411</v>
      </c>
      <c r="AE47" s="34">
        <v>463003</v>
      </c>
      <c r="AF47" s="34">
        <v>28347</v>
      </c>
      <c r="AG47" s="34">
        <v>1052091</v>
      </c>
      <c r="AH47" s="34">
        <v>962828</v>
      </c>
      <c r="AI47" s="34">
        <v>484695</v>
      </c>
      <c r="AJ47" s="34">
        <v>38253</v>
      </c>
      <c r="AK47" s="34">
        <v>1079353</v>
      </c>
      <c r="AL47" s="34">
        <v>988983</v>
      </c>
      <c r="AM47" s="34">
        <v>502633</v>
      </c>
      <c r="AN47" s="34">
        <v>35165</v>
      </c>
      <c r="AO47" s="34">
        <v>1117749</v>
      </c>
      <c r="AP47" s="34">
        <v>1005784</v>
      </c>
      <c r="AQ47" s="34">
        <v>535527</v>
      </c>
      <c r="AR47" s="34">
        <v>36517</v>
      </c>
      <c r="AS47" s="34">
        <v>1178599</v>
      </c>
      <c r="AT47" s="34">
        <v>1062518</v>
      </c>
      <c r="AU47" s="34">
        <v>566938</v>
      </c>
      <c r="AV47" s="34">
        <v>35613</v>
      </c>
      <c r="AW47" s="34">
        <v>1262192</v>
      </c>
      <c r="AX47" s="34">
        <v>1105366</v>
      </c>
      <c r="AY47" s="34">
        <v>580168</v>
      </c>
      <c r="AZ47" s="34">
        <v>38853</v>
      </c>
      <c r="BA47" s="34">
        <v>1348980</v>
      </c>
      <c r="BB47" s="34">
        <v>1216462</v>
      </c>
      <c r="BC47" s="34">
        <v>624063</v>
      </c>
      <c r="BD47" s="34">
        <v>20676</v>
      </c>
      <c r="BE47" s="34">
        <v>793074.02118831465</v>
      </c>
      <c r="BF47" s="34">
        <v>235221.07461993725</v>
      </c>
      <c r="BG47" s="34">
        <v>38885.384973754277</v>
      </c>
      <c r="BH47" s="34">
        <v>804828.50718078366</v>
      </c>
      <c r="BI47" s="34">
        <v>202009.17296950912</v>
      </c>
      <c r="BJ47" s="34">
        <v>43748.707055315346</v>
      </c>
      <c r="BK47" s="34">
        <v>765932.02180388267</v>
      </c>
      <c r="BL47" s="34">
        <v>221201.26544595865</v>
      </c>
      <c r="BM47" s="34">
        <v>48016.643877202645</v>
      </c>
      <c r="BN47" s="34">
        <v>884889</v>
      </c>
      <c r="BO47" s="34">
        <v>154110</v>
      </c>
      <c r="BP47" s="34">
        <v>52015</v>
      </c>
      <c r="BQ47" s="34">
        <v>955022</v>
      </c>
      <c r="BR47" s="34">
        <v>95319</v>
      </c>
      <c r="BS47" s="34">
        <v>54235</v>
      </c>
      <c r="BT47" s="34">
        <v>939256</v>
      </c>
      <c r="BU47" s="34">
        <v>56201</v>
      </c>
      <c r="BV47" s="34">
        <v>56501</v>
      </c>
      <c r="BW47" s="34">
        <v>950015</v>
      </c>
      <c r="BX47" s="34">
        <v>72548</v>
      </c>
      <c r="BY47" s="34">
        <v>56694</v>
      </c>
      <c r="BZ47" s="34">
        <v>964169</v>
      </c>
      <c r="CA47" s="34">
        <v>93131</v>
      </c>
      <c r="CB47" s="34">
        <v>60369</v>
      </c>
      <c r="CC47" s="34">
        <v>1004750</v>
      </c>
      <c r="CD47" s="34">
        <v>108309</v>
      </c>
      <c r="CE47" s="34">
        <v>65469</v>
      </c>
      <c r="CF47" s="34">
        <v>1066107</v>
      </c>
      <c r="CG47" s="34">
        <v>127619</v>
      </c>
      <c r="CH47" s="34">
        <v>68439</v>
      </c>
      <c r="CI47" s="34">
        <v>1147907</v>
      </c>
      <c r="CJ47" s="34">
        <v>126654</v>
      </c>
      <c r="CK47" s="34">
        <v>74401</v>
      </c>
      <c r="CL47" s="34">
        <v>77396.888186984579</v>
      </c>
      <c r="CM47" s="34">
        <v>-137235.62960012697</v>
      </c>
      <c r="CN47" s="34">
        <v>82295.193357249649</v>
      </c>
      <c r="CO47" s="34">
        <v>369448</v>
      </c>
      <c r="CP47" s="34">
        <v>54120.015540564382</v>
      </c>
      <c r="CQ47" s="34">
        <v>-29294.300276869995</v>
      </c>
      <c r="CR47" s="34">
        <v>86457.508161319129</v>
      </c>
      <c r="CS47" s="34">
        <v>397672</v>
      </c>
      <c r="CT47" s="34">
        <v>3614.8631034372575</v>
      </c>
      <c r="CU47" s="34">
        <v>-67713.131937094047</v>
      </c>
      <c r="CV47" s="34">
        <v>90205.239726661035</v>
      </c>
      <c r="CW47" s="34">
        <v>426890</v>
      </c>
      <c r="CX47" s="34">
        <v>45820.109557615317</v>
      </c>
      <c r="CY47" s="34">
        <v>-133800</v>
      </c>
      <c r="CZ47" s="34">
        <v>89934.457165057931</v>
      </c>
      <c r="DA47" s="34">
        <v>485633</v>
      </c>
      <c r="DB47" s="34">
        <v>143553</v>
      </c>
      <c r="DC47" s="34">
        <v>-134510</v>
      </c>
      <c r="DD47" s="34">
        <v>91904</v>
      </c>
      <c r="DE47" s="34">
        <v>516353</v>
      </c>
      <c r="DF47" s="34">
        <v>95073</v>
      </c>
      <c r="DG47" s="34">
        <v>-150568</v>
      </c>
      <c r="DH47" s="34">
        <v>95986</v>
      </c>
      <c r="DI47" s="34">
        <v>549446</v>
      </c>
      <c r="DJ47" s="34">
        <v>49436</v>
      </c>
      <c r="DK47" s="34">
        <v>-156354</v>
      </c>
      <c r="DL47" s="34">
        <v>98214</v>
      </c>
      <c r="DM47" s="34">
        <v>622735</v>
      </c>
      <c r="DN47" s="34">
        <v>36181</v>
      </c>
      <c r="DO47" s="34">
        <v>-140289</v>
      </c>
      <c r="DP47" s="34">
        <v>101153</v>
      </c>
      <c r="DQ47" s="34">
        <v>702078</v>
      </c>
      <c r="DR47" s="34">
        <v>80654</v>
      </c>
      <c r="DS47" s="34">
        <v>-141540</v>
      </c>
      <c r="DT47" s="34">
        <v>102429</v>
      </c>
      <c r="DU47" s="34">
        <v>763113</v>
      </c>
      <c r="DV47" s="34">
        <v>113904</v>
      </c>
      <c r="DW47" s="34">
        <v>-136595</v>
      </c>
      <c r="DX47" s="34">
        <v>102935</v>
      </c>
      <c r="DY47" s="34">
        <v>786521</v>
      </c>
      <c r="DZ47" s="34">
        <v>133495</v>
      </c>
      <c r="EA47" s="34">
        <v>-176108</v>
      </c>
      <c r="EB47" s="34">
        <v>110136</v>
      </c>
      <c r="EC47" s="34">
        <v>784015</v>
      </c>
      <c r="ED47" s="34">
        <v>1982612.0594107036</v>
      </c>
      <c r="EE47" s="34">
        <v>-963.54863069799899</v>
      </c>
      <c r="EF47" s="34">
        <v>2018832.1703138212</v>
      </c>
      <c r="EG47" s="34">
        <v>13809.237890048817</v>
      </c>
      <c r="EH47" s="34">
        <v>2084880.7463507417</v>
      </c>
      <c r="EI47" s="34">
        <v>-27909.777268728987</v>
      </c>
      <c r="EJ47" s="34">
        <v>2198637.6777956616</v>
      </c>
      <c r="EK47" s="34">
        <v>-27026.117903100203</v>
      </c>
      <c r="EL47" s="34">
        <v>2301042</v>
      </c>
      <c r="EM47" s="34">
        <v>52428</v>
      </c>
      <c r="EN47" s="34">
        <v>2414363</v>
      </c>
      <c r="EO47" s="34">
        <v>13522</v>
      </c>
      <c r="EP47" s="34">
        <v>2529789</v>
      </c>
      <c r="EQ47" s="34">
        <v>-38671</v>
      </c>
      <c r="ER47" s="34">
        <v>2632880</v>
      </c>
      <c r="ES47" s="34">
        <v>-57362</v>
      </c>
      <c r="ET47" s="34">
        <v>2738852</v>
      </c>
      <c r="EU47" s="34">
        <v>-6460</v>
      </c>
      <c r="EV47" s="34">
        <v>2830568</v>
      </c>
      <c r="EW47" s="34">
        <v>17595</v>
      </c>
      <c r="EX47" s="34">
        <v>3042286</v>
      </c>
      <c r="EY47" s="34">
        <v>37625</v>
      </c>
      <c r="EZ47" s="34">
        <v>121196</v>
      </c>
      <c r="FA47" s="34">
        <v>163537</v>
      </c>
      <c r="FB47" s="34">
        <v>526163</v>
      </c>
      <c r="FC47" s="34">
        <v>1344637</v>
      </c>
      <c r="FD47" s="34">
        <v>1303484</v>
      </c>
      <c r="FE47" s="34">
        <v>723008</v>
      </c>
      <c r="FF47" s="34">
        <v>33588</v>
      </c>
      <c r="FG47" s="34">
        <v>1164869</v>
      </c>
      <c r="FH47" s="34">
        <v>99598</v>
      </c>
      <c r="FI47" s="34">
        <v>80164</v>
      </c>
      <c r="FJ47" s="34">
        <v>155884</v>
      </c>
      <c r="FK47" s="34">
        <v>-166074</v>
      </c>
      <c r="FL47" s="34">
        <v>112018</v>
      </c>
      <c r="FM47" s="34">
        <v>832081</v>
      </c>
      <c r="FN47" s="34">
        <v>166074</v>
      </c>
      <c r="FO47" s="34">
        <v>3218416</v>
      </c>
      <c r="FP47" s="34">
        <v>54470</v>
      </c>
      <c r="FQ47" s="34">
        <v>521521</v>
      </c>
      <c r="FR47" s="34">
        <v>1364940</v>
      </c>
      <c r="FS47" s="34">
        <v>1401872</v>
      </c>
      <c r="FT47" s="34">
        <v>744591</v>
      </c>
      <c r="FU47" s="34">
        <v>24577</v>
      </c>
      <c r="FV47" s="34">
        <v>1149576</v>
      </c>
      <c r="FW47" s="34">
        <v>124451</v>
      </c>
      <c r="FX47" s="34">
        <v>90913</v>
      </c>
      <c r="FY47" s="34">
        <v>213547</v>
      </c>
      <c r="FZ47" s="34">
        <v>-189053</v>
      </c>
      <c r="GA47" s="34">
        <v>114063</v>
      </c>
      <c r="GB47" s="34">
        <v>825436</v>
      </c>
      <c r="GC47" s="34">
        <v>189053</v>
      </c>
      <c r="GD47" s="34">
        <v>3304678</v>
      </c>
      <c r="GE47" s="34">
        <v>97303</v>
      </c>
      <c r="GF47" s="34">
        <v>314664</v>
      </c>
      <c r="GG47" s="57">
        <v>2414.5</v>
      </c>
      <c r="GH47" s="34">
        <v>516049</v>
      </c>
      <c r="GI47" s="34">
        <v>1397491</v>
      </c>
      <c r="GJ47">
        <v>1434317</v>
      </c>
      <c r="GK47">
        <v>729139</v>
      </c>
      <c r="GL47">
        <v>20123</v>
      </c>
      <c r="GM47">
        <v>1168728</v>
      </c>
      <c r="GN47">
        <v>132836</v>
      </c>
      <c r="GO47">
        <v>95927</v>
      </c>
      <c r="GP47">
        <v>130239</v>
      </c>
      <c r="GQ47">
        <v>-210761</v>
      </c>
      <c r="GR47">
        <v>118420</v>
      </c>
      <c r="GS47">
        <v>873837</v>
      </c>
      <c r="GT47">
        <v>210761</v>
      </c>
      <c r="GU47">
        <v>3428907</v>
      </c>
      <c r="GV47">
        <v>13831</v>
      </c>
      <c r="GW47" s="34">
        <v>510454</v>
      </c>
      <c r="GX47" s="34">
        <v>1399539</v>
      </c>
      <c r="GY47">
        <v>1502303</v>
      </c>
      <c r="GZ47">
        <v>761850</v>
      </c>
      <c r="HA47">
        <v>26224</v>
      </c>
      <c r="HB47">
        <v>1210099</v>
      </c>
      <c r="HC47">
        <v>87633</v>
      </c>
      <c r="HD47">
        <v>101807</v>
      </c>
      <c r="HE47">
        <v>84157</v>
      </c>
      <c r="HF47">
        <v>-190588</v>
      </c>
      <c r="HG47">
        <v>126540</v>
      </c>
      <c r="HH47">
        <v>958922</v>
      </c>
      <c r="HI47">
        <v>190588</v>
      </c>
      <c r="HJ47">
        <v>3583702</v>
      </c>
      <c r="HK47">
        <v>-32465</v>
      </c>
      <c r="HL47">
        <v>294980</v>
      </c>
      <c r="HM47" s="57">
        <v>20.026639344262296</v>
      </c>
      <c r="HN47" s="190">
        <v>75019.047282671774</v>
      </c>
      <c r="HO47" s="34">
        <v>87815.457479569362</v>
      </c>
      <c r="HP47" s="34">
        <v>74913.59345278042</v>
      </c>
      <c r="HQ47" s="34">
        <v>69204.958852823765</v>
      </c>
      <c r="HR47">
        <v>131626</v>
      </c>
      <c r="HS47">
        <v>147959</v>
      </c>
      <c r="HT47">
        <v>153964</v>
      </c>
      <c r="HU47">
        <v>102777</v>
      </c>
      <c r="HV47">
        <v>104051</v>
      </c>
      <c r="HW47">
        <v>126346</v>
      </c>
      <c r="HX47">
        <v>167867</v>
      </c>
      <c r="HY47">
        <v>219262</v>
      </c>
      <c r="HZ47">
        <v>314664</v>
      </c>
      <c r="IA47" s="34">
        <v>327717</v>
      </c>
      <c r="IB47">
        <v>294980</v>
      </c>
      <c r="IC47">
        <v>606254</v>
      </c>
      <c r="ID47">
        <v>787972</v>
      </c>
      <c r="IE47">
        <v>883506</v>
      </c>
      <c r="IF47" s="57">
        <v>18.200819672131146</v>
      </c>
      <c r="IG47" s="57">
        <v>18.282786885245901</v>
      </c>
      <c r="IH47" s="57">
        <v>18.389344262295083</v>
      </c>
      <c r="II47" s="57">
        <v>18.428278688524589</v>
      </c>
      <c r="IJ47" s="57">
        <v>18.569672131147541</v>
      </c>
      <c r="IK47" s="57">
        <v>18.680327868852459</v>
      </c>
      <c r="IL47" s="57">
        <v>18.725409836065573</v>
      </c>
      <c r="IM47" s="57">
        <v>18.844262295081968</v>
      </c>
      <c r="IN47" s="57">
        <v>18.991803278688526</v>
      </c>
      <c r="IO47" s="57">
        <v>19.147540983606557</v>
      </c>
      <c r="IP47" s="57">
        <v>19.331967213114755</v>
      </c>
      <c r="IQ47" s="57">
        <v>19.456967213114755</v>
      </c>
      <c r="IR47" s="57">
        <v>19.790983606557376</v>
      </c>
      <c r="IS47" s="57">
        <v>19.840163934426229</v>
      </c>
      <c r="IT47" s="57">
        <v>20.026639344262296</v>
      </c>
      <c r="IU47" s="57">
        <v>20.295081967213115</v>
      </c>
      <c r="IV47" s="57">
        <v>20.629098360655739</v>
      </c>
      <c r="IW47" s="57">
        <v>20.846311475409838</v>
      </c>
      <c r="IX47">
        <v>504539</v>
      </c>
      <c r="IY47">
        <v>748519</v>
      </c>
      <c r="IZ47">
        <v>3646872</v>
      </c>
      <c r="JA47" s="34">
        <v>2970520</v>
      </c>
      <c r="JB47" s="34">
        <v>1548430</v>
      </c>
      <c r="JC47">
        <v>32246</v>
      </c>
      <c r="JD47">
        <v>144027</v>
      </c>
      <c r="JE47">
        <v>139900</v>
      </c>
      <c r="JF47">
        <v>-257712</v>
      </c>
      <c r="JG47">
        <v>11644</v>
      </c>
      <c r="JH47">
        <v>11253</v>
      </c>
      <c r="JI47" s="34">
        <v>1274023</v>
      </c>
      <c r="JJ47" s="173">
        <v>102963</v>
      </c>
      <c r="JK47" s="34">
        <v>108274</v>
      </c>
      <c r="JL47">
        <v>1071741</v>
      </c>
      <c r="JM47">
        <v>498330</v>
      </c>
      <c r="JN47">
        <v>739332</v>
      </c>
      <c r="JO47" s="173">
        <v>3666068</v>
      </c>
      <c r="JP47" s="34">
        <v>3079890</v>
      </c>
      <c r="JQ47" s="34">
        <v>1584222</v>
      </c>
      <c r="JR47" s="34">
        <v>39550</v>
      </c>
      <c r="JS47" s="173">
        <v>203737</v>
      </c>
      <c r="JT47">
        <v>150898</v>
      </c>
      <c r="JU47">
        <v>-202684</v>
      </c>
      <c r="JV47" s="173">
        <v>73766</v>
      </c>
      <c r="JW47" s="34">
        <v>1296756</v>
      </c>
      <c r="JX47" s="173">
        <v>116453</v>
      </c>
      <c r="JY47" s="34">
        <v>126736</v>
      </c>
      <c r="JZ47">
        <v>1121573</v>
      </c>
      <c r="KA47">
        <v>491204</v>
      </c>
      <c r="KB47">
        <v>711895</v>
      </c>
      <c r="KC47" s="173">
        <v>3658032</v>
      </c>
      <c r="KD47" s="34">
        <v>3165890</v>
      </c>
      <c r="KE47" s="34">
        <v>1558975</v>
      </c>
      <c r="KF47" s="34">
        <v>38957</v>
      </c>
      <c r="KG47" s="173">
        <v>204911</v>
      </c>
      <c r="KH47">
        <v>155507</v>
      </c>
      <c r="KI47" s="173">
        <v>-236278</v>
      </c>
      <c r="KJ47" s="173">
        <v>53760</v>
      </c>
      <c r="KK47" s="34">
        <v>1317822</v>
      </c>
      <c r="KL47" s="173">
        <v>132984</v>
      </c>
      <c r="KM47" s="34">
        <v>132139</v>
      </c>
      <c r="KN47">
        <v>1177629</v>
      </c>
      <c r="KO47">
        <v>485064</v>
      </c>
      <c r="KP47">
        <v>1548542</v>
      </c>
      <c r="KQ47">
        <v>1608947</v>
      </c>
      <c r="KR47">
        <v>691491</v>
      </c>
      <c r="KS47">
        <v>28151</v>
      </c>
      <c r="KT47">
        <v>1287993</v>
      </c>
      <c r="KU47">
        <v>125714</v>
      </c>
      <c r="KV47">
        <v>134835</v>
      </c>
      <c r="KW47">
        <v>200069</v>
      </c>
      <c r="KX47">
        <v>-203787</v>
      </c>
      <c r="KY47">
        <v>167805</v>
      </c>
      <c r="KZ47">
        <v>1215687</v>
      </c>
      <c r="LA47">
        <v>3655820</v>
      </c>
      <c r="LB47">
        <v>45937</v>
      </c>
      <c r="LC47">
        <v>489426</v>
      </c>
      <c r="LD47" s="57">
        <v>20.942622950819672</v>
      </c>
      <c r="LE47">
        <v>476869</v>
      </c>
      <c r="LF47" s="34">
        <v>1576608</v>
      </c>
      <c r="LG47" s="34">
        <v>1596673</v>
      </c>
      <c r="LH47">
        <v>622164</v>
      </c>
      <c r="LI47" s="173">
        <v>34150</v>
      </c>
      <c r="LJ47" s="34">
        <v>1294992</v>
      </c>
      <c r="LK47" s="173">
        <v>143769</v>
      </c>
      <c r="LL47" s="34">
        <v>137847</v>
      </c>
      <c r="LM47" s="173">
        <v>250867</v>
      </c>
      <c r="LN47" s="173">
        <v>-189278</v>
      </c>
      <c r="LO47">
        <v>174506</v>
      </c>
      <c r="LP47">
        <v>1234436</v>
      </c>
      <c r="LQ47" s="173">
        <v>3562892</v>
      </c>
      <c r="LR47" s="173">
        <v>84208</v>
      </c>
      <c r="LS47" s="173">
        <v>574451</v>
      </c>
      <c r="LT47" s="57">
        <v>21.018442622950818</v>
      </c>
      <c r="LU47">
        <v>468001</v>
      </c>
      <c r="LV47" s="34">
        <v>1524148</v>
      </c>
      <c r="LW47" s="34">
        <v>1563895</v>
      </c>
      <c r="LX47" s="172">
        <v>621861</v>
      </c>
      <c r="LY47" s="173">
        <v>23566</v>
      </c>
      <c r="LZ47" s="34">
        <v>1250118</v>
      </c>
      <c r="MA47" s="173">
        <v>132423</v>
      </c>
      <c r="MB47" s="34">
        <v>141607</v>
      </c>
      <c r="MC47" s="173">
        <v>119073</v>
      </c>
      <c r="MD47" s="34">
        <v>-164688</v>
      </c>
      <c r="ME47">
        <v>167714</v>
      </c>
      <c r="MF47">
        <v>1226540</v>
      </c>
      <c r="MG47" s="173">
        <v>3601536</v>
      </c>
      <c r="MH47" s="173">
        <v>-27761</v>
      </c>
      <c r="MI47" s="173">
        <v>546441</v>
      </c>
      <c r="MJ47" s="57">
        <v>21.153688524590162</v>
      </c>
    </row>
    <row r="49" spans="1:221" x14ac:dyDescent="0.2">
      <c r="B49" s="34">
        <f>SUM(B36:B48)</f>
        <v>5132206</v>
      </c>
      <c r="C49" s="34">
        <f t="shared" ref="C49:BN49" si="8">SUM(C36:C48)</f>
        <v>5143799</v>
      </c>
      <c r="D49" s="34">
        <f t="shared" si="8"/>
        <v>5153542</v>
      </c>
      <c r="E49" s="34">
        <f t="shared" si="8"/>
        <v>5167133</v>
      </c>
      <c r="F49" s="34">
        <f t="shared" si="8"/>
        <v>5178310</v>
      </c>
      <c r="G49" s="34">
        <f t="shared" si="8"/>
        <v>5191651</v>
      </c>
      <c r="H49" s="34">
        <f t="shared" si="8"/>
        <v>5208378</v>
      </c>
      <c r="I49" s="34">
        <f t="shared" si="8"/>
        <v>5227141</v>
      </c>
      <c r="J49" s="34">
        <f t="shared" si="8"/>
        <v>5248388</v>
      </c>
      <c r="K49" s="34">
        <f t="shared" si="8"/>
        <v>5273331</v>
      </c>
      <c r="L49" s="34">
        <f t="shared" si="8"/>
        <v>5298858</v>
      </c>
      <c r="M49" s="34">
        <f t="shared" si="8"/>
        <v>11732281</v>
      </c>
      <c r="N49" s="34">
        <f t="shared" si="8"/>
        <v>3162541</v>
      </c>
      <c r="O49" s="34">
        <f t="shared" si="8"/>
        <v>4502467</v>
      </c>
      <c r="P49" s="34">
        <f t="shared" si="8"/>
        <v>373008.5288097508</v>
      </c>
      <c r="Q49" s="34">
        <f t="shared" si="8"/>
        <v>12042296</v>
      </c>
      <c r="R49" s="34">
        <f t="shared" si="8"/>
        <v>3170805</v>
      </c>
      <c r="S49" s="34">
        <f t="shared" si="8"/>
        <v>4629908</v>
      </c>
      <c r="T49" s="34">
        <f t="shared" si="8"/>
        <v>397443.20714193216</v>
      </c>
      <c r="U49" s="34">
        <f t="shared" si="8"/>
        <v>12851678</v>
      </c>
      <c r="V49" s="34">
        <f t="shared" si="8"/>
        <v>3327137</v>
      </c>
      <c r="W49" s="34">
        <f t="shared" si="8"/>
        <v>4910875</v>
      </c>
      <c r="X49" s="34">
        <f t="shared" si="8"/>
        <v>367140.62024343526</v>
      </c>
      <c r="Y49" s="34">
        <f t="shared" si="8"/>
        <v>14030498</v>
      </c>
      <c r="Z49" s="34">
        <f t="shared" si="8"/>
        <v>3643742</v>
      </c>
      <c r="AA49" s="34">
        <f t="shared" si="8"/>
        <v>5165160</v>
      </c>
      <c r="AB49" s="34">
        <f t="shared" si="8"/>
        <v>377961.32686818944</v>
      </c>
      <c r="AC49" s="34">
        <f t="shared" si="8"/>
        <v>14006292</v>
      </c>
      <c r="AD49" s="34">
        <f t="shared" si="8"/>
        <v>3866902</v>
      </c>
      <c r="AE49" s="34">
        <f t="shared" si="8"/>
        <v>5484635</v>
      </c>
      <c r="AF49" s="34">
        <f t="shared" si="8"/>
        <v>335566</v>
      </c>
      <c r="AG49" s="34">
        <f t="shared" si="8"/>
        <v>13435545</v>
      </c>
      <c r="AH49" s="34">
        <f t="shared" si="8"/>
        <v>4263572</v>
      </c>
      <c r="AI49" s="34">
        <f t="shared" si="8"/>
        <v>5828453</v>
      </c>
      <c r="AJ49" s="34">
        <f t="shared" si="8"/>
        <v>595616</v>
      </c>
      <c r="AK49" s="34">
        <f t="shared" si="8"/>
        <v>13608134</v>
      </c>
      <c r="AL49" s="34">
        <f t="shared" si="8"/>
        <v>4710841</v>
      </c>
      <c r="AM49" s="34">
        <f t="shared" si="8"/>
        <v>6160562</v>
      </c>
      <c r="AN49" s="34">
        <f t="shared" si="8"/>
        <v>539602</v>
      </c>
      <c r="AO49" s="34">
        <f t="shared" si="8"/>
        <v>14179422</v>
      </c>
      <c r="AP49" s="34">
        <f t="shared" si="8"/>
        <v>5044830</v>
      </c>
      <c r="AQ49" s="34">
        <f t="shared" si="8"/>
        <v>5888324</v>
      </c>
      <c r="AR49" s="34">
        <f t="shared" si="8"/>
        <v>730499</v>
      </c>
      <c r="AS49" s="34">
        <f t="shared" si="8"/>
        <v>15085563</v>
      </c>
      <c r="AT49" s="34">
        <f t="shared" si="8"/>
        <v>5470838</v>
      </c>
      <c r="AU49" s="34">
        <f t="shared" si="8"/>
        <v>6743835</v>
      </c>
      <c r="AV49" s="34">
        <f t="shared" si="8"/>
        <v>1092941</v>
      </c>
      <c r="AW49" s="34">
        <f t="shared" si="8"/>
        <v>16221207</v>
      </c>
      <c r="AX49" s="34">
        <f t="shared" si="8"/>
        <v>5729834</v>
      </c>
      <c r="AY49" s="34">
        <f t="shared" si="8"/>
        <v>6965402</v>
      </c>
      <c r="AZ49" s="34">
        <f t="shared" si="8"/>
        <v>748304</v>
      </c>
      <c r="BA49" s="34">
        <f t="shared" si="8"/>
        <v>17446352</v>
      </c>
      <c r="BB49" s="34">
        <f t="shared" si="8"/>
        <v>6388223</v>
      </c>
      <c r="BC49" s="34">
        <f t="shared" si="8"/>
        <v>7490452</v>
      </c>
      <c r="BD49" s="34">
        <f t="shared" si="8"/>
        <v>516980</v>
      </c>
      <c r="BE49" s="34">
        <f t="shared" si="8"/>
        <v>9211187.3563044388</v>
      </c>
      <c r="BF49" s="34">
        <f t="shared" si="8"/>
        <v>2057696.6999846944</v>
      </c>
      <c r="BG49" s="34">
        <f t="shared" si="8"/>
        <v>458985.69225309591</v>
      </c>
      <c r="BH49" s="34">
        <f t="shared" si="8"/>
        <v>9449733.6744184475</v>
      </c>
      <c r="BI49" s="34">
        <f t="shared" si="8"/>
        <v>2070163.4618457276</v>
      </c>
      <c r="BJ49" s="34">
        <f t="shared" si="8"/>
        <v>518035.12773032091</v>
      </c>
      <c r="BK49" s="34">
        <f t="shared" si="8"/>
        <v>9627548.0050389078</v>
      </c>
      <c r="BL49" s="34">
        <f t="shared" si="8"/>
        <v>2651599.046710833</v>
      </c>
      <c r="BM49" s="34">
        <f t="shared" si="8"/>
        <v>568250.15599430166</v>
      </c>
      <c r="BN49" s="34">
        <f t="shared" si="8"/>
        <v>10988695</v>
      </c>
      <c r="BO49" s="34">
        <f t="shared" ref="BO49:DZ49" si="9">SUM(BO36:BO48)</f>
        <v>2434376</v>
      </c>
      <c r="BP49" s="34">
        <f t="shared" si="9"/>
        <v>603534</v>
      </c>
      <c r="BQ49" s="34">
        <f t="shared" si="9"/>
        <v>11889771</v>
      </c>
      <c r="BR49" s="34">
        <f t="shared" si="9"/>
        <v>1480152</v>
      </c>
      <c r="BS49" s="34">
        <f t="shared" si="9"/>
        <v>632862</v>
      </c>
      <c r="BT49" s="34">
        <f t="shared" si="9"/>
        <v>11781826</v>
      </c>
      <c r="BU49" s="34">
        <f t="shared" si="9"/>
        <v>989415</v>
      </c>
      <c r="BV49" s="34">
        <f t="shared" si="9"/>
        <v>661081</v>
      </c>
      <c r="BW49" s="34">
        <f t="shared" si="9"/>
        <v>11872223</v>
      </c>
      <c r="BX49" s="34">
        <f t="shared" si="9"/>
        <v>1049208</v>
      </c>
      <c r="BY49" s="34">
        <f t="shared" si="9"/>
        <v>683603</v>
      </c>
      <c r="BZ49" s="34">
        <f t="shared" si="9"/>
        <v>12302497</v>
      </c>
      <c r="CA49" s="34">
        <f t="shared" si="9"/>
        <v>1150310</v>
      </c>
      <c r="CB49" s="34">
        <f t="shared" si="9"/>
        <v>723786</v>
      </c>
      <c r="CC49" s="34">
        <f t="shared" si="9"/>
        <v>13061390</v>
      </c>
      <c r="CD49" s="34">
        <f t="shared" si="9"/>
        <v>1238081</v>
      </c>
      <c r="CE49" s="34">
        <f t="shared" si="9"/>
        <v>783445</v>
      </c>
      <c r="CF49" s="34">
        <f t="shared" si="9"/>
        <v>13902143</v>
      </c>
      <c r="CG49" s="34">
        <f t="shared" si="9"/>
        <v>1461942</v>
      </c>
      <c r="CH49" s="34">
        <f t="shared" si="9"/>
        <v>854899</v>
      </c>
      <c r="CI49" s="34">
        <f t="shared" si="9"/>
        <v>15008919</v>
      </c>
      <c r="CJ49" s="34">
        <f t="shared" si="9"/>
        <v>1523132</v>
      </c>
      <c r="CK49" s="34">
        <f t="shared" si="9"/>
        <v>912962</v>
      </c>
      <c r="CL49" s="34">
        <f t="shared" si="9"/>
        <v>1255117.7063203342</v>
      </c>
      <c r="CM49" s="34">
        <f t="shared" si="9"/>
        <v>-1544111.4884336875</v>
      </c>
      <c r="CN49" s="34">
        <f t="shared" si="9"/>
        <v>1081772.4652818071</v>
      </c>
      <c r="CO49" s="34">
        <f t="shared" si="9"/>
        <v>4022469</v>
      </c>
      <c r="CP49" s="34">
        <f t="shared" si="9"/>
        <v>1309407.0871028451</v>
      </c>
      <c r="CQ49" s="34">
        <f t="shared" si="9"/>
        <v>-1180511.2240200869</v>
      </c>
      <c r="CR49" s="34">
        <f t="shared" si="9"/>
        <v>1155086.255178086</v>
      </c>
      <c r="CS49" s="34">
        <f t="shared" si="9"/>
        <v>3931214</v>
      </c>
      <c r="CT49" s="34">
        <f t="shared" si="9"/>
        <v>1479285.8067890736</v>
      </c>
      <c r="CU49" s="34">
        <f t="shared" si="9"/>
        <v>-1447178.2270472052</v>
      </c>
      <c r="CV49" s="34">
        <f t="shared" si="9"/>
        <v>1182329.1673183951</v>
      </c>
      <c r="CW49" s="34">
        <f t="shared" si="9"/>
        <v>3844899</v>
      </c>
      <c r="CX49" s="34">
        <f t="shared" si="9"/>
        <v>1705209.789210072</v>
      </c>
      <c r="CY49" s="34">
        <f t="shared" si="9"/>
        <v>-2048258</v>
      </c>
      <c r="CZ49" s="34">
        <f t="shared" si="9"/>
        <v>1192093.8219528974</v>
      </c>
      <c r="DA49" s="34">
        <f t="shared" si="9"/>
        <v>4034818</v>
      </c>
      <c r="DB49" s="34">
        <f t="shared" si="9"/>
        <v>1966951</v>
      </c>
      <c r="DC49" s="34">
        <f t="shared" si="9"/>
        <v>-1946216</v>
      </c>
      <c r="DD49" s="34">
        <f t="shared" si="9"/>
        <v>1285332</v>
      </c>
      <c r="DE49" s="34">
        <f t="shared" si="9"/>
        <v>4466138</v>
      </c>
      <c r="DF49" s="34">
        <f t="shared" si="9"/>
        <v>1237495</v>
      </c>
      <c r="DG49" s="34">
        <f t="shared" si="9"/>
        <v>-1887871</v>
      </c>
      <c r="DH49" s="34">
        <f t="shared" si="9"/>
        <v>1331929</v>
      </c>
      <c r="DI49" s="34">
        <f t="shared" si="9"/>
        <v>5186325</v>
      </c>
      <c r="DJ49" s="34">
        <f t="shared" si="9"/>
        <v>1098314</v>
      </c>
      <c r="DK49" s="34">
        <f t="shared" si="9"/>
        <v>-2009928</v>
      </c>
      <c r="DL49" s="34">
        <f t="shared" si="9"/>
        <v>1396620</v>
      </c>
      <c r="DM49" s="34">
        <f t="shared" si="9"/>
        <v>6107197</v>
      </c>
      <c r="DN49" s="34">
        <f t="shared" si="9"/>
        <v>1114660</v>
      </c>
      <c r="DO49" s="34">
        <f t="shared" si="9"/>
        <v>-1625997</v>
      </c>
      <c r="DP49" s="34">
        <f t="shared" si="9"/>
        <v>1443387</v>
      </c>
      <c r="DQ49" s="34">
        <f t="shared" si="9"/>
        <v>7042050</v>
      </c>
      <c r="DR49" s="34">
        <f t="shared" si="9"/>
        <v>1716961</v>
      </c>
      <c r="DS49" s="34">
        <f t="shared" si="9"/>
        <v>-1218111</v>
      </c>
      <c r="DT49" s="34">
        <f t="shared" si="9"/>
        <v>1448356</v>
      </c>
      <c r="DU49" s="34">
        <f t="shared" si="9"/>
        <v>7666099</v>
      </c>
      <c r="DV49" s="34">
        <f t="shared" si="9"/>
        <v>2015466</v>
      </c>
      <c r="DW49" s="34">
        <f t="shared" si="9"/>
        <v>-2184712</v>
      </c>
      <c r="DX49" s="34">
        <f t="shared" si="9"/>
        <v>1480364</v>
      </c>
      <c r="DY49" s="34">
        <f t="shared" si="9"/>
        <v>8147761</v>
      </c>
      <c r="DZ49" s="34">
        <f t="shared" si="9"/>
        <v>1918409</v>
      </c>
      <c r="EA49" s="34">
        <f t="shared" ref="EA49:GL49" si="10">SUM(EA36:EA48)</f>
        <v>-2459114</v>
      </c>
      <c r="EB49" s="34">
        <f t="shared" si="10"/>
        <v>1569515</v>
      </c>
      <c r="EC49" s="34">
        <f t="shared" si="10"/>
        <v>8631028</v>
      </c>
      <c r="ED49" s="34">
        <f t="shared" si="10"/>
        <v>17415482.035006631</v>
      </c>
      <c r="EE49" s="34">
        <f t="shared" si="10"/>
        <v>146662.39469333453</v>
      </c>
      <c r="EF49" s="34">
        <f t="shared" si="10"/>
        <v>17920082.479359139</v>
      </c>
      <c r="EG49" s="34">
        <f t="shared" si="10"/>
        <v>271956.00876595476</v>
      </c>
      <c r="EH49" s="34">
        <f t="shared" si="10"/>
        <v>18917745.171745099</v>
      </c>
      <c r="EI49" s="34">
        <f t="shared" si="10"/>
        <v>398064.82971813384</v>
      </c>
      <c r="EJ49" s="34">
        <f t="shared" si="10"/>
        <v>20311479.330544777</v>
      </c>
      <c r="EK49" s="34">
        <f t="shared" si="10"/>
        <v>501713.16221893695</v>
      </c>
      <c r="EL49" s="34">
        <f t="shared" si="10"/>
        <v>21417142</v>
      </c>
      <c r="EM49" s="34">
        <f t="shared" si="10"/>
        <v>803511</v>
      </c>
      <c r="EN49" s="34">
        <f t="shared" si="10"/>
        <v>22443523</v>
      </c>
      <c r="EO49" s="34">
        <f t="shared" si="10"/>
        <v>74332</v>
      </c>
      <c r="EP49" s="34">
        <f t="shared" si="10"/>
        <v>23565167</v>
      </c>
      <c r="EQ49" s="34">
        <f t="shared" si="10"/>
        <v>-98602</v>
      </c>
      <c r="ER49" s="34">
        <f t="shared" si="10"/>
        <v>24562390</v>
      </c>
      <c r="ES49" s="34">
        <f t="shared" si="10"/>
        <v>-18341</v>
      </c>
      <c r="ET49" s="34">
        <f t="shared" si="10"/>
        <v>25772231</v>
      </c>
      <c r="EU49" s="34">
        <f t="shared" si="10"/>
        <v>526671</v>
      </c>
      <c r="EV49" s="34">
        <f t="shared" si="10"/>
        <v>27049052</v>
      </c>
      <c r="EW49" s="34">
        <f t="shared" si="10"/>
        <v>557231</v>
      </c>
      <c r="EX49" s="34">
        <f t="shared" si="10"/>
        <v>29323839</v>
      </c>
      <c r="EY49" s="34">
        <f t="shared" si="10"/>
        <v>735109</v>
      </c>
      <c r="EZ49" s="34">
        <f t="shared" si="10"/>
        <v>4007290</v>
      </c>
      <c r="FA49" s="34">
        <f t="shared" si="10"/>
        <v>4930908</v>
      </c>
      <c r="FB49" s="34">
        <f t="shared" si="10"/>
        <v>5323693</v>
      </c>
      <c r="FC49" s="34">
        <f t="shared" si="10"/>
        <v>17526079</v>
      </c>
      <c r="FD49" s="34">
        <f t="shared" si="10"/>
        <v>6854306</v>
      </c>
      <c r="FE49" s="34">
        <f t="shared" si="10"/>
        <v>7739148</v>
      </c>
      <c r="FF49" s="34">
        <f t="shared" si="10"/>
        <v>557884</v>
      </c>
      <c r="FG49" s="34">
        <f t="shared" si="10"/>
        <v>15365152</v>
      </c>
      <c r="FH49" s="34">
        <f t="shared" si="10"/>
        <v>1189002</v>
      </c>
      <c r="FI49" s="34">
        <f t="shared" si="10"/>
        <v>971068</v>
      </c>
      <c r="FJ49" s="34">
        <f t="shared" si="10"/>
        <v>1795977</v>
      </c>
      <c r="FK49" s="34">
        <f t="shared" si="10"/>
        <v>-2466264</v>
      </c>
      <c r="FL49" s="34">
        <f t="shared" si="10"/>
        <v>1658956</v>
      </c>
      <c r="FM49" s="34">
        <f t="shared" si="10"/>
        <v>9783492</v>
      </c>
      <c r="FN49" s="34">
        <f t="shared" si="10"/>
        <v>2466264</v>
      </c>
      <c r="FO49" s="34">
        <f t="shared" si="10"/>
        <v>30565058</v>
      </c>
      <c r="FP49" s="34">
        <f t="shared" si="10"/>
        <v>288392</v>
      </c>
      <c r="FQ49" s="34">
        <f t="shared" si="10"/>
        <v>5347269</v>
      </c>
      <c r="FR49" s="34">
        <f t="shared" si="10"/>
        <v>18266294</v>
      </c>
      <c r="FS49" s="34">
        <f t="shared" si="10"/>
        <v>7394694</v>
      </c>
      <c r="FT49" s="34">
        <f t="shared" si="10"/>
        <v>8285349</v>
      </c>
      <c r="FU49" s="34">
        <f t="shared" si="10"/>
        <v>1472484</v>
      </c>
      <c r="FV49" s="34">
        <f t="shared" si="10"/>
        <v>15690676</v>
      </c>
      <c r="FW49" s="34">
        <f t="shared" si="10"/>
        <v>1407162</v>
      </c>
      <c r="FX49" s="34">
        <f t="shared" si="10"/>
        <v>1167652</v>
      </c>
      <c r="FY49" s="34">
        <f t="shared" si="10"/>
        <v>2465988</v>
      </c>
      <c r="FZ49" s="34">
        <f t="shared" si="10"/>
        <v>-1081354</v>
      </c>
      <c r="GA49" s="34">
        <f t="shared" si="10"/>
        <v>1696228</v>
      </c>
      <c r="GB49" s="34">
        <f t="shared" si="10"/>
        <v>10459031</v>
      </c>
      <c r="GC49" s="34">
        <f t="shared" si="10"/>
        <v>1081354</v>
      </c>
      <c r="GD49" s="34">
        <f t="shared" si="10"/>
        <v>31765384</v>
      </c>
      <c r="GE49" s="34">
        <f t="shared" si="10"/>
        <v>1837457</v>
      </c>
      <c r="GF49" s="34">
        <f t="shared" si="10"/>
        <v>7005659</v>
      </c>
      <c r="GG49" s="34">
        <f t="shared" si="10"/>
        <v>5800.5</v>
      </c>
      <c r="GH49" s="34">
        <f t="shared" si="10"/>
        <v>5372913</v>
      </c>
      <c r="GI49" s="34">
        <f t="shared" si="10"/>
        <v>18973738</v>
      </c>
      <c r="GJ49" s="34">
        <f t="shared" si="10"/>
        <v>7621841</v>
      </c>
      <c r="GK49" s="34">
        <f t="shared" si="10"/>
        <v>8732777</v>
      </c>
      <c r="GL49" s="34">
        <f t="shared" si="10"/>
        <v>454524</v>
      </c>
      <c r="GM49" s="34">
        <f t="shared" ref="GM49:HL49" si="11">SUM(GM36:GM48)</f>
        <v>16127866</v>
      </c>
      <c r="GN49" s="34">
        <f t="shared" si="11"/>
        <v>1645217</v>
      </c>
      <c r="GO49" s="34">
        <f t="shared" si="11"/>
        <v>1199955</v>
      </c>
      <c r="GP49" s="34">
        <f t="shared" si="11"/>
        <v>2054472</v>
      </c>
      <c r="GQ49" s="34">
        <f t="shared" si="11"/>
        <v>-2640768</v>
      </c>
      <c r="GR49" s="34">
        <f t="shared" si="11"/>
        <v>1745335</v>
      </c>
      <c r="GS49" s="34">
        <f t="shared" si="11"/>
        <v>10947669</v>
      </c>
      <c r="GT49" s="34">
        <f t="shared" si="11"/>
        <v>2640768</v>
      </c>
      <c r="GU49" s="34">
        <f t="shared" si="11"/>
        <v>33460309</v>
      </c>
      <c r="GV49" s="34">
        <f t="shared" si="11"/>
        <v>465969</v>
      </c>
      <c r="GW49" s="34">
        <f t="shared" si="11"/>
        <v>5398173</v>
      </c>
      <c r="GX49" s="34">
        <f t="shared" si="11"/>
        <v>19228651</v>
      </c>
      <c r="GY49" s="34">
        <f t="shared" si="11"/>
        <v>8031581</v>
      </c>
      <c r="GZ49" s="34">
        <f t="shared" si="11"/>
        <v>9056776</v>
      </c>
      <c r="HA49" s="34">
        <f t="shared" si="11"/>
        <v>693795</v>
      </c>
      <c r="HB49" s="34">
        <f t="shared" si="11"/>
        <v>16754413</v>
      </c>
      <c r="HC49" s="34">
        <f t="shared" si="11"/>
        <v>1205379</v>
      </c>
      <c r="HD49" s="34">
        <f t="shared" si="11"/>
        <v>1268178</v>
      </c>
      <c r="HE49" s="34">
        <f t="shared" si="11"/>
        <v>1340812</v>
      </c>
      <c r="HF49" s="34">
        <f t="shared" si="11"/>
        <v>-2719195</v>
      </c>
      <c r="HG49" s="34">
        <f t="shared" si="11"/>
        <v>1891826</v>
      </c>
      <c r="HH49" s="34">
        <f t="shared" si="11"/>
        <v>12212446</v>
      </c>
      <c r="HI49" s="34">
        <f t="shared" si="11"/>
        <v>2719195</v>
      </c>
      <c r="HJ49" s="34">
        <f t="shared" si="11"/>
        <v>35283938</v>
      </c>
      <c r="HK49" s="34">
        <f t="shared" si="11"/>
        <v>-283917</v>
      </c>
      <c r="HL49" s="34">
        <f t="shared" si="11"/>
        <v>6571755</v>
      </c>
      <c r="HM49" s="77">
        <v>19.260000000000002</v>
      </c>
    </row>
    <row r="51" spans="1:221" s="174" customFormat="1" x14ac:dyDescent="0.2">
      <c r="A51" s="174" t="s">
        <v>747</v>
      </c>
    </row>
    <row r="53" spans="1:221" x14ac:dyDescent="0.2">
      <c r="B53" t="s">
        <v>606</v>
      </c>
      <c r="C53" t="s">
        <v>607</v>
      </c>
      <c r="D53" t="s">
        <v>608</v>
      </c>
      <c r="E53" t="s">
        <v>609</v>
      </c>
      <c r="F53" t="s">
        <v>610</v>
      </c>
      <c r="G53" t="s">
        <v>611</v>
      </c>
      <c r="H53" t="s">
        <v>612</v>
      </c>
      <c r="I53" t="s">
        <v>613</v>
      </c>
      <c r="J53" t="s">
        <v>614</v>
      </c>
      <c r="K53" t="s">
        <v>615</v>
      </c>
      <c r="L53" t="s">
        <v>514</v>
      </c>
      <c r="M53" t="s">
        <v>616</v>
      </c>
      <c r="N53" t="s">
        <v>617</v>
      </c>
      <c r="O53" t="s">
        <v>618</v>
      </c>
      <c r="P53" t="s">
        <v>586</v>
      </c>
      <c r="Q53" t="s">
        <v>619</v>
      </c>
      <c r="R53" t="s">
        <v>620</v>
      </c>
      <c r="S53" t="s">
        <v>621</v>
      </c>
      <c r="T53" t="s">
        <v>622</v>
      </c>
      <c r="U53" t="s">
        <v>623</v>
      </c>
      <c r="V53" t="s">
        <v>624</v>
      </c>
      <c r="W53" t="s">
        <v>625</v>
      </c>
      <c r="X53" t="s">
        <v>626</v>
      </c>
      <c r="Y53" t="s">
        <v>627</v>
      </c>
      <c r="Z53" t="s">
        <v>628</v>
      </c>
      <c r="AA53" t="s">
        <v>629</v>
      </c>
      <c r="AB53" t="s">
        <v>630</v>
      </c>
      <c r="AC53" t="s">
        <v>631</v>
      </c>
      <c r="AD53" t="s">
        <v>632</v>
      </c>
      <c r="AE53" t="s">
        <v>633</v>
      </c>
      <c r="AF53" t="s">
        <v>559</v>
      </c>
      <c r="AG53" t="s">
        <v>634</v>
      </c>
      <c r="AH53" t="s">
        <v>591</v>
      </c>
      <c r="AI53" t="s">
        <v>635</v>
      </c>
      <c r="AJ53" t="s">
        <v>636</v>
      </c>
      <c r="AK53" t="s">
        <v>637</v>
      </c>
      <c r="AL53" t="s">
        <v>638</v>
      </c>
      <c r="AM53" t="s">
        <v>639</v>
      </c>
      <c r="AN53" t="s">
        <v>640</v>
      </c>
      <c r="AO53" t="s">
        <v>641</v>
      </c>
      <c r="AP53" t="s">
        <v>642</v>
      </c>
      <c r="AQ53" t="s">
        <v>643</v>
      </c>
      <c r="AR53" t="s">
        <v>644</v>
      </c>
      <c r="AS53" t="s">
        <v>645</v>
      </c>
      <c r="AT53" t="s">
        <v>646</v>
      </c>
      <c r="AU53" t="s">
        <v>647</v>
      </c>
      <c r="AV53" t="s">
        <v>648</v>
      </c>
      <c r="AW53" t="s">
        <v>649</v>
      </c>
      <c r="AX53" t="s">
        <v>650</v>
      </c>
      <c r="AY53" t="s">
        <v>651</v>
      </c>
      <c r="AZ53" t="s">
        <v>652</v>
      </c>
      <c r="BA53" t="s">
        <v>653</v>
      </c>
      <c r="BB53" t="s">
        <v>654</v>
      </c>
      <c r="BC53" t="s">
        <v>655</v>
      </c>
      <c r="BD53" t="s">
        <v>656</v>
      </c>
      <c r="BE53" t="s">
        <v>657</v>
      </c>
      <c r="BF53" t="s">
        <v>658</v>
      </c>
      <c r="BG53" t="s">
        <v>659</v>
      </c>
      <c r="BH53" t="s">
        <v>660</v>
      </c>
      <c r="BI53" t="s">
        <v>661</v>
      </c>
      <c r="BJ53" t="s">
        <v>662</v>
      </c>
      <c r="BK53" t="s">
        <v>663</v>
      </c>
      <c r="BL53" t="s">
        <v>664</v>
      </c>
      <c r="BM53" t="s">
        <v>665</v>
      </c>
      <c r="BN53" t="s">
        <v>666</v>
      </c>
      <c r="BO53" t="s">
        <v>667</v>
      </c>
      <c r="BP53" t="s">
        <v>668</v>
      </c>
      <c r="BQ53" t="s">
        <v>669</v>
      </c>
      <c r="BR53" t="s">
        <v>670</v>
      </c>
      <c r="BS53" t="s">
        <v>671</v>
      </c>
      <c r="BT53" t="s">
        <v>672</v>
      </c>
      <c r="BU53" t="s">
        <v>673</v>
      </c>
      <c r="BV53" t="s">
        <v>674</v>
      </c>
      <c r="BW53" t="s">
        <v>675</v>
      </c>
      <c r="BX53" t="s">
        <v>676</v>
      </c>
      <c r="BY53" t="s">
        <v>677</v>
      </c>
      <c r="BZ53" t="s">
        <v>678</v>
      </c>
      <c r="CA53" t="s">
        <v>679</v>
      </c>
      <c r="CB53" t="s">
        <v>680</v>
      </c>
      <c r="CC53" t="s">
        <v>691</v>
      </c>
      <c r="CD53" t="s">
        <v>692</v>
      </c>
      <c r="CE53" t="s">
        <v>693</v>
      </c>
      <c r="CF53" t="s">
        <v>694</v>
      </c>
      <c r="CG53" t="s">
        <v>695</v>
      </c>
      <c r="CH53" t="s">
        <v>696</v>
      </c>
      <c r="CI53" t="s">
        <v>697</v>
      </c>
      <c r="CJ53" t="s">
        <v>698</v>
      </c>
      <c r="CK53" t="s">
        <v>699</v>
      </c>
      <c r="CL53" t="s">
        <v>700</v>
      </c>
      <c r="CM53" t="s">
        <v>701</v>
      </c>
      <c r="CN53" t="s">
        <v>702</v>
      </c>
      <c r="CO53" t="s">
        <v>703</v>
      </c>
      <c r="CP53" t="s">
        <v>704</v>
      </c>
      <c r="CQ53" t="s">
        <v>705</v>
      </c>
      <c r="CR53" t="s">
        <v>706</v>
      </c>
      <c r="CS53" t="s">
        <v>710</v>
      </c>
      <c r="CT53" t="s">
        <v>711</v>
      </c>
      <c r="CU53" t="s">
        <v>712</v>
      </c>
      <c r="CV53" t="s">
        <v>713</v>
      </c>
      <c r="CW53" t="s">
        <v>715</v>
      </c>
      <c r="CX53" t="s">
        <v>720</v>
      </c>
      <c r="CY53" t="s">
        <v>721</v>
      </c>
      <c r="CZ53" t="s">
        <v>722</v>
      </c>
      <c r="DA53" t="s">
        <v>716</v>
      </c>
      <c r="DB53" t="s">
        <v>724</v>
      </c>
      <c r="DC53" t="s">
        <v>717</v>
      </c>
      <c r="DD53" t="s">
        <v>725</v>
      </c>
      <c r="DE53" t="s">
        <v>714</v>
      </c>
      <c r="DF53" t="s">
        <v>718</v>
      </c>
      <c r="DG53" t="s">
        <v>719</v>
      </c>
      <c r="DH53" t="s">
        <v>723</v>
      </c>
      <c r="DI53" t="s">
        <v>129</v>
      </c>
      <c r="DJ53" t="s">
        <v>727</v>
      </c>
      <c r="DK53" t="s">
        <v>728</v>
      </c>
      <c r="DL53" t="s">
        <v>729</v>
      </c>
      <c r="DM53" t="s">
        <v>730</v>
      </c>
      <c r="DN53" t="s">
        <v>731</v>
      </c>
      <c r="DO53" t="s">
        <v>732</v>
      </c>
      <c r="DP53" t="s">
        <v>733</v>
      </c>
      <c r="DQ53" t="s">
        <v>734</v>
      </c>
      <c r="DR53" t="s">
        <v>735</v>
      </c>
      <c r="DS53" t="s">
        <v>736</v>
      </c>
      <c r="DT53" t="s">
        <v>737</v>
      </c>
      <c r="DU53" t="s">
        <v>738</v>
      </c>
      <c r="DV53" t="s">
        <v>739</v>
      </c>
      <c r="DW53" t="s">
        <v>740</v>
      </c>
      <c r="DX53" t="s">
        <v>741</v>
      </c>
      <c r="DY53" t="s">
        <v>742</v>
      </c>
    </row>
    <row r="54" spans="1:221" x14ac:dyDescent="0.2">
      <c r="A54" t="s">
        <v>114</v>
      </c>
      <c r="B54" s="34">
        <v>53264.611746581169</v>
      </c>
      <c r="C54" s="34">
        <v>86129.541704719202</v>
      </c>
      <c r="D54" s="34">
        <v>118234.43042317763</v>
      </c>
      <c r="E54" s="34">
        <v>162155.53010311601</v>
      </c>
      <c r="F54" s="34">
        <v>257399</v>
      </c>
      <c r="G54" s="34">
        <v>268961</v>
      </c>
      <c r="H54" s="34">
        <v>321057</v>
      </c>
      <c r="I54" s="34">
        <v>373295</v>
      </c>
      <c r="J54" s="34">
        <v>380974</v>
      </c>
      <c r="K54" s="34">
        <v>413448</v>
      </c>
      <c r="L54" s="34">
        <v>747160</v>
      </c>
      <c r="M54" s="34">
        <v>769553</v>
      </c>
      <c r="N54" s="34">
        <v>842103</v>
      </c>
      <c r="O54" s="34">
        <v>850265</v>
      </c>
      <c r="P54" s="34">
        <v>788919</v>
      </c>
      <c r="Q54" s="34">
        <v>1642264</v>
      </c>
      <c r="R54" s="34">
        <v>1593096</v>
      </c>
      <c r="S54" s="34">
        <v>1511820</v>
      </c>
      <c r="T54" s="57">
        <v>17.59090909090909</v>
      </c>
      <c r="U54" s="57">
        <v>17.818181818181817</v>
      </c>
      <c r="V54" s="57">
        <v>17.818181818181817</v>
      </c>
      <c r="W54" s="57">
        <v>17.852272727272727</v>
      </c>
      <c r="X54" s="57">
        <v>18.03409090909091</v>
      </c>
      <c r="Y54" s="57">
        <v>18.238636363636363</v>
      </c>
      <c r="Z54" s="57">
        <v>18.386363636363637</v>
      </c>
      <c r="AA54" s="57">
        <v>18.511363636363637</v>
      </c>
      <c r="AB54" s="57">
        <v>18.761363636363637</v>
      </c>
      <c r="AC54" s="57">
        <v>19</v>
      </c>
      <c r="AD54" s="57">
        <v>19.272727272727273</v>
      </c>
      <c r="AE54" s="57">
        <v>19.40909090909091</v>
      </c>
      <c r="AF54" s="57">
        <v>19.806818181818183</v>
      </c>
      <c r="AG54" s="57">
        <v>19.897727272727273</v>
      </c>
      <c r="AH54" s="57">
        <v>19.988636363636363</v>
      </c>
      <c r="AI54" s="57">
        <v>20.295454545454547</v>
      </c>
      <c r="AJ54" s="57">
        <v>20.647727272727273</v>
      </c>
      <c r="AK54" s="57">
        <v>20.96590909090909</v>
      </c>
      <c r="AL54">
        <v>500166</v>
      </c>
      <c r="AM54">
        <v>845593</v>
      </c>
      <c r="AN54">
        <v>3291900</v>
      </c>
      <c r="AO54">
        <v>3641428</v>
      </c>
      <c r="AP54" s="34">
        <v>777121</v>
      </c>
      <c r="AQ54">
        <v>67486</v>
      </c>
      <c r="AR54">
        <v>166586</v>
      </c>
      <c r="AS54">
        <v>174524</v>
      </c>
      <c r="AT54">
        <v>-234571</v>
      </c>
      <c r="AU54">
        <v>33335</v>
      </c>
      <c r="AV54">
        <v>32377</v>
      </c>
      <c r="AW54" s="34">
        <v>1622422</v>
      </c>
      <c r="AX54" s="173">
        <v>88146</v>
      </c>
      <c r="AY54" s="34">
        <v>110015</v>
      </c>
      <c r="AZ54">
        <v>985024</v>
      </c>
      <c r="BA54">
        <v>503382</v>
      </c>
      <c r="BB54">
        <v>792978</v>
      </c>
      <c r="BC54" s="173">
        <v>3283358</v>
      </c>
      <c r="BD54">
        <v>3742660</v>
      </c>
      <c r="BE54" s="34">
        <v>778833</v>
      </c>
      <c r="BF54" s="34">
        <v>21656</v>
      </c>
      <c r="BG54" s="173">
        <v>161540</v>
      </c>
      <c r="BH54">
        <v>180239</v>
      </c>
      <c r="BI54">
        <v>-304879</v>
      </c>
      <c r="BJ54" s="173">
        <v>-28990</v>
      </c>
      <c r="BK54" s="34">
        <v>1636764</v>
      </c>
      <c r="BL54" s="173">
        <v>106397</v>
      </c>
      <c r="BM54" s="34">
        <v>128045</v>
      </c>
      <c r="BN54">
        <v>1026011</v>
      </c>
      <c r="BO54">
        <v>506114</v>
      </c>
      <c r="BP54">
        <v>811102</v>
      </c>
      <c r="BQ54" s="173">
        <v>3344276</v>
      </c>
      <c r="BR54">
        <v>3836264</v>
      </c>
      <c r="BS54" s="34">
        <v>777011</v>
      </c>
      <c r="BT54" s="34">
        <v>19586</v>
      </c>
      <c r="BU54" s="173">
        <v>164689</v>
      </c>
      <c r="BV54">
        <v>201687</v>
      </c>
      <c r="BW54" s="173">
        <v>-312974</v>
      </c>
      <c r="BX54" s="173">
        <v>-41035</v>
      </c>
      <c r="BY54" s="34">
        <v>1670876</v>
      </c>
      <c r="BZ54" s="173">
        <v>116581</v>
      </c>
      <c r="CA54" s="34">
        <v>130675</v>
      </c>
      <c r="CB54">
        <v>1113994</v>
      </c>
      <c r="CC54">
        <v>509356</v>
      </c>
      <c r="CD54">
        <v>1943481</v>
      </c>
      <c r="CE54">
        <v>822022</v>
      </c>
      <c r="CF54">
        <v>855371</v>
      </c>
      <c r="CG54">
        <v>43005</v>
      </c>
      <c r="CH54">
        <v>1722745</v>
      </c>
      <c r="CI54">
        <v>95329</v>
      </c>
      <c r="CJ54">
        <v>125407</v>
      </c>
      <c r="CK54">
        <v>203792</v>
      </c>
      <c r="CL54">
        <v>-295462</v>
      </c>
      <c r="CM54">
        <v>199524</v>
      </c>
      <c r="CN54">
        <v>1232814</v>
      </c>
      <c r="CO54">
        <v>3425807</v>
      </c>
      <c r="CP54">
        <v>-116</v>
      </c>
      <c r="CQ54">
        <v>756923</v>
      </c>
      <c r="CR54" s="57">
        <v>20.988636363636363</v>
      </c>
      <c r="CS54">
        <v>512081</v>
      </c>
      <c r="CT54" s="34">
        <v>1981924</v>
      </c>
      <c r="CU54" s="34">
        <v>774083</v>
      </c>
      <c r="CV54">
        <v>835589</v>
      </c>
      <c r="CW54" s="173">
        <v>83323</v>
      </c>
      <c r="CX54" s="34">
        <v>1713476</v>
      </c>
      <c r="CY54" s="173">
        <v>125000</v>
      </c>
      <c r="CZ54" s="34">
        <v>143448</v>
      </c>
      <c r="DA54" s="173">
        <v>232450</v>
      </c>
      <c r="DB54" s="173">
        <v>-213816</v>
      </c>
      <c r="DC54">
        <v>212607</v>
      </c>
      <c r="DD54">
        <v>1255933</v>
      </c>
      <c r="DE54" s="173">
        <v>3392762</v>
      </c>
      <c r="DF54" s="173">
        <v>20658</v>
      </c>
      <c r="DG54" s="173">
        <v>777914</v>
      </c>
      <c r="DH54" s="57">
        <v>21.022727272727273</v>
      </c>
      <c r="DI54" s="34">
        <v>5150</v>
      </c>
      <c r="DJ54">
        <v>515095</v>
      </c>
      <c r="DK54" s="34">
        <v>1967818</v>
      </c>
      <c r="DL54" s="34">
        <v>773283</v>
      </c>
      <c r="DM54" s="172">
        <v>850975</v>
      </c>
      <c r="DN54" s="173">
        <v>36053</v>
      </c>
      <c r="DO54" s="34">
        <v>1693194</v>
      </c>
      <c r="DP54" s="173">
        <v>126777</v>
      </c>
      <c r="DQ54" s="34">
        <v>147847</v>
      </c>
      <c r="DR54" s="173">
        <v>127892</v>
      </c>
      <c r="DS54" s="34">
        <v>-274786</v>
      </c>
      <c r="DT54">
        <v>211975</v>
      </c>
      <c r="DU54">
        <v>1407007</v>
      </c>
      <c r="DV54" s="173">
        <v>3497867</v>
      </c>
      <c r="DW54" s="173">
        <v>-73215</v>
      </c>
      <c r="DX54" s="173">
        <v>705060</v>
      </c>
      <c r="DY54" s="57">
        <v>21.147727272727273</v>
      </c>
    </row>
    <row r="55" spans="1:221" x14ac:dyDescent="0.2">
      <c r="A55" t="s">
        <v>106</v>
      </c>
      <c r="B55" s="34">
        <v>12583.820657850256</v>
      </c>
      <c r="C55" s="34">
        <v>4105.4672849254857</v>
      </c>
      <c r="D55" s="34">
        <v>17688.660601810039</v>
      </c>
      <c r="E55" s="34">
        <v>12161.837150358329</v>
      </c>
      <c r="F55">
        <v>52364</v>
      </c>
      <c r="G55">
        <v>55992</v>
      </c>
      <c r="H55">
        <v>58750</v>
      </c>
      <c r="I55">
        <v>71214</v>
      </c>
      <c r="J55">
        <v>74584</v>
      </c>
      <c r="K55">
        <v>87555</v>
      </c>
      <c r="L55">
        <v>97185</v>
      </c>
      <c r="M55">
        <v>113706</v>
      </c>
      <c r="N55">
        <v>135091</v>
      </c>
      <c r="O55" s="34">
        <v>123059</v>
      </c>
      <c r="P55">
        <v>85970</v>
      </c>
      <c r="Q55">
        <v>142268</v>
      </c>
      <c r="R55">
        <v>150160</v>
      </c>
      <c r="S55">
        <v>141122</v>
      </c>
      <c r="T55" s="57">
        <v>18.264705882352942</v>
      </c>
      <c r="U55" s="57">
        <v>18.411764705882351</v>
      </c>
      <c r="V55" s="57">
        <v>18.5</v>
      </c>
      <c r="W55" s="57">
        <v>18.588235294117649</v>
      </c>
      <c r="X55" s="57">
        <v>18.676470588235293</v>
      </c>
      <c r="Y55" s="57">
        <v>18.735294117647058</v>
      </c>
      <c r="Z55" s="57">
        <v>18.764705882352942</v>
      </c>
      <c r="AA55" s="57">
        <v>19</v>
      </c>
      <c r="AB55" s="57">
        <v>19.132352941176471</v>
      </c>
      <c r="AC55" s="57">
        <v>19.367647058823529</v>
      </c>
      <c r="AD55" s="57">
        <v>19.5</v>
      </c>
      <c r="AE55" s="57">
        <v>19.647058823529413</v>
      </c>
      <c r="AF55" s="57">
        <v>19.955882352941178</v>
      </c>
      <c r="AG55" s="57">
        <v>20</v>
      </c>
      <c r="AH55" s="57">
        <v>20.308823529411764</v>
      </c>
      <c r="AI55" s="57">
        <v>20.647058823529413</v>
      </c>
      <c r="AJ55" s="57">
        <v>21.117647058823529</v>
      </c>
      <c r="AK55" s="57">
        <v>21.264705882352942</v>
      </c>
      <c r="AL55">
        <v>193977</v>
      </c>
      <c r="AM55">
        <v>277014</v>
      </c>
      <c r="AN55">
        <v>1319490</v>
      </c>
      <c r="AO55" s="34">
        <v>1219366</v>
      </c>
      <c r="AP55" s="34">
        <v>431277</v>
      </c>
      <c r="AQ55">
        <v>43267</v>
      </c>
      <c r="AR55">
        <v>18750</v>
      </c>
      <c r="AS55">
        <v>51029</v>
      </c>
      <c r="AT55">
        <v>-89035</v>
      </c>
      <c r="AU55">
        <v>-13888</v>
      </c>
      <c r="AV55">
        <v>-14309</v>
      </c>
      <c r="AW55" s="34">
        <v>535654</v>
      </c>
      <c r="AX55" s="173">
        <v>33461</v>
      </c>
      <c r="AY55" s="34">
        <v>40568</v>
      </c>
      <c r="AZ55">
        <v>529201</v>
      </c>
      <c r="BA55">
        <v>193400</v>
      </c>
      <c r="BB55">
        <v>274078</v>
      </c>
      <c r="BC55" s="173">
        <v>1333760</v>
      </c>
      <c r="BD55" s="34">
        <v>1288316</v>
      </c>
      <c r="BE55" s="34">
        <v>442838</v>
      </c>
      <c r="BF55" s="34">
        <v>24165</v>
      </c>
      <c r="BG55" s="173">
        <v>40627</v>
      </c>
      <c r="BH55">
        <v>51459</v>
      </c>
      <c r="BI55">
        <v>-66625</v>
      </c>
      <c r="BJ55" s="173">
        <v>-2594</v>
      </c>
      <c r="BK55" s="34">
        <v>561357</v>
      </c>
      <c r="BL55" s="173">
        <v>37733</v>
      </c>
      <c r="BM55" s="34">
        <v>45068</v>
      </c>
      <c r="BN55">
        <v>579438</v>
      </c>
      <c r="BO55">
        <v>192586</v>
      </c>
      <c r="BP55">
        <v>265172</v>
      </c>
      <c r="BQ55" s="173">
        <v>1341372</v>
      </c>
      <c r="BR55" s="34">
        <v>1314786</v>
      </c>
      <c r="BS55" s="34">
        <v>450732</v>
      </c>
      <c r="BT55" s="34">
        <v>33260</v>
      </c>
      <c r="BU55" s="173">
        <v>47431</v>
      </c>
      <c r="BV55">
        <v>52841</v>
      </c>
      <c r="BW55" s="173">
        <v>-83869</v>
      </c>
      <c r="BX55" s="173">
        <v>-4443</v>
      </c>
      <c r="BY55" s="34">
        <v>565807</v>
      </c>
      <c r="BZ55" s="173">
        <v>48684</v>
      </c>
      <c r="CA55" s="34">
        <v>42902</v>
      </c>
      <c r="CB55">
        <v>630690</v>
      </c>
      <c r="CC55">
        <v>191860</v>
      </c>
      <c r="CD55">
        <v>651839</v>
      </c>
      <c r="CE55">
        <v>481194</v>
      </c>
      <c r="CF55">
        <v>265663</v>
      </c>
      <c r="CG55">
        <v>16222</v>
      </c>
      <c r="CH55">
        <v>562410</v>
      </c>
      <c r="CI55">
        <v>47253</v>
      </c>
      <c r="CJ55">
        <v>42176</v>
      </c>
      <c r="CK55">
        <v>78789</v>
      </c>
      <c r="CL55">
        <v>-67179</v>
      </c>
      <c r="CM55">
        <v>59354</v>
      </c>
      <c r="CN55">
        <v>660464</v>
      </c>
      <c r="CO55">
        <v>1333212</v>
      </c>
      <c r="CP55">
        <v>20320</v>
      </c>
      <c r="CQ55">
        <v>90879</v>
      </c>
      <c r="CR55" s="57">
        <v>21.455882352941178</v>
      </c>
      <c r="CS55">
        <v>190910</v>
      </c>
      <c r="CT55" s="34">
        <v>662563</v>
      </c>
      <c r="CU55" s="34">
        <v>483330</v>
      </c>
      <c r="CV55">
        <v>238095</v>
      </c>
      <c r="CW55" s="173">
        <v>17416</v>
      </c>
      <c r="CX55" s="34">
        <v>565110</v>
      </c>
      <c r="CY55" s="173">
        <v>52535</v>
      </c>
      <c r="CZ55" s="34">
        <v>44918</v>
      </c>
      <c r="DA55" s="173">
        <v>93333</v>
      </c>
      <c r="DB55" s="173">
        <v>-83832</v>
      </c>
      <c r="DC55">
        <v>58843</v>
      </c>
      <c r="DD55">
        <v>695239</v>
      </c>
      <c r="DE55" s="173">
        <v>1308071</v>
      </c>
      <c r="DF55" s="173">
        <v>35623</v>
      </c>
      <c r="DG55" s="173">
        <v>126502</v>
      </c>
      <c r="DH55" s="57">
        <v>21.5</v>
      </c>
      <c r="DI55" s="34">
        <v>5030</v>
      </c>
      <c r="DJ55">
        <v>189715</v>
      </c>
      <c r="DK55" s="34">
        <v>647839</v>
      </c>
      <c r="DL55" s="34">
        <v>479547</v>
      </c>
      <c r="DM55" s="172">
        <v>239049</v>
      </c>
      <c r="DN55" s="173">
        <v>18914</v>
      </c>
      <c r="DO55" s="34">
        <v>552216</v>
      </c>
      <c r="DP55" s="173">
        <v>50576</v>
      </c>
      <c r="DQ55" s="34">
        <v>45047</v>
      </c>
      <c r="DR55" s="173">
        <v>45064</v>
      </c>
      <c r="DS55" s="34">
        <v>-90064</v>
      </c>
      <c r="DT55">
        <v>62544</v>
      </c>
      <c r="DU55">
        <v>730525</v>
      </c>
      <c r="DV55" s="173">
        <v>1340285</v>
      </c>
      <c r="DW55" s="173">
        <v>-16452</v>
      </c>
      <c r="DX55" s="173">
        <v>112049</v>
      </c>
      <c r="DY55" s="57">
        <v>21.588235294117649</v>
      </c>
    </row>
    <row r="56" spans="1:221" x14ac:dyDescent="0.2">
      <c r="A56" t="s">
        <v>117</v>
      </c>
      <c r="B56" s="34">
        <v>3178.4154342696356</v>
      </c>
      <c r="C56" s="34">
        <v>77680.284843072237</v>
      </c>
      <c r="D56" s="34">
        <v>118922.31904240519</v>
      </c>
      <c r="E56" s="34">
        <v>187018.58308399474</v>
      </c>
      <c r="F56">
        <v>273921</v>
      </c>
      <c r="G56">
        <v>300227</v>
      </c>
      <c r="H56">
        <v>298877</v>
      </c>
      <c r="I56">
        <v>305462</v>
      </c>
      <c r="J56">
        <v>366746</v>
      </c>
      <c r="K56">
        <v>485164</v>
      </c>
      <c r="L56">
        <v>516818</v>
      </c>
      <c r="M56">
        <v>543279</v>
      </c>
      <c r="N56">
        <v>620001</v>
      </c>
      <c r="O56" s="34">
        <v>654218</v>
      </c>
      <c r="P56">
        <v>624587</v>
      </c>
      <c r="Q56">
        <v>1158362</v>
      </c>
      <c r="R56">
        <v>1876954</v>
      </c>
      <c r="S56">
        <v>1903828</v>
      </c>
      <c r="T56" s="57">
        <v>18.399999999999999</v>
      </c>
      <c r="U56" s="57">
        <v>18.508333333333333</v>
      </c>
      <c r="V56" s="57">
        <v>18.541666666666668</v>
      </c>
      <c r="W56" s="57">
        <v>18.541666666666668</v>
      </c>
      <c r="X56" s="57">
        <v>18.608333333333334</v>
      </c>
      <c r="Y56" s="57">
        <v>18.716666666666665</v>
      </c>
      <c r="Z56" s="57">
        <v>18.891666666666666</v>
      </c>
      <c r="AA56" s="57">
        <v>19</v>
      </c>
      <c r="AB56" s="57">
        <v>19.291666666666668</v>
      </c>
      <c r="AC56" s="57">
        <v>19.491666666666667</v>
      </c>
      <c r="AD56" s="57">
        <v>19.625</v>
      </c>
      <c r="AE56" s="57">
        <v>19.741666666666667</v>
      </c>
      <c r="AF56" s="57">
        <v>20.133333333333333</v>
      </c>
      <c r="AG56" s="57">
        <v>20.208333333333332</v>
      </c>
      <c r="AH56" s="57">
        <v>20.341666666666665</v>
      </c>
      <c r="AI56" s="57">
        <v>20.524999999999999</v>
      </c>
      <c r="AJ56" s="57">
        <v>20.766666666666666</v>
      </c>
      <c r="AK56" s="57">
        <v>20.916666666666668</v>
      </c>
      <c r="AL56">
        <v>406480</v>
      </c>
      <c r="AM56">
        <v>715094</v>
      </c>
      <c r="AN56">
        <v>2715978</v>
      </c>
      <c r="AO56" s="34">
        <v>2688920</v>
      </c>
      <c r="AP56" s="34">
        <v>788155</v>
      </c>
      <c r="AQ56">
        <v>25978</v>
      </c>
      <c r="AR56">
        <v>145468</v>
      </c>
      <c r="AS56">
        <v>185247</v>
      </c>
      <c r="AT56">
        <v>-278253</v>
      </c>
      <c r="AU56">
        <v>-40561</v>
      </c>
      <c r="AV56">
        <v>-32899</v>
      </c>
      <c r="AW56" s="34">
        <v>1197424</v>
      </c>
      <c r="AX56" s="173">
        <v>61840</v>
      </c>
      <c r="AY56" s="34">
        <v>85196</v>
      </c>
      <c r="AZ56">
        <v>1219714</v>
      </c>
      <c r="BA56">
        <v>408536</v>
      </c>
      <c r="BB56">
        <v>701296</v>
      </c>
      <c r="BC56" s="173">
        <v>2732974</v>
      </c>
      <c r="BD56" s="34">
        <v>2751580</v>
      </c>
      <c r="BE56" s="34">
        <v>809203</v>
      </c>
      <c r="BF56" s="34">
        <v>372612</v>
      </c>
      <c r="BG56" s="173">
        <v>161588</v>
      </c>
      <c r="BH56">
        <v>164177</v>
      </c>
      <c r="BI56">
        <v>-34620</v>
      </c>
      <c r="BJ56" s="173">
        <v>358880</v>
      </c>
      <c r="BK56" s="34">
        <v>1209647</v>
      </c>
      <c r="BL56" s="173">
        <v>70434</v>
      </c>
      <c r="BM56" s="34">
        <v>95709</v>
      </c>
      <c r="BN56">
        <v>1321002</v>
      </c>
      <c r="BO56">
        <v>410054</v>
      </c>
      <c r="BP56">
        <v>538585</v>
      </c>
      <c r="BQ56" s="173">
        <v>2664827</v>
      </c>
      <c r="BR56" s="34">
        <v>2851336</v>
      </c>
      <c r="BS56" s="34">
        <v>835369</v>
      </c>
      <c r="BT56" s="34">
        <v>60152</v>
      </c>
      <c r="BU56" s="173">
        <v>166620</v>
      </c>
      <c r="BV56">
        <v>142556</v>
      </c>
      <c r="BW56" s="173">
        <v>-164499</v>
      </c>
      <c r="BX56" s="173">
        <v>23955</v>
      </c>
      <c r="BY56" s="34">
        <v>1248377</v>
      </c>
      <c r="BZ56" s="173">
        <v>82257</v>
      </c>
      <c r="CA56" s="34">
        <v>95034</v>
      </c>
      <c r="CB56">
        <v>1355522</v>
      </c>
      <c r="CC56">
        <v>411150</v>
      </c>
      <c r="CD56">
        <v>1428325</v>
      </c>
      <c r="CE56">
        <v>884880</v>
      </c>
      <c r="CF56">
        <v>532854</v>
      </c>
      <c r="CG56">
        <v>22375</v>
      </c>
      <c r="CH56">
        <v>1251986</v>
      </c>
      <c r="CI56">
        <v>73208</v>
      </c>
      <c r="CJ56">
        <v>103131</v>
      </c>
      <c r="CK56">
        <v>155890</v>
      </c>
      <c r="CL56">
        <v>-209737</v>
      </c>
      <c r="CM56">
        <v>152232</v>
      </c>
      <c r="CN56">
        <v>1422436</v>
      </c>
      <c r="CO56">
        <v>2702927</v>
      </c>
      <c r="CP56">
        <v>2186</v>
      </c>
      <c r="CQ56">
        <v>951867</v>
      </c>
      <c r="CR56" s="57">
        <v>20.966666666666665</v>
      </c>
      <c r="CS56">
        <v>411856</v>
      </c>
      <c r="CT56" s="34">
        <v>1456212</v>
      </c>
      <c r="CU56" s="34">
        <v>884546</v>
      </c>
      <c r="CV56">
        <v>519380</v>
      </c>
      <c r="CW56" s="173">
        <v>44968</v>
      </c>
      <c r="CX56" s="34">
        <v>1252366</v>
      </c>
      <c r="CY56" s="173">
        <v>89042</v>
      </c>
      <c r="CZ56" s="34">
        <v>114804</v>
      </c>
      <c r="DA56" s="173">
        <v>214729</v>
      </c>
      <c r="DB56" s="173">
        <v>-205635</v>
      </c>
      <c r="DC56">
        <v>151592</v>
      </c>
      <c r="DD56">
        <v>1424439</v>
      </c>
      <c r="DE56" s="173">
        <v>2679528</v>
      </c>
      <c r="DF56" s="173">
        <v>74559</v>
      </c>
      <c r="DG56" s="173">
        <v>1027652</v>
      </c>
      <c r="DH56" s="57">
        <v>21</v>
      </c>
      <c r="DI56" s="34">
        <v>8460</v>
      </c>
      <c r="DJ56">
        <v>412161</v>
      </c>
      <c r="DK56" s="34">
        <v>1455976</v>
      </c>
      <c r="DL56" s="34">
        <v>884983</v>
      </c>
      <c r="DM56" s="172">
        <v>509366</v>
      </c>
      <c r="DN56" s="173">
        <v>681</v>
      </c>
      <c r="DO56" s="34">
        <v>1247933</v>
      </c>
      <c r="DP56" s="173">
        <v>86638</v>
      </c>
      <c r="DQ56" s="34">
        <v>121405</v>
      </c>
      <c r="DR56" s="173">
        <v>100323</v>
      </c>
      <c r="DS56" s="34">
        <v>-208512</v>
      </c>
      <c r="DT56">
        <v>155204</v>
      </c>
      <c r="DU56">
        <v>1508170</v>
      </c>
      <c r="DV56" s="173">
        <v>2750683</v>
      </c>
      <c r="DW56" s="173">
        <v>-48158</v>
      </c>
      <c r="DX56" s="173">
        <v>981511</v>
      </c>
      <c r="DY56" s="57">
        <v>21.091666666666665</v>
      </c>
    </row>
    <row r="57" spans="1:221" x14ac:dyDescent="0.2">
      <c r="A57" t="s">
        <v>119</v>
      </c>
      <c r="B57" s="34">
        <v>30566.473755115014</v>
      </c>
      <c r="C57" s="34">
        <v>29887.835471842805</v>
      </c>
      <c r="D57" s="34">
        <v>12498.549379134265</v>
      </c>
      <c r="E57" s="34">
        <v>41337.228565710175</v>
      </c>
      <c r="F57">
        <v>68695</v>
      </c>
      <c r="G57">
        <v>56504</v>
      </c>
      <c r="H57">
        <v>46485</v>
      </c>
      <c r="I57">
        <v>22760</v>
      </c>
      <c r="J57">
        <v>57951</v>
      </c>
      <c r="K57">
        <v>58852</v>
      </c>
      <c r="L57">
        <v>99802</v>
      </c>
      <c r="M57">
        <v>123142</v>
      </c>
      <c r="N57">
        <v>151123</v>
      </c>
      <c r="O57" s="34">
        <v>175439</v>
      </c>
      <c r="P57">
        <v>172683</v>
      </c>
      <c r="Q57">
        <v>287426</v>
      </c>
      <c r="R57">
        <v>365898</v>
      </c>
      <c r="S57">
        <v>359350</v>
      </c>
      <c r="T57" s="57">
        <v>17.583333333333332</v>
      </c>
      <c r="U57" s="57">
        <v>17.638888888888889</v>
      </c>
      <c r="V57" s="57">
        <v>17.944444444444443</v>
      </c>
      <c r="W57" s="57">
        <v>18.055555555555557</v>
      </c>
      <c r="X57" s="57">
        <v>18.166666666666668</v>
      </c>
      <c r="Y57" s="57">
        <v>18.305555555555557</v>
      </c>
      <c r="Z57" s="57">
        <v>18.388888888888889</v>
      </c>
      <c r="AA57" s="57">
        <v>18.722222222222221</v>
      </c>
      <c r="AB57" s="57">
        <v>18.833333333333332</v>
      </c>
      <c r="AC57" s="57">
        <v>18.972222222222221</v>
      </c>
      <c r="AD57" s="57">
        <v>19.166666666666668</v>
      </c>
      <c r="AE57" s="57">
        <v>19.472222222222221</v>
      </c>
      <c r="AF57" s="57">
        <v>19.861111111111111</v>
      </c>
      <c r="AG57" s="57">
        <v>19.888888888888889</v>
      </c>
      <c r="AH57" s="57">
        <v>19.944444444444443</v>
      </c>
      <c r="AI57" s="57">
        <v>20.222222222222221</v>
      </c>
      <c r="AJ57" s="57">
        <v>20.472222222222221</v>
      </c>
      <c r="AK57" s="57">
        <v>20.694444444444443</v>
      </c>
      <c r="AL57">
        <v>202424</v>
      </c>
      <c r="AM57">
        <v>249182</v>
      </c>
      <c r="AN57">
        <v>1266213</v>
      </c>
      <c r="AO57" s="34">
        <v>1424948</v>
      </c>
      <c r="AP57" s="34">
        <v>329788</v>
      </c>
      <c r="AQ57">
        <v>15578</v>
      </c>
      <c r="AR57">
        <v>35986</v>
      </c>
      <c r="AS57">
        <v>66739</v>
      </c>
      <c r="AT57">
        <v>-104637</v>
      </c>
      <c r="AU57">
        <v>-29148</v>
      </c>
      <c r="AV57">
        <v>-28971</v>
      </c>
      <c r="AW57" s="34">
        <v>625411</v>
      </c>
      <c r="AX57" s="173">
        <v>35609</v>
      </c>
      <c r="AY57" s="34">
        <v>51454</v>
      </c>
      <c r="AZ57">
        <v>781922</v>
      </c>
      <c r="BA57">
        <v>202009</v>
      </c>
      <c r="BB57">
        <v>303612</v>
      </c>
      <c r="BC57" s="173">
        <v>1286796</v>
      </c>
      <c r="BD57" s="34">
        <v>1462132</v>
      </c>
      <c r="BE57" s="34">
        <v>329631</v>
      </c>
      <c r="BF57" s="34">
        <v>27822</v>
      </c>
      <c r="BG57" s="173">
        <v>91424</v>
      </c>
      <c r="BH57">
        <v>63734</v>
      </c>
      <c r="BI57">
        <v>-93015</v>
      </c>
      <c r="BJ57" s="173">
        <v>38292</v>
      </c>
      <c r="BK57" s="34">
        <v>636308</v>
      </c>
      <c r="BL57" s="173">
        <v>38921</v>
      </c>
      <c r="BM57" s="34">
        <v>55837</v>
      </c>
      <c r="BN57">
        <v>853770</v>
      </c>
      <c r="BO57">
        <v>201615</v>
      </c>
      <c r="BP57">
        <v>288158</v>
      </c>
      <c r="BQ57" s="173">
        <v>1318978</v>
      </c>
      <c r="BR57" s="34">
        <v>1483284</v>
      </c>
      <c r="BS57" s="34">
        <v>335741</v>
      </c>
      <c r="BT57" s="34">
        <v>44489</v>
      </c>
      <c r="BU57" s="173">
        <v>57731</v>
      </c>
      <c r="BV57">
        <v>69339</v>
      </c>
      <c r="BW57" s="173">
        <v>-119063</v>
      </c>
      <c r="BX57" s="173">
        <v>-1039</v>
      </c>
      <c r="BY57" s="34">
        <v>639900</v>
      </c>
      <c r="BZ57" s="173">
        <v>41370</v>
      </c>
      <c r="CA57" s="34">
        <v>60372</v>
      </c>
      <c r="CB57">
        <v>937849</v>
      </c>
      <c r="CC57">
        <v>201685</v>
      </c>
      <c r="CD57">
        <v>745875</v>
      </c>
      <c r="CE57">
        <v>363251</v>
      </c>
      <c r="CF57">
        <v>272597</v>
      </c>
      <c r="CG57">
        <v>21624</v>
      </c>
      <c r="CH57">
        <v>648729</v>
      </c>
      <c r="CI57">
        <v>36010</v>
      </c>
      <c r="CJ57">
        <v>61136</v>
      </c>
      <c r="CK57">
        <v>74546</v>
      </c>
      <c r="CL57">
        <v>-71084</v>
      </c>
      <c r="CM57">
        <v>73643</v>
      </c>
      <c r="CN57">
        <v>950044</v>
      </c>
      <c r="CO57">
        <v>1314554</v>
      </c>
      <c r="CP57">
        <v>4433</v>
      </c>
      <c r="CQ57">
        <v>203883</v>
      </c>
      <c r="CR57" s="57">
        <v>20.722222222222221</v>
      </c>
      <c r="CS57">
        <v>201228</v>
      </c>
      <c r="CT57" s="34">
        <v>750037</v>
      </c>
      <c r="CU57" s="34">
        <v>358783</v>
      </c>
      <c r="CV57">
        <v>163067</v>
      </c>
      <c r="CW57" s="173">
        <v>19672</v>
      </c>
      <c r="CX57" s="34">
        <v>647270</v>
      </c>
      <c r="CY57" s="173">
        <v>42150</v>
      </c>
      <c r="CZ57" s="34">
        <v>60617</v>
      </c>
      <c r="DA57" s="173">
        <v>104927</v>
      </c>
      <c r="DB57" s="173">
        <v>-75174</v>
      </c>
      <c r="DC57">
        <v>73431</v>
      </c>
      <c r="DD57">
        <v>959001</v>
      </c>
      <c r="DE57" s="173">
        <v>1183766</v>
      </c>
      <c r="DF57" s="173">
        <v>25931</v>
      </c>
      <c r="DG57" s="173">
        <v>226120</v>
      </c>
      <c r="DH57" s="57">
        <v>20.722222222222221</v>
      </c>
      <c r="DI57" s="34">
        <v>2210</v>
      </c>
      <c r="DJ57">
        <v>200629</v>
      </c>
      <c r="DK57" s="34">
        <v>755659</v>
      </c>
      <c r="DL57" s="34">
        <v>359859</v>
      </c>
      <c r="DM57" s="172">
        <v>164603</v>
      </c>
      <c r="DN57" s="173">
        <v>12864</v>
      </c>
      <c r="DO57" s="34">
        <v>648559</v>
      </c>
      <c r="DP57" s="173">
        <v>41421</v>
      </c>
      <c r="DQ57" s="34">
        <v>65679</v>
      </c>
      <c r="DR57" s="173">
        <v>73785</v>
      </c>
      <c r="DS57" s="34">
        <v>-135390</v>
      </c>
      <c r="DT57">
        <v>71849</v>
      </c>
      <c r="DU57">
        <v>996305</v>
      </c>
      <c r="DV57" s="173">
        <v>1219200</v>
      </c>
      <c r="DW57" s="173">
        <v>2366</v>
      </c>
      <c r="DX57" s="173">
        <v>228512</v>
      </c>
      <c r="DY57" s="57">
        <v>20.777777777777779</v>
      </c>
    </row>
    <row r="58" spans="1:221" x14ac:dyDescent="0.2">
      <c r="A58" t="s">
        <v>121</v>
      </c>
      <c r="B58" s="34">
        <v>194122.33653394956</v>
      </c>
      <c r="C58" s="34">
        <v>323598.61614974111</v>
      </c>
      <c r="D58" s="34">
        <v>726392.04942034022</v>
      </c>
      <c r="E58" s="34">
        <v>949834.75536225166</v>
      </c>
      <c r="F58">
        <v>1043322</v>
      </c>
      <c r="G58">
        <v>1204965</v>
      </c>
      <c r="H58">
        <v>1468169</v>
      </c>
      <c r="I58">
        <v>1576377</v>
      </c>
      <c r="J58">
        <v>1939912</v>
      </c>
      <c r="K58">
        <v>2273352</v>
      </c>
      <c r="L58">
        <v>2660282</v>
      </c>
      <c r="M58">
        <v>2699654</v>
      </c>
      <c r="N58">
        <v>3994414</v>
      </c>
      <c r="O58" s="34">
        <v>4380635</v>
      </c>
      <c r="P58">
        <v>3826551</v>
      </c>
      <c r="Q58">
        <v>8253662</v>
      </c>
      <c r="R58">
        <v>11480352</v>
      </c>
      <c r="S58">
        <v>11508182</v>
      </c>
      <c r="T58" s="57">
        <v>17.60576923076923</v>
      </c>
      <c r="U58" s="57">
        <v>17.76923076923077</v>
      </c>
      <c r="V58" s="57">
        <v>17.807692307692307</v>
      </c>
      <c r="W58" s="57">
        <v>17.846153846153847</v>
      </c>
      <c r="X58" s="57">
        <v>18.08653846153846</v>
      </c>
      <c r="Y58" s="57">
        <v>18.28846153846154</v>
      </c>
      <c r="Z58" s="57">
        <v>18.365384615384617</v>
      </c>
      <c r="AA58" s="57">
        <v>18.46153846153846</v>
      </c>
      <c r="AB58" s="57">
        <v>18.557692307692307</v>
      </c>
      <c r="AC58" s="57">
        <v>18.653846153846153</v>
      </c>
      <c r="AD58" s="57">
        <v>18.75</v>
      </c>
      <c r="AE58" s="57">
        <v>18.923076923076923</v>
      </c>
      <c r="AF58" s="57">
        <v>19.240384615384617</v>
      </c>
      <c r="AG58" s="57">
        <v>19.33653846153846</v>
      </c>
      <c r="AH58" s="57">
        <v>19.432692307692307</v>
      </c>
      <c r="AI58" s="57">
        <v>19.53846153846154</v>
      </c>
      <c r="AJ58" s="57">
        <v>19.85576923076923</v>
      </c>
      <c r="AK58" s="57">
        <v>20.009615384615383</v>
      </c>
      <c r="AL58">
        <v>1585473</v>
      </c>
      <c r="AM58">
        <v>3190911</v>
      </c>
      <c r="AN58">
        <v>10588635</v>
      </c>
      <c r="AO58" s="34">
        <v>14417638</v>
      </c>
      <c r="AP58" s="34">
        <v>964758</v>
      </c>
      <c r="AQ58">
        <v>280265</v>
      </c>
      <c r="AR58">
        <v>922139</v>
      </c>
      <c r="AS58">
        <v>762444</v>
      </c>
      <c r="AT58">
        <v>-921633</v>
      </c>
      <c r="AU58">
        <v>275687</v>
      </c>
      <c r="AV58">
        <v>285846</v>
      </c>
      <c r="AW58" s="34">
        <v>6215637</v>
      </c>
      <c r="AX58" s="173">
        <v>540884</v>
      </c>
      <c r="AY58" s="34">
        <v>451857</v>
      </c>
      <c r="AZ58">
        <v>3941721</v>
      </c>
      <c r="BA58">
        <v>1603388</v>
      </c>
      <c r="BB58">
        <v>3165899</v>
      </c>
      <c r="BC58" s="173">
        <v>10692946</v>
      </c>
      <c r="BD58" s="34">
        <v>14651922</v>
      </c>
      <c r="BE58" s="34">
        <v>901892</v>
      </c>
      <c r="BF58" s="34">
        <v>1384144</v>
      </c>
      <c r="BG58" s="173">
        <v>833793</v>
      </c>
      <c r="BH58">
        <v>785945</v>
      </c>
      <c r="BI58">
        <v>-221852</v>
      </c>
      <c r="BJ58" s="173">
        <v>1683952</v>
      </c>
      <c r="BK58" s="34">
        <v>6239201</v>
      </c>
      <c r="BL58" s="173">
        <v>600679</v>
      </c>
      <c r="BM58" s="34">
        <v>485649</v>
      </c>
      <c r="BN58">
        <v>4244640</v>
      </c>
      <c r="BO58">
        <v>1620261</v>
      </c>
      <c r="BP58">
        <v>2533131</v>
      </c>
      <c r="BQ58" s="173">
        <v>10483769</v>
      </c>
      <c r="BR58" s="34">
        <v>15134174</v>
      </c>
      <c r="BS58" s="34">
        <v>924492</v>
      </c>
      <c r="BT58" s="34">
        <v>354363</v>
      </c>
      <c r="BU58" s="173">
        <v>691963</v>
      </c>
      <c r="BV58">
        <v>787656</v>
      </c>
      <c r="BW58" s="173">
        <v>-969717</v>
      </c>
      <c r="BX58" s="173">
        <v>67551</v>
      </c>
      <c r="BY58" s="34">
        <v>6343375</v>
      </c>
      <c r="BZ58" s="173">
        <v>694051</v>
      </c>
      <c r="CA58" s="34">
        <v>529661</v>
      </c>
      <c r="CB58">
        <v>4576035</v>
      </c>
      <c r="CC58">
        <v>1638293</v>
      </c>
      <c r="CD58">
        <v>7826896</v>
      </c>
      <c r="CE58">
        <v>1090069</v>
      </c>
      <c r="CF58">
        <v>2569615</v>
      </c>
      <c r="CG58">
        <v>440936</v>
      </c>
      <c r="CH58">
        <v>6601377</v>
      </c>
      <c r="CI58">
        <v>679989</v>
      </c>
      <c r="CJ58">
        <v>545530</v>
      </c>
      <c r="CK58">
        <v>1218157</v>
      </c>
      <c r="CL58">
        <v>-920213</v>
      </c>
      <c r="CM58">
        <v>785243</v>
      </c>
      <c r="CN58">
        <v>4653284</v>
      </c>
      <c r="CO58">
        <v>10445434</v>
      </c>
      <c r="CP58">
        <v>671373</v>
      </c>
      <c r="CQ58">
        <v>6420601</v>
      </c>
      <c r="CR58" s="57">
        <v>20.03846153846154</v>
      </c>
      <c r="CS58">
        <v>1655624</v>
      </c>
      <c r="CT58" s="34">
        <v>8087822</v>
      </c>
      <c r="CU58" s="34">
        <v>931816</v>
      </c>
      <c r="CV58">
        <v>2557860</v>
      </c>
      <c r="CW58" s="173">
        <v>183195</v>
      </c>
      <c r="CX58" s="34">
        <v>6625504</v>
      </c>
      <c r="CY58" s="173">
        <v>854639</v>
      </c>
      <c r="CZ58" s="34">
        <v>607679</v>
      </c>
      <c r="DA58" s="173">
        <v>1490893</v>
      </c>
      <c r="DB58" s="173">
        <v>-1002441</v>
      </c>
      <c r="DC58">
        <v>809093</v>
      </c>
      <c r="DD58">
        <v>4432750</v>
      </c>
      <c r="DE58" s="173">
        <v>10266573</v>
      </c>
      <c r="DF58" s="173">
        <v>687915</v>
      </c>
      <c r="DG58" s="173">
        <v>6958796</v>
      </c>
      <c r="DH58" s="57">
        <v>20.076923076923077</v>
      </c>
      <c r="DI58" s="34">
        <v>5250</v>
      </c>
      <c r="DJ58">
        <v>1671024</v>
      </c>
      <c r="DK58" s="34">
        <v>8138031</v>
      </c>
      <c r="DL58" s="34">
        <v>919997</v>
      </c>
      <c r="DM58" s="172">
        <v>2856442</v>
      </c>
      <c r="DN58" s="173">
        <v>180388</v>
      </c>
      <c r="DO58" s="34">
        <v>6634433</v>
      </c>
      <c r="DP58" s="173">
        <v>888206</v>
      </c>
      <c r="DQ58" s="34">
        <v>615392</v>
      </c>
      <c r="DR58" s="173">
        <v>1207764</v>
      </c>
      <c r="DS58" s="34">
        <v>-1091352</v>
      </c>
      <c r="DT58">
        <v>819571</v>
      </c>
      <c r="DU58">
        <v>4407584</v>
      </c>
      <c r="DV58" s="173">
        <v>10884790</v>
      </c>
      <c r="DW58" s="173">
        <v>404289</v>
      </c>
      <c r="DX58" s="173">
        <v>7300838</v>
      </c>
      <c r="DY58" s="57">
        <v>20.03846153846154</v>
      </c>
    </row>
    <row r="59" spans="1:221" x14ac:dyDescent="0.2">
      <c r="A59" t="s">
        <v>122</v>
      </c>
      <c r="B59" s="34">
        <v>57138.820632622068</v>
      </c>
      <c r="C59" s="34">
        <v>65788.052938831723</v>
      </c>
      <c r="D59" s="34">
        <v>154600.86482231788</v>
      </c>
      <c r="E59" s="34">
        <v>224017.40408663024</v>
      </c>
      <c r="F59">
        <v>323074</v>
      </c>
      <c r="G59">
        <v>327336</v>
      </c>
      <c r="H59">
        <v>353415</v>
      </c>
      <c r="I59">
        <v>305096</v>
      </c>
      <c r="J59">
        <v>301090</v>
      </c>
      <c r="K59">
        <v>309480</v>
      </c>
      <c r="L59">
        <v>273524</v>
      </c>
      <c r="M59">
        <v>268338</v>
      </c>
      <c r="N59">
        <v>309042</v>
      </c>
      <c r="O59" s="34">
        <v>307803</v>
      </c>
      <c r="P59">
        <v>244832</v>
      </c>
      <c r="Q59">
        <v>583992</v>
      </c>
      <c r="R59">
        <v>583052</v>
      </c>
      <c r="S59">
        <v>783776</v>
      </c>
      <c r="T59" s="57">
        <v>17.361111111111111</v>
      </c>
      <c r="U59" s="57">
        <v>17.481481481481481</v>
      </c>
      <c r="V59" s="57">
        <v>17.648148148148149</v>
      </c>
      <c r="W59" s="57">
        <v>17.666666666666668</v>
      </c>
      <c r="X59" s="57">
        <v>17.888888888888889</v>
      </c>
      <c r="Y59" s="57">
        <v>17.925925925925927</v>
      </c>
      <c r="Z59" s="57">
        <v>17.962962962962962</v>
      </c>
      <c r="AA59" s="57">
        <v>18.046296296296298</v>
      </c>
      <c r="AB59" s="57">
        <v>18.277777777777779</v>
      </c>
      <c r="AC59" s="57">
        <v>18.398148148148149</v>
      </c>
      <c r="AD59" s="57">
        <v>18.555555555555557</v>
      </c>
      <c r="AE59" s="57">
        <v>18.666666666666668</v>
      </c>
      <c r="AF59" s="57">
        <v>19.111111111111111</v>
      </c>
      <c r="AG59" s="57">
        <v>19.138888888888889</v>
      </c>
      <c r="AH59" s="57">
        <v>19.305555555555557</v>
      </c>
      <c r="AI59" s="57">
        <v>19.555555555555557</v>
      </c>
      <c r="AJ59" s="57">
        <v>19.99074074074074</v>
      </c>
      <c r="AK59" s="57">
        <v>20.185185185185187</v>
      </c>
      <c r="AL59">
        <v>470880</v>
      </c>
      <c r="AM59">
        <v>651428</v>
      </c>
      <c r="AN59">
        <v>3070359</v>
      </c>
      <c r="AO59" s="34">
        <v>3424258</v>
      </c>
      <c r="AP59" s="34">
        <v>810010</v>
      </c>
      <c r="AQ59">
        <v>87993</v>
      </c>
      <c r="AR59">
        <v>127697</v>
      </c>
      <c r="AS59">
        <v>134772</v>
      </c>
      <c r="AT59">
        <v>-122243</v>
      </c>
      <c r="AU59">
        <v>48602</v>
      </c>
      <c r="AV59">
        <v>47139</v>
      </c>
      <c r="AW59" s="34">
        <v>1487530</v>
      </c>
      <c r="AX59" s="173">
        <v>116978</v>
      </c>
      <c r="AY59" s="34">
        <v>107621</v>
      </c>
      <c r="AZ59">
        <v>1115495</v>
      </c>
      <c r="BA59">
        <v>472725</v>
      </c>
      <c r="BB59">
        <v>656601</v>
      </c>
      <c r="BC59" s="173">
        <v>3044203</v>
      </c>
      <c r="BD59" s="34">
        <v>3482518</v>
      </c>
      <c r="BE59" s="34">
        <v>742141</v>
      </c>
      <c r="BF59" s="34">
        <v>53763</v>
      </c>
      <c r="BG59" s="173">
        <v>120843</v>
      </c>
      <c r="BH59">
        <v>141401</v>
      </c>
      <c r="BI59">
        <v>-114107</v>
      </c>
      <c r="BJ59" s="173">
        <v>427</v>
      </c>
      <c r="BK59" s="34">
        <v>1493823</v>
      </c>
      <c r="BL59" s="173">
        <v>127321</v>
      </c>
      <c r="BM59" s="34">
        <v>120115</v>
      </c>
      <c r="BN59">
        <v>1163411</v>
      </c>
      <c r="BO59">
        <v>474323</v>
      </c>
      <c r="BP59">
        <v>653535</v>
      </c>
      <c r="BQ59" s="173">
        <v>3078842</v>
      </c>
      <c r="BR59" s="34">
        <v>3611626</v>
      </c>
      <c r="BS59" s="34">
        <v>740175</v>
      </c>
      <c r="BT59" s="34">
        <v>155802</v>
      </c>
      <c r="BU59" s="173">
        <v>146687</v>
      </c>
      <c r="BV59">
        <v>145288</v>
      </c>
      <c r="BW59" s="173">
        <v>14694</v>
      </c>
      <c r="BX59" s="173">
        <v>107767</v>
      </c>
      <c r="BY59" s="34">
        <v>1538003</v>
      </c>
      <c r="BZ59" s="173">
        <v>141101</v>
      </c>
      <c r="CA59" s="34">
        <v>126709</v>
      </c>
      <c r="CB59">
        <v>1233023</v>
      </c>
      <c r="CC59">
        <v>475543</v>
      </c>
      <c r="CD59">
        <v>1831217</v>
      </c>
      <c r="CE59">
        <v>773645</v>
      </c>
      <c r="CF59">
        <v>658180</v>
      </c>
      <c r="CG59">
        <v>74975</v>
      </c>
      <c r="CH59">
        <v>1572278</v>
      </c>
      <c r="CI59">
        <v>128861</v>
      </c>
      <c r="CJ59">
        <v>130078</v>
      </c>
      <c r="CK59">
        <v>182109</v>
      </c>
      <c r="CL59">
        <v>-101032</v>
      </c>
      <c r="CM59">
        <v>146965</v>
      </c>
      <c r="CN59">
        <v>1293862</v>
      </c>
      <c r="CO59">
        <v>3125637</v>
      </c>
      <c r="CP59">
        <v>76846</v>
      </c>
      <c r="CQ59">
        <v>468517</v>
      </c>
      <c r="CR59" s="57">
        <v>20.268518518518519</v>
      </c>
      <c r="CS59">
        <v>477677</v>
      </c>
      <c r="CT59" s="34">
        <v>1856873</v>
      </c>
      <c r="CU59" s="34">
        <v>740475</v>
      </c>
      <c r="CV59">
        <v>600138</v>
      </c>
      <c r="CW59" s="173">
        <v>96114</v>
      </c>
      <c r="CX59" s="34">
        <v>1567336</v>
      </c>
      <c r="CY59" s="173">
        <v>155142</v>
      </c>
      <c r="CZ59" s="34">
        <v>134395</v>
      </c>
      <c r="DA59" s="173">
        <v>168209</v>
      </c>
      <c r="DB59" s="173">
        <v>-98144</v>
      </c>
      <c r="DC59">
        <v>142147</v>
      </c>
      <c r="DD59">
        <v>1393639</v>
      </c>
      <c r="DE59" s="173">
        <v>3089519</v>
      </c>
      <c r="DF59" s="173">
        <v>79912</v>
      </c>
      <c r="DG59" s="173">
        <v>542521</v>
      </c>
      <c r="DH59" s="57">
        <v>20.37037037037037</v>
      </c>
      <c r="DI59" s="34">
        <v>7200</v>
      </c>
      <c r="DJ59">
        <v>478582</v>
      </c>
      <c r="DK59" s="34">
        <v>1849251</v>
      </c>
      <c r="DL59" s="34">
        <v>726602</v>
      </c>
      <c r="DM59" s="172">
        <v>598270</v>
      </c>
      <c r="DN59" s="173">
        <v>34093</v>
      </c>
      <c r="DO59" s="34">
        <v>1555081</v>
      </c>
      <c r="DP59" s="173">
        <v>156355</v>
      </c>
      <c r="DQ59" s="34">
        <v>137815</v>
      </c>
      <c r="DR59" s="173">
        <v>53971</v>
      </c>
      <c r="DS59" s="34">
        <v>-175533</v>
      </c>
      <c r="DT59">
        <v>146009</v>
      </c>
      <c r="DU59">
        <v>1512737</v>
      </c>
      <c r="DV59" s="173">
        <v>3153174</v>
      </c>
      <c r="DW59" s="173">
        <v>-85664</v>
      </c>
      <c r="DX59" s="173">
        <v>456881</v>
      </c>
      <c r="DY59" s="57">
        <v>20.407407407407408</v>
      </c>
    </row>
    <row r="60" spans="1:221" x14ac:dyDescent="0.2">
      <c r="A60" t="s">
        <v>107</v>
      </c>
      <c r="B60" s="34">
        <v>-14444.315500367491</v>
      </c>
      <c r="C60" s="34">
        <v>-26138.926591015737</v>
      </c>
      <c r="D60" s="34">
        <v>-31163.204518200459</v>
      </c>
      <c r="E60" s="34">
        <v>-39803.186488454739</v>
      </c>
      <c r="F60">
        <v>-25238</v>
      </c>
      <c r="G60">
        <v>-26240</v>
      </c>
      <c r="H60">
        <v>-30498</v>
      </c>
      <c r="I60">
        <v>-46545</v>
      </c>
      <c r="J60">
        <v>-35472</v>
      </c>
      <c r="K60">
        <v>-33960</v>
      </c>
      <c r="L60">
        <v>-20655</v>
      </c>
      <c r="M60">
        <v>4092</v>
      </c>
      <c r="N60">
        <v>30988</v>
      </c>
      <c r="O60" s="34">
        <v>26651</v>
      </c>
      <c r="P60">
        <v>20565</v>
      </c>
      <c r="Q60">
        <v>34588</v>
      </c>
      <c r="R60">
        <v>59766</v>
      </c>
      <c r="S60">
        <v>63330</v>
      </c>
      <c r="T60" s="57">
        <v>17.767857142857142</v>
      </c>
      <c r="U60" s="57">
        <v>17.821428571428573</v>
      </c>
      <c r="V60" s="57">
        <v>17.892857142857142</v>
      </c>
      <c r="W60" s="57">
        <v>17.964285714285715</v>
      </c>
      <c r="X60" s="57">
        <v>18.303571428571427</v>
      </c>
      <c r="Y60" s="57">
        <v>18.482142857142858</v>
      </c>
      <c r="Z60" s="57">
        <v>18.535714285714285</v>
      </c>
      <c r="AA60" s="57">
        <v>18.696428571428573</v>
      </c>
      <c r="AB60" s="57">
        <v>18.928571428571427</v>
      </c>
      <c r="AC60" s="57">
        <v>19.089285714285715</v>
      </c>
      <c r="AD60" s="57">
        <v>19.375</v>
      </c>
      <c r="AE60" s="57">
        <v>19.446428571428573</v>
      </c>
      <c r="AF60" s="57">
        <v>19.839285714285715</v>
      </c>
      <c r="AG60" s="57">
        <v>19.857142857142858</v>
      </c>
      <c r="AH60" s="57">
        <v>19.964285714285715</v>
      </c>
      <c r="AI60" s="57">
        <v>20.25</v>
      </c>
      <c r="AJ60" s="57">
        <v>20.5</v>
      </c>
      <c r="AK60" s="57">
        <v>20.571428571428573</v>
      </c>
      <c r="AL60">
        <v>152518</v>
      </c>
      <c r="AM60">
        <v>219733</v>
      </c>
      <c r="AN60">
        <v>1049154</v>
      </c>
      <c r="AO60" s="34">
        <v>1003822</v>
      </c>
      <c r="AP60" s="34">
        <v>357410</v>
      </c>
      <c r="AQ60">
        <v>13768</v>
      </c>
      <c r="AR60">
        <v>33497</v>
      </c>
      <c r="AS60">
        <v>43119</v>
      </c>
      <c r="AT60">
        <v>-74156</v>
      </c>
      <c r="AU60">
        <v>-2999</v>
      </c>
      <c r="AV60">
        <v>-2646</v>
      </c>
      <c r="AW60" s="34">
        <v>430038</v>
      </c>
      <c r="AX60" s="173">
        <v>32456</v>
      </c>
      <c r="AY60" s="34">
        <v>39417</v>
      </c>
      <c r="AZ60">
        <v>419045</v>
      </c>
      <c r="BA60">
        <v>151562</v>
      </c>
      <c r="BB60">
        <v>217309</v>
      </c>
      <c r="BC60" s="173">
        <v>1059378</v>
      </c>
      <c r="BD60" s="34">
        <v>1049002</v>
      </c>
      <c r="BE60" s="34">
        <v>361561</v>
      </c>
      <c r="BF60" s="34">
        <v>17173</v>
      </c>
      <c r="BG60" s="173">
        <v>51499</v>
      </c>
      <c r="BH60">
        <v>45532</v>
      </c>
      <c r="BI60">
        <v>-48126</v>
      </c>
      <c r="BJ60" s="173">
        <v>12743</v>
      </c>
      <c r="BK60" s="34">
        <v>441725</v>
      </c>
      <c r="BL60" s="173">
        <v>37477</v>
      </c>
      <c r="BM60" s="34">
        <v>45299</v>
      </c>
      <c r="BN60">
        <v>440791</v>
      </c>
      <c r="BO60">
        <v>150305</v>
      </c>
      <c r="BP60">
        <v>199595</v>
      </c>
      <c r="BQ60" s="173">
        <v>1061011</v>
      </c>
      <c r="BR60" s="34">
        <v>1077280</v>
      </c>
      <c r="BS60" s="34">
        <v>358986</v>
      </c>
      <c r="BT60" s="34">
        <v>20385</v>
      </c>
      <c r="BU60" s="173">
        <v>39803</v>
      </c>
      <c r="BV60">
        <v>46136</v>
      </c>
      <c r="BW60" s="173">
        <v>-45811</v>
      </c>
      <c r="BX60" s="173">
        <v>1661</v>
      </c>
      <c r="BY60" s="34">
        <v>447336</v>
      </c>
      <c r="BZ60" s="173">
        <v>42932</v>
      </c>
      <c r="CA60" s="34">
        <v>48372</v>
      </c>
      <c r="CB60">
        <v>460516</v>
      </c>
      <c r="CC60">
        <v>148975</v>
      </c>
      <c r="CD60">
        <v>535846</v>
      </c>
      <c r="CE60">
        <v>379490</v>
      </c>
      <c r="CF60">
        <v>198047</v>
      </c>
      <c r="CG60">
        <v>6129</v>
      </c>
      <c r="CH60">
        <v>446059</v>
      </c>
      <c r="CI60">
        <v>38918</v>
      </c>
      <c r="CJ60">
        <v>50869</v>
      </c>
      <c r="CK60">
        <v>61070</v>
      </c>
      <c r="CL60">
        <v>-59282</v>
      </c>
      <c r="CM60">
        <v>45460</v>
      </c>
      <c r="CN60">
        <v>487142</v>
      </c>
      <c r="CO60">
        <v>1055827</v>
      </c>
      <c r="CP60">
        <v>16329</v>
      </c>
      <c r="CQ60">
        <v>48120</v>
      </c>
      <c r="CR60" s="57">
        <v>20.642857142857142</v>
      </c>
      <c r="CS60">
        <v>147194</v>
      </c>
      <c r="CT60" s="34">
        <v>541660</v>
      </c>
      <c r="CU60" s="34">
        <v>380934</v>
      </c>
      <c r="CV60">
        <v>168476</v>
      </c>
      <c r="CW60" s="173">
        <v>8975</v>
      </c>
      <c r="CX60" s="34">
        <v>445245</v>
      </c>
      <c r="CY60" s="173">
        <v>44781</v>
      </c>
      <c r="CZ60" s="34">
        <v>51634</v>
      </c>
      <c r="DA60" s="173">
        <v>74574</v>
      </c>
      <c r="DB60" s="173">
        <v>-52765</v>
      </c>
      <c r="DC60">
        <v>53306</v>
      </c>
      <c r="DD60">
        <v>478789</v>
      </c>
      <c r="DE60" s="173">
        <v>1024727</v>
      </c>
      <c r="DF60" s="173">
        <v>21310</v>
      </c>
      <c r="DG60" s="173">
        <v>62479</v>
      </c>
      <c r="DH60" s="57">
        <v>20.767857142857142</v>
      </c>
      <c r="DI60" s="34">
        <v>4240</v>
      </c>
      <c r="DJ60">
        <v>144615</v>
      </c>
      <c r="DK60" s="34">
        <v>526450</v>
      </c>
      <c r="DL60" s="34">
        <v>376575</v>
      </c>
      <c r="DM60" s="172">
        <v>152121</v>
      </c>
      <c r="DN60" s="173">
        <v>5147</v>
      </c>
      <c r="DO60" s="34">
        <v>431629</v>
      </c>
      <c r="DP60" s="173">
        <v>44158</v>
      </c>
      <c r="DQ60" s="34">
        <v>50663</v>
      </c>
      <c r="DR60" s="173">
        <v>24015</v>
      </c>
      <c r="DS60" s="34">
        <v>-78753</v>
      </c>
      <c r="DT60">
        <v>45994</v>
      </c>
      <c r="DU60">
        <v>510548</v>
      </c>
      <c r="DV60" s="173">
        <v>1036147</v>
      </c>
      <c r="DW60" s="173">
        <v>-22716</v>
      </c>
      <c r="DX60" s="173">
        <v>39763</v>
      </c>
      <c r="DY60" s="57">
        <v>20.892857142857142</v>
      </c>
    </row>
    <row r="61" spans="1:221" x14ac:dyDescent="0.2">
      <c r="A61" t="s">
        <v>113</v>
      </c>
      <c r="B61" s="34">
        <v>-18187.842367547804</v>
      </c>
      <c r="C61" s="34">
        <v>-38864.025107093657</v>
      </c>
      <c r="D61" s="34">
        <v>-49749.988647314967</v>
      </c>
      <c r="E61" s="34">
        <v>-47418.735798631962</v>
      </c>
      <c r="F61">
        <v>2975</v>
      </c>
      <c r="G61">
        <v>-1610</v>
      </c>
      <c r="H61">
        <v>-3135</v>
      </c>
      <c r="I61">
        <v>-14239</v>
      </c>
      <c r="J61">
        <v>-28991</v>
      </c>
      <c r="K61">
        <v>-29147</v>
      </c>
      <c r="L61">
        <v>485</v>
      </c>
      <c r="M61">
        <v>30440</v>
      </c>
      <c r="N61">
        <v>64429</v>
      </c>
      <c r="O61" s="34">
        <v>91972</v>
      </c>
      <c r="P61">
        <v>111031</v>
      </c>
      <c r="Q61">
        <v>255874</v>
      </c>
      <c r="R61">
        <v>248466</v>
      </c>
      <c r="S61">
        <v>284712</v>
      </c>
      <c r="T61" s="57">
        <v>18.488095238095237</v>
      </c>
      <c r="U61" s="57">
        <v>18.547619047619047</v>
      </c>
      <c r="V61" s="57">
        <v>18.702380952380953</v>
      </c>
      <c r="W61" s="57">
        <v>18.738095238095237</v>
      </c>
      <c r="X61" s="57">
        <v>18.916666666666668</v>
      </c>
      <c r="Y61" s="57">
        <v>19.047619047619047</v>
      </c>
      <c r="Z61" s="57">
        <v>19.071428571428573</v>
      </c>
      <c r="AA61" s="57">
        <v>19.154761904761905</v>
      </c>
      <c r="AB61" s="57">
        <v>19.25</v>
      </c>
      <c r="AC61" s="57">
        <v>19.654761904761905</v>
      </c>
      <c r="AD61" s="57">
        <v>19.88095238095238</v>
      </c>
      <c r="AE61" s="57">
        <v>19.916666666666668</v>
      </c>
      <c r="AF61" s="57">
        <v>20</v>
      </c>
      <c r="AG61" s="57">
        <v>20.011904761904763</v>
      </c>
      <c r="AH61" s="57">
        <v>19.988095238095237</v>
      </c>
      <c r="AI61" s="57">
        <v>20.071428571428573</v>
      </c>
      <c r="AJ61" s="57">
        <v>20.321428571428573</v>
      </c>
      <c r="AK61" s="57">
        <v>20.416666666666668</v>
      </c>
      <c r="AL61">
        <v>182514</v>
      </c>
      <c r="AM61">
        <v>216277</v>
      </c>
      <c r="AN61">
        <v>1261530</v>
      </c>
      <c r="AO61" s="34">
        <v>1296054</v>
      </c>
      <c r="AP61" s="34">
        <v>444193</v>
      </c>
      <c r="AQ61">
        <v>32057</v>
      </c>
      <c r="AR61">
        <v>52693</v>
      </c>
      <c r="AS61">
        <v>47496</v>
      </c>
      <c r="AT61">
        <v>-72878</v>
      </c>
      <c r="AU61">
        <v>25599</v>
      </c>
      <c r="AV61">
        <v>18681</v>
      </c>
      <c r="AW61" s="34">
        <v>546862</v>
      </c>
      <c r="AX61" s="173">
        <v>31458</v>
      </c>
      <c r="AY61" s="34">
        <v>69707</v>
      </c>
      <c r="AZ61">
        <v>413502</v>
      </c>
      <c r="BA61">
        <v>181748</v>
      </c>
      <c r="BB61">
        <v>225588</v>
      </c>
      <c r="BC61" s="173">
        <v>1300658</v>
      </c>
      <c r="BD61" s="34">
        <v>1334376</v>
      </c>
      <c r="BE61" s="34">
        <v>444505</v>
      </c>
      <c r="BF61" s="34">
        <v>12385</v>
      </c>
      <c r="BG61" s="173">
        <v>42583</v>
      </c>
      <c r="BH61">
        <v>45653</v>
      </c>
      <c r="BI61">
        <v>-84635</v>
      </c>
      <c r="BJ61" s="173">
        <v>-4824</v>
      </c>
      <c r="BK61" s="34">
        <v>556950</v>
      </c>
      <c r="BL61" s="173">
        <v>34760</v>
      </c>
      <c r="BM61" s="34">
        <v>75478</v>
      </c>
      <c r="BN61">
        <v>428967</v>
      </c>
      <c r="BO61">
        <v>180858</v>
      </c>
      <c r="BP61">
        <v>213436</v>
      </c>
      <c r="BQ61" s="173">
        <v>1306402</v>
      </c>
      <c r="BR61" s="34">
        <v>1364370</v>
      </c>
      <c r="BS61" s="34">
        <v>435412</v>
      </c>
      <c r="BT61" s="34">
        <v>75626</v>
      </c>
      <c r="BU61" s="173">
        <v>34977</v>
      </c>
      <c r="BV61">
        <v>54844</v>
      </c>
      <c r="BW61" s="173">
        <v>11061</v>
      </c>
      <c r="BX61" s="173">
        <v>22478</v>
      </c>
      <c r="BY61" s="34">
        <v>567740</v>
      </c>
      <c r="BZ61" s="173">
        <v>41842</v>
      </c>
      <c r="CA61" s="34">
        <v>72603</v>
      </c>
      <c r="CB61">
        <v>465501</v>
      </c>
      <c r="CC61">
        <v>180207</v>
      </c>
      <c r="CD61">
        <v>693164</v>
      </c>
      <c r="CE61">
        <v>457443</v>
      </c>
      <c r="CF61">
        <v>201190</v>
      </c>
      <c r="CG61">
        <v>20535</v>
      </c>
      <c r="CH61">
        <v>572216</v>
      </c>
      <c r="CI61">
        <v>39463</v>
      </c>
      <c r="CJ61">
        <v>81485</v>
      </c>
      <c r="CK61">
        <v>68876</v>
      </c>
      <c r="CL61">
        <v>-32044</v>
      </c>
      <c r="CM61">
        <v>53093</v>
      </c>
      <c r="CN61">
        <v>482664</v>
      </c>
      <c r="CO61">
        <v>1295994</v>
      </c>
      <c r="CP61">
        <v>16887</v>
      </c>
      <c r="CQ61">
        <v>161579</v>
      </c>
      <c r="CR61" s="57">
        <v>20.642857142857142</v>
      </c>
      <c r="CS61">
        <v>179223</v>
      </c>
      <c r="CT61" s="34">
        <v>698940</v>
      </c>
      <c r="CU61" s="34">
        <v>446948</v>
      </c>
      <c r="CV61">
        <v>190770</v>
      </c>
      <c r="CW61" s="173">
        <v>17422</v>
      </c>
      <c r="CX61" s="34">
        <v>569328</v>
      </c>
      <c r="CY61" s="173">
        <v>49271</v>
      </c>
      <c r="CZ61" s="34">
        <v>80341</v>
      </c>
      <c r="DA61" s="173">
        <v>74683</v>
      </c>
      <c r="DB61" s="173">
        <v>-45274</v>
      </c>
      <c r="DC61">
        <v>53117</v>
      </c>
      <c r="DD61">
        <v>479290</v>
      </c>
      <c r="DE61" s="173">
        <v>1278353</v>
      </c>
      <c r="DF61" s="173">
        <v>21405</v>
      </c>
      <c r="DG61" s="173">
        <v>182779</v>
      </c>
      <c r="DH61" s="57">
        <v>20.714285714285715</v>
      </c>
      <c r="DI61" s="34">
        <v>6100</v>
      </c>
      <c r="DJ61">
        <v>178522</v>
      </c>
      <c r="DK61" s="34">
        <v>692958</v>
      </c>
      <c r="DL61" s="34">
        <v>443852</v>
      </c>
      <c r="DM61" s="172">
        <v>189638</v>
      </c>
      <c r="DN61" s="173">
        <v>18147</v>
      </c>
      <c r="DO61" s="34">
        <v>565196</v>
      </c>
      <c r="DP61" s="173">
        <v>37812</v>
      </c>
      <c r="DQ61" s="34">
        <v>89950</v>
      </c>
      <c r="DR61" s="173">
        <v>20557</v>
      </c>
      <c r="DS61" s="34">
        <v>-46583</v>
      </c>
      <c r="DT61">
        <v>55876</v>
      </c>
      <c r="DU61">
        <v>531654</v>
      </c>
      <c r="DV61" s="173">
        <v>1322085</v>
      </c>
      <c r="DW61" s="173">
        <v>-30097</v>
      </c>
      <c r="DX61" s="173">
        <v>152877</v>
      </c>
      <c r="DY61" s="57">
        <v>20.857142857142858</v>
      </c>
    </row>
    <row r="62" spans="1:221" x14ac:dyDescent="0.2">
      <c r="A62" t="s">
        <v>120</v>
      </c>
      <c r="B62" s="34">
        <v>-13207.629677095998</v>
      </c>
      <c r="C62" s="34">
        <v>-23712.311188029049</v>
      </c>
      <c r="D62" s="34">
        <v>-25414.373003819546</v>
      </c>
      <c r="E62" s="34">
        <v>3522.8643076628114</v>
      </c>
      <c r="F62">
        <v>51285</v>
      </c>
      <c r="G62">
        <v>66032</v>
      </c>
      <c r="H62">
        <v>80647</v>
      </c>
      <c r="I62">
        <v>62494</v>
      </c>
      <c r="J62">
        <v>138622</v>
      </c>
      <c r="K62">
        <v>86287</v>
      </c>
      <c r="L62">
        <v>123471</v>
      </c>
      <c r="M62">
        <v>171331</v>
      </c>
      <c r="N62">
        <v>210199</v>
      </c>
      <c r="O62" s="34">
        <v>245763</v>
      </c>
      <c r="P62">
        <v>246859</v>
      </c>
      <c r="Q62">
        <v>520360</v>
      </c>
      <c r="R62">
        <v>610572</v>
      </c>
      <c r="S62">
        <v>565224</v>
      </c>
      <c r="T62" s="57">
        <v>17.808823529411764</v>
      </c>
      <c r="U62" s="57">
        <v>18</v>
      </c>
      <c r="V62" s="57">
        <v>18.058823529411764</v>
      </c>
      <c r="W62" s="57">
        <v>18.029411764705884</v>
      </c>
      <c r="X62" s="57">
        <v>18.220588235294116</v>
      </c>
      <c r="Y62" s="57">
        <v>18.338235294117649</v>
      </c>
      <c r="Z62" s="57">
        <v>18.411764705882351</v>
      </c>
      <c r="AA62" s="57">
        <v>18.647058823529413</v>
      </c>
      <c r="AB62" s="57">
        <v>18.764705882352942</v>
      </c>
      <c r="AC62" s="57">
        <v>18.970588235294116</v>
      </c>
      <c r="AD62" s="57">
        <v>19.117647058823529</v>
      </c>
      <c r="AE62" s="57">
        <v>19.205882352941178</v>
      </c>
      <c r="AF62" s="57">
        <v>19.411764705882351</v>
      </c>
      <c r="AG62" s="57">
        <v>19.411764705882351</v>
      </c>
      <c r="AH62" s="57">
        <v>19.661764705882351</v>
      </c>
      <c r="AI62" s="57">
        <v>20.477941176470587</v>
      </c>
      <c r="AJ62" s="57">
        <v>20.823529411764707</v>
      </c>
      <c r="AK62" s="57">
        <v>20.323529411764707</v>
      </c>
      <c r="AL62">
        <v>224556</v>
      </c>
      <c r="AM62">
        <v>393183</v>
      </c>
      <c r="AN62">
        <v>1521213</v>
      </c>
      <c r="AO62" s="34">
        <v>1622732</v>
      </c>
      <c r="AP62" s="34">
        <v>405836</v>
      </c>
      <c r="AQ62">
        <v>13475</v>
      </c>
      <c r="AR62">
        <v>100650</v>
      </c>
      <c r="AS62">
        <v>88933</v>
      </c>
      <c r="AT62">
        <v>-109759</v>
      </c>
      <c r="AU62">
        <v>9982</v>
      </c>
      <c r="AV62">
        <v>15125</v>
      </c>
      <c r="AW62" s="34">
        <v>694578</v>
      </c>
      <c r="AX62" s="173">
        <v>60243</v>
      </c>
      <c r="AY62" s="34">
        <v>56545</v>
      </c>
      <c r="AZ62">
        <v>389996</v>
      </c>
      <c r="BA62">
        <v>223983</v>
      </c>
      <c r="BB62">
        <v>401791</v>
      </c>
      <c r="BC62" s="173">
        <v>1557899</v>
      </c>
      <c r="BD62" s="34">
        <v>1639734</v>
      </c>
      <c r="BE62" s="34">
        <v>406391</v>
      </c>
      <c r="BF62" s="34">
        <v>66452</v>
      </c>
      <c r="BG62" s="173">
        <v>82780</v>
      </c>
      <c r="BH62">
        <v>81749</v>
      </c>
      <c r="BI62">
        <v>-96992</v>
      </c>
      <c r="BJ62" s="173">
        <v>44993</v>
      </c>
      <c r="BK62" s="34">
        <v>692685</v>
      </c>
      <c r="BL62" s="173">
        <v>65282</v>
      </c>
      <c r="BM62" s="34">
        <v>61900</v>
      </c>
      <c r="BN62">
        <v>399730</v>
      </c>
      <c r="BO62">
        <v>222957</v>
      </c>
      <c r="BP62">
        <v>371795</v>
      </c>
      <c r="BQ62" s="173">
        <v>1549607</v>
      </c>
      <c r="BR62" s="34">
        <v>1656910</v>
      </c>
      <c r="BS62" s="34">
        <v>391274</v>
      </c>
      <c r="BT62" s="34">
        <v>17838</v>
      </c>
      <c r="BU62" s="173">
        <v>56496</v>
      </c>
      <c r="BV62">
        <v>75561</v>
      </c>
      <c r="BW62" s="173">
        <v>-104542</v>
      </c>
      <c r="BX62" s="173">
        <v>-22642</v>
      </c>
      <c r="BY62" s="34">
        <v>698683</v>
      </c>
      <c r="BZ62" s="173">
        <v>63516</v>
      </c>
      <c r="CA62" s="34">
        <v>66256</v>
      </c>
      <c r="CB62">
        <v>418098</v>
      </c>
      <c r="CC62">
        <v>221740</v>
      </c>
      <c r="CD62">
        <v>838505</v>
      </c>
      <c r="CE62">
        <v>403232</v>
      </c>
      <c r="CF62">
        <v>369695</v>
      </c>
      <c r="CG62">
        <v>10315</v>
      </c>
      <c r="CH62">
        <v>712013</v>
      </c>
      <c r="CI62">
        <v>55650</v>
      </c>
      <c r="CJ62">
        <v>70842</v>
      </c>
      <c r="CK62">
        <v>98537</v>
      </c>
      <c r="CL62">
        <v>-81883</v>
      </c>
      <c r="CM62">
        <v>76363</v>
      </c>
      <c r="CN62">
        <v>432215</v>
      </c>
      <c r="CO62">
        <v>1521992</v>
      </c>
      <c r="CP62">
        <v>22534</v>
      </c>
      <c r="CQ62">
        <v>305484</v>
      </c>
      <c r="CR62" s="57">
        <v>20.455882352941178</v>
      </c>
      <c r="CS62">
        <v>220398</v>
      </c>
      <c r="CT62" s="34">
        <v>852072</v>
      </c>
      <c r="CU62" s="34">
        <v>392490</v>
      </c>
      <c r="CV62">
        <v>363818</v>
      </c>
      <c r="CW62" s="173">
        <v>12921</v>
      </c>
      <c r="CX62" s="34">
        <v>712074</v>
      </c>
      <c r="CY62" s="173">
        <v>67607</v>
      </c>
      <c r="CZ62" s="34">
        <v>72392</v>
      </c>
      <c r="DA62" s="173">
        <v>111490</v>
      </c>
      <c r="DB62" s="173">
        <v>-80074</v>
      </c>
      <c r="DC62">
        <v>73721</v>
      </c>
      <c r="DD62">
        <v>458040</v>
      </c>
      <c r="DE62" s="173">
        <v>1509811</v>
      </c>
      <c r="DF62" s="173">
        <v>38743</v>
      </c>
      <c r="DG62" s="173">
        <v>343507</v>
      </c>
      <c r="DH62" s="57">
        <v>20.705882352941178</v>
      </c>
      <c r="DI62" s="34">
        <v>4610</v>
      </c>
      <c r="DJ62">
        <v>218624</v>
      </c>
      <c r="DK62" s="34">
        <v>839522</v>
      </c>
      <c r="DL62" s="34">
        <v>386264</v>
      </c>
      <c r="DM62" s="172">
        <v>340999</v>
      </c>
      <c r="DN62" s="173">
        <v>10585</v>
      </c>
      <c r="DO62" s="34">
        <v>705768</v>
      </c>
      <c r="DP62" s="173">
        <v>58424</v>
      </c>
      <c r="DQ62" s="34">
        <v>75330</v>
      </c>
      <c r="DR62" s="173">
        <v>33170</v>
      </c>
      <c r="DS62" s="34">
        <v>-86833</v>
      </c>
      <c r="DT62">
        <v>78623</v>
      </c>
      <c r="DU62">
        <v>488297</v>
      </c>
      <c r="DV62" s="173">
        <v>1543792</v>
      </c>
      <c r="DW62" s="173">
        <v>-45514</v>
      </c>
      <c r="DX62" s="173">
        <v>293400</v>
      </c>
      <c r="DY62" s="57">
        <v>20.75</v>
      </c>
    </row>
    <row r="63" spans="1:221" x14ac:dyDescent="0.2">
      <c r="A63" t="s">
        <v>109</v>
      </c>
      <c r="B63" s="34">
        <v>-6124.899717948847</v>
      </c>
      <c r="C63" s="34">
        <v>23782.445553363501</v>
      </c>
      <c r="D63" s="34">
        <v>-1547.8334872252879</v>
      </c>
      <c r="E63" s="34">
        <v>58074.954631306835</v>
      </c>
      <c r="F63">
        <v>49036</v>
      </c>
      <c r="G63">
        <v>52769</v>
      </c>
      <c r="H63">
        <v>54281</v>
      </c>
      <c r="I63">
        <v>45268</v>
      </c>
      <c r="J63">
        <v>39241</v>
      </c>
      <c r="K63">
        <v>44519</v>
      </c>
      <c r="L63">
        <v>37689</v>
      </c>
      <c r="M63">
        <v>28504</v>
      </c>
      <c r="N63">
        <v>42573</v>
      </c>
      <c r="O63" s="34">
        <v>30382</v>
      </c>
      <c r="P63">
        <v>22168</v>
      </c>
      <c r="Q63">
        <v>73704</v>
      </c>
      <c r="R63">
        <v>144850</v>
      </c>
      <c r="S63">
        <v>119934</v>
      </c>
      <c r="T63" s="57">
        <v>17.886363636363637</v>
      </c>
      <c r="U63" s="57">
        <v>18.022727272727273</v>
      </c>
      <c r="V63" s="57">
        <v>18.09090909090909</v>
      </c>
      <c r="W63" s="57">
        <v>18.136363636363637</v>
      </c>
      <c r="X63" s="57">
        <v>18.227272727272727</v>
      </c>
      <c r="Y63" s="57">
        <v>18.272727272727273</v>
      </c>
      <c r="Z63" s="57">
        <v>18.318181818181817</v>
      </c>
      <c r="AA63" s="57">
        <v>18.40909090909091</v>
      </c>
      <c r="AB63" s="57">
        <v>18.704545454545453</v>
      </c>
      <c r="AC63" s="57">
        <v>18.795454545454547</v>
      </c>
      <c r="AD63" s="57">
        <v>18.931818181818183</v>
      </c>
      <c r="AE63" s="57">
        <v>19.045454545454547</v>
      </c>
      <c r="AF63" s="57">
        <v>19.613636363636363</v>
      </c>
      <c r="AG63" s="57">
        <v>19.636363636363637</v>
      </c>
      <c r="AH63" s="57">
        <v>19.818181818181817</v>
      </c>
      <c r="AI63" s="57">
        <v>19.977272727272727</v>
      </c>
      <c r="AJ63" s="57">
        <v>20.318181818181817</v>
      </c>
      <c r="AK63" s="57">
        <v>20.5</v>
      </c>
      <c r="AL63">
        <v>175481</v>
      </c>
      <c r="AM63">
        <v>198755</v>
      </c>
      <c r="AN63">
        <v>1039183</v>
      </c>
      <c r="AO63" s="34">
        <v>1264090</v>
      </c>
      <c r="AP63" s="34">
        <v>267360</v>
      </c>
      <c r="AQ63">
        <v>5766</v>
      </c>
      <c r="AR63">
        <v>58274</v>
      </c>
      <c r="AS63">
        <v>41243</v>
      </c>
      <c r="AT63">
        <v>-68656</v>
      </c>
      <c r="AU63">
        <v>14524</v>
      </c>
      <c r="AV63">
        <v>15170</v>
      </c>
      <c r="AW63" s="34">
        <v>563337</v>
      </c>
      <c r="AX63" s="173">
        <v>28927</v>
      </c>
      <c r="AY63" s="34">
        <v>39781</v>
      </c>
      <c r="AZ63">
        <v>478571</v>
      </c>
      <c r="BA63">
        <v>175350</v>
      </c>
      <c r="BB63">
        <v>188651</v>
      </c>
      <c r="BC63" s="173">
        <v>1056437</v>
      </c>
      <c r="BD63" s="34">
        <v>1308990</v>
      </c>
      <c r="BE63" s="34">
        <v>265909</v>
      </c>
      <c r="BF63" s="34">
        <v>38496</v>
      </c>
      <c r="BG63" s="173">
        <v>52516</v>
      </c>
      <c r="BH63">
        <v>47102</v>
      </c>
      <c r="BI63">
        <v>-71192</v>
      </c>
      <c r="BJ63" s="173">
        <v>35030</v>
      </c>
      <c r="BK63" s="34">
        <v>575737</v>
      </c>
      <c r="BL63" s="173">
        <v>32398</v>
      </c>
      <c r="BM63" s="34">
        <v>46360</v>
      </c>
      <c r="BN63">
        <v>496177</v>
      </c>
      <c r="BO63">
        <v>174710</v>
      </c>
      <c r="BP63">
        <v>197273</v>
      </c>
      <c r="BQ63" s="173">
        <v>1075700</v>
      </c>
      <c r="BR63" s="34">
        <v>1349812</v>
      </c>
      <c r="BS63" s="34">
        <v>257034</v>
      </c>
      <c r="BT63" s="34">
        <v>11212</v>
      </c>
      <c r="BU63" s="173">
        <v>56193</v>
      </c>
      <c r="BV63">
        <v>47240</v>
      </c>
      <c r="BW63" s="173">
        <v>-54101</v>
      </c>
      <c r="BX63" s="173">
        <v>10954</v>
      </c>
      <c r="BY63" s="34">
        <v>589406</v>
      </c>
      <c r="BZ63" s="173">
        <v>37544</v>
      </c>
      <c r="CA63" s="34">
        <v>47956</v>
      </c>
      <c r="CB63">
        <v>515826</v>
      </c>
      <c r="CC63">
        <v>173781</v>
      </c>
      <c r="CD63">
        <v>669979</v>
      </c>
      <c r="CE63">
        <v>267985</v>
      </c>
      <c r="CF63">
        <v>194702</v>
      </c>
      <c r="CG63">
        <v>7909</v>
      </c>
      <c r="CH63">
        <v>585493</v>
      </c>
      <c r="CI63">
        <v>32356</v>
      </c>
      <c r="CJ63">
        <v>52130</v>
      </c>
      <c r="CK63">
        <v>49884</v>
      </c>
      <c r="CL63">
        <v>-70241</v>
      </c>
      <c r="CM63">
        <v>48801</v>
      </c>
      <c r="CN63">
        <v>562003</v>
      </c>
      <c r="CO63">
        <v>1084618</v>
      </c>
      <c r="CP63">
        <v>-1627</v>
      </c>
      <c r="CQ63">
        <v>58344</v>
      </c>
      <c r="CR63" s="57">
        <v>20.636363636363637</v>
      </c>
      <c r="CS63">
        <v>172720</v>
      </c>
      <c r="CT63" s="34">
        <v>683973</v>
      </c>
      <c r="CU63" s="34">
        <v>263443</v>
      </c>
      <c r="CV63">
        <v>189720</v>
      </c>
      <c r="CW63" s="173">
        <v>441</v>
      </c>
      <c r="CX63" s="34">
        <v>590484</v>
      </c>
      <c r="CY63" s="173">
        <v>38902</v>
      </c>
      <c r="CZ63" s="34">
        <v>54587</v>
      </c>
      <c r="DA63" s="173">
        <v>73462</v>
      </c>
      <c r="DB63" s="173">
        <v>-40625</v>
      </c>
      <c r="DC63">
        <v>55539</v>
      </c>
      <c r="DD63">
        <v>542420</v>
      </c>
      <c r="DE63" s="173">
        <v>1064115</v>
      </c>
      <c r="DF63" s="173">
        <v>18350</v>
      </c>
      <c r="DG63" s="173">
        <v>76693</v>
      </c>
      <c r="DH63" s="57">
        <v>20.954545454545453</v>
      </c>
      <c r="DI63" s="34">
        <v>2890</v>
      </c>
      <c r="DJ63">
        <v>171364</v>
      </c>
      <c r="DK63" s="34">
        <v>677113</v>
      </c>
      <c r="DL63" s="34">
        <v>259510</v>
      </c>
      <c r="DM63" s="172">
        <v>194567</v>
      </c>
      <c r="DN63" s="173">
        <v>-1242</v>
      </c>
      <c r="DO63" s="34">
        <v>584721</v>
      </c>
      <c r="DP63" s="173">
        <v>37081</v>
      </c>
      <c r="DQ63" s="34">
        <v>55311</v>
      </c>
      <c r="DR63" s="173">
        <v>45082</v>
      </c>
      <c r="DS63" s="34">
        <v>-55240</v>
      </c>
      <c r="DT63">
        <v>68157</v>
      </c>
      <c r="DU63">
        <v>552005</v>
      </c>
      <c r="DV63" s="173">
        <v>1084204</v>
      </c>
      <c r="DW63" s="173">
        <v>-12457</v>
      </c>
      <c r="DX63" s="173">
        <v>67248</v>
      </c>
      <c r="DY63" s="57">
        <v>21.022727272727273</v>
      </c>
    </row>
    <row r="64" spans="1:221" x14ac:dyDescent="0.2">
      <c r="A64" t="s">
        <v>110</v>
      </c>
      <c r="B64" s="34">
        <v>13647.945668572236</v>
      </c>
      <c r="C64" s="34">
        <v>15822.783745646037</v>
      </c>
      <c r="D64" s="34">
        <v>13903.759504720194</v>
      </c>
      <c r="E64" s="34">
        <v>17798.991881568792</v>
      </c>
      <c r="F64">
        <v>22403</v>
      </c>
      <c r="G64">
        <v>20369</v>
      </c>
      <c r="H64">
        <v>16844</v>
      </c>
      <c r="I64">
        <v>11552</v>
      </c>
      <c r="J64">
        <v>12324</v>
      </c>
      <c r="K64">
        <v>16129</v>
      </c>
      <c r="L64">
        <v>22717</v>
      </c>
      <c r="M64">
        <v>27017</v>
      </c>
      <c r="N64">
        <v>29548</v>
      </c>
      <c r="O64" s="34">
        <v>25253</v>
      </c>
      <c r="P64">
        <v>12700</v>
      </c>
      <c r="Q64">
        <v>32722</v>
      </c>
      <c r="R64">
        <v>73230</v>
      </c>
      <c r="S64">
        <v>64442</v>
      </c>
      <c r="T64" s="57">
        <v>18.875</v>
      </c>
      <c r="U64" s="57">
        <v>18.96875</v>
      </c>
      <c r="V64" s="57">
        <v>19</v>
      </c>
      <c r="W64" s="57">
        <v>19.125</v>
      </c>
      <c r="X64" s="57">
        <v>19.1875</v>
      </c>
      <c r="Y64" s="57">
        <v>19.1875</v>
      </c>
      <c r="Z64" s="57">
        <v>19.21875</v>
      </c>
      <c r="AA64" s="57">
        <v>19.25</v>
      </c>
      <c r="AB64" s="57">
        <v>19.40625</v>
      </c>
      <c r="AC64" s="57">
        <v>19.53125</v>
      </c>
      <c r="AD64" s="57">
        <v>19.59375</v>
      </c>
      <c r="AE64" s="57">
        <v>19.625</v>
      </c>
      <c r="AF64" s="57">
        <v>20</v>
      </c>
      <c r="AG64" s="57">
        <v>20.125</v>
      </c>
      <c r="AH64" s="57">
        <v>20.34375</v>
      </c>
      <c r="AI64" s="57">
        <v>20.6875</v>
      </c>
      <c r="AJ64" s="57">
        <v>21</v>
      </c>
      <c r="AK64" s="57">
        <v>21.125</v>
      </c>
      <c r="AL64">
        <v>68677</v>
      </c>
      <c r="AM64">
        <v>178531</v>
      </c>
      <c r="AN64">
        <v>520968</v>
      </c>
      <c r="AO64" s="34">
        <v>470554</v>
      </c>
      <c r="AP64" s="34">
        <v>137159</v>
      </c>
      <c r="AQ64">
        <v>1587</v>
      </c>
      <c r="AR64">
        <v>28209</v>
      </c>
      <c r="AS64">
        <v>27383</v>
      </c>
      <c r="AT64">
        <v>-49430</v>
      </c>
      <c r="AU64">
        <v>826</v>
      </c>
      <c r="AV64">
        <v>3656</v>
      </c>
      <c r="AW64" s="34">
        <v>202565</v>
      </c>
      <c r="AX64" s="173">
        <v>17609</v>
      </c>
      <c r="AY64" s="34">
        <v>15103</v>
      </c>
      <c r="AZ64">
        <v>326303</v>
      </c>
      <c r="BA64">
        <v>68832</v>
      </c>
      <c r="BB64">
        <v>173963</v>
      </c>
      <c r="BC64" s="173">
        <v>514478</v>
      </c>
      <c r="BD64" s="34">
        <v>486260</v>
      </c>
      <c r="BE64" s="34">
        <v>137831</v>
      </c>
      <c r="BF64" s="34">
        <v>10856</v>
      </c>
      <c r="BG64" s="173">
        <v>37890</v>
      </c>
      <c r="BH64">
        <v>28364</v>
      </c>
      <c r="BI64">
        <v>-55897</v>
      </c>
      <c r="BJ64" s="173">
        <v>20178</v>
      </c>
      <c r="BK64" s="34">
        <v>207186</v>
      </c>
      <c r="BL64" s="173">
        <v>17741</v>
      </c>
      <c r="BM64" s="34">
        <v>18203</v>
      </c>
      <c r="BN64">
        <v>363683</v>
      </c>
      <c r="BO64">
        <v>69032</v>
      </c>
      <c r="BP64">
        <v>120496</v>
      </c>
      <c r="BQ64" s="173">
        <v>489675</v>
      </c>
      <c r="BR64" s="34">
        <v>501092</v>
      </c>
      <c r="BS64" s="34">
        <v>138400</v>
      </c>
      <c r="BT64" s="34">
        <v>1915</v>
      </c>
      <c r="BU64" s="173">
        <v>17844</v>
      </c>
      <c r="BV64">
        <v>22640</v>
      </c>
      <c r="BW64" s="173">
        <v>-72572</v>
      </c>
      <c r="BX64" s="173">
        <v>-4386</v>
      </c>
      <c r="BY64" s="34">
        <v>211665</v>
      </c>
      <c r="BZ64" s="173">
        <v>20051</v>
      </c>
      <c r="CA64" s="34">
        <v>18830</v>
      </c>
      <c r="CB64">
        <v>333676</v>
      </c>
      <c r="CC64">
        <v>69027</v>
      </c>
      <c r="CD64">
        <v>249213</v>
      </c>
      <c r="CE64">
        <v>148601</v>
      </c>
      <c r="CF64">
        <v>119043</v>
      </c>
      <c r="CG64">
        <v>2065</v>
      </c>
      <c r="CH64">
        <v>211956</v>
      </c>
      <c r="CI64">
        <v>17940</v>
      </c>
      <c r="CJ64">
        <v>19317</v>
      </c>
      <c r="CK64">
        <v>16314</v>
      </c>
      <c r="CL64">
        <v>-24885</v>
      </c>
      <c r="CM64">
        <v>22112</v>
      </c>
      <c r="CN64">
        <v>328407</v>
      </c>
      <c r="CO64">
        <v>499377</v>
      </c>
      <c r="CP64">
        <v>-5686</v>
      </c>
      <c r="CQ64">
        <v>26536</v>
      </c>
      <c r="CR64" s="57">
        <v>21.3125</v>
      </c>
      <c r="CS64">
        <v>68780</v>
      </c>
      <c r="CT64" s="34">
        <v>256441</v>
      </c>
      <c r="CU64" s="34">
        <v>149510</v>
      </c>
      <c r="CV64">
        <v>75646</v>
      </c>
      <c r="CW64" s="173">
        <v>23544</v>
      </c>
      <c r="CX64" s="34">
        <v>214316</v>
      </c>
      <c r="CY64" s="173">
        <v>21591</v>
      </c>
      <c r="CZ64" s="34">
        <v>20534</v>
      </c>
      <c r="DA64" s="173">
        <v>26942</v>
      </c>
      <c r="DB64" s="173">
        <v>-23021</v>
      </c>
      <c r="DC64">
        <v>23924</v>
      </c>
      <c r="DD64">
        <v>338524</v>
      </c>
      <c r="DE64" s="173">
        <v>453728</v>
      </c>
      <c r="DF64" s="173">
        <v>2422</v>
      </c>
      <c r="DG64" s="173">
        <v>29831</v>
      </c>
      <c r="DH64" s="57">
        <v>21.46875</v>
      </c>
      <c r="DI64" s="34">
        <v>2490</v>
      </c>
      <c r="DJ64">
        <v>68437</v>
      </c>
      <c r="DK64" s="34">
        <v>252909</v>
      </c>
      <c r="DL64" s="34">
        <v>150639</v>
      </c>
      <c r="DM64" s="172">
        <v>77232</v>
      </c>
      <c r="DN64" s="173">
        <v>466</v>
      </c>
      <c r="DO64" s="34">
        <v>211875</v>
      </c>
      <c r="DP64" s="173">
        <v>20551</v>
      </c>
      <c r="DQ64" s="34">
        <v>20483</v>
      </c>
      <c r="DR64" s="173">
        <v>14693</v>
      </c>
      <c r="DS64" s="34">
        <v>-18645</v>
      </c>
      <c r="DT64">
        <v>21606</v>
      </c>
      <c r="DU64">
        <v>319435</v>
      </c>
      <c r="DV64" s="173">
        <v>466553</v>
      </c>
      <c r="DW64" s="173">
        <v>-4089</v>
      </c>
      <c r="DX64" s="173">
        <v>25745</v>
      </c>
      <c r="DY64" s="57">
        <v>21.625</v>
      </c>
    </row>
    <row r="65" spans="1:129" x14ac:dyDescent="0.2">
      <c r="A65" t="s">
        <v>112</v>
      </c>
      <c r="B65" s="34">
        <v>3747.2270015624654</v>
      </c>
      <c r="C65" s="34">
        <v>10636.372657352418</v>
      </c>
      <c r="D65" s="34">
        <v>7360.5764136615708</v>
      </c>
      <c r="E65" s="34">
        <v>9913.1645735679249</v>
      </c>
      <c r="F65">
        <v>33027</v>
      </c>
      <c r="G65">
        <v>44186</v>
      </c>
      <c r="H65">
        <v>32950</v>
      </c>
      <c r="I65">
        <v>14848</v>
      </c>
      <c r="J65">
        <v>9329</v>
      </c>
      <c r="K65">
        <v>9282</v>
      </c>
      <c r="L65">
        <v>16087</v>
      </c>
      <c r="M65">
        <v>91</v>
      </c>
      <c r="N65">
        <v>13472</v>
      </c>
      <c r="O65" s="34">
        <v>12404</v>
      </c>
      <c r="P65">
        <v>-26971</v>
      </c>
      <c r="Q65">
        <v>-75170</v>
      </c>
      <c r="R65">
        <v>-23442</v>
      </c>
      <c r="S65">
        <v>-52136</v>
      </c>
      <c r="T65" s="57">
        <v>17.642857142857142</v>
      </c>
      <c r="U65" s="57">
        <v>17.75</v>
      </c>
      <c r="V65" s="57">
        <v>18</v>
      </c>
      <c r="W65" s="57">
        <v>18</v>
      </c>
      <c r="X65" s="57">
        <v>18</v>
      </c>
      <c r="Y65" s="57">
        <v>18.321428571428573</v>
      </c>
      <c r="Z65" s="57">
        <v>18.392857142857142</v>
      </c>
      <c r="AA65" s="57">
        <v>18.571428571428573</v>
      </c>
      <c r="AB65" s="57">
        <v>18.785714285714285</v>
      </c>
      <c r="AC65" s="57">
        <v>18.785714285714285</v>
      </c>
      <c r="AD65" s="57">
        <v>19.035714285714285</v>
      </c>
      <c r="AE65" s="57">
        <v>19.25</v>
      </c>
      <c r="AF65" s="57">
        <v>19.464285714285715</v>
      </c>
      <c r="AG65" s="57">
        <v>19.607142857142858</v>
      </c>
      <c r="AH65" s="57">
        <v>19.75</v>
      </c>
      <c r="AI65" s="57">
        <v>20</v>
      </c>
      <c r="AJ65" s="57">
        <v>20.142857142857142</v>
      </c>
      <c r="AK65" s="57">
        <v>20.285714285714285</v>
      </c>
      <c r="AL65">
        <v>180845</v>
      </c>
      <c r="AM65">
        <v>242315</v>
      </c>
      <c r="AN65">
        <v>1205597</v>
      </c>
      <c r="AO65" s="34">
        <v>1338428</v>
      </c>
      <c r="AP65" s="34">
        <v>327742</v>
      </c>
      <c r="AQ65">
        <v>18311</v>
      </c>
      <c r="AR65">
        <v>43907</v>
      </c>
      <c r="AS65">
        <v>55754</v>
      </c>
      <c r="AT65">
        <v>-59108</v>
      </c>
      <c r="AU65">
        <v>-12011</v>
      </c>
      <c r="AV65">
        <v>-10613</v>
      </c>
      <c r="AW65" s="34">
        <v>590914</v>
      </c>
      <c r="AX65" s="173">
        <v>31488</v>
      </c>
      <c r="AY65" s="34">
        <v>46812</v>
      </c>
      <c r="AZ65">
        <v>556030</v>
      </c>
      <c r="BA65">
        <v>179858</v>
      </c>
      <c r="BB65">
        <v>246569</v>
      </c>
      <c r="BC65" s="173">
        <v>1224675</v>
      </c>
      <c r="BD65" s="34">
        <v>1344158</v>
      </c>
      <c r="BE65" s="34">
        <v>329233</v>
      </c>
      <c r="BF65" s="34">
        <v>59824</v>
      </c>
      <c r="BG65" s="173">
        <v>31868</v>
      </c>
      <c r="BH65">
        <v>57130</v>
      </c>
      <c r="BI65">
        <v>-38236</v>
      </c>
      <c r="BJ65" s="173">
        <v>23853</v>
      </c>
      <c r="BK65" s="34">
        <v>585330</v>
      </c>
      <c r="BL65" s="173">
        <v>36782</v>
      </c>
      <c r="BM65" s="34">
        <v>49967</v>
      </c>
      <c r="BN65">
        <v>566694</v>
      </c>
      <c r="BO65">
        <v>178688</v>
      </c>
      <c r="BP65">
        <v>225554</v>
      </c>
      <c r="BQ65" s="173">
        <v>1222226</v>
      </c>
      <c r="BR65" s="34">
        <v>1375038</v>
      </c>
      <c r="BS65" s="34">
        <v>337423</v>
      </c>
      <c r="BT65" s="34">
        <v>34788</v>
      </c>
      <c r="BU65" s="173">
        <v>40579</v>
      </c>
      <c r="BV65">
        <v>54020</v>
      </c>
      <c r="BW65" s="173">
        <v>-63527</v>
      </c>
      <c r="BX65" s="173">
        <v>-11012</v>
      </c>
      <c r="BY65" s="34">
        <v>597066</v>
      </c>
      <c r="BZ65" s="173">
        <v>38515</v>
      </c>
      <c r="CA65" s="34">
        <v>51938</v>
      </c>
      <c r="CB65">
        <v>613474</v>
      </c>
      <c r="CC65">
        <v>177659</v>
      </c>
      <c r="CD65">
        <v>693724</v>
      </c>
      <c r="CE65">
        <v>361410</v>
      </c>
      <c r="CF65">
        <v>229744</v>
      </c>
      <c r="CG65">
        <v>15486</v>
      </c>
      <c r="CH65">
        <v>602839</v>
      </c>
      <c r="CI65">
        <v>33857</v>
      </c>
      <c r="CJ65">
        <v>57028</v>
      </c>
      <c r="CK65">
        <v>57186</v>
      </c>
      <c r="CL65">
        <v>-51857</v>
      </c>
      <c r="CM65">
        <v>57062</v>
      </c>
      <c r="CN65">
        <v>621828</v>
      </c>
      <c r="CO65">
        <v>1238107</v>
      </c>
      <c r="CP65">
        <v>2335</v>
      </c>
      <c r="CQ65">
        <v>-22094</v>
      </c>
      <c r="CR65" s="57">
        <v>20.392857142857142</v>
      </c>
      <c r="CS65">
        <v>175511</v>
      </c>
      <c r="CT65" s="34">
        <v>698720</v>
      </c>
      <c r="CU65" s="34">
        <v>354436</v>
      </c>
      <c r="CV65">
        <v>213583</v>
      </c>
      <c r="CW65" s="173">
        <v>52453</v>
      </c>
      <c r="CX65" s="34">
        <v>601970</v>
      </c>
      <c r="CY65" s="173">
        <v>41214</v>
      </c>
      <c r="CZ65" s="34">
        <v>55536</v>
      </c>
      <c r="DA65" s="173">
        <v>75526</v>
      </c>
      <c r="DB65" s="173">
        <v>-24993</v>
      </c>
      <c r="DC65">
        <v>67355</v>
      </c>
      <c r="DD65">
        <v>633242</v>
      </c>
      <c r="DE65" s="173">
        <v>1201815</v>
      </c>
      <c r="DF65" s="173">
        <v>47811</v>
      </c>
      <c r="DG65" s="173">
        <v>25819</v>
      </c>
      <c r="DH65" s="57">
        <v>20.535714285714285</v>
      </c>
      <c r="DI65" s="34">
        <v>1760</v>
      </c>
      <c r="DJ65">
        <v>173388</v>
      </c>
      <c r="DK65" s="34">
        <v>684664</v>
      </c>
      <c r="DL65" s="34">
        <v>360483</v>
      </c>
      <c r="DM65" s="172">
        <v>212790</v>
      </c>
      <c r="DN65" s="173">
        <v>16790</v>
      </c>
      <c r="DO65" s="34">
        <v>589719</v>
      </c>
      <c r="DP65" s="173">
        <v>46658</v>
      </c>
      <c r="DQ65" s="34">
        <v>48287</v>
      </c>
      <c r="DR65" s="173">
        <v>17950</v>
      </c>
      <c r="DS65" s="34">
        <v>-65526</v>
      </c>
      <c r="DT65">
        <v>55004</v>
      </c>
      <c r="DU65">
        <v>689203</v>
      </c>
      <c r="DV65" s="173">
        <v>1248843</v>
      </c>
      <c r="DW65" s="173">
        <v>-28672</v>
      </c>
      <c r="DX65" s="173">
        <v>31033</v>
      </c>
      <c r="DY65" s="57">
        <v>20.607142857142858</v>
      </c>
    </row>
    <row r="66" spans="1:129" x14ac:dyDescent="0.2">
      <c r="A66" t="s">
        <v>111</v>
      </c>
      <c r="B66" s="34">
        <v>-4822.2842275044441</v>
      </c>
      <c r="C66" s="34">
        <v>-3871.8542550704451</v>
      </c>
      <c r="D66" s="34">
        <v>40178.918316169744</v>
      </c>
      <c r="E66" s="34">
        <v>38261.744142434996</v>
      </c>
      <c r="F66">
        <v>48703</v>
      </c>
      <c r="G66">
        <v>52890</v>
      </c>
      <c r="H66">
        <v>17798</v>
      </c>
      <c r="I66">
        <v>109791</v>
      </c>
      <c r="J66">
        <v>115646</v>
      </c>
      <c r="K66">
        <v>101574</v>
      </c>
      <c r="L66">
        <v>126282</v>
      </c>
      <c r="M66">
        <v>188255</v>
      </c>
      <c r="N66">
        <v>214253</v>
      </c>
      <c r="O66" s="34">
        <v>198835</v>
      </c>
      <c r="P66">
        <v>136300</v>
      </c>
      <c r="Q66">
        <v>213570</v>
      </c>
      <c r="R66">
        <v>249150</v>
      </c>
      <c r="S66">
        <v>266220</v>
      </c>
      <c r="T66" s="57">
        <v>18.282608695652176</v>
      </c>
      <c r="U66" s="57">
        <v>18.282608695652176</v>
      </c>
      <c r="V66" s="57">
        <v>18.358695652173914</v>
      </c>
      <c r="W66" s="57">
        <v>18.380434782608695</v>
      </c>
      <c r="X66" s="57">
        <v>18.478260869565219</v>
      </c>
      <c r="Y66" s="57">
        <v>18.684782608695652</v>
      </c>
      <c r="Z66" s="57">
        <v>18.684782608695652</v>
      </c>
      <c r="AA66" s="57">
        <v>18.815217391304348</v>
      </c>
      <c r="AB66" s="57">
        <v>18.945652173913043</v>
      </c>
      <c r="AC66" s="57">
        <v>18.978260869565219</v>
      </c>
      <c r="AD66" s="57">
        <v>19.086956521739129</v>
      </c>
      <c r="AE66" s="57">
        <v>19.163043478260871</v>
      </c>
      <c r="AF66" s="57">
        <v>19.576086956521738</v>
      </c>
      <c r="AG66" s="57">
        <v>19.663043478260871</v>
      </c>
      <c r="AH66" s="57">
        <v>19.945652173913043</v>
      </c>
      <c r="AI66" s="57">
        <v>20.271739130434781</v>
      </c>
      <c r="AJ66" s="57">
        <v>20.543478260869566</v>
      </c>
      <c r="AK66" s="57">
        <v>20.782608695652176</v>
      </c>
      <c r="AL66">
        <v>275320</v>
      </c>
      <c r="AM66">
        <v>383275</v>
      </c>
      <c r="AN66">
        <v>1745511</v>
      </c>
      <c r="AO66" s="34">
        <v>1862758</v>
      </c>
      <c r="AP66" s="34">
        <v>496530</v>
      </c>
      <c r="AQ66">
        <v>16274</v>
      </c>
      <c r="AR66">
        <v>79323</v>
      </c>
      <c r="AS66">
        <v>118345</v>
      </c>
      <c r="AT66">
        <v>-181183</v>
      </c>
      <c r="AU66">
        <v>-39603</v>
      </c>
      <c r="AV66">
        <v>-36360</v>
      </c>
      <c r="AW66" s="34">
        <v>816211</v>
      </c>
      <c r="AX66" s="173">
        <v>49210</v>
      </c>
      <c r="AY66" s="34">
        <v>65958</v>
      </c>
      <c r="AZ66">
        <v>783433</v>
      </c>
      <c r="BA66">
        <v>275360</v>
      </c>
      <c r="BB66">
        <v>387084</v>
      </c>
      <c r="BC66" s="173">
        <v>1743840</v>
      </c>
      <c r="BD66" s="34">
        <v>1893818</v>
      </c>
      <c r="BE66" s="34">
        <v>497973</v>
      </c>
      <c r="BF66" s="34">
        <v>17118</v>
      </c>
      <c r="BG66" s="173">
        <v>101612</v>
      </c>
      <c r="BH66">
        <v>99429</v>
      </c>
      <c r="BI66">
        <v>-104963</v>
      </c>
      <c r="BJ66" s="173">
        <v>4720</v>
      </c>
      <c r="BK66" s="34">
        <v>820035</v>
      </c>
      <c r="BL66" s="173">
        <v>54683</v>
      </c>
      <c r="BM66" s="34">
        <v>72191</v>
      </c>
      <c r="BN66">
        <v>821515</v>
      </c>
      <c r="BO66">
        <v>275780</v>
      </c>
      <c r="BP66">
        <v>390371</v>
      </c>
      <c r="BQ66" s="173">
        <v>1779420</v>
      </c>
      <c r="BR66" s="34">
        <v>1936726</v>
      </c>
      <c r="BS66" s="34">
        <v>506308</v>
      </c>
      <c r="BT66" s="34">
        <v>35529</v>
      </c>
      <c r="BU66" s="173">
        <v>101733</v>
      </c>
      <c r="BV66">
        <v>104820</v>
      </c>
      <c r="BW66" s="173">
        <v>-161365</v>
      </c>
      <c r="BX66" s="173">
        <v>8079</v>
      </c>
      <c r="BY66" s="34">
        <v>831294</v>
      </c>
      <c r="BZ66" s="173">
        <v>61361</v>
      </c>
      <c r="CA66" s="34">
        <v>75708</v>
      </c>
      <c r="CB66">
        <v>841915</v>
      </c>
      <c r="CC66">
        <v>276196</v>
      </c>
      <c r="CD66">
        <v>983692</v>
      </c>
      <c r="CE66">
        <v>542112</v>
      </c>
      <c r="CF66">
        <v>395209</v>
      </c>
      <c r="CG66">
        <v>12738</v>
      </c>
      <c r="CH66">
        <v>842906</v>
      </c>
      <c r="CI66">
        <v>59085</v>
      </c>
      <c r="CJ66">
        <v>81701</v>
      </c>
      <c r="CK66">
        <v>117861</v>
      </c>
      <c r="CL66">
        <v>-94365</v>
      </c>
      <c r="CM66">
        <v>106740</v>
      </c>
      <c r="CN66">
        <v>839171</v>
      </c>
      <c r="CO66">
        <v>1813682</v>
      </c>
      <c r="CP66">
        <v>12022</v>
      </c>
      <c r="CQ66">
        <v>144773</v>
      </c>
      <c r="CR66" s="57">
        <v>20.793478260869566</v>
      </c>
      <c r="CS66">
        <v>276031</v>
      </c>
      <c r="CT66" s="34">
        <v>997814</v>
      </c>
      <c r="CU66" s="34">
        <v>535035</v>
      </c>
      <c r="CV66">
        <v>382802</v>
      </c>
      <c r="CW66" s="173">
        <v>12893</v>
      </c>
      <c r="CX66" s="34">
        <v>844427</v>
      </c>
      <c r="CY66" s="173">
        <v>70728</v>
      </c>
      <c r="CZ66" s="34">
        <v>82659</v>
      </c>
      <c r="DA66" s="173">
        <v>137881</v>
      </c>
      <c r="DB66" s="173">
        <v>-79259</v>
      </c>
      <c r="DC66">
        <v>110648</v>
      </c>
      <c r="DD66">
        <v>815109</v>
      </c>
      <c r="DE66" s="173">
        <v>1789304</v>
      </c>
      <c r="DF66" s="173">
        <v>28579</v>
      </c>
      <c r="DG66" s="173">
        <v>173424</v>
      </c>
      <c r="DH66" s="57">
        <v>20.836956521739129</v>
      </c>
      <c r="DI66" s="34">
        <v>7020</v>
      </c>
      <c r="DJ66">
        <v>275521</v>
      </c>
      <c r="DK66" s="34">
        <v>987642</v>
      </c>
      <c r="DL66" s="34">
        <v>525185</v>
      </c>
      <c r="DM66" s="172">
        <v>383648</v>
      </c>
      <c r="DN66" s="173">
        <v>34247</v>
      </c>
      <c r="DO66" s="34">
        <v>834488</v>
      </c>
      <c r="DP66" s="173">
        <v>68101</v>
      </c>
      <c r="DQ66" s="34">
        <v>85053</v>
      </c>
      <c r="DR66" s="173">
        <v>88801</v>
      </c>
      <c r="DS66" s="34">
        <v>-84406</v>
      </c>
      <c r="DT66">
        <v>103157</v>
      </c>
      <c r="DU66">
        <v>782425</v>
      </c>
      <c r="DV66" s="173">
        <v>1826494</v>
      </c>
      <c r="DW66" s="173">
        <v>1538</v>
      </c>
      <c r="DX66" s="173">
        <v>175134</v>
      </c>
      <c r="DY66" s="57">
        <v>21.032608695652176</v>
      </c>
    </row>
    <row r="67" spans="1:129" x14ac:dyDescent="0.2">
      <c r="A67" t="s">
        <v>108</v>
      </c>
      <c r="B67" s="34">
        <v>-10696.752122952101</v>
      </c>
      <c r="C67" s="34">
        <v>-15476.316617135317</v>
      </c>
      <c r="D67" s="34">
        <v>-5102.6535009157824</v>
      </c>
      <c r="E67" s="34">
        <v>-12683.387910315469</v>
      </c>
      <c r="F67">
        <v>2145</v>
      </c>
      <c r="G67">
        <v>-1780</v>
      </c>
      <c r="H67">
        <v>-12007</v>
      </c>
      <c r="I67">
        <v>-17510</v>
      </c>
      <c r="J67">
        <v>-16417</v>
      </c>
      <c r="K67">
        <v>-17534</v>
      </c>
      <c r="L67">
        <v>-12915</v>
      </c>
      <c r="M67">
        <v>-15817</v>
      </c>
      <c r="N67">
        <v>1549</v>
      </c>
      <c r="O67" s="34">
        <v>-3473</v>
      </c>
      <c r="P67">
        <v>-11201</v>
      </c>
      <c r="Q67">
        <v>210700</v>
      </c>
      <c r="R67">
        <v>238526</v>
      </c>
      <c r="S67">
        <v>222456</v>
      </c>
      <c r="T67" s="57">
        <v>18.59375</v>
      </c>
      <c r="U67" s="57">
        <v>18.5625</v>
      </c>
      <c r="V67" s="57">
        <v>18.625</v>
      </c>
      <c r="W67" s="57">
        <v>18.6875</v>
      </c>
      <c r="X67" s="57">
        <v>18.96875</v>
      </c>
      <c r="Y67" s="57">
        <v>18.96875</v>
      </c>
      <c r="Z67" s="57">
        <v>18.96875</v>
      </c>
      <c r="AA67" s="57">
        <v>18.96875</v>
      </c>
      <c r="AB67" s="57">
        <v>19.09375</v>
      </c>
      <c r="AC67" s="57">
        <v>19.125</v>
      </c>
      <c r="AD67" s="57">
        <v>19.5</v>
      </c>
      <c r="AE67" s="57">
        <v>19.5</v>
      </c>
      <c r="AF67" s="57">
        <v>20</v>
      </c>
      <c r="AG67" s="57">
        <v>20</v>
      </c>
      <c r="AH67" s="57">
        <v>20</v>
      </c>
      <c r="AI67" s="57">
        <v>20.78125</v>
      </c>
      <c r="AJ67" s="57">
        <v>21.25</v>
      </c>
      <c r="AK67" s="57">
        <v>21.375</v>
      </c>
      <c r="AL67">
        <v>76782</v>
      </c>
      <c r="AM67">
        <v>97077</v>
      </c>
      <c r="AN67">
        <v>570729</v>
      </c>
      <c r="AO67" s="34">
        <v>510178</v>
      </c>
      <c r="AP67" s="34">
        <v>244670</v>
      </c>
      <c r="AQ67">
        <v>112622</v>
      </c>
      <c r="AR67">
        <v>32603</v>
      </c>
      <c r="AS67">
        <v>24623</v>
      </c>
      <c r="AT67">
        <v>38466</v>
      </c>
      <c r="AU67">
        <v>112930</v>
      </c>
      <c r="AV67">
        <v>114144</v>
      </c>
      <c r="AW67" s="34">
        <v>221694</v>
      </c>
      <c r="AX67" s="173">
        <v>14595</v>
      </c>
      <c r="AY67" s="34">
        <v>18800</v>
      </c>
      <c r="AZ67">
        <v>155861</v>
      </c>
      <c r="BA67">
        <v>76119</v>
      </c>
      <c r="BB67">
        <v>94695</v>
      </c>
      <c r="BC67" s="173">
        <v>562203</v>
      </c>
      <c r="BD67" s="34">
        <v>528554</v>
      </c>
      <c r="BE67" s="34">
        <v>233083</v>
      </c>
      <c r="BF67" s="34">
        <v>12574</v>
      </c>
      <c r="BG67" s="173">
        <v>37731</v>
      </c>
      <c r="BH67">
        <v>24385</v>
      </c>
      <c r="BI67">
        <v>-24837</v>
      </c>
      <c r="BJ67" s="173">
        <v>15748</v>
      </c>
      <c r="BK67" s="34">
        <v>226186</v>
      </c>
      <c r="BL67" s="173">
        <v>16467</v>
      </c>
      <c r="BM67" s="34">
        <v>21624</v>
      </c>
      <c r="BN67">
        <v>154268</v>
      </c>
      <c r="BO67">
        <v>75324</v>
      </c>
      <c r="BP67">
        <v>96142</v>
      </c>
      <c r="BQ67" s="173">
        <v>581889</v>
      </c>
      <c r="BR67" s="34">
        <v>534900</v>
      </c>
      <c r="BS67" s="34">
        <v>232034</v>
      </c>
      <c r="BT67" s="34">
        <v>8928</v>
      </c>
      <c r="BU67" s="173">
        <v>21102</v>
      </c>
      <c r="BV67">
        <v>24434</v>
      </c>
      <c r="BW67" s="173">
        <v>-50457</v>
      </c>
      <c r="BX67" s="173">
        <v>-2136</v>
      </c>
      <c r="BY67" s="34">
        <v>227859</v>
      </c>
      <c r="BZ67" s="173">
        <v>17897</v>
      </c>
      <c r="CA67" s="34">
        <v>21694</v>
      </c>
      <c r="CB67">
        <v>174223</v>
      </c>
      <c r="CC67">
        <v>74803</v>
      </c>
      <c r="CD67">
        <v>263386</v>
      </c>
      <c r="CE67">
        <v>240067</v>
      </c>
      <c r="CF67">
        <v>88923</v>
      </c>
      <c r="CG67">
        <v>8624</v>
      </c>
      <c r="CH67">
        <v>225287</v>
      </c>
      <c r="CI67">
        <v>15715</v>
      </c>
      <c r="CJ67">
        <v>22384</v>
      </c>
      <c r="CK67">
        <v>26310</v>
      </c>
      <c r="CL67">
        <v>-49985</v>
      </c>
      <c r="CM67">
        <v>25091</v>
      </c>
      <c r="CN67">
        <v>207508</v>
      </c>
      <c r="CO67">
        <v>573577</v>
      </c>
      <c r="CP67">
        <v>2873</v>
      </c>
      <c r="CQ67">
        <v>116806</v>
      </c>
      <c r="CR67" s="57">
        <v>21.375</v>
      </c>
      <c r="CS67">
        <v>73959</v>
      </c>
      <c r="CT67" s="34">
        <v>267169</v>
      </c>
      <c r="CU67" s="34">
        <v>238253</v>
      </c>
      <c r="CV67">
        <v>92874</v>
      </c>
      <c r="CW67" s="173">
        <v>8461</v>
      </c>
      <c r="CX67" s="34">
        <v>226820</v>
      </c>
      <c r="CY67" s="173">
        <v>17605</v>
      </c>
      <c r="CZ67" s="34">
        <v>22744</v>
      </c>
      <c r="DA67" s="173">
        <v>28328</v>
      </c>
      <c r="DB67" s="173">
        <v>-44430</v>
      </c>
      <c r="DC67">
        <v>28740</v>
      </c>
      <c r="DD67">
        <v>230599</v>
      </c>
      <c r="DE67" s="173">
        <v>578235</v>
      </c>
      <c r="DF67" s="173">
        <v>2006</v>
      </c>
      <c r="DG67" s="173">
        <v>110902</v>
      </c>
      <c r="DH67" s="57">
        <v>21.375</v>
      </c>
      <c r="DI67" s="34">
        <v>2300</v>
      </c>
      <c r="DJ67">
        <v>73061</v>
      </c>
      <c r="DK67" s="34">
        <v>259785</v>
      </c>
      <c r="DL67" s="34">
        <v>237094</v>
      </c>
      <c r="DM67" s="172">
        <v>87723</v>
      </c>
      <c r="DN67" s="173">
        <v>5149</v>
      </c>
      <c r="DO67" s="34">
        <v>219907</v>
      </c>
      <c r="DP67" s="173">
        <v>16381</v>
      </c>
      <c r="DQ67" s="34">
        <v>23497</v>
      </c>
      <c r="DR67" s="173">
        <v>564</v>
      </c>
      <c r="DS67" s="34">
        <v>-29834</v>
      </c>
      <c r="DT67">
        <v>28622</v>
      </c>
      <c r="DU67">
        <v>237663</v>
      </c>
      <c r="DV67" s="173">
        <v>589187</v>
      </c>
      <c r="DW67" s="173">
        <v>-25762</v>
      </c>
      <c r="DX67" s="173">
        <v>84992</v>
      </c>
      <c r="DY67" s="57">
        <v>21.375</v>
      </c>
    </row>
    <row r="68" spans="1:129" x14ac:dyDescent="0.2">
      <c r="A68" t="s">
        <v>118</v>
      </c>
      <c r="B68" s="34">
        <v>-17291.40071950795</v>
      </c>
      <c r="C68" s="34">
        <v>8223.3804764091201</v>
      </c>
      <c r="D68" s="34">
        <v>-19188.728717920254</v>
      </c>
      <c r="E68" s="34">
        <v>-6044.1695132473205</v>
      </c>
      <c r="F68">
        <v>38288</v>
      </c>
      <c r="G68">
        <v>39104</v>
      </c>
      <c r="H68">
        <v>19798</v>
      </c>
      <c r="I68">
        <v>-13029</v>
      </c>
      <c r="J68">
        <v>35530</v>
      </c>
      <c r="K68">
        <v>22399</v>
      </c>
      <c r="L68">
        <v>25040</v>
      </c>
      <c r="M68">
        <v>29885</v>
      </c>
      <c r="N68">
        <v>48614</v>
      </c>
      <c r="O68" s="34">
        <v>53158</v>
      </c>
      <c r="P68">
        <v>42966</v>
      </c>
      <c r="Q68">
        <v>50448</v>
      </c>
      <c r="R68">
        <v>326826</v>
      </c>
      <c r="S68">
        <v>319314</v>
      </c>
      <c r="T68" s="57">
        <v>18.305555555555557</v>
      </c>
      <c r="U68" s="57">
        <v>18.333333333333332</v>
      </c>
      <c r="V68" s="57">
        <v>18.347222222222221</v>
      </c>
      <c r="W68" s="57">
        <v>18.347222222222221</v>
      </c>
      <c r="X68" s="57">
        <v>18.430555555555557</v>
      </c>
      <c r="Y68" s="57">
        <v>18.458333333333332</v>
      </c>
      <c r="Z68" s="57">
        <v>18.458333333333332</v>
      </c>
      <c r="AA68" s="57">
        <v>18.708333333333332</v>
      </c>
      <c r="AB68" s="57">
        <v>18.916666666666668</v>
      </c>
      <c r="AC68" s="57">
        <v>19.041666666666668</v>
      </c>
      <c r="AD68" s="57">
        <v>19.152777777777779</v>
      </c>
      <c r="AE68" s="57">
        <v>19.277777777777779</v>
      </c>
      <c r="AF68" s="57">
        <v>19.611111111111111</v>
      </c>
      <c r="AG68" s="57">
        <v>19.611111111111111</v>
      </c>
      <c r="AH68" s="57">
        <v>19.763888888888889</v>
      </c>
      <c r="AI68" s="57">
        <v>20.027777777777779</v>
      </c>
      <c r="AJ68" s="57">
        <v>20.513888888888889</v>
      </c>
      <c r="AK68" s="57">
        <v>20.805555555555557</v>
      </c>
      <c r="AL68">
        <v>248430</v>
      </c>
      <c r="AM68">
        <v>428725</v>
      </c>
      <c r="AN68">
        <v>1710363</v>
      </c>
      <c r="AO68" s="34">
        <v>1654102</v>
      </c>
      <c r="AP68" s="34">
        <v>507847</v>
      </c>
      <c r="AQ68">
        <v>22499</v>
      </c>
      <c r="AR68">
        <v>64116</v>
      </c>
      <c r="AS68">
        <v>82798</v>
      </c>
      <c r="AT68">
        <v>-122219</v>
      </c>
      <c r="AU68">
        <v>-15386</v>
      </c>
      <c r="AV68">
        <v>-16034</v>
      </c>
      <c r="AW68" s="34">
        <v>724618</v>
      </c>
      <c r="AX68" s="173">
        <v>44276</v>
      </c>
      <c r="AY68" s="34">
        <v>58157</v>
      </c>
      <c r="AZ68">
        <v>580727</v>
      </c>
      <c r="BA68">
        <v>248407</v>
      </c>
      <c r="BB68">
        <v>430210</v>
      </c>
      <c r="BC68" s="173">
        <v>1728001</v>
      </c>
      <c r="BD68" s="34">
        <v>1741744</v>
      </c>
      <c r="BE68" s="34">
        <v>509883</v>
      </c>
      <c r="BF68" s="34">
        <v>154619</v>
      </c>
      <c r="BG68" s="173">
        <v>93107</v>
      </c>
      <c r="BH68">
        <v>91442</v>
      </c>
      <c r="BI68">
        <v>-75024</v>
      </c>
      <c r="BJ68" s="173">
        <v>136087</v>
      </c>
      <c r="BK68" s="34">
        <v>751085</v>
      </c>
      <c r="BL68" s="173">
        <v>53566</v>
      </c>
      <c r="BM68" s="34">
        <v>66221</v>
      </c>
      <c r="BN68">
        <v>656034</v>
      </c>
      <c r="BO68">
        <v>248129</v>
      </c>
      <c r="BP68">
        <v>372707</v>
      </c>
      <c r="BQ68" s="173">
        <v>1708978</v>
      </c>
      <c r="BR68" s="34">
        <v>1786144</v>
      </c>
      <c r="BS68" s="34">
        <v>516471</v>
      </c>
      <c r="BT68" s="34">
        <v>25205</v>
      </c>
      <c r="BU68" s="173">
        <v>86657</v>
      </c>
      <c r="BV68">
        <v>93020</v>
      </c>
      <c r="BW68" s="173">
        <v>-87246</v>
      </c>
      <c r="BX68" s="173">
        <v>-4274</v>
      </c>
      <c r="BY68" s="34">
        <v>763572</v>
      </c>
      <c r="BZ68" s="173">
        <v>58324</v>
      </c>
      <c r="CA68" s="34">
        <v>71176</v>
      </c>
      <c r="CB68">
        <v>654694</v>
      </c>
      <c r="CC68">
        <v>247776</v>
      </c>
      <c r="CD68">
        <v>883489</v>
      </c>
      <c r="CE68">
        <v>553071</v>
      </c>
      <c r="CF68">
        <v>376299</v>
      </c>
      <c r="CG68">
        <v>23051</v>
      </c>
      <c r="CH68">
        <v>762385</v>
      </c>
      <c r="CI68">
        <v>51320</v>
      </c>
      <c r="CJ68">
        <v>69784</v>
      </c>
      <c r="CK68">
        <v>91469</v>
      </c>
      <c r="CL68">
        <v>-114475</v>
      </c>
      <c r="CM68">
        <v>95106</v>
      </c>
      <c r="CN68">
        <v>683378</v>
      </c>
      <c r="CO68">
        <v>1733815</v>
      </c>
      <c r="CP68">
        <v>-2945</v>
      </c>
      <c r="CQ68">
        <v>157013</v>
      </c>
      <c r="CR68" s="57">
        <v>20.875</v>
      </c>
      <c r="CS68">
        <v>246653</v>
      </c>
      <c r="CT68" s="34">
        <v>895862</v>
      </c>
      <c r="CU68" s="34">
        <v>556170</v>
      </c>
      <c r="CV68">
        <v>363815</v>
      </c>
      <c r="CW68" s="173">
        <v>15035</v>
      </c>
      <c r="CX68" s="34">
        <v>764011</v>
      </c>
      <c r="CY68" s="173">
        <v>73530</v>
      </c>
      <c r="CZ68" s="34">
        <v>58321</v>
      </c>
      <c r="DA68" s="173">
        <v>118535</v>
      </c>
      <c r="DB68" s="173">
        <v>-113146</v>
      </c>
      <c r="DC68">
        <v>92983</v>
      </c>
      <c r="DD68">
        <v>696963</v>
      </c>
      <c r="DE68" s="173">
        <v>1712050</v>
      </c>
      <c r="DF68" s="173">
        <v>25523</v>
      </c>
      <c r="DG68" s="173">
        <v>180883</v>
      </c>
      <c r="DH68" s="57">
        <v>20.930555555555557</v>
      </c>
      <c r="DI68" s="34">
        <v>5270</v>
      </c>
      <c r="DJ68">
        <v>245602</v>
      </c>
      <c r="DK68" s="34">
        <v>879083</v>
      </c>
      <c r="DL68" s="34">
        <v>557024</v>
      </c>
      <c r="DM68" s="172">
        <v>373773</v>
      </c>
      <c r="DN68" s="173">
        <v>34387</v>
      </c>
      <c r="DO68" s="34">
        <v>749908</v>
      </c>
      <c r="DP68" s="173">
        <v>57400</v>
      </c>
      <c r="DQ68" s="34">
        <v>71775</v>
      </c>
      <c r="DR68" s="173">
        <v>72135</v>
      </c>
      <c r="DS68" s="34">
        <v>-126358</v>
      </c>
      <c r="DT68">
        <v>97521</v>
      </c>
      <c r="DU68">
        <v>729915</v>
      </c>
      <c r="DV68" s="173">
        <v>1758697</v>
      </c>
      <c r="DW68" s="173">
        <v>-13092</v>
      </c>
      <c r="DX68" s="173">
        <v>167791</v>
      </c>
      <c r="DY68" s="57">
        <v>21.208333333333332</v>
      </c>
    </row>
    <row r="69" spans="1:129" x14ac:dyDescent="0.2">
      <c r="A69" t="s">
        <v>116</v>
      </c>
      <c r="B69" s="34">
        <v>-570.82982241036962</v>
      </c>
      <c r="C69" s="34">
        <v>-1307.3247523853245</v>
      </c>
      <c r="D69" s="34">
        <v>-6052.0743457910121</v>
      </c>
      <c r="E69" s="34">
        <v>3513.1094079280429</v>
      </c>
      <c r="F69">
        <v>24483</v>
      </c>
      <c r="G69">
        <v>27622</v>
      </c>
      <c r="H69">
        <v>33719</v>
      </c>
      <c r="I69">
        <v>21486</v>
      </c>
      <c r="J69">
        <v>29721</v>
      </c>
      <c r="K69">
        <v>34188</v>
      </c>
      <c r="L69">
        <v>38455</v>
      </c>
      <c r="M69">
        <v>39231</v>
      </c>
      <c r="N69">
        <v>56150</v>
      </c>
      <c r="O69" s="34">
        <v>61878</v>
      </c>
      <c r="P69">
        <v>38486</v>
      </c>
      <c r="Q69">
        <v>89092</v>
      </c>
      <c r="R69">
        <v>135732</v>
      </c>
      <c r="S69">
        <v>185572</v>
      </c>
      <c r="T69" s="57">
        <v>18.153846153846153</v>
      </c>
      <c r="U69" s="57">
        <v>18.442307692307693</v>
      </c>
      <c r="V69" s="57">
        <v>18.53846153846154</v>
      </c>
      <c r="W69" s="57">
        <v>18.53846153846154</v>
      </c>
      <c r="X69" s="57">
        <v>18.653846153846153</v>
      </c>
      <c r="Y69" s="57">
        <v>18.76923076923077</v>
      </c>
      <c r="Z69" s="57">
        <v>18.846153846153847</v>
      </c>
      <c r="AA69" s="57">
        <v>19.173076923076923</v>
      </c>
      <c r="AB69" s="57">
        <v>19.23076923076923</v>
      </c>
      <c r="AC69" s="57">
        <v>19.28846153846154</v>
      </c>
      <c r="AD69" s="57">
        <v>19.28846153846154</v>
      </c>
      <c r="AE69" s="57">
        <v>19.576923076923077</v>
      </c>
      <c r="AF69" s="57">
        <v>19.75</v>
      </c>
      <c r="AG69" s="57">
        <v>19.942307692307693</v>
      </c>
      <c r="AH69" s="57">
        <v>20.192307692307693</v>
      </c>
      <c r="AI69" s="57">
        <v>20.307692307692307</v>
      </c>
      <c r="AJ69" s="57">
        <v>20.826923076923077</v>
      </c>
      <c r="AK69" s="57">
        <v>20.96153846153846</v>
      </c>
      <c r="AL69">
        <v>165445</v>
      </c>
      <c r="AM69">
        <v>276871</v>
      </c>
      <c r="AN69">
        <v>1116836</v>
      </c>
      <c r="AO69" s="34">
        <v>1009824</v>
      </c>
      <c r="AP69" s="34">
        <v>383890</v>
      </c>
      <c r="AQ69">
        <v>11972</v>
      </c>
      <c r="AR69">
        <v>53330</v>
      </c>
      <c r="AS69">
        <v>48028</v>
      </c>
      <c r="AT69">
        <v>-64401</v>
      </c>
      <c r="AU69">
        <v>8736</v>
      </c>
      <c r="AV69">
        <v>8189</v>
      </c>
      <c r="AW69" s="34">
        <v>438666</v>
      </c>
      <c r="AX69" s="173">
        <v>31347</v>
      </c>
      <c r="AY69" s="34">
        <v>34899</v>
      </c>
      <c r="AZ69">
        <v>298264</v>
      </c>
      <c r="BA69">
        <v>165258</v>
      </c>
      <c r="BB69">
        <v>290921</v>
      </c>
      <c r="BC69" s="173">
        <v>1145090</v>
      </c>
      <c r="BD69" s="34">
        <v>1072714</v>
      </c>
      <c r="BE69" s="34">
        <v>388868</v>
      </c>
      <c r="BF69" s="34">
        <v>11549</v>
      </c>
      <c r="BG69" s="173">
        <v>76694</v>
      </c>
      <c r="BH69">
        <v>49936</v>
      </c>
      <c r="BI69">
        <v>-80517</v>
      </c>
      <c r="BJ69" s="173">
        <v>23320</v>
      </c>
      <c r="BK69" s="34">
        <v>461314</v>
      </c>
      <c r="BL69" s="173">
        <v>35921</v>
      </c>
      <c r="BM69" s="34">
        <v>39122</v>
      </c>
      <c r="BN69">
        <v>321791</v>
      </c>
      <c r="BO69">
        <v>164755</v>
      </c>
      <c r="BP69">
        <v>294391</v>
      </c>
      <c r="BQ69" s="173">
        <v>1168404</v>
      </c>
      <c r="BR69" s="34">
        <v>1104678</v>
      </c>
      <c r="BS69" s="34">
        <v>391411</v>
      </c>
      <c r="BT69" s="34">
        <v>18637</v>
      </c>
      <c r="BU69" s="173">
        <v>73464</v>
      </c>
      <c r="BV69">
        <v>54253</v>
      </c>
      <c r="BW69" s="173">
        <v>-77040</v>
      </c>
      <c r="BX69" s="173">
        <v>24911</v>
      </c>
      <c r="BY69" s="34">
        <v>471414</v>
      </c>
      <c r="BZ69" s="173">
        <v>41512</v>
      </c>
      <c r="CA69" s="34">
        <v>39413</v>
      </c>
      <c r="CB69">
        <v>317243</v>
      </c>
      <c r="CC69">
        <v>164085</v>
      </c>
      <c r="CD69">
        <v>545524</v>
      </c>
      <c r="CE69">
        <v>413821</v>
      </c>
      <c r="CF69">
        <v>291441</v>
      </c>
      <c r="CG69">
        <v>8364</v>
      </c>
      <c r="CH69">
        <v>465586</v>
      </c>
      <c r="CI69">
        <v>37792</v>
      </c>
      <c r="CJ69">
        <v>42146</v>
      </c>
      <c r="CK69">
        <v>72826</v>
      </c>
      <c r="CL69">
        <v>-66062</v>
      </c>
      <c r="CM69">
        <v>58024</v>
      </c>
      <c r="CN69">
        <v>339727</v>
      </c>
      <c r="CO69">
        <v>1183664</v>
      </c>
      <c r="CP69">
        <v>18411</v>
      </c>
      <c r="CQ69">
        <v>111192</v>
      </c>
      <c r="CR69" s="57">
        <v>21.096153846153847</v>
      </c>
      <c r="CS69">
        <v>162986</v>
      </c>
      <c r="CT69" s="34">
        <v>546587</v>
      </c>
      <c r="CU69" s="34">
        <v>411519</v>
      </c>
      <c r="CV69">
        <v>173651</v>
      </c>
      <c r="CW69" s="173">
        <v>15123</v>
      </c>
      <c r="CX69" s="34">
        <v>459862</v>
      </c>
      <c r="CY69" s="173">
        <v>45877</v>
      </c>
      <c r="CZ69" s="34">
        <v>40848</v>
      </c>
      <c r="DA69" s="173">
        <v>97120</v>
      </c>
      <c r="DB69" s="173">
        <v>-60480</v>
      </c>
      <c r="DC69">
        <v>67780</v>
      </c>
      <c r="DD69">
        <v>368094</v>
      </c>
      <c r="DE69" s="173">
        <v>1040995</v>
      </c>
      <c r="DF69" s="173">
        <v>23959</v>
      </c>
      <c r="DG69" s="173">
        <v>134778</v>
      </c>
      <c r="DH69" s="57">
        <v>21.01923076923077</v>
      </c>
      <c r="DI69" s="34">
        <v>3770</v>
      </c>
      <c r="DJ69">
        <v>162240</v>
      </c>
      <c r="DK69" s="34">
        <v>532503</v>
      </c>
      <c r="DL69" s="34">
        <v>409368</v>
      </c>
      <c r="DM69" s="172">
        <v>168422</v>
      </c>
      <c r="DN69" s="173">
        <v>3592</v>
      </c>
      <c r="DO69" s="34">
        <v>448527</v>
      </c>
      <c r="DP69" s="173">
        <v>42684</v>
      </c>
      <c r="DQ69" s="34">
        <v>41292</v>
      </c>
      <c r="DR69" s="173">
        <v>58393</v>
      </c>
      <c r="DS69" s="34">
        <v>-66067</v>
      </c>
      <c r="DT69">
        <v>59298</v>
      </c>
      <c r="DU69">
        <v>371206</v>
      </c>
      <c r="DV69" s="173">
        <v>1055456</v>
      </c>
      <c r="DW69" s="173">
        <v>457</v>
      </c>
      <c r="DX69" s="173">
        <v>135239</v>
      </c>
      <c r="DY69" s="57">
        <v>21.01923076923077</v>
      </c>
    </row>
    <row r="70" spans="1:129" x14ac:dyDescent="0.2">
      <c r="A70" t="s">
        <v>105</v>
      </c>
      <c r="B70" s="34">
        <v>34506.780496255298</v>
      </c>
      <c r="C70" s="34">
        <v>43171.822467552345</v>
      </c>
      <c r="D70" s="34">
        <v>44309.277414211552</v>
      </c>
      <c r="E70" s="34">
        <v>55132.338669936231</v>
      </c>
      <c r="F70">
        <v>121627</v>
      </c>
      <c r="G70">
        <v>104845</v>
      </c>
      <c r="H70">
        <v>94514</v>
      </c>
      <c r="I70">
        <v>78917</v>
      </c>
      <c r="J70">
        <v>69849</v>
      </c>
      <c r="K70">
        <v>75626</v>
      </c>
      <c r="L70">
        <v>73763</v>
      </c>
      <c r="M70">
        <v>105919</v>
      </c>
      <c r="N70">
        <v>120362</v>
      </c>
      <c r="O70" s="34">
        <v>128928</v>
      </c>
      <c r="P70">
        <v>128425</v>
      </c>
      <c r="Q70">
        <v>274760</v>
      </c>
      <c r="R70">
        <v>308662</v>
      </c>
      <c r="S70">
        <v>324432</v>
      </c>
      <c r="T70" s="57">
        <v>17.166666666666668</v>
      </c>
      <c r="U70" s="57">
        <v>17.222222222222221</v>
      </c>
      <c r="V70" s="57">
        <v>17.388888888888889</v>
      </c>
      <c r="W70" s="57">
        <v>17.388888888888889</v>
      </c>
      <c r="X70" s="57">
        <v>17.555555555555557</v>
      </c>
      <c r="Y70" s="57">
        <v>17.666666666666668</v>
      </c>
      <c r="Z70" s="57">
        <v>17.722222222222221</v>
      </c>
      <c r="AA70" s="57">
        <v>17.805555555555557</v>
      </c>
      <c r="AB70" s="57">
        <v>17.805555555555557</v>
      </c>
      <c r="AC70" s="57">
        <v>17.916666666666668</v>
      </c>
      <c r="AD70" s="57">
        <v>18.055555555555557</v>
      </c>
      <c r="AE70" s="57">
        <v>18.388888888888889</v>
      </c>
      <c r="AF70" s="57">
        <v>19.138888888888889</v>
      </c>
      <c r="AG70" s="57">
        <v>19.138888888888889</v>
      </c>
      <c r="AH70" s="57">
        <v>19.138888888888889</v>
      </c>
      <c r="AI70" s="57">
        <v>19.416666666666668</v>
      </c>
      <c r="AJ70" s="57">
        <v>20</v>
      </c>
      <c r="AK70" s="57">
        <v>20.361111111111111</v>
      </c>
      <c r="AL70">
        <v>132252</v>
      </c>
      <c r="AM70">
        <v>169625</v>
      </c>
      <c r="AN70">
        <v>820112</v>
      </c>
      <c r="AO70" s="34">
        <v>936710</v>
      </c>
      <c r="AP70" s="34">
        <v>227053</v>
      </c>
      <c r="AQ70">
        <v>10688</v>
      </c>
      <c r="AR70">
        <v>53982</v>
      </c>
      <c r="AS70">
        <v>44589</v>
      </c>
      <c r="AT70">
        <v>-55410</v>
      </c>
      <c r="AU70">
        <v>9629</v>
      </c>
      <c r="AV70">
        <v>8958</v>
      </c>
      <c r="AW70" s="34">
        <v>407318</v>
      </c>
      <c r="AX70" s="173">
        <v>29311</v>
      </c>
      <c r="AY70" s="34">
        <v>31726</v>
      </c>
      <c r="AZ70">
        <v>316934</v>
      </c>
      <c r="BA70">
        <v>131764</v>
      </c>
      <c r="BB70">
        <v>136945</v>
      </c>
      <c r="BC70" s="173">
        <v>825937</v>
      </c>
      <c r="BD70" s="34">
        <v>997398</v>
      </c>
      <c r="BE70" s="34">
        <v>232629</v>
      </c>
      <c r="BF70" s="34">
        <v>18973</v>
      </c>
      <c r="BG70" s="173">
        <v>49928</v>
      </c>
      <c r="BH70">
        <v>40583</v>
      </c>
      <c r="BI70">
        <v>-38327</v>
      </c>
      <c r="BJ70" s="173">
        <v>16237</v>
      </c>
      <c r="BK70" s="34">
        <v>427302</v>
      </c>
      <c r="BL70" s="173">
        <v>31928</v>
      </c>
      <c r="BM70" s="34">
        <v>39469</v>
      </c>
      <c r="BN70">
        <v>325731</v>
      </c>
      <c r="BO70">
        <v>131155</v>
      </c>
      <c r="BP70">
        <v>128719</v>
      </c>
      <c r="BQ70" s="173">
        <v>828687</v>
      </c>
      <c r="BR70" s="34">
        <v>1024742</v>
      </c>
      <c r="BS70" s="34">
        <v>224898</v>
      </c>
      <c r="BT70" s="34">
        <v>19160</v>
      </c>
      <c r="BU70" s="173">
        <v>48479</v>
      </c>
      <c r="BV70">
        <v>41657</v>
      </c>
      <c r="BW70" s="173">
        <v>-70745</v>
      </c>
      <c r="BX70" s="173">
        <v>7415</v>
      </c>
      <c r="BY70" s="34">
        <v>434377</v>
      </c>
      <c r="BZ70" s="173">
        <v>35899</v>
      </c>
      <c r="CA70" s="34">
        <v>42095</v>
      </c>
      <c r="CB70">
        <v>337305</v>
      </c>
      <c r="CC70">
        <v>130506</v>
      </c>
      <c r="CD70">
        <v>510864</v>
      </c>
      <c r="CE70">
        <v>239869</v>
      </c>
      <c r="CF70">
        <v>129778</v>
      </c>
      <c r="CG70">
        <v>12238</v>
      </c>
      <c r="CH70">
        <v>433783</v>
      </c>
      <c r="CI70">
        <v>39209</v>
      </c>
      <c r="CJ70">
        <v>37872</v>
      </c>
      <c r="CK70">
        <v>51343</v>
      </c>
      <c r="CL70">
        <v>-39599</v>
      </c>
      <c r="CM70">
        <v>43698</v>
      </c>
      <c r="CN70">
        <v>334313</v>
      </c>
      <c r="CO70">
        <v>840522</v>
      </c>
      <c r="CP70">
        <v>9212</v>
      </c>
      <c r="CQ70">
        <v>171426</v>
      </c>
      <c r="CR70" s="57">
        <v>20.361111111111111</v>
      </c>
      <c r="CS70">
        <v>129865</v>
      </c>
      <c r="CT70" s="34">
        <v>508360</v>
      </c>
      <c r="CU70" s="34">
        <v>237431</v>
      </c>
      <c r="CV70">
        <v>124571</v>
      </c>
      <c r="CW70" s="173">
        <v>10566</v>
      </c>
      <c r="CX70" s="34">
        <v>425141</v>
      </c>
      <c r="CY70" s="173">
        <v>39424</v>
      </c>
      <c r="CZ70" s="34">
        <v>43795</v>
      </c>
      <c r="DA70" s="173">
        <v>61559</v>
      </c>
      <c r="DB70" s="173">
        <v>-28240</v>
      </c>
      <c r="DC70">
        <v>52038</v>
      </c>
      <c r="DD70">
        <v>331907</v>
      </c>
      <c r="DE70" s="173">
        <v>818515</v>
      </c>
      <c r="DF70" s="173">
        <v>10766</v>
      </c>
      <c r="DG70" s="173">
        <v>182143</v>
      </c>
      <c r="DH70" s="57">
        <v>20.388888888888889</v>
      </c>
      <c r="DI70" s="34">
        <v>2640</v>
      </c>
      <c r="DJ70">
        <v>128756</v>
      </c>
      <c r="DK70" s="34">
        <v>499118</v>
      </c>
      <c r="DL70" s="34">
        <v>237083</v>
      </c>
      <c r="DM70" s="172">
        <v>94296</v>
      </c>
      <c r="DN70" s="173">
        <v>9957</v>
      </c>
      <c r="DO70" s="34">
        <v>420012</v>
      </c>
      <c r="DP70" s="173">
        <v>34855</v>
      </c>
      <c r="DQ70" s="34">
        <v>44251</v>
      </c>
      <c r="DR70" s="173">
        <v>34421</v>
      </c>
      <c r="DS70" s="34">
        <v>-52804</v>
      </c>
      <c r="DT70">
        <v>42157</v>
      </c>
      <c r="DU70">
        <v>326684</v>
      </c>
      <c r="DV70" s="173">
        <v>805821</v>
      </c>
      <c r="DW70" s="173">
        <v>-5913</v>
      </c>
      <c r="DX70" s="173">
        <v>176337</v>
      </c>
      <c r="DY70" s="57">
        <v>20.527777777777779</v>
      </c>
    </row>
    <row r="71" spans="1:129" x14ac:dyDescent="0.2">
      <c r="A71" t="s">
        <v>115</v>
      </c>
      <c r="B71" s="34">
        <v>1222.2216615958</v>
      </c>
      <c r="C71" s="34">
        <v>9460.7390513864575</v>
      </c>
      <c r="D71" s="34">
        <v>-9862.2036318500832</v>
      </c>
      <c r="E71" s="34">
        <v>12805.828720779451</v>
      </c>
      <c r="F71">
        <v>40657</v>
      </c>
      <c r="G71">
        <v>37488</v>
      </c>
      <c r="H71">
        <v>45504</v>
      </c>
      <c r="I71">
        <v>30438</v>
      </c>
      <c r="J71">
        <v>49445</v>
      </c>
      <c r="K71">
        <v>64702</v>
      </c>
      <c r="L71">
        <v>88960</v>
      </c>
      <c r="M71">
        <v>103089</v>
      </c>
      <c r="N71">
        <v>121748</v>
      </c>
      <c r="O71" s="34">
        <v>120683</v>
      </c>
      <c r="P71">
        <v>106885</v>
      </c>
      <c r="Q71">
        <v>173986</v>
      </c>
      <c r="R71">
        <v>311894</v>
      </c>
      <c r="S71">
        <v>273596</v>
      </c>
      <c r="T71" s="57">
        <v>18.45</v>
      </c>
      <c r="U71" s="57">
        <v>18.566666666666666</v>
      </c>
      <c r="V71" s="57">
        <v>18.633333333333333</v>
      </c>
      <c r="W71" s="57">
        <v>18.7</v>
      </c>
      <c r="X71" s="57">
        <v>18.75</v>
      </c>
      <c r="Y71" s="57">
        <v>18.75</v>
      </c>
      <c r="Z71" s="57">
        <v>18.766666666666666</v>
      </c>
      <c r="AA71" s="57">
        <v>18.916666666666668</v>
      </c>
      <c r="AB71" s="57">
        <v>19.116666666666667</v>
      </c>
      <c r="AC71" s="57">
        <v>19.116666666666667</v>
      </c>
      <c r="AD71" s="57">
        <v>19.183333333333334</v>
      </c>
      <c r="AE71" s="57">
        <v>19.283333333333335</v>
      </c>
      <c r="AF71" s="57">
        <v>19.633333333333333</v>
      </c>
      <c r="AG71" s="57">
        <v>19.666666666666668</v>
      </c>
      <c r="AH71" s="57">
        <v>19.8</v>
      </c>
      <c r="AI71" s="57">
        <v>20.116666666666667</v>
      </c>
      <c r="AJ71" s="57">
        <v>20.516666666666666</v>
      </c>
      <c r="AK71" s="57">
        <v>20.883333333333333</v>
      </c>
      <c r="AL71">
        <v>180384</v>
      </c>
      <c r="AM71">
        <v>366375</v>
      </c>
      <c r="AN71">
        <v>1341046</v>
      </c>
      <c r="AO71" s="34">
        <v>1315490</v>
      </c>
      <c r="AP71" s="34">
        <v>351879</v>
      </c>
      <c r="AQ71">
        <v>15338</v>
      </c>
      <c r="AR71">
        <v>45292</v>
      </c>
      <c r="AS71">
        <v>61418</v>
      </c>
      <c r="AT71">
        <v>-108912</v>
      </c>
      <c r="AU71">
        <v>-16207</v>
      </c>
      <c r="AV71">
        <v>-14096</v>
      </c>
      <c r="AW71" s="34">
        <v>560227</v>
      </c>
      <c r="AX71" s="173">
        <v>60783</v>
      </c>
      <c r="AY71" s="34">
        <v>36735</v>
      </c>
      <c r="AZ71">
        <v>495099</v>
      </c>
      <c r="BA71">
        <v>181156</v>
      </c>
      <c r="BB71">
        <v>431750</v>
      </c>
      <c r="BC71" s="173">
        <v>1341211</v>
      </c>
      <c r="BD71" s="34">
        <v>1360672</v>
      </c>
      <c r="BE71" s="34">
        <v>348589</v>
      </c>
      <c r="BF71" s="34">
        <v>19546</v>
      </c>
      <c r="BG71" s="173">
        <v>127403</v>
      </c>
      <c r="BH71">
        <v>67093</v>
      </c>
      <c r="BI71">
        <v>-19258</v>
      </c>
      <c r="BJ71" s="173">
        <v>67968</v>
      </c>
      <c r="BK71" s="34">
        <v>580205</v>
      </c>
      <c r="BL71" s="173">
        <v>57792</v>
      </c>
      <c r="BM71" s="34">
        <v>42339</v>
      </c>
      <c r="BN71">
        <v>513494</v>
      </c>
      <c r="BO71">
        <v>181679</v>
      </c>
      <c r="BP71">
        <v>330139</v>
      </c>
      <c r="BQ71" s="173">
        <v>1331458</v>
      </c>
      <c r="BR71" s="34">
        <v>1382580</v>
      </c>
      <c r="BS71" s="34">
        <v>343151</v>
      </c>
      <c r="BT71" s="34">
        <v>27242</v>
      </c>
      <c r="BU71" s="173">
        <v>42256</v>
      </c>
      <c r="BV71">
        <v>63919</v>
      </c>
      <c r="BW71" s="173">
        <v>-90909</v>
      </c>
      <c r="BX71" s="173">
        <v>-19153</v>
      </c>
      <c r="BY71" s="34">
        <v>583461</v>
      </c>
      <c r="BZ71" s="173">
        <v>60635</v>
      </c>
      <c r="CA71" s="34">
        <v>47194</v>
      </c>
      <c r="CB71">
        <v>524712</v>
      </c>
      <c r="CC71">
        <v>181441</v>
      </c>
      <c r="CD71">
        <v>692584</v>
      </c>
      <c r="CE71">
        <v>369929</v>
      </c>
      <c r="CF71">
        <v>323774</v>
      </c>
      <c r="CG71">
        <v>16850</v>
      </c>
      <c r="CH71">
        <v>587296</v>
      </c>
      <c r="CI71">
        <v>57386</v>
      </c>
      <c r="CJ71">
        <v>47902</v>
      </c>
      <c r="CK71">
        <v>70186</v>
      </c>
      <c r="CL71">
        <v>-85034</v>
      </c>
      <c r="CM71">
        <v>65782</v>
      </c>
      <c r="CN71">
        <v>557657</v>
      </c>
      <c r="CO71">
        <v>1328395</v>
      </c>
      <c r="CP71">
        <v>1430</v>
      </c>
      <c r="CQ71">
        <v>138495</v>
      </c>
      <c r="CR71" s="57">
        <v>20.95</v>
      </c>
      <c r="CS71">
        <v>180945</v>
      </c>
      <c r="CT71" s="34">
        <v>691756</v>
      </c>
      <c r="CU71" s="34">
        <v>364352</v>
      </c>
      <c r="CV71">
        <v>312174</v>
      </c>
      <c r="CW71" s="173">
        <v>11974</v>
      </c>
      <c r="CX71" s="34">
        <v>581594</v>
      </c>
      <c r="CY71" s="173">
        <v>60788</v>
      </c>
      <c r="CZ71" s="34">
        <v>49374</v>
      </c>
      <c r="DA71" s="173">
        <v>81428</v>
      </c>
      <c r="DB71" s="173">
        <v>-107916</v>
      </c>
      <c r="DC71">
        <v>68761</v>
      </c>
      <c r="DD71">
        <v>591632</v>
      </c>
      <c r="DE71" s="173">
        <v>1298682</v>
      </c>
      <c r="DF71" s="173">
        <v>9844</v>
      </c>
      <c r="DG71" s="173">
        <v>148424</v>
      </c>
      <c r="DH71" s="57">
        <v>21.033333333333335</v>
      </c>
      <c r="DI71" s="34">
        <v>4140</v>
      </c>
      <c r="DJ71">
        <v>180794</v>
      </c>
      <c r="DK71" s="34">
        <v>674899</v>
      </c>
      <c r="DL71" s="34">
        <v>369407</v>
      </c>
      <c r="DM71" s="172">
        <v>318254</v>
      </c>
      <c r="DN71" s="173">
        <v>15680</v>
      </c>
      <c r="DO71" s="34">
        <v>571402</v>
      </c>
      <c r="DP71" s="173">
        <v>52049</v>
      </c>
      <c r="DQ71" s="34">
        <v>51448</v>
      </c>
      <c r="DR71" s="173">
        <v>46623</v>
      </c>
      <c r="DS71" s="34">
        <v>-97487</v>
      </c>
      <c r="DT71">
        <v>69286</v>
      </c>
      <c r="DU71">
        <v>628618</v>
      </c>
      <c r="DV71" s="173">
        <v>1331617</v>
      </c>
      <c r="DW71" s="173">
        <v>-21160</v>
      </c>
      <c r="DX71" s="173">
        <v>126997</v>
      </c>
      <c r="DY71" s="57">
        <v>21.1</v>
      </c>
    </row>
    <row r="73" spans="1:129" x14ac:dyDescent="0.2">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row>
    <row r="74" spans="1:129" x14ac:dyDescent="0.2">
      <c r="B74" s="34" t="s">
        <v>606</v>
      </c>
      <c r="C74" s="34" t="s">
        <v>607</v>
      </c>
      <c r="D74" s="34" t="s">
        <v>608</v>
      </c>
      <c r="E74" s="34" t="s">
        <v>609</v>
      </c>
      <c r="F74" s="34" t="s">
        <v>610</v>
      </c>
      <c r="G74" s="34" t="s">
        <v>611</v>
      </c>
      <c r="H74" s="34" t="s">
        <v>612</v>
      </c>
      <c r="I74" s="34" t="s">
        <v>613</v>
      </c>
      <c r="J74" s="34" t="s">
        <v>614</v>
      </c>
      <c r="K74" s="34" t="s">
        <v>615</v>
      </c>
      <c r="L74" s="34" t="s">
        <v>514</v>
      </c>
      <c r="M74" s="34" t="s">
        <v>616</v>
      </c>
      <c r="N74" s="34" t="s">
        <v>617</v>
      </c>
      <c r="O74" s="34" t="s">
        <v>618</v>
      </c>
      <c r="P74" s="34" t="s">
        <v>586</v>
      </c>
      <c r="Q74" s="34" t="s">
        <v>619</v>
      </c>
      <c r="R74" s="34" t="s">
        <v>620</v>
      </c>
      <c r="S74" s="34" t="s">
        <v>621</v>
      </c>
      <c r="T74" s="57" t="s">
        <v>622</v>
      </c>
      <c r="U74" s="57" t="s">
        <v>623</v>
      </c>
      <c r="V74" s="57" t="s">
        <v>624</v>
      </c>
      <c r="W74" s="57" t="s">
        <v>625</v>
      </c>
      <c r="X74" s="57" t="s">
        <v>626</v>
      </c>
      <c r="Y74" s="57" t="s">
        <v>627</v>
      </c>
      <c r="Z74" s="57" t="s">
        <v>628</v>
      </c>
      <c r="AA74" t="s">
        <v>629</v>
      </c>
      <c r="AB74" t="s">
        <v>630</v>
      </c>
      <c r="AC74" t="s">
        <v>631</v>
      </c>
      <c r="AD74" s="57" t="s">
        <v>632</v>
      </c>
      <c r="AE74" s="57" t="s">
        <v>633</v>
      </c>
      <c r="AF74" s="57" t="s">
        <v>559</v>
      </c>
      <c r="AG74" s="57" t="s">
        <v>634</v>
      </c>
      <c r="AH74" s="57" t="s">
        <v>591</v>
      </c>
      <c r="AI74" s="57" t="s">
        <v>635</v>
      </c>
      <c r="AJ74" s="57" t="s">
        <v>636</v>
      </c>
      <c r="AK74" s="57" t="s">
        <v>637</v>
      </c>
      <c r="AL74" t="s">
        <v>638</v>
      </c>
      <c r="AM74" t="s">
        <v>639</v>
      </c>
      <c r="AN74" t="s">
        <v>640</v>
      </c>
      <c r="AO74" t="s">
        <v>641</v>
      </c>
      <c r="AP74" s="34" t="s">
        <v>642</v>
      </c>
      <c r="AQ74" t="s">
        <v>643</v>
      </c>
      <c r="AR74" t="s">
        <v>644</v>
      </c>
      <c r="AS74" t="s">
        <v>645</v>
      </c>
      <c r="AT74" t="s">
        <v>646</v>
      </c>
      <c r="AU74" t="s">
        <v>647</v>
      </c>
      <c r="AV74" t="s">
        <v>648</v>
      </c>
      <c r="AW74" s="34" t="s">
        <v>649</v>
      </c>
      <c r="AX74" s="173" t="s">
        <v>650</v>
      </c>
      <c r="AY74" s="34" t="s">
        <v>651</v>
      </c>
      <c r="AZ74" t="s">
        <v>652</v>
      </c>
      <c r="BA74">
        <f>SUM(BA54:BA73)</f>
        <v>5442837</v>
      </c>
      <c r="BB74" t="s">
        <v>654</v>
      </c>
      <c r="BC74" s="173" t="s">
        <v>655</v>
      </c>
      <c r="BD74" t="s">
        <v>656</v>
      </c>
      <c r="BE74" s="34" t="s">
        <v>657</v>
      </c>
      <c r="BF74" s="34" t="s">
        <v>658</v>
      </c>
      <c r="BG74" s="173" t="s">
        <v>659</v>
      </c>
      <c r="BH74" t="s">
        <v>660</v>
      </c>
      <c r="BI74" t="s">
        <v>661</v>
      </c>
      <c r="BJ74" s="173" t="s">
        <v>662</v>
      </c>
      <c r="BK74" s="34" t="s">
        <v>663</v>
      </c>
      <c r="BL74" s="173" t="s">
        <v>664</v>
      </c>
      <c r="BM74" s="34" t="s">
        <v>665</v>
      </c>
      <c r="BN74" t="s">
        <v>666</v>
      </c>
      <c r="BO74" t="s">
        <v>667</v>
      </c>
      <c r="BP74" t="s">
        <v>668</v>
      </c>
      <c r="BQ74" s="173" t="s">
        <v>669</v>
      </c>
      <c r="BR74" t="s">
        <v>670</v>
      </c>
      <c r="BS74" s="34" t="s">
        <v>671</v>
      </c>
      <c r="BT74" s="34" t="s">
        <v>672</v>
      </c>
      <c r="BU74" s="173" t="s">
        <v>673</v>
      </c>
      <c r="BV74" t="s">
        <v>674</v>
      </c>
      <c r="BW74" s="173" t="s">
        <v>675</v>
      </c>
      <c r="BX74" s="173" t="s">
        <v>676</v>
      </c>
      <c r="BY74" s="34" t="s">
        <v>677</v>
      </c>
      <c r="BZ74" s="173" t="s">
        <v>678</v>
      </c>
      <c r="CA74" s="34" t="s">
        <v>679</v>
      </c>
      <c r="CB74" t="s">
        <v>680</v>
      </c>
      <c r="CC74" t="s">
        <v>691</v>
      </c>
      <c r="CD74" t="s">
        <v>692</v>
      </c>
      <c r="CE74" t="s">
        <v>693</v>
      </c>
      <c r="CF74" t="s">
        <v>694</v>
      </c>
      <c r="CG74" t="s">
        <v>695</v>
      </c>
      <c r="CH74" t="s">
        <v>696</v>
      </c>
      <c r="CI74" t="s">
        <v>697</v>
      </c>
      <c r="CJ74" t="s">
        <v>698</v>
      </c>
      <c r="CK74" t="s">
        <v>699</v>
      </c>
      <c r="CL74" t="s">
        <v>700</v>
      </c>
      <c r="CM74" t="s">
        <v>701</v>
      </c>
      <c r="CN74" t="s">
        <v>702</v>
      </c>
      <c r="CO74" t="s">
        <v>703</v>
      </c>
      <c r="CP74" t="s">
        <v>704</v>
      </c>
      <c r="CQ74" t="s">
        <v>705</v>
      </c>
      <c r="CR74" t="s">
        <v>706</v>
      </c>
      <c r="CS74" t="s">
        <v>710</v>
      </c>
      <c r="CT74" s="34" t="s">
        <v>711</v>
      </c>
      <c r="CU74" s="34" t="s">
        <v>712</v>
      </c>
      <c r="CV74" t="s">
        <v>713</v>
      </c>
      <c r="CW74" s="173" t="s">
        <v>715</v>
      </c>
      <c r="CX74" s="34" t="s">
        <v>720</v>
      </c>
      <c r="CY74" s="173" t="s">
        <v>721</v>
      </c>
      <c r="CZ74" s="34" t="s">
        <v>722</v>
      </c>
      <c r="DA74" s="173" t="s">
        <v>716</v>
      </c>
      <c r="DB74" s="173" t="s">
        <v>724</v>
      </c>
      <c r="DC74" t="s">
        <v>717</v>
      </c>
      <c r="DD74" t="s">
        <v>725</v>
      </c>
      <c r="DE74" s="173" t="s">
        <v>714</v>
      </c>
      <c r="DF74" s="173" t="s">
        <v>718</v>
      </c>
      <c r="DG74" s="173" t="s">
        <v>719</v>
      </c>
      <c r="DH74" s="57" t="s">
        <v>723</v>
      </c>
      <c r="DI74" s="34" t="s">
        <v>129</v>
      </c>
      <c r="DJ74" t="s">
        <v>727</v>
      </c>
      <c r="DK74" s="34" t="s">
        <v>728</v>
      </c>
      <c r="DL74" s="34" t="s">
        <v>729</v>
      </c>
      <c r="DM74" s="172" t="s">
        <v>730</v>
      </c>
      <c r="DN74" s="173" t="s">
        <v>731</v>
      </c>
      <c r="DO74" s="34" t="s">
        <v>732</v>
      </c>
      <c r="DP74" s="173" t="s">
        <v>733</v>
      </c>
      <c r="DQ74" s="34" t="s">
        <v>734</v>
      </c>
      <c r="DR74" s="173" t="s">
        <v>735</v>
      </c>
      <c r="DS74" s="34" t="s">
        <v>736</v>
      </c>
      <c r="DT74" t="s">
        <v>737</v>
      </c>
      <c r="DU74" t="s">
        <v>738</v>
      </c>
      <c r="DV74" s="173" t="s">
        <v>739</v>
      </c>
      <c r="DW74" s="173" t="s">
        <v>740</v>
      </c>
      <c r="DX74" s="173" t="s">
        <v>741</v>
      </c>
      <c r="DY74" s="57" t="s">
        <v>742</v>
      </c>
    </row>
    <row r="75" spans="1:129" x14ac:dyDescent="0.2">
      <c r="A75" t="s">
        <v>100</v>
      </c>
      <c r="B75" s="34">
        <v>-22236.966697108677</v>
      </c>
      <c r="C75" s="34">
        <v>13281.800552665532</v>
      </c>
      <c r="D75" s="34">
        <v>1347.1852909567006</v>
      </c>
      <c r="E75" s="34">
        <v>44726.551659762546</v>
      </c>
      <c r="F75" s="34">
        <v>153856</v>
      </c>
      <c r="G75" s="34">
        <v>156013</v>
      </c>
      <c r="H75" s="34">
        <v>159743</v>
      </c>
      <c r="I75" s="34">
        <v>111004</v>
      </c>
      <c r="J75" s="34">
        <v>127010</v>
      </c>
      <c r="K75" s="34">
        <v>127442</v>
      </c>
      <c r="L75" s="34">
        <v>157441</v>
      </c>
      <c r="M75" s="34">
        <v>177167</v>
      </c>
      <c r="N75" s="34">
        <v>230793</v>
      </c>
      <c r="O75" s="34">
        <v>234563</v>
      </c>
      <c r="P75" s="34">
        <v>190140</v>
      </c>
      <c r="Q75" s="34">
        <v>522666</v>
      </c>
      <c r="R75" s="34">
        <v>774260</v>
      </c>
      <c r="S75" s="34">
        <v>811950</v>
      </c>
      <c r="T75" s="57">
        <v>17.951219512195124</v>
      </c>
      <c r="U75" s="57">
        <v>18.140243902439025</v>
      </c>
      <c r="V75" s="57">
        <v>18.146341463414632</v>
      </c>
      <c r="W75" s="57">
        <v>18.189024390243901</v>
      </c>
      <c r="X75" s="57">
        <v>18.310975609756099</v>
      </c>
      <c r="Y75" s="57">
        <v>18.432926829268293</v>
      </c>
      <c r="Z75" s="57">
        <v>18.512195121951219</v>
      </c>
      <c r="AA75" s="57">
        <v>18.689024390243901</v>
      </c>
      <c r="AB75" s="57">
        <v>18.896341463414632</v>
      </c>
      <c r="AC75" s="57">
        <v>18.987804878048781</v>
      </c>
      <c r="AD75" s="57">
        <v>19.103658536585368</v>
      </c>
      <c r="AE75" s="57">
        <v>19.329268292682926</v>
      </c>
      <c r="AF75" s="57">
        <v>19.682926829268293</v>
      </c>
      <c r="AG75" s="57">
        <v>19.762195121951219</v>
      </c>
      <c r="AH75" s="57">
        <v>19.926829268292682</v>
      </c>
      <c r="AI75" s="57">
        <v>20.195121951219512</v>
      </c>
      <c r="AJ75" s="57">
        <v>20.567073170731707</v>
      </c>
      <c r="AK75" s="57">
        <v>20.707317073170731</v>
      </c>
      <c r="AL75">
        <v>605769</v>
      </c>
      <c r="AM75">
        <v>848358</v>
      </c>
      <c r="AN75">
        <v>3931150</v>
      </c>
      <c r="AO75" s="58">
        <v>4120270</v>
      </c>
      <c r="AP75" s="34">
        <v>1195216</v>
      </c>
      <c r="AQ75">
        <v>86949</v>
      </c>
      <c r="AR75">
        <v>184217</v>
      </c>
      <c r="AS75">
        <v>171105</v>
      </c>
      <c r="AT75">
        <v>-246307</v>
      </c>
      <c r="AU75">
        <v>67048</v>
      </c>
      <c r="AV75">
        <v>68728</v>
      </c>
      <c r="AW75" s="34">
        <v>1825590</v>
      </c>
      <c r="AX75" s="173">
        <v>106410</v>
      </c>
      <c r="AY75" s="34">
        <v>128135</v>
      </c>
      <c r="AZ75">
        <v>1536891</v>
      </c>
      <c r="BA75">
        <v>605504</v>
      </c>
      <c r="BB75">
        <v>904257</v>
      </c>
      <c r="BC75" s="173">
        <v>3929222</v>
      </c>
      <c r="BD75" s="58">
        <v>4226892</v>
      </c>
      <c r="BE75" s="34">
        <v>1196179</v>
      </c>
      <c r="BF75" s="34">
        <v>45596</v>
      </c>
      <c r="BG75" s="173">
        <v>290407</v>
      </c>
      <c r="BH75">
        <v>177149</v>
      </c>
      <c r="BI75">
        <v>-202249</v>
      </c>
      <c r="BJ75" s="173">
        <v>124351</v>
      </c>
      <c r="BK75" s="34">
        <v>1857707</v>
      </c>
      <c r="BL75" s="173">
        <v>112844</v>
      </c>
      <c r="BM75" s="34">
        <v>142895</v>
      </c>
      <c r="BN75">
        <v>1609685</v>
      </c>
      <c r="BO75">
        <v>604076</v>
      </c>
      <c r="BP75">
        <v>800283</v>
      </c>
      <c r="BQ75" s="173">
        <v>3981733</v>
      </c>
      <c r="BR75" s="58">
        <v>4331516</v>
      </c>
      <c r="BS75" s="34">
        <v>1190144</v>
      </c>
      <c r="BT75" s="34">
        <v>56284</v>
      </c>
      <c r="BU75" s="173">
        <v>184539</v>
      </c>
      <c r="BV75">
        <v>182021</v>
      </c>
      <c r="BW75" s="173">
        <v>-226056</v>
      </c>
      <c r="BX75" s="173">
        <v>22542</v>
      </c>
      <c r="BY75" s="34">
        <v>1889781</v>
      </c>
      <c r="BZ75" s="173">
        <v>128501</v>
      </c>
      <c r="CA75" s="34">
        <v>147476</v>
      </c>
      <c r="CB75">
        <v>1645406</v>
      </c>
      <c r="CC75">
        <v>602254</v>
      </c>
      <c r="CD75">
        <v>2177504</v>
      </c>
      <c r="CE75">
        <v>1262237</v>
      </c>
      <c r="CF75">
        <v>794182</v>
      </c>
      <c r="CG75">
        <v>27496</v>
      </c>
      <c r="CH75">
        <v>1904348</v>
      </c>
      <c r="CI75">
        <v>114777</v>
      </c>
      <c r="CJ75">
        <v>158379</v>
      </c>
      <c r="CK75">
        <v>245791</v>
      </c>
      <c r="CL75">
        <v>-221276</v>
      </c>
      <c r="CM75">
        <v>195388</v>
      </c>
      <c r="CN75">
        <v>1684320</v>
      </c>
      <c r="CO75">
        <v>4000712</v>
      </c>
      <c r="CP75">
        <v>43497</v>
      </c>
      <c r="CQ75">
        <v>451698</v>
      </c>
      <c r="CR75" s="57">
        <v>20.73170731707317</v>
      </c>
      <c r="CS75">
        <v>599858</v>
      </c>
      <c r="CT75" s="34">
        <v>2198654</v>
      </c>
      <c r="CU75" s="34">
        <v>1255307</v>
      </c>
      <c r="CV75">
        <v>768056</v>
      </c>
      <c r="CW75" s="173">
        <v>20244</v>
      </c>
      <c r="CX75" s="34">
        <v>1901751</v>
      </c>
      <c r="CY75" s="173">
        <v>136265</v>
      </c>
      <c r="CZ75" s="34">
        <v>160638</v>
      </c>
      <c r="DA75" s="173">
        <v>282225</v>
      </c>
      <c r="DB75" s="173">
        <v>-261706</v>
      </c>
      <c r="DC75">
        <v>202976</v>
      </c>
      <c r="DD75">
        <v>1720574</v>
      </c>
      <c r="DE75" s="173">
        <v>3956572</v>
      </c>
      <c r="DF75" s="173">
        <v>77447</v>
      </c>
      <c r="DG75" s="173">
        <v>528442</v>
      </c>
      <c r="DH75" s="57">
        <v>20.810975609756099</v>
      </c>
      <c r="DI75" s="34">
        <v>9410</v>
      </c>
      <c r="DJ75">
        <v>596663</v>
      </c>
      <c r="DK75" s="34">
        <v>2170605</v>
      </c>
      <c r="DL75" s="34">
        <v>1239020</v>
      </c>
      <c r="DM75" s="172">
        <v>774796</v>
      </c>
      <c r="DN75" s="173">
        <v>15455</v>
      </c>
      <c r="DO75" s="34">
        <v>1879057</v>
      </c>
      <c r="DP75" s="173">
        <v>126252</v>
      </c>
      <c r="DQ75" s="34">
        <v>165296</v>
      </c>
      <c r="DR75" s="173">
        <v>146820</v>
      </c>
      <c r="DS75" s="34">
        <v>-313438</v>
      </c>
      <c r="DT75">
        <v>206873</v>
      </c>
      <c r="DU75">
        <v>1854095</v>
      </c>
      <c r="DV75" s="173">
        <v>4052019</v>
      </c>
      <c r="DW75" s="173">
        <v>-53472</v>
      </c>
      <c r="DX75" s="173">
        <v>475648</v>
      </c>
      <c r="DY75" s="57">
        <v>20.859756097560975</v>
      </c>
    </row>
    <row r="76" spans="1:129" x14ac:dyDescent="0.2">
      <c r="A76" t="s">
        <v>743</v>
      </c>
      <c r="B76" s="34">
        <v>5967.9803825602621</v>
      </c>
      <c r="C76" s="34">
        <v>24364.207590993872</v>
      </c>
      <c r="D76" s="34">
        <v>607.66297830543317</v>
      </c>
      <c r="E76" s="34">
        <v>33094.842853610906</v>
      </c>
      <c r="F76">
        <v>134783</v>
      </c>
      <c r="G76">
        <v>149445</v>
      </c>
      <c r="H76">
        <v>135642</v>
      </c>
      <c r="I76">
        <v>87054</v>
      </c>
      <c r="J76">
        <v>92159</v>
      </c>
      <c r="K76">
        <v>121442</v>
      </c>
      <c r="L76">
        <v>177642</v>
      </c>
      <c r="M76">
        <v>233589</v>
      </c>
      <c r="N76">
        <v>350807</v>
      </c>
      <c r="O76" s="34">
        <v>369718</v>
      </c>
      <c r="P76">
        <v>319077</v>
      </c>
      <c r="Q76">
        <v>694726</v>
      </c>
      <c r="R76">
        <v>833274</v>
      </c>
      <c r="S76">
        <v>869964</v>
      </c>
      <c r="T76" s="57">
        <v>17.952702702702702</v>
      </c>
      <c r="U76" s="57">
        <v>18.118243243243242</v>
      </c>
      <c r="V76" s="57">
        <v>18.246621621621621</v>
      </c>
      <c r="W76" s="57">
        <v>18.266891891891891</v>
      </c>
      <c r="X76" s="57">
        <v>18.425675675675677</v>
      </c>
      <c r="Y76" s="57">
        <v>18.496621621621621</v>
      </c>
      <c r="Z76" s="57">
        <v>18.560810810810811</v>
      </c>
      <c r="AA76" s="57">
        <v>18.70945945945946</v>
      </c>
      <c r="AB76" s="57">
        <v>18.922297297297298</v>
      </c>
      <c r="AC76" s="57">
        <v>19.064189189189189</v>
      </c>
      <c r="AD76" s="57">
        <v>19.212837837837839</v>
      </c>
      <c r="AE76" s="57">
        <v>19.293918918918919</v>
      </c>
      <c r="AF76" s="57">
        <v>19.635135135135137</v>
      </c>
      <c r="AG76" s="57">
        <v>19.695945945945947</v>
      </c>
      <c r="AH76" s="57">
        <v>19.824324324324323</v>
      </c>
      <c r="AI76" s="57">
        <v>20.248310810810811</v>
      </c>
      <c r="AJ76" s="57">
        <v>20.567567567567568</v>
      </c>
      <c r="AK76" s="57">
        <v>20.652027027027028</v>
      </c>
      <c r="AL76">
        <v>564470</v>
      </c>
      <c r="AM76">
        <v>694870</v>
      </c>
      <c r="AN76">
        <v>3785531</v>
      </c>
      <c r="AO76" s="34">
        <v>3727100</v>
      </c>
      <c r="AP76" s="34">
        <v>1382032</v>
      </c>
      <c r="AQ76">
        <v>53866</v>
      </c>
      <c r="AR76">
        <v>160905</v>
      </c>
      <c r="AS76">
        <v>158749</v>
      </c>
      <c r="AT76">
        <v>-241219</v>
      </c>
      <c r="AU76">
        <v>31166</v>
      </c>
      <c r="AV76">
        <v>32927</v>
      </c>
      <c r="AW76" s="34">
        <v>1612951</v>
      </c>
      <c r="AX76" s="173">
        <v>107334</v>
      </c>
      <c r="AY76" s="34">
        <v>143265</v>
      </c>
      <c r="AZ76">
        <v>1295781</v>
      </c>
      <c r="BA76">
        <v>561127</v>
      </c>
      <c r="BB76">
        <v>676247</v>
      </c>
      <c r="BC76" s="173">
        <v>3808085</v>
      </c>
      <c r="BD76" s="34">
        <v>3847600</v>
      </c>
      <c r="BE76" s="34">
        <v>1395839</v>
      </c>
      <c r="BF76" s="34">
        <v>50010</v>
      </c>
      <c r="BG76" s="173">
        <v>194496</v>
      </c>
      <c r="BH76">
        <v>164724</v>
      </c>
      <c r="BI76">
        <v>-259001</v>
      </c>
      <c r="BJ76" s="173">
        <v>57718</v>
      </c>
      <c r="BK76" s="34">
        <v>1639390</v>
      </c>
      <c r="BL76" s="173">
        <v>121011</v>
      </c>
      <c r="BM76" s="34">
        <v>163399</v>
      </c>
      <c r="BN76">
        <v>1397788</v>
      </c>
      <c r="BO76">
        <v>556762</v>
      </c>
      <c r="BP76">
        <v>672341</v>
      </c>
      <c r="BQ76" s="173">
        <v>3830803</v>
      </c>
      <c r="BR76" s="34">
        <v>3939798</v>
      </c>
      <c r="BS76" s="34">
        <v>1375339</v>
      </c>
      <c r="BT76" s="34">
        <v>36919</v>
      </c>
      <c r="BU76" s="173">
        <v>195235</v>
      </c>
      <c r="BV76">
        <v>170616</v>
      </c>
      <c r="BW76" s="173">
        <v>-251052</v>
      </c>
      <c r="BX76" s="173">
        <v>30250</v>
      </c>
      <c r="BY76" s="34">
        <v>1665656</v>
      </c>
      <c r="BZ76" s="173">
        <v>135015</v>
      </c>
      <c r="CA76" s="34">
        <v>169228</v>
      </c>
      <c r="CB76">
        <v>1486132</v>
      </c>
      <c r="CC76">
        <v>552137</v>
      </c>
      <c r="CD76">
        <v>1964271</v>
      </c>
      <c r="CE76">
        <v>1438053</v>
      </c>
      <c r="CF76">
        <v>680893</v>
      </c>
      <c r="CG76">
        <v>31393</v>
      </c>
      <c r="CH76">
        <v>1663774</v>
      </c>
      <c r="CI76">
        <v>120723</v>
      </c>
      <c r="CJ76">
        <v>179774</v>
      </c>
      <c r="CK76">
        <v>237187</v>
      </c>
      <c r="CL76">
        <v>-251915</v>
      </c>
      <c r="CM76">
        <v>182469</v>
      </c>
      <c r="CN76">
        <v>1573877</v>
      </c>
      <c r="CO76">
        <v>3856782</v>
      </c>
      <c r="CP76">
        <v>58027</v>
      </c>
      <c r="CQ76">
        <v>490999</v>
      </c>
      <c r="CR76" s="57">
        <v>20.766891891891891</v>
      </c>
      <c r="CS76">
        <v>548164</v>
      </c>
      <c r="CT76" s="34">
        <v>1996713</v>
      </c>
      <c r="CU76" s="34">
        <v>1420589</v>
      </c>
      <c r="CV76">
        <v>642531</v>
      </c>
      <c r="CW76" s="173">
        <v>37879</v>
      </c>
      <c r="CX76" s="34">
        <v>1671864</v>
      </c>
      <c r="CY76" s="173">
        <v>147999</v>
      </c>
      <c r="CZ76" s="34">
        <v>176851</v>
      </c>
      <c r="DA76" s="173">
        <v>282326</v>
      </c>
      <c r="DB76" s="173">
        <v>-260747</v>
      </c>
      <c r="DC76">
        <v>190089</v>
      </c>
      <c r="DD76">
        <v>1611366</v>
      </c>
      <c r="DE76" s="173">
        <v>3795062</v>
      </c>
      <c r="DF76" s="173">
        <v>103322</v>
      </c>
      <c r="DG76" s="173">
        <v>595877</v>
      </c>
      <c r="DH76" s="57">
        <v>20.83445945945946</v>
      </c>
      <c r="DI76" s="34">
        <v>21730</v>
      </c>
      <c r="DJ76">
        <v>541539</v>
      </c>
      <c r="DK76" s="34">
        <v>1964646</v>
      </c>
      <c r="DL76" s="34">
        <v>1397217</v>
      </c>
      <c r="DM76" s="172">
        <v>634245</v>
      </c>
      <c r="DN76" s="173">
        <v>24312</v>
      </c>
      <c r="DO76" s="34">
        <v>1646478</v>
      </c>
      <c r="DP76" s="173">
        <v>130355</v>
      </c>
      <c r="DQ76" s="34">
        <v>187813</v>
      </c>
      <c r="DR76" s="173">
        <v>134283</v>
      </c>
      <c r="DS76" s="34">
        <v>-206830</v>
      </c>
      <c r="DT76">
        <v>182758</v>
      </c>
      <c r="DU76">
        <v>1650187</v>
      </c>
      <c r="DV76" s="173">
        <v>3873579</v>
      </c>
      <c r="DW76" s="173">
        <v>-33252</v>
      </c>
      <c r="DX76" s="173">
        <v>562560</v>
      </c>
      <c r="DY76" s="57">
        <v>20.976351351351351</v>
      </c>
    </row>
    <row r="77" spans="1:129" x14ac:dyDescent="0.2">
      <c r="A77" t="s">
        <v>744</v>
      </c>
      <c r="B77" s="34">
        <v>52369.85197780592</v>
      </c>
      <c r="C77" s="34">
        <v>50301.476858182272</v>
      </c>
      <c r="D77" s="34">
        <v>25511.753813240761</v>
      </c>
      <c r="E77" s="34">
        <v>18580.561175835446</v>
      </c>
      <c r="F77">
        <v>60659</v>
      </c>
      <c r="G77">
        <v>68675</v>
      </c>
      <c r="H77">
        <v>76031</v>
      </c>
      <c r="I77">
        <v>52976</v>
      </c>
      <c r="J77">
        <v>51543</v>
      </c>
      <c r="K77">
        <v>66406</v>
      </c>
      <c r="L77">
        <v>96394</v>
      </c>
      <c r="M77">
        <v>131584</v>
      </c>
      <c r="N77">
        <v>186817</v>
      </c>
      <c r="O77" s="34">
        <v>198027</v>
      </c>
      <c r="P77">
        <v>165195</v>
      </c>
      <c r="Q77">
        <v>361518</v>
      </c>
      <c r="R77">
        <v>497742</v>
      </c>
      <c r="S77">
        <v>576766</v>
      </c>
      <c r="T77" s="57">
        <v>18.149999999999999</v>
      </c>
      <c r="U77" s="57">
        <v>18.219444444444445</v>
      </c>
      <c r="V77" s="57">
        <v>18.330555555555556</v>
      </c>
      <c r="W77" s="57">
        <v>18.386111111111113</v>
      </c>
      <c r="X77" s="57">
        <v>18.538888888888888</v>
      </c>
      <c r="Y77" s="57">
        <v>18.616666666666667</v>
      </c>
      <c r="Z77" s="57">
        <v>18.68888888888889</v>
      </c>
      <c r="AA77" s="57">
        <v>18.830555555555556</v>
      </c>
      <c r="AB77" s="57">
        <v>18.983333333333334</v>
      </c>
      <c r="AC77" s="57">
        <v>19.166666666666668</v>
      </c>
      <c r="AD77" s="57">
        <v>19.333333333333332</v>
      </c>
      <c r="AE77" s="57">
        <v>19.486111111111111</v>
      </c>
      <c r="AF77" s="57">
        <v>19.844444444444445</v>
      </c>
      <c r="AG77" s="57">
        <v>19.894444444444446</v>
      </c>
      <c r="AH77" s="57">
        <v>20.072222222222223</v>
      </c>
      <c r="AI77" s="57">
        <v>20.302777777777777</v>
      </c>
      <c r="AJ77" s="57">
        <v>20.65</v>
      </c>
      <c r="AK77" s="57">
        <v>20.858333333333334</v>
      </c>
      <c r="AL77">
        <v>318544</v>
      </c>
      <c r="AM77">
        <v>433334</v>
      </c>
      <c r="AN77">
        <v>2273619</v>
      </c>
      <c r="AO77" s="34">
        <v>1867132</v>
      </c>
      <c r="AP77" s="34">
        <v>995523</v>
      </c>
      <c r="AQ77">
        <v>23262</v>
      </c>
      <c r="AR77">
        <v>96815</v>
      </c>
      <c r="AS77">
        <v>85125</v>
      </c>
      <c r="AT77">
        <v>-146441</v>
      </c>
      <c r="AU77">
        <v>15626</v>
      </c>
      <c r="AV77">
        <v>18496</v>
      </c>
      <c r="AW77" s="34">
        <v>801910</v>
      </c>
      <c r="AX77" s="173">
        <v>59285</v>
      </c>
      <c r="AY77" s="34">
        <v>72371</v>
      </c>
      <c r="AZ77">
        <v>668364</v>
      </c>
      <c r="BA77">
        <v>314800</v>
      </c>
      <c r="BB77">
        <v>429569</v>
      </c>
      <c r="BC77" s="173">
        <v>2284315</v>
      </c>
      <c r="BD77" s="34">
        <v>1942158</v>
      </c>
      <c r="BE77" s="34">
        <v>1013560</v>
      </c>
      <c r="BF77" s="34">
        <v>27698</v>
      </c>
      <c r="BG77" s="173">
        <v>134377</v>
      </c>
      <c r="BH77">
        <v>91844</v>
      </c>
      <c r="BI77">
        <v>-116629</v>
      </c>
      <c r="BJ77" s="173">
        <v>58904</v>
      </c>
      <c r="BK77" s="34">
        <v>817625</v>
      </c>
      <c r="BL77" s="173">
        <v>68610</v>
      </c>
      <c r="BM77" s="34">
        <v>84844</v>
      </c>
      <c r="BN77">
        <v>702034</v>
      </c>
      <c r="BO77">
        <v>310705</v>
      </c>
      <c r="BP77">
        <v>412252</v>
      </c>
      <c r="BQ77" s="173">
        <v>2284662</v>
      </c>
      <c r="BR77" s="34">
        <v>2000502</v>
      </c>
      <c r="BS77" s="34">
        <v>996312</v>
      </c>
      <c r="BT77" s="34">
        <v>27933</v>
      </c>
      <c r="BU77" s="173">
        <v>130108</v>
      </c>
      <c r="BV77">
        <v>93797</v>
      </c>
      <c r="BW77" s="173">
        <v>-164798</v>
      </c>
      <c r="BX77" s="173">
        <v>40794</v>
      </c>
      <c r="BY77" s="34">
        <v>831468</v>
      </c>
      <c r="BZ77" s="173">
        <v>79902</v>
      </c>
      <c r="CA77" s="34">
        <v>88881</v>
      </c>
      <c r="CB77">
        <v>728731</v>
      </c>
      <c r="CC77">
        <v>307013</v>
      </c>
      <c r="CD77">
        <v>981229</v>
      </c>
      <c r="CE77">
        <v>1030778</v>
      </c>
      <c r="CF77">
        <v>397074</v>
      </c>
      <c r="CG77">
        <v>22293</v>
      </c>
      <c r="CH77">
        <v>813369</v>
      </c>
      <c r="CI77">
        <v>78221</v>
      </c>
      <c r="CJ77">
        <v>89639</v>
      </c>
      <c r="CK77">
        <v>124182</v>
      </c>
      <c r="CL77">
        <v>-136512</v>
      </c>
      <c r="CM77">
        <v>99268</v>
      </c>
      <c r="CN77">
        <v>750104</v>
      </c>
      <c r="CO77">
        <v>2289201</v>
      </c>
      <c r="CP77">
        <v>37593</v>
      </c>
      <c r="CQ77">
        <v>328177</v>
      </c>
      <c r="CR77" s="57">
        <v>20.913888888888888</v>
      </c>
      <c r="CS77">
        <v>302378</v>
      </c>
      <c r="CT77" s="34">
        <v>997938</v>
      </c>
      <c r="CU77" s="34">
        <v>1024758</v>
      </c>
      <c r="CV77">
        <v>365706</v>
      </c>
      <c r="CW77" s="173">
        <v>17798</v>
      </c>
      <c r="CX77" s="34">
        <v>815665</v>
      </c>
      <c r="CY77" s="173">
        <v>91754</v>
      </c>
      <c r="CZ77" s="34">
        <v>90519</v>
      </c>
      <c r="DA77" s="173">
        <v>152864</v>
      </c>
      <c r="DB77" s="173">
        <v>-124741</v>
      </c>
      <c r="DC77">
        <v>105707</v>
      </c>
      <c r="DD77">
        <v>780241</v>
      </c>
      <c r="DE77" s="173">
        <v>2246086</v>
      </c>
      <c r="DF77" s="173">
        <v>44253</v>
      </c>
      <c r="DG77" s="173">
        <v>372438</v>
      </c>
      <c r="DH77" s="57">
        <v>20.980555555555554</v>
      </c>
      <c r="DI77" s="34">
        <v>30330</v>
      </c>
      <c r="DJ77">
        <v>297328</v>
      </c>
      <c r="DK77" s="34">
        <v>968089</v>
      </c>
      <c r="DL77" s="34">
        <v>1002754</v>
      </c>
      <c r="DM77" s="172">
        <v>370633</v>
      </c>
      <c r="DN77" s="173">
        <v>8513</v>
      </c>
      <c r="DO77" s="34">
        <v>789107</v>
      </c>
      <c r="DP77" s="173">
        <v>81550</v>
      </c>
      <c r="DQ77" s="34">
        <v>97432</v>
      </c>
      <c r="DR77" s="173">
        <v>75024</v>
      </c>
      <c r="DS77" s="34">
        <v>-109952</v>
      </c>
      <c r="DT77">
        <v>110735</v>
      </c>
      <c r="DU77">
        <v>792215</v>
      </c>
      <c r="DV77" s="173">
        <v>2271412</v>
      </c>
      <c r="DW77" s="173">
        <v>-25356</v>
      </c>
      <c r="DX77" s="173">
        <v>346790</v>
      </c>
      <c r="DY77" s="57">
        <v>21.102777777777778</v>
      </c>
    </row>
    <row r="78" spans="1:129" x14ac:dyDescent="0.2">
      <c r="A78" t="s">
        <v>103</v>
      </c>
      <c r="B78" s="34">
        <v>13338.648071809519</v>
      </c>
      <c r="C78" s="34">
        <v>16454.833973288391</v>
      </c>
      <c r="D78" s="34">
        <v>32038.118111653246</v>
      </c>
      <c r="E78" s="34">
        <v>26351.51613006309</v>
      </c>
      <c r="F78">
        <v>21969</v>
      </c>
      <c r="G78">
        <v>20746</v>
      </c>
      <c r="H78">
        <v>20935</v>
      </c>
      <c r="I78">
        <v>12327</v>
      </c>
      <c r="J78">
        <v>16880</v>
      </c>
      <c r="K78">
        <v>24591</v>
      </c>
      <c r="L78">
        <v>34736</v>
      </c>
      <c r="M78">
        <v>47913</v>
      </c>
      <c r="N78">
        <v>64300</v>
      </c>
      <c r="O78" s="34">
        <v>64576</v>
      </c>
      <c r="P78">
        <v>59601</v>
      </c>
      <c r="Q78">
        <v>123762</v>
      </c>
      <c r="R78">
        <v>139164</v>
      </c>
      <c r="S78">
        <v>152946</v>
      </c>
      <c r="T78" s="57">
        <v>18.397058823529413</v>
      </c>
      <c r="U78" s="57">
        <v>18.389705882352942</v>
      </c>
      <c r="V78" s="57">
        <v>18.5</v>
      </c>
      <c r="W78" s="57">
        <v>18.514705882352942</v>
      </c>
      <c r="X78" s="57">
        <v>18.639705882352942</v>
      </c>
      <c r="Y78" s="57">
        <v>18.823529411764707</v>
      </c>
      <c r="Z78" s="57">
        <v>18.845588235294116</v>
      </c>
      <c r="AA78" s="57">
        <v>18.911764705882351</v>
      </c>
      <c r="AB78" s="57">
        <v>19.036764705882351</v>
      </c>
      <c r="AC78" s="57">
        <v>19.264705882352942</v>
      </c>
      <c r="AD78" s="57">
        <v>19.470588235294116</v>
      </c>
      <c r="AE78" s="57">
        <v>19.551470588235293</v>
      </c>
      <c r="AF78" s="57">
        <v>19.801470588235293</v>
      </c>
      <c r="AG78" s="57">
        <v>19.808823529411764</v>
      </c>
      <c r="AH78" s="57">
        <v>19.992647058823529</v>
      </c>
      <c r="AI78" s="57">
        <v>20.242647058823529</v>
      </c>
      <c r="AJ78" s="57">
        <v>20.544117647058822</v>
      </c>
      <c r="AK78" s="57">
        <v>20.779411764705884</v>
      </c>
      <c r="AL78">
        <v>52537</v>
      </c>
      <c r="AM78">
        <v>85426</v>
      </c>
      <c r="AN78">
        <v>404906</v>
      </c>
      <c r="AO78" s="34">
        <v>308944</v>
      </c>
      <c r="AP78" s="34">
        <v>177413</v>
      </c>
      <c r="AQ78">
        <v>2930</v>
      </c>
      <c r="AR78">
        <v>13618</v>
      </c>
      <c r="AS78">
        <v>15264</v>
      </c>
      <c r="AT78">
        <v>-35812</v>
      </c>
      <c r="AU78">
        <v>-1508</v>
      </c>
      <c r="AV78">
        <v>-957</v>
      </c>
      <c r="AW78" s="34">
        <v>126706</v>
      </c>
      <c r="AX78" s="173">
        <v>13530</v>
      </c>
      <c r="AY78" s="34">
        <v>14236</v>
      </c>
      <c r="AZ78">
        <v>129826</v>
      </c>
      <c r="BA78">
        <v>51999</v>
      </c>
      <c r="BB78">
        <v>85093</v>
      </c>
      <c r="BC78" s="173">
        <v>405005</v>
      </c>
      <c r="BD78" s="34">
        <v>323310</v>
      </c>
      <c r="BE78" s="34">
        <v>179997</v>
      </c>
      <c r="BF78" s="34">
        <v>3905</v>
      </c>
      <c r="BG78" s="173">
        <v>22578</v>
      </c>
      <c r="BH78">
        <v>15898</v>
      </c>
      <c r="BI78">
        <v>-29185</v>
      </c>
      <c r="BJ78" s="173">
        <v>7656</v>
      </c>
      <c r="BK78" s="34">
        <v>129564</v>
      </c>
      <c r="BL78" s="173">
        <v>15350</v>
      </c>
      <c r="BM78" s="34">
        <v>16741</v>
      </c>
      <c r="BN78">
        <v>140351</v>
      </c>
      <c r="BO78">
        <v>51109</v>
      </c>
      <c r="BP78">
        <v>82483</v>
      </c>
      <c r="BQ78" s="173">
        <v>403996</v>
      </c>
      <c r="BR78" s="34">
        <v>335574</v>
      </c>
      <c r="BS78" s="34">
        <v>175760</v>
      </c>
      <c r="BT78" s="34">
        <v>3998</v>
      </c>
      <c r="BU78" s="173">
        <v>22646</v>
      </c>
      <c r="BV78">
        <v>17400</v>
      </c>
      <c r="BW78" s="173">
        <v>-22511</v>
      </c>
      <c r="BX78" s="173">
        <v>5938</v>
      </c>
      <c r="BY78" s="34">
        <v>132494</v>
      </c>
      <c r="BZ78" s="173">
        <v>17570</v>
      </c>
      <c r="CA78" s="34">
        <v>17723</v>
      </c>
      <c r="CB78">
        <v>148447</v>
      </c>
      <c r="CC78">
        <v>50592</v>
      </c>
      <c r="CD78">
        <v>164380</v>
      </c>
      <c r="CE78">
        <v>178472</v>
      </c>
      <c r="CF78">
        <v>80294</v>
      </c>
      <c r="CG78">
        <v>8218</v>
      </c>
      <c r="CH78">
        <v>129564</v>
      </c>
      <c r="CI78">
        <v>16320</v>
      </c>
      <c r="CJ78">
        <v>18496</v>
      </c>
      <c r="CK78">
        <v>19495</v>
      </c>
      <c r="CL78">
        <v>-12486</v>
      </c>
      <c r="CM78">
        <v>19904</v>
      </c>
      <c r="CN78">
        <v>151083</v>
      </c>
      <c r="CO78">
        <v>404776</v>
      </c>
      <c r="CP78">
        <v>6339</v>
      </c>
      <c r="CQ78">
        <v>84539</v>
      </c>
      <c r="CR78" s="57">
        <v>20.955882352941178</v>
      </c>
      <c r="CS78">
        <v>49819</v>
      </c>
      <c r="CT78" s="34">
        <v>169002</v>
      </c>
      <c r="CU78" s="34">
        <v>176672</v>
      </c>
      <c r="CV78">
        <v>79629</v>
      </c>
      <c r="CW78" s="173">
        <v>2743</v>
      </c>
      <c r="CX78" s="34">
        <v>131052</v>
      </c>
      <c r="CY78" s="173">
        <v>19171</v>
      </c>
      <c r="CZ78" s="34">
        <v>18779</v>
      </c>
      <c r="DA78" s="173">
        <v>27356</v>
      </c>
      <c r="DB78" s="173">
        <v>-19502</v>
      </c>
      <c r="DC78">
        <v>18213</v>
      </c>
      <c r="DD78">
        <v>151463</v>
      </c>
      <c r="DE78" s="173">
        <v>399338</v>
      </c>
      <c r="DF78" s="173">
        <v>10344</v>
      </c>
      <c r="DG78" s="173">
        <v>94958</v>
      </c>
      <c r="DH78" s="57">
        <v>21.051470588235293</v>
      </c>
      <c r="DI78" s="34">
        <v>11230</v>
      </c>
      <c r="DJ78">
        <v>48871</v>
      </c>
      <c r="DK78" s="34">
        <v>164283</v>
      </c>
      <c r="DL78" s="34">
        <v>172786</v>
      </c>
      <c r="DM78" s="172">
        <v>81337</v>
      </c>
      <c r="DN78" s="173">
        <v>1840</v>
      </c>
      <c r="DO78" s="34">
        <v>126068</v>
      </c>
      <c r="DP78" s="173">
        <v>18305</v>
      </c>
      <c r="DQ78" s="34">
        <v>19910</v>
      </c>
      <c r="DR78" s="173">
        <v>9139</v>
      </c>
      <c r="DS78" s="34">
        <v>-13764</v>
      </c>
      <c r="DT78">
        <v>17909</v>
      </c>
      <c r="DU78">
        <v>145108</v>
      </c>
      <c r="DV78" s="173">
        <v>410495</v>
      </c>
      <c r="DW78" s="173">
        <v>-7881</v>
      </c>
      <c r="DX78" s="173">
        <v>87195</v>
      </c>
      <c r="DY78" s="57">
        <v>21.147058823529413</v>
      </c>
    </row>
    <row r="79" spans="1:129" x14ac:dyDescent="0.2">
      <c r="A79" t="s">
        <v>104</v>
      </c>
      <c r="B79" s="34">
        <v>305008.46826209733</v>
      </c>
      <c r="C79" s="34">
        <v>497732.65856337245</v>
      </c>
      <c r="D79" s="34">
        <v>975918.6845013143</v>
      </c>
      <c r="E79" s="34">
        <v>1345341.2785309793</v>
      </c>
      <c r="F79">
        <v>1530999</v>
      </c>
      <c r="G79">
        <v>1710635</v>
      </c>
      <c r="H79">
        <v>1966890</v>
      </c>
      <c r="I79">
        <v>2213558</v>
      </c>
      <c r="J79">
        <v>2654441</v>
      </c>
      <c r="K79">
        <v>3040467</v>
      </c>
      <c r="L79">
        <v>3703798</v>
      </c>
      <c r="M79">
        <v>3846181</v>
      </c>
      <c r="N79">
        <v>5154281</v>
      </c>
      <c r="O79" s="34">
        <v>5497993</v>
      </c>
      <c r="P79">
        <v>4890302</v>
      </c>
      <c r="Q79">
        <v>10088686</v>
      </c>
      <c r="R79">
        <v>14118658</v>
      </c>
      <c r="S79">
        <v>14175886</v>
      </c>
      <c r="T79" s="57">
        <v>17.472222222222221</v>
      </c>
      <c r="U79" s="57">
        <v>17.472222222222221</v>
      </c>
      <c r="V79" s="57">
        <v>17.527777777777779</v>
      </c>
      <c r="W79" s="57">
        <v>17.583333333333332</v>
      </c>
      <c r="X79" s="57">
        <v>17.638888888888889</v>
      </c>
      <c r="Y79" s="57">
        <v>17.805555555555557</v>
      </c>
      <c r="Z79" s="57">
        <v>17.944444444444443</v>
      </c>
      <c r="AA79" s="57">
        <v>18.194444444444443</v>
      </c>
      <c r="AB79" s="57">
        <v>18.194444444444443</v>
      </c>
      <c r="AC79" s="57">
        <v>18.194444444444443</v>
      </c>
      <c r="AD79" s="57">
        <v>18.194444444444443</v>
      </c>
      <c r="AE79" s="57">
        <v>18.194444444444443</v>
      </c>
      <c r="AF79" s="57">
        <v>18.722222222222221</v>
      </c>
      <c r="AG79" s="57">
        <v>18.888888888888889</v>
      </c>
      <c r="AH79" s="57">
        <v>18.944444444444443</v>
      </c>
      <c r="AI79" s="57">
        <v>19.027777777777779</v>
      </c>
      <c r="AJ79" s="57">
        <v>19.5</v>
      </c>
      <c r="AK79" s="57">
        <v>19.5</v>
      </c>
      <c r="AL79">
        <v>2045946</v>
      </c>
      <c r="AM79">
        <v>4369564</v>
      </c>
      <c r="AN79">
        <v>14046459</v>
      </c>
      <c r="AO79" s="34">
        <v>17300200</v>
      </c>
      <c r="AP79" s="34">
        <v>1825826</v>
      </c>
      <c r="AQ79">
        <v>360264</v>
      </c>
      <c r="AR79">
        <v>1020823</v>
      </c>
      <c r="AS79">
        <v>1011849</v>
      </c>
      <c r="AT79">
        <v>-1336836</v>
      </c>
      <c r="AU79">
        <v>137432</v>
      </c>
      <c r="AV79">
        <v>149112</v>
      </c>
      <c r="AW79" s="34">
        <v>7429008</v>
      </c>
      <c r="AX79" s="173">
        <v>652189</v>
      </c>
      <c r="AY79" s="34">
        <v>568331</v>
      </c>
      <c r="AZ79">
        <v>5538394</v>
      </c>
      <c r="BA79">
        <v>2070775</v>
      </c>
      <c r="BB79">
        <v>4346087</v>
      </c>
      <c r="BC79" s="173">
        <v>14068181</v>
      </c>
      <c r="BD79" s="34">
        <v>17696984</v>
      </c>
      <c r="BE79" s="34">
        <v>1711968</v>
      </c>
      <c r="BF79" s="34">
        <v>1850838</v>
      </c>
      <c r="BG79" s="173">
        <v>1027485</v>
      </c>
      <c r="BH79">
        <v>995772</v>
      </c>
      <c r="BI79">
        <v>-309546</v>
      </c>
      <c r="BJ79" s="173">
        <v>2073913</v>
      </c>
      <c r="BK79" s="34">
        <v>7495212</v>
      </c>
      <c r="BL79" s="173">
        <v>740558</v>
      </c>
      <c r="BM79" s="34">
        <v>612183</v>
      </c>
      <c r="BN79">
        <v>6002690</v>
      </c>
      <c r="BO79">
        <v>2095198</v>
      </c>
      <c r="BP79">
        <v>3489711</v>
      </c>
      <c r="BQ79" s="173">
        <v>13790473</v>
      </c>
      <c r="BR79" s="34">
        <v>18261036</v>
      </c>
      <c r="BS79" s="34">
        <v>1784808</v>
      </c>
      <c r="BT79" s="34">
        <v>569890</v>
      </c>
      <c r="BU79" s="173">
        <v>840022</v>
      </c>
      <c r="BV79">
        <v>1005446</v>
      </c>
      <c r="BW79" s="173">
        <v>-1163293</v>
      </c>
      <c r="BX79" s="173">
        <v>98375</v>
      </c>
      <c r="BY79" s="34">
        <v>7627048</v>
      </c>
      <c r="BZ79" s="173">
        <v>845796</v>
      </c>
      <c r="CA79" s="34">
        <v>657674</v>
      </c>
      <c r="CB79">
        <v>6464799</v>
      </c>
      <c r="CC79">
        <v>2121551</v>
      </c>
      <c r="CD79">
        <v>9383236</v>
      </c>
      <c r="CE79">
        <v>2000883</v>
      </c>
      <c r="CF79">
        <v>3554120</v>
      </c>
      <c r="CG79">
        <v>502002</v>
      </c>
      <c r="CH79">
        <v>7888598</v>
      </c>
      <c r="CI79">
        <v>814272</v>
      </c>
      <c r="CJ79">
        <v>680366</v>
      </c>
      <c r="CK79">
        <v>1311819</v>
      </c>
      <c r="CL79">
        <v>-1133921</v>
      </c>
      <c r="CM79">
        <v>983285</v>
      </c>
      <c r="CN79">
        <v>6637868</v>
      </c>
      <c r="CO79">
        <v>13872048</v>
      </c>
      <c r="CP79">
        <v>586496</v>
      </c>
      <c r="CQ79">
        <v>7687334</v>
      </c>
      <c r="CR79" s="57">
        <v>19.5</v>
      </c>
      <c r="CS79">
        <v>2146645</v>
      </c>
      <c r="CT79" s="34">
        <v>9700581</v>
      </c>
      <c r="CU79" s="34">
        <v>1797004</v>
      </c>
      <c r="CV79">
        <v>3460435</v>
      </c>
      <c r="CW79" s="173">
        <v>377885</v>
      </c>
      <c r="CX79" s="34">
        <v>7913993</v>
      </c>
      <c r="CY79" s="173">
        <v>1042101</v>
      </c>
      <c r="CZ79" s="34">
        <v>744487</v>
      </c>
      <c r="DA79" s="173">
        <v>1661477</v>
      </c>
      <c r="DB79" s="173">
        <v>-1006396</v>
      </c>
      <c r="DC79">
        <v>1010451</v>
      </c>
      <c r="DD79">
        <v>6387025</v>
      </c>
      <c r="DE79" s="173">
        <v>13598167</v>
      </c>
      <c r="DF79" s="173">
        <v>722576</v>
      </c>
      <c r="DG79" s="173">
        <v>8288579</v>
      </c>
      <c r="DH79" s="57">
        <v>19.5</v>
      </c>
      <c r="DI79" s="34">
        <v>1040</v>
      </c>
      <c r="DJ79">
        <v>2169897</v>
      </c>
      <c r="DK79" s="34">
        <v>9757425</v>
      </c>
      <c r="DL79" s="34">
        <v>1796565</v>
      </c>
      <c r="DM79" s="172">
        <v>3447076</v>
      </c>
      <c r="DN79" s="173">
        <v>277369</v>
      </c>
      <c r="DO79" s="34">
        <v>7913897</v>
      </c>
      <c r="DP79" s="173">
        <v>1069036</v>
      </c>
      <c r="DQ79" s="34">
        <v>774492</v>
      </c>
      <c r="DR79" s="173">
        <v>1298613</v>
      </c>
      <c r="DS79" s="34">
        <v>-1274369</v>
      </c>
      <c r="DT79">
        <v>1004806</v>
      </c>
      <c r="DU79">
        <v>6428235</v>
      </c>
      <c r="DV79" s="173">
        <v>13964168</v>
      </c>
      <c r="DW79" s="173">
        <v>332212</v>
      </c>
      <c r="DX79" s="173">
        <v>8560085</v>
      </c>
      <c r="DY79" s="57">
        <v>19.5</v>
      </c>
    </row>
    <row r="80" spans="1:129" x14ac:dyDescent="0.2">
      <c r="A80" t="s">
        <v>101</v>
      </c>
      <c r="B80" s="34">
        <v>-4665.7012679687759</v>
      </c>
      <c r="C80" s="34">
        <v>-778.03734781095022</v>
      </c>
      <c r="D80" s="34">
        <v>57262.606946497741</v>
      </c>
      <c r="E80" s="34">
        <v>97777.564739737587</v>
      </c>
      <c r="F80">
        <v>276915</v>
      </c>
      <c r="G80">
        <v>261479</v>
      </c>
      <c r="H80">
        <v>266173</v>
      </c>
      <c r="I80">
        <v>228700</v>
      </c>
      <c r="J80">
        <v>262853</v>
      </c>
      <c r="K80">
        <v>332801</v>
      </c>
      <c r="L80">
        <v>406784</v>
      </c>
      <c r="M80">
        <v>413423</v>
      </c>
      <c r="N80">
        <v>546781</v>
      </c>
      <c r="O80" s="34">
        <v>586030</v>
      </c>
      <c r="P80">
        <v>519744</v>
      </c>
      <c r="Q80">
        <v>1317948</v>
      </c>
      <c r="R80">
        <v>1505106</v>
      </c>
      <c r="S80">
        <v>1468374</v>
      </c>
      <c r="T80" s="57">
        <v>17.641666666666666</v>
      </c>
      <c r="U80" s="57">
        <v>17.766666666666666</v>
      </c>
      <c r="V80" s="57">
        <v>17.783333333333335</v>
      </c>
      <c r="W80" s="57">
        <v>17.8</v>
      </c>
      <c r="X80" s="57">
        <v>17.966666666666665</v>
      </c>
      <c r="Y80" s="57">
        <v>18.133333333333333</v>
      </c>
      <c r="Z80" s="57">
        <v>18.183333333333334</v>
      </c>
      <c r="AA80" s="57">
        <v>18.358333333333334</v>
      </c>
      <c r="AB80" s="57">
        <v>18.633333333333333</v>
      </c>
      <c r="AC80" s="57">
        <v>18.774999999999999</v>
      </c>
      <c r="AD80" s="57">
        <v>18.916666666666668</v>
      </c>
      <c r="AE80" s="57">
        <v>19.05</v>
      </c>
      <c r="AF80" s="57">
        <v>19.524999999999999</v>
      </c>
      <c r="AG80" s="57">
        <v>19.533333333333335</v>
      </c>
      <c r="AH80" s="57">
        <v>19.600000000000001</v>
      </c>
      <c r="AI80" s="57">
        <v>19.866666666666667</v>
      </c>
      <c r="AJ80" s="57">
        <v>20.225000000000001</v>
      </c>
      <c r="AK80" s="57">
        <v>20.375</v>
      </c>
      <c r="AL80">
        <v>824825</v>
      </c>
      <c r="AM80">
        <v>1091984</v>
      </c>
      <c r="AN80">
        <v>5147083</v>
      </c>
      <c r="AO80" s="34">
        <v>6218750</v>
      </c>
      <c r="AP80" s="34">
        <v>1205447</v>
      </c>
      <c r="AQ80">
        <v>187642</v>
      </c>
      <c r="AR80">
        <v>276699</v>
      </c>
      <c r="AS80">
        <v>273751</v>
      </c>
      <c r="AT80">
        <v>-270882</v>
      </c>
      <c r="AU80">
        <v>144351</v>
      </c>
      <c r="AV80">
        <v>143630</v>
      </c>
      <c r="AW80" s="34">
        <v>2783037</v>
      </c>
      <c r="AX80" s="173">
        <v>146970</v>
      </c>
      <c r="AY80" s="34">
        <v>179368</v>
      </c>
      <c r="AZ80">
        <v>1939518</v>
      </c>
      <c r="BA80">
        <v>825230</v>
      </c>
      <c r="BB80">
        <v>1091256</v>
      </c>
      <c r="BC80" s="173">
        <v>5214139</v>
      </c>
      <c r="BD80" s="34">
        <v>6344490</v>
      </c>
      <c r="BE80" s="34">
        <v>1196297</v>
      </c>
      <c r="BF80" s="34">
        <v>159013</v>
      </c>
      <c r="BG80" s="173">
        <v>263521</v>
      </c>
      <c r="BH80">
        <v>280069</v>
      </c>
      <c r="BI80">
        <v>-283702</v>
      </c>
      <c r="BJ80" s="173">
        <v>96310</v>
      </c>
      <c r="BK80" s="34">
        <v>2806657</v>
      </c>
      <c r="BL80" s="173">
        <v>165262</v>
      </c>
      <c r="BM80" s="34">
        <v>200309</v>
      </c>
      <c r="BN80">
        <v>1972730</v>
      </c>
      <c r="BO80">
        <v>824885</v>
      </c>
      <c r="BP80">
        <v>1095232</v>
      </c>
      <c r="BQ80" s="173">
        <v>5281152</v>
      </c>
      <c r="BR80" s="34">
        <v>6484800</v>
      </c>
      <c r="BS80" s="34">
        <v>1190857</v>
      </c>
      <c r="BT80" s="34">
        <v>74223</v>
      </c>
      <c r="BU80" s="173">
        <v>271106</v>
      </c>
      <c r="BV80">
        <v>274572</v>
      </c>
      <c r="BW80" s="173">
        <v>-345746</v>
      </c>
      <c r="BX80" s="173">
        <v>-5806</v>
      </c>
      <c r="BY80" s="34">
        <v>2852633</v>
      </c>
      <c r="BZ80" s="173">
        <v>180085</v>
      </c>
      <c r="CA80" s="34">
        <v>209682</v>
      </c>
      <c r="CB80">
        <v>2067718</v>
      </c>
      <c r="CC80">
        <v>824297</v>
      </c>
      <c r="CD80">
        <v>3288286</v>
      </c>
      <c r="CE80">
        <v>1276090</v>
      </c>
      <c r="CF80">
        <v>1071121</v>
      </c>
      <c r="CG80">
        <v>88371</v>
      </c>
      <c r="CH80">
        <v>2922170</v>
      </c>
      <c r="CI80">
        <v>162409</v>
      </c>
      <c r="CJ80">
        <v>203707</v>
      </c>
      <c r="CK80">
        <v>365209</v>
      </c>
      <c r="CL80">
        <v>-295459</v>
      </c>
      <c r="CM80">
        <v>280646</v>
      </c>
      <c r="CN80">
        <v>2187463</v>
      </c>
      <c r="CO80">
        <v>5293526</v>
      </c>
      <c r="CP80">
        <v>101190</v>
      </c>
      <c r="CQ80">
        <v>839720</v>
      </c>
      <c r="CR80" s="57">
        <v>20.466666666666665</v>
      </c>
      <c r="CS80">
        <v>821947</v>
      </c>
      <c r="CT80" s="34">
        <v>3337588</v>
      </c>
      <c r="CU80" s="34">
        <v>1259810</v>
      </c>
      <c r="CV80">
        <v>944239</v>
      </c>
      <c r="CW80" s="173">
        <v>38976</v>
      </c>
      <c r="CX80" s="34">
        <v>2920774</v>
      </c>
      <c r="CY80" s="173">
        <v>188050</v>
      </c>
      <c r="CZ80" s="34">
        <v>228764</v>
      </c>
      <c r="DA80" s="173">
        <v>415048</v>
      </c>
      <c r="DB80" s="173">
        <v>-339295</v>
      </c>
      <c r="DC80">
        <v>294962</v>
      </c>
      <c r="DD80">
        <v>2213614</v>
      </c>
      <c r="DE80" s="173">
        <v>5163208</v>
      </c>
      <c r="DF80" s="173">
        <v>109915</v>
      </c>
      <c r="DG80" s="173">
        <v>899941</v>
      </c>
      <c r="DH80" s="57">
        <v>20.55</v>
      </c>
      <c r="DI80" s="34">
        <v>4620</v>
      </c>
      <c r="DJ80">
        <v>819892</v>
      </c>
      <c r="DK80" s="34">
        <v>3292931</v>
      </c>
      <c r="DL80" s="34">
        <v>1255598</v>
      </c>
      <c r="DM80" s="172">
        <v>1016543</v>
      </c>
      <c r="DN80" s="173">
        <v>40943</v>
      </c>
      <c r="DO80" s="34">
        <v>2886914</v>
      </c>
      <c r="DP80" s="173">
        <v>173716</v>
      </c>
      <c r="DQ80" s="34">
        <v>232301</v>
      </c>
      <c r="DR80" s="173">
        <v>206561</v>
      </c>
      <c r="DS80" s="34">
        <v>-426009</v>
      </c>
      <c r="DT80">
        <v>302596</v>
      </c>
      <c r="DU80">
        <v>2353099</v>
      </c>
      <c r="DV80" s="173">
        <v>5395178</v>
      </c>
      <c r="DW80" s="173">
        <v>-85002</v>
      </c>
      <c r="DX80" s="173">
        <v>819495</v>
      </c>
      <c r="DY80" s="57">
        <v>20.566666666666666</v>
      </c>
    </row>
    <row r="81" spans="1:129" x14ac:dyDescent="0.2">
      <c r="A81" t="s">
        <v>102</v>
      </c>
      <c r="B81" s="34">
        <v>-31149.58129615707</v>
      </c>
      <c r="C81" s="34">
        <v>-12440.356356578588</v>
      </c>
      <c r="D81" s="34">
        <v>13322.333842942753</v>
      </c>
      <c r="E81" s="34">
        <v>103726.53988660772</v>
      </c>
      <c r="F81">
        <v>248985</v>
      </c>
      <c r="G81">
        <v>262667</v>
      </c>
      <c r="H81">
        <v>271754</v>
      </c>
      <c r="I81">
        <v>232056</v>
      </c>
      <c r="J81">
        <v>335198</v>
      </c>
      <c r="K81">
        <v>288767</v>
      </c>
      <c r="L81">
        <v>337355</v>
      </c>
      <c r="M81">
        <v>379852</v>
      </c>
      <c r="N81">
        <v>471880</v>
      </c>
      <c r="O81" s="34">
        <v>532946</v>
      </c>
      <c r="P81">
        <v>427696</v>
      </c>
      <c r="Q81">
        <v>813302</v>
      </c>
      <c r="R81">
        <v>865540</v>
      </c>
      <c r="S81">
        <v>789288</v>
      </c>
      <c r="T81" s="57">
        <v>17.720588235294116</v>
      </c>
      <c r="U81" s="57">
        <v>17.926470588235293</v>
      </c>
      <c r="V81" s="57">
        <v>17.955882352941178</v>
      </c>
      <c r="W81" s="57">
        <v>17.941176470588236</v>
      </c>
      <c r="X81" s="57">
        <v>18.147058823529413</v>
      </c>
      <c r="Y81" s="57">
        <v>18.382352941176471</v>
      </c>
      <c r="Z81" s="57">
        <v>18.397058823529413</v>
      </c>
      <c r="AA81" s="57">
        <v>18.529411764705884</v>
      </c>
      <c r="AB81" s="57">
        <v>18.558823529411764</v>
      </c>
      <c r="AC81" s="57">
        <v>18.602941176470587</v>
      </c>
      <c r="AD81" s="57">
        <v>18.808823529411764</v>
      </c>
      <c r="AE81" s="57">
        <v>18.926470588235293</v>
      </c>
      <c r="AF81" s="57">
        <v>19.235294117647058</v>
      </c>
      <c r="AG81" s="57">
        <v>19.352941176470587</v>
      </c>
      <c r="AH81" s="57">
        <v>19.485294117647058</v>
      </c>
      <c r="AI81" s="57">
        <v>19.647058823529413</v>
      </c>
      <c r="AJ81" s="57">
        <v>20.147058823529413</v>
      </c>
      <c r="AK81" s="57">
        <v>20.308823529411764</v>
      </c>
      <c r="AL81">
        <v>1010513</v>
      </c>
      <c r="AM81">
        <v>1576428</v>
      </c>
      <c r="AN81">
        <v>6566069</v>
      </c>
      <c r="AO81" s="34">
        <v>7558904</v>
      </c>
      <c r="AP81" s="34">
        <v>1471221</v>
      </c>
      <c r="AQ81">
        <v>80011</v>
      </c>
      <c r="AR81">
        <v>309425</v>
      </c>
      <c r="AS81">
        <v>342641</v>
      </c>
      <c r="AT81">
        <v>-400521</v>
      </c>
      <c r="AU81">
        <v>-24068</v>
      </c>
      <c r="AV81">
        <v>-18579</v>
      </c>
      <c r="AW81" s="34">
        <v>3301904</v>
      </c>
      <c r="AX81" s="173">
        <v>222903</v>
      </c>
      <c r="AY81" s="34">
        <v>254645</v>
      </c>
      <c r="AZ81">
        <v>2678068</v>
      </c>
      <c r="BA81">
        <v>1013402</v>
      </c>
      <c r="BB81">
        <v>1587431</v>
      </c>
      <c r="BC81" s="173">
        <v>6724897</v>
      </c>
      <c r="BD81" s="34">
        <v>7755114</v>
      </c>
      <c r="BE81" s="34">
        <v>1467153</v>
      </c>
      <c r="BF81" s="34">
        <v>186667</v>
      </c>
      <c r="BG81" s="173">
        <v>262562</v>
      </c>
      <c r="BH81">
        <v>339897</v>
      </c>
      <c r="BI81">
        <v>-372790</v>
      </c>
      <c r="BJ81" s="173">
        <v>27168</v>
      </c>
      <c r="BK81" s="34">
        <v>3356685</v>
      </c>
      <c r="BL81" s="173">
        <v>232647</v>
      </c>
      <c r="BM81" s="34">
        <v>288225</v>
      </c>
      <c r="BN81">
        <v>2851869</v>
      </c>
      <c r="BO81">
        <v>1015590</v>
      </c>
      <c r="BP81">
        <v>1477999</v>
      </c>
      <c r="BQ81" s="173">
        <v>6762702</v>
      </c>
      <c r="BR81" s="34">
        <v>7972516</v>
      </c>
      <c r="BS81" s="34">
        <v>1483102</v>
      </c>
      <c r="BT81" s="34">
        <v>194870</v>
      </c>
      <c r="BU81" s="173">
        <v>251048</v>
      </c>
      <c r="BV81">
        <v>338059</v>
      </c>
      <c r="BW81" s="173">
        <v>-329226</v>
      </c>
      <c r="BX81" s="173">
        <v>-27442</v>
      </c>
      <c r="BY81" s="34">
        <v>3431131</v>
      </c>
      <c r="BZ81" s="173">
        <v>257203</v>
      </c>
      <c r="CA81" s="34">
        <v>297924</v>
      </c>
      <c r="CB81">
        <v>2963063</v>
      </c>
      <c r="CC81">
        <v>1016239</v>
      </c>
      <c r="CD81">
        <v>4028697</v>
      </c>
      <c r="CE81">
        <v>1605578</v>
      </c>
      <c r="CF81">
        <v>1494441</v>
      </c>
      <c r="CG81">
        <v>83668</v>
      </c>
      <c r="CH81">
        <v>3485521</v>
      </c>
      <c r="CI81">
        <v>232619</v>
      </c>
      <c r="CJ81">
        <v>310557</v>
      </c>
      <c r="CK81">
        <v>391462</v>
      </c>
      <c r="CL81">
        <v>-382850</v>
      </c>
      <c r="CM81">
        <v>353333</v>
      </c>
      <c r="CN81">
        <v>3104202</v>
      </c>
      <c r="CO81">
        <v>6800096</v>
      </c>
      <c r="CP81">
        <v>33675</v>
      </c>
      <c r="CQ81">
        <v>427877</v>
      </c>
      <c r="CR81" s="57">
        <v>20.382352941176471</v>
      </c>
      <c r="CS81">
        <v>1014830</v>
      </c>
      <c r="CT81" s="34">
        <v>4034309</v>
      </c>
      <c r="CU81" s="34">
        <v>1569414</v>
      </c>
      <c r="CV81">
        <v>1305433</v>
      </c>
      <c r="CW81" s="173">
        <v>138971</v>
      </c>
      <c r="CX81" s="34">
        <v>3451235</v>
      </c>
      <c r="CY81" s="173">
        <v>264486</v>
      </c>
      <c r="CZ81" s="34">
        <v>318588</v>
      </c>
      <c r="DA81" s="173">
        <v>444773</v>
      </c>
      <c r="DB81" s="173">
        <v>-366878</v>
      </c>
      <c r="DC81">
        <v>373227</v>
      </c>
      <c r="DD81">
        <v>3261327</v>
      </c>
      <c r="DE81" s="173">
        <v>6532116</v>
      </c>
      <c r="DF81" s="173">
        <v>107459</v>
      </c>
      <c r="DG81" s="173">
        <v>530932</v>
      </c>
      <c r="DH81" s="57">
        <v>20.5</v>
      </c>
      <c r="DI81" s="34">
        <v>2170</v>
      </c>
      <c r="DJ81">
        <v>1013940</v>
      </c>
      <c r="DK81" s="34">
        <v>4003241</v>
      </c>
      <c r="DL81" s="34">
        <v>1592815</v>
      </c>
      <c r="DM81" s="172">
        <v>1487538</v>
      </c>
      <c r="DN81" s="173">
        <v>67466</v>
      </c>
      <c r="DO81" s="34">
        <v>3423047</v>
      </c>
      <c r="DP81" s="173">
        <v>266913</v>
      </c>
      <c r="DQ81" s="34">
        <v>313281</v>
      </c>
      <c r="DR81" s="173">
        <v>194763</v>
      </c>
      <c r="DS81" s="34">
        <v>-439811</v>
      </c>
      <c r="DT81">
        <v>366776</v>
      </c>
      <c r="DU81">
        <v>3507042</v>
      </c>
      <c r="DV81" s="173">
        <v>6948044</v>
      </c>
      <c r="DW81" s="173">
        <v>-151560</v>
      </c>
      <c r="DX81" s="173">
        <v>409634</v>
      </c>
      <c r="DY81" s="57">
        <v>20.5</v>
      </c>
    </row>
    <row r="82" spans="1:129" x14ac:dyDescent="0.2">
      <c r="B82" s="34"/>
      <c r="C82" s="34"/>
      <c r="D82" s="34"/>
      <c r="E82" s="34"/>
      <c r="O82" s="34"/>
      <c r="T82" s="57"/>
      <c r="U82" s="57"/>
      <c r="V82" s="57"/>
      <c r="W82" s="57"/>
      <c r="X82" s="57"/>
      <c r="Y82" s="57"/>
      <c r="Z82" s="57"/>
      <c r="AA82" s="189"/>
      <c r="AB82" s="189"/>
      <c r="AD82" s="57"/>
      <c r="AE82" s="57"/>
      <c r="AF82" s="57"/>
      <c r="AG82" s="57"/>
      <c r="AH82" s="57"/>
      <c r="AI82" s="57"/>
      <c r="AJ82" s="57"/>
      <c r="AK82" s="57"/>
      <c r="AO82" s="34"/>
      <c r="AP82" s="34"/>
      <c r="AW82" s="34"/>
      <c r="AX82" s="173"/>
      <c r="AY82" s="34"/>
      <c r="BC82" s="173"/>
      <c r="BD82" s="34"/>
      <c r="BE82" s="34"/>
      <c r="BF82" s="34"/>
      <c r="BG82" s="173"/>
      <c r="BJ82" s="173"/>
      <c r="BK82" s="34"/>
      <c r="BL82" s="173"/>
      <c r="BM82" s="34"/>
      <c r="BQ82" s="173"/>
      <c r="BR82" s="34"/>
      <c r="BS82" s="34"/>
      <c r="BT82" s="34"/>
      <c r="BU82" s="173"/>
      <c r="BW82" s="173"/>
      <c r="BX82" s="173"/>
      <c r="BY82" s="34"/>
      <c r="BZ82" s="173"/>
      <c r="CA82" s="34"/>
      <c r="CT82" s="34"/>
      <c r="CU82" s="34"/>
      <c r="CW82" s="173"/>
      <c r="CX82" s="34"/>
      <c r="CY82" s="173"/>
      <c r="CZ82" s="34"/>
      <c r="DA82" s="173"/>
      <c r="DB82" s="173"/>
      <c r="DE82" s="173"/>
      <c r="DF82" s="173"/>
      <c r="DG82" s="173"/>
      <c r="DH82" s="57"/>
      <c r="DI82" s="34"/>
      <c r="DK82" s="34"/>
      <c r="DL82" s="34"/>
      <c r="DM82" s="172"/>
      <c r="DN82" s="173"/>
      <c r="DO82" s="34"/>
      <c r="DP82" s="173"/>
      <c r="DQ82" s="34"/>
      <c r="DR82" s="173"/>
      <c r="DS82" s="34"/>
      <c r="DV82" s="173"/>
      <c r="DW82" s="173"/>
      <c r="DX82" s="173"/>
      <c r="DY82" s="57"/>
    </row>
    <row r="83" spans="1:129" x14ac:dyDescent="0.2">
      <c r="B83" s="34"/>
      <c r="C83" s="34"/>
      <c r="D83" s="34"/>
      <c r="E83" s="34"/>
      <c r="O83" s="34"/>
      <c r="T83" s="57"/>
      <c r="U83" s="57"/>
      <c r="V83" s="57"/>
      <c r="W83" s="57"/>
      <c r="X83" s="57"/>
      <c r="Y83" s="57"/>
      <c r="Z83" s="57"/>
      <c r="AA83" s="189"/>
      <c r="AB83" s="189"/>
      <c r="AD83" s="57"/>
      <c r="AE83" s="57"/>
      <c r="AF83" s="57"/>
      <c r="AG83" s="57"/>
      <c r="AH83" s="57"/>
      <c r="AI83" s="57"/>
      <c r="AJ83" s="57"/>
      <c r="AK83" s="57"/>
      <c r="AO83" s="34"/>
      <c r="AP83" s="34"/>
      <c r="AW83" s="34"/>
      <c r="AX83" s="173"/>
      <c r="AY83" s="34"/>
      <c r="BC83" s="173"/>
      <c r="BD83" s="34"/>
      <c r="BE83" s="34"/>
      <c r="BF83" s="34"/>
      <c r="BG83" s="173"/>
      <c r="BJ83" s="173"/>
      <c r="BK83" s="34"/>
      <c r="BL83" s="173"/>
      <c r="BM83" s="34"/>
      <c r="BQ83" s="173"/>
      <c r="BR83" s="34"/>
      <c r="BS83" s="34"/>
      <c r="BT83" s="34"/>
      <c r="BU83" s="173"/>
      <c r="BW83" s="173"/>
      <c r="BX83" s="173"/>
      <c r="BY83" s="34"/>
      <c r="BZ83" s="173"/>
      <c r="CA83" s="34"/>
      <c r="CT83" s="34"/>
      <c r="CU83" s="34"/>
      <c r="CW83" s="173"/>
      <c r="CX83" s="34"/>
      <c r="CY83" s="173"/>
      <c r="CZ83" s="34"/>
      <c r="DA83" s="173"/>
      <c r="DB83" s="173"/>
      <c r="DE83" s="173"/>
      <c r="DF83" s="173"/>
      <c r="DG83" s="173"/>
      <c r="DH83" s="57"/>
      <c r="DI83" s="34"/>
      <c r="DK83" s="34"/>
      <c r="DL83" s="34"/>
      <c r="DM83" s="172"/>
      <c r="DN83" s="173"/>
      <c r="DO83" s="34"/>
      <c r="DP83" s="173"/>
      <c r="DQ83" s="34"/>
      <c r="DR83" s="173"/>
      <c r="DS83" s="34"/>
      <c r="DV83" s="173"/>
      <c r="DW83" s="173"/>
      <c r="DX83" s="173"/>
      <c r="DY83" s="57"/>
    </row>
    <row r="84" spans="1:129" x14ac:dyDescent="0.2">
      <c r="B84" t="s">
        <v>606</v>
      </c>
      <c r="C84" t="s">
        <v>607</v>
      </c>
      <c r="D84" t="s">
        <v>608</v>
      </c>
      <c r="E84" t="s">
        <v>609</v>
      </c>
      <c r="F84" t="s">
        <v>610</v>
      </c>
      <c r="G84" t="s">
        <v>611</v>
      </c>
      <c r="H84" t="s">
        <v>612</v>
      </c>
      <c r="I84" t="s">
        <v>613</v>
      </c>
      <c r="J84" t="s">
        <v>614</v>
      </c>
      <c r="K84" t="s">
        <v>615</v>
      </c>
      <c r="L84" t="s">
        <v>514</v>
      </c>
      <c r="M84" t="s">
        <v>616</v>
      </c>
      <c r="N84" t="s">
        <v>617</v>
      </c>
      <c r="O84" t="s">
        <v>618</v>
      </c>
      <c r="P84" t="s">
        <v>586</v>
      </c>
      <c r="Q84" t="s">
        <v>619</v>
      </c>
      <c r="R84" t="s">
        <v>620</v>
      </c>
      <c r="S84" t="s">
        <v>621</v>
      </c>
      <c r="T84" t="s">
        <v>622</v>
      </c>
      <c r="U84" t="s">
        <v>623</v>
      </c>
      <c r="V84" t="s">
        <v>624</v>
      </c>
      <c r="W84" t="s">
        <v>625</v>
      </c>
      <c r="X84" t="s">
        <v>626</v>
      </c>
      <c r="Y84" t="s">
        <v>627</v>
      </c>
      <c r="Z84" t="s">
        <v>628</v>
      </c>
      <c r="AA84" t="s">
        <v>629</v>
      </c>
      <c r="AB84" t="s">
        <v>630</v>
      </c>
      <c r="AC84" t="s">
        <v>631</v>
      </c>
      <c r="AD84" t="s">
        <v>632</v>
      </c>
      <c r="AE84" t="s">
        <v>633</v>
      </c>
      <c r="AF84" t="s">
        <v>559</v>
      </c>
      <c r="AG84" t="s">
        <v>634</v>
      </c>
      <c r="AH84" t="s">
        <v>591</v>
      </c>
      <c r="AI84" t="s">
        <v>635</v>
      </c>
      <c r="AJ84" t="s">
        <v>636</v>
      </c>
      <c r="AK84" t="s">
        <v>637</v>
      </c>
      <c r="AL84" t="s">
        <v>638</v>
      </c>
      <c r="AM84" t="s">
        <v>639</v>
      </c>
      <c r="AN84" t="s">
        <v>640</v>
      </c>
      <c r="AO84" t="s">
        <v>641</v>
      </c>
      <c r="AP84" t="s">
        <v>642</v>
      </c>
      <c r="AQ84" t="s">
        <v>643</v>
      </c>
      <c r="AR84" t="s">
        <v>644</v>
      </c>
      <c r="AS84" t="s">
        <v>645</v>
      </c>
      <c r="AT84" t="s">
        <v>646</v>
      </c>
      <c r="AU84" t="s">
        <v>647</v>
      </c>
      <c r="AV84" t="s">
        <v>648</v>
      </c>
      <c r="AW84" t="s">
        <v>649</v>
      </c>
      <c r="AX84" t="s">
        <v>650</v>
      </c>
      <c r="AY84" t="s">
        <v>651</v>
      </c>
      <c r="AZ84" t="s">
        <v>652</v>
      </c>
      <c r="BA84" t="s">
        <v>653</v>
      </c>
      <c r="BB84" t="s">
        <v>654</v>
      </c>
      <c r="BC84" t="s">
        <v>655</v>
      </c>
      <c r="BD84" t="s">
        <v>656</v>
      </c>
      <c r="BE84" t="s">
        <v>657</v>
      </c>
      <c r="BF84" t="s">
        <v>658</v>
      </c>
      <c r="BG84" t="s">
        <v>659</v>
      </c>
      <c r="BH84" t="s">
        <v>660</v>
      </c>
      <c r="BI84" t="s">
        <v>661</v>
      </c>
      <c r="BJ84" t="s">
        <v>662</v>
      </c>
      <c r="BK84" t="s">
        <v>663</v>
      </c>
      <c r="BL84" t="s">
        <v>664</v>
      </c>
      <c r="BM84" t="s">
        <v>665</v>
      </c>
      <c r="BN84" t="s">
        <v>666</v>
      </c>
      <c r="BO84" t="s">
        <v>667</v>
      </c>
      <c r="BP84" t="s">
        <v>668</v>
      </c>
      <c r="BQ84" t="s">
        <v>669</v>
      </c>
      <c r="BR84" t="s">
        <v>670</v>
      </c>
      <c r="BS84" t="s">
        <v>671</v>
      </c>
      <c r="BT84" t="s">
        <v>672</v>
      </c>
      <c r="BU84" t="s">
        <v>673</v>
      </c>
      <c r="BV84" t="s">
        <v>674</v>
      </c>
      <c r="BW84" t="s">
        <v>675</v>
      </c>
      <c r="BX84" t="s">
        <v>676</v>
      </c>
      <c r="BY84" t="s">
        <v>677</v>
      </c>
      <c r="BZ84" t="s">
        <v>678</v>
      </c>
      <c r="CA84" t="s">
        <v>679</v>
      </c>
      <c r="CB84" t="s">
        <v>680</v>
      </c>
      <c r="CC84" t="s">
        <v>691</v>
      </c>
      <c r="CD84" t="s">
        <v>692</v>
      </c>
      <c r="CE84" t="s">
        <v>693</v>
      </c>
      <c r="CF84" t="s">
        <v>694</v>
      </c>
      <c r="CG84" t="s">
        <v>695</v>
      </c>
      <c r="CH84" t="s">
        <v>696</v>
      </c>
      <c r="CI84" t="s">
        <v>697</v>
      </c>
      <c r="CJ84" t="s">
        <v>698</v>
      </c>
      <c r="CK84" t="s">
        <v>699</v>
      </c>
      <c r="CL84" t="s">
        <v>700</v>
      </c>
      <c r="CM84" t="s">
        <v>701</v>
      </c>
      <c r="CN84" t="s">
        <v>702</v>
      </c>
      <c r="CO84" t="s">
        <v>703</v>
      </c>
      <c r="CP84" t="s">
        <v>704</v>
      </c>
      <c r="CQ84" t="s">
        <v>705</v>
      </c>
      <c r="CR84" t="s">
        <v>706</v>
      </c>
      <c r="CS84" t="s">
        <v>710</v>
      </c>
      <c r="CT84" t="s">
        <v>711</v>
      </c>
      <c r="CU84" t="s">
        <v>712</v>
      </c>
      <c r="CV84" t="s">
        <v>713</v>
      </c>
      <c r="CW84" t="s">
        <v>715</v>
      </c>
      <c r="CX84" t="s">
        <v>720</v>
      </c>
      <c r="CY84" t="s">
        <v>721</v>
      </c>
      <c r="CZ84" t="s">
        <v>722</v>
      </c>
      <c r="DA84" t="s">
        <v>716</v>
      </c>
      <c r="DB84" t="s">
        <v>724</v>
      </c>
      <c r="DC84" t="s">
        <v>717</v>
      </c>
      <c r="DD84" t="s">
        <v>725</v>
      </c>
      <c r="DE84" t="s">
        <v>714</v>
      </c>
      <c r="DF84" t="s">
        <v>718</v>
      </c>
      <c r="DG84" t="s">
        <v>719</v>
      </c>
      <c r="DH84" t="s">
        <v>723</v>
      </c>
      <c r="DI84" t="s">
        <v>129</v>
      </c>
      <c r="DJ84" t="s">
        <v>727</v>
      </c>
      <c r="DK84" t="s">
        <v>728</v>
      </c>
      <c r="DL84" t="s">
        <v>729</v>
      </c>
      <c r="DM84" t="s">
        <v>730</v>
      </c>
      <c r="DN84" t="s">
        <v>731</v>
      </c>
      <c r="DO84" t="s">
        <v>732</v>
      </c>
      <c r="DP84" t="s">
        <v>733</v>
      </c>
      <c r="DQ84" t="s">
        <v>734</v>
      </c>
      <c r="DR84" t="s">
        <v>735</v>
      </c>
      <c r="DS84" t="s">
        <v>736</v>
      </c>
      <c r="DT84" t="s">
        <v>737</v>
      </c>
      <c r="DU84" t="s">
        <v>738</v>
      </c>
      <c r="DV84" t="s">
        <v>739</v>
      </c>
      <c r="DW84" t="s">
        <v>740</v>
      </c>
      <c r="DX84" t="s">
        <v>741</v>
      </c>
      <c r="DY84" t="s">
        <v>742</v>
      </c>
    </row>
    <row r="85" spans="1:129" x14ac:dyDescent="0.2">
      <c r="A85">
        <v>230</v>
      </c>
      <c r="B85" s="34">
        <v>-28238.921040814159</v>
      </c>
      <c r="C85" s="34">
        <v>-16055.555835868765</v>
      </c>
      <c r="D85" s="34">
        <v>-33969.756447063693</v>
      </c>
      <c r="E85" s="34">
        <v>-27533.709065161049</v>
      </c>
      <c r="F85" s="34">
        <v>36860</v>
      </c>
      <c r="G85" s="34">
        <v>42976</v>
      </c>
      <c r="H85" s="34">
        <v>40387</v>
      </c>
      <c r="I85" s="34">
        <v>9856</v>
      </c>
      <c r="J85" s="34">
        <v>10804</v>
      </c>
      <c r="K85" s="34">
        <v>12697</v>
      </c>
      <c r="L85" s="34">
        <v>28213</v>
      </c>
      <c r="M85" s="34">
        <v>35667</v>
      </c>
      <c r="N85" s="34">
        <v>86167</v>
      </c>
      <c r="O85" s="34">
        <v>101409</v>
      </c>
      <c r="P85" s="34">
        <v>67957</v>
      </c>
      <c r="Q85" s="34">
        <v>153326</v>
      </c>
      <c r="R85" s="34">
        <v>250848</v>
      </c>
      <c r="S85" s="34">
        <v>296680</v>
      </c>
      <c r="T85" s="57">
        <v>17.956521739130434</v>
      </c>
      <c r="U85" s="57">
        <v>18.173913043478262</v>
      </c>
      <c r="V85" s="57">
        <v>18.152173913043477</v>
      </c>
      <c r="W85" s="57">
        <v>18.217391304347824</v>
      </c>
      <c r="X85" s="57">
        <v>18.326086956521738</v>
      </c>
      <c r="Y85" s="57">
        <v>18.445652173913043</v>
      </c>
      <c r="Z85" s="57">
        <v>18.521739130434781</v>
      </c>
      <c r="AA85" s="57">
        <v>18.728260869565219</v>
      </c>
      <c r="AB85" s="57">
        <v>18.913043478260871</v>
      </c>
      <c r="AC85" s="57">
        <v>19.076086956521738</v>
      </c>
      <c r="AD85" s="57">
        <v>19.271739130434781</v>
      </c>
      <c r="AE85" s="57">
        <v>19.423913043478262</v>
      </c>
      <c r="AF85" s="57">
        <v>19.771739130434781</v>
      </c>
      <c r="AG85" s="57">
        <v>19.815217391304348</v>
      </c>
      <c r="AH85" s="57">
        <v>20.032608695652176</v>
      </c>
      <c r="AI85" s="57">
        <v>20.260869565217391</v>
      </c>
      <c r="AJ85" s="57">
        <v>20.673913043478262</v>
      </c>
      <c r="AK85" s="57">
        <v>21</v>
      </c>
      <c r="AL85">
        <v>324450</v>
      </c>
      <c r="AM85">
        <v>375373</v>
      </c>
      <c r="AN85">
        <v>2033988</v>
      </c>
      <c r="AO85">
        <v>2170994</v>
      </c>
      <c r="AP85" s="34">
        <v>637878</v>
      </c>
      <c r="AQ85">
        <v>35199</v>
      </c>
      <c r="AR85">
        <v>67517</v>
      </c>
      <c r="AS85">
        <v>84349</v>
      </c>
      <c r="AT85">
        <v>-112105</v>
      </c>
      <c r="AU85">
        <v>3444</v>
      </c>
      <c r="AV85">
        <v>5107</v>
      </c>
      <c r="AW85" s="34">
        <v>972572</v>
      </c>
      <c r="AX85" s="173">
        <v>41550</v>
      </c>
      <c r="AY85" s="34">
        <v>71375</v>
      </c>
      <c r="AZ85">
        <v>886093</v>
      </c>
      <c r="BA85">
        <v>324179</v>
      </c>
      <c r="BB85">
        <v>362186</v>
      </c>
      <c r="BC85" s="173">
        <v>2035488</v>
      </c>
      <c r="BD85">
        <v>2228412</v>
      </c>
      <c r="BE85" s="34">
        <v>637927</v>
      </c>
      <c r="BF85" s="34">
        <v>67601</v>
      </c>
      <c r="BG85" s="173">
        <v>81331</v>
      </c>
      <c r="BH85">
        <v>95032</v>
      </c>
      <c r="BI85">
        <v>-100166</v>
      </c>
      <c r="BJ85" s="173">
        <v>46234</v>
      </c>
      <c r="BK85" s="34">
        <v>986131</v>
      </c>
      <c r="BL85" s="173">
        <v>47644</v>
      </c>
      <c r="BM85" s="34">
        <v>80431</v>
      </c>
      <c r="BN85">
        <v>950003</v>
      </c>
      <c r="BO85">
        <v>323361</v>
      </c>
      <c r="BP85">
        <v>357246</v>
      </c>
      <c r="BQ85" s="173">
        <v>2052778</v>
      </c>
      <c r="BR85">
        <v>2300984</v>
      </c>
      <c r="BS85" s="34">
        <v>639112</v>
      </c>
      <c r="BT85" s="34">
        <v>29892</v>
      </c>
      <c r="BU85" s="173">
        <v>96789</v>
      </c>
      <c r="BV85">
        <v>88869</v>
      </c>
      <c r="BW85" s="173">
        <v>-145796</v>
      </c>
      <c r="BX85" s="173">
        <v>24722</v>
      </c>
      <c r="BY85" s="34">
        <v>1011746</v>
      </c>
      <c r="BZ85" s="173">
        <v>52885</v>
      </c>
      <c r="CA85" s="34">
        <v>85861</v>
      </c>
      <c r="CB85">
        <v>1005822</v>
      </c>
      <c r="CC85">
        <v>321896</v>
      </c>
      <c r="CD85">
        <v>1151552</v>
      </c>
      <c r="CE85">
        <v>677465</v>
      </c>
      <c r="CF85">
        <v>354509</v>
      </c>
      <c r="CG85">
        <v>10954</v>
      </c>
      <c r="CH85">
        <v>1016267</v>
      </c>
      <c r="CI85">
        <v>46156</v>
      </c>
      <c r="CJ85">
        <v>89129</v>
      </c>
      <c r="CK85">
        <v>115597</v>
      </c>
      <c r="CL85">
        <v>-133968</v>
      </c>
      <c r="CM85">
        <v>94755</v>
      </c>
      <c r="CN85">
        <v>1046975</v>
      </c>
      <c r="CO85">
        <v>2073097</v>
      </c>
      <c r="CP85">
        <v>20443</v>
      </c>
      <c r="CQ85">
        <v>169468</v>
      </c>
      <c r="CR85" s="57">
        <v>21.010869565217391</v>
      </c>
      <c r="CS85">
        <v>320173</v>
      </c>
      <c r="CT85" s="34">
        <v>1164311</v>
      </c>
      <c r="CU85" s="34">
        <v>673044</v>
      </c>
      <c r="CV85">
        <v>342733</v>
      </c>
      <c r="CW85" s="173">
        <v>9985</v>
      </c>
      <c r="CX85" s="34">
        <v>1019429</v>
      </c>
      <c r="CY85" s="173">
        <v>54267</v>
      </c>
      <c r="CZ85" s="34">
        <v>90615</v>
      </c>
      <c r="DA85" s="173">
        <v>137071</v>
      </c>
      <c r="DB85" s="173">
        <v>-143784</v>
      </c>
      <c r="DC85">
        <v>96051</v>
      </c>
      <c r="DD85">
        <v>1066334</v>
      </c>
      <c r="DE85" s="173">
        <v>2050823</v>
      </c>
      <c r="DF85" s="173">
        <v>42839</v>
      </c>
      <c r="DG85" s="173">
        <v>212038</v>
      </c>
      <c r="DH85" s="57">
        <v>21.086956521739129</v>
      </c>
      <c r="DI85" s="34">
        <v>5290</v>
      </c>
      <c r="DJ85">
        <v>317921</v>
      </c>
      <c r="DK85" s="34">
        <v>1148627</v>
      </c>
      <c r="DL85" s="34">
        <v>663936</v>
      </c>
      <c r="DM85" s="172">
        <v>374587</v>
      </c>
      <c r="DN85" s="173">
        <v>8042</v>
      </c>
      <c r="DO85" s="34">
        <v>1005819</v>
      </c>
      <c r="DP85" s="173">
        <v>49638</v>
      </c>
      <c r="DQ85" s="34">
        <v>93170</v>
      </c>
      <c r="DR85" s="173">
        <v>61552</v>
      </c>
      <c r="DS85" s="34">
        <v>-157024</v>
      </c>
      <c r="DT85">
        <v>102411</v>
      </c>
      <c r="DU85">
        <v>1130412</v>
      </c>
      <c r="DV85" s="173">
        <v>2133640</v>
      </c>
      <c r="DW85" s="173">
        <v>-39161</v>
      </c>
      <c r="DX85" s="173">
        <v>173204</v>
      </c>
      <c r="DY85" s="57">
        <v>21.152173913043477</v>
      </c>
    </row>
    <row r="86" spans="1:129" x14ac:dyDescent="0.2">
      <c r="A86">
        <v>340</v>
      </c>
      <c r="B86" s="34">
        <v>75019.047282671774</v>
      </c>
      <c r="C86" s="34">
        <v>87815.457479569362</v>
      </c>
      <c r="D86" s="34">
        <v>74913.59345278042</v>
      </c>
      <c r="E86" s="34">
        <v>69204.958852823765</v>
      </c>
      <c r="F86">
        <v>131626</v>
      </c>
      <c r="G86">
        <v>147959</v>
      </c>
      <c r="H86">
        <v>153964</v>
      </c>
      <c r="I86">
        <v>102777</v>
      </c>
      <c r="J86">
        <v>104051</v>
      </c>
      <c r="K86">
        <v>126346</v>
      </c>
      <c r="L86">
        <v>167867</v>
      </c>
      <c r="M86">
        <v>219262</v>
      </c>
      <c r="N86">
        <v>314664</v>
      </c>
      <c r="O86" s="34">
        <v>327717</v>
      </c>
      <c r="P86">
        <v>294980</v>
      </c>
      <c r="Q86">
        <v>606254</v>
      </c>
      <c r="R86">
        <v>787972</v>
      </c>
      <c r="S86">
        <v>883506</v>
      </c>
      <c r="T86" s="57">
        <v>18.200819672131146</v>
      </c>
      <c r="U86" s="57">
        <v>18.282786885245901</v>
      </c>
      <c r="V86" s="57">
        <v>18.389344262295083</v>
      </c>
      <c r="W86" s="57">
        <v>18.428278688524589</v>
      </c>
      <c r="X86" s="57">
        <v>18.569672131147541</v>
      </c>
      <c r="Y86" s="57">
        <v>18.680327868852459</v>
      </c>
      <c r="Z86" s="57">
        <v>18.725409836065573</v>
      </c>
      <c r="AA86" s="57">
        <v>18.844262295081968</v>
      </c>
      <c r="AB86" s="57">
        <v>18.991803278688526</v>
      </c>
      <c r="AC86" s="57">
        <v>19.147540983606557</v>
      </c>
      <c r="AD86" s="57">
        <v>19.331967213114755</v>
      </c>
      <c r="AE86" s="57">
        <v>19.456967213114755</v>
      </c>
      <c r="AF86" s="57">
        <v>19.790983606557376</v>
      </c>
      <c r="AG86" s="57">
        <v>19.840163934426229</v>
      </c>
      <c r="AH86" s="57">
        <v>20.026639344262296</v>
      </c>
      <c r="AI86" s="57">
        <v>20.295081967213115</v>
      </c>
      <c r="AJ86" s="57">
        <v>20.629098360655739</v>
      </c>
      <c r="AK86" s="57">
        <v>20.846311475409838</v>
      </c>
      <c r="AL86">
        <v>504539</v>
      </c>
      <c r="AM86">
        <v>748519</v>
      </c>
      <c r="AN86">
        <v>3646872</v>
      </c>
      <c r="AO86" s="34">
        <v>2970520</v>
      </c>
      <c r="AP86" s="34">
        <v>1548430</v>
      </c>
      <c r="AQ86">
        <v>32246</v>
      </c>
      <c r="AR86">
        <v>144027</v>
      </c>
      <c r="AS86">
        <v>139900</v>
      </c>
      <c r="AT86">
        <v>-257712</v>
      </c>
      <c r="AU86">
        <v>11644</v>
      </c>
      <c r="AV86">
        <v>11253</v>
      </c>
      <c r="AW86" s="34">
        <v>1274023</v>
      </c>
      <c r="AX86" s="173">
        <v>102963</v>
      </c>
      <c r="AY86" s="34">
        <v>108274</v>
      </c>
      <c r="AZ86">
        <v>1071741</v>
      </c>
      <c r="BA86">
        <v>498330</v>
      </c>
      <c r="BB86">
        <v>739332</v>
      </c>
      <c r="BC86" s="173">
        <v>3666068</v>
      </c>
      <c r="BD86" s="34">
        <v>3079890</v>
      </c>
      <c r="BE86" s="34">
        <v>1584222</v>
      </c>
      <c r="BF86" s="34">
        <v>39550</v>
      </c>
      <c r="BG86" s="173">
        <v>203737</v>
      </c>
      <c r="BH86">
        <v>150898</v>
      </c>
      <c r="BI86">
        <v>-202684</v>
      </c>
      <c r="BJ86" s="173">
        <v>73766</v>
      </c>
      <c r="BK86" s="34">
        <v>1296756</v>
      </c>
      <c r="BL86" s="173">
        <v>116453</v>
      </c>
      <c r="BM86" s="34">
        <v>126736</v>
      </c>
      <c r="BN86">
        <v>1121573</v>
      </c>
      <c r="BO86">
        <v>491204</v>
      </c>
      <c r="BP86">
        <v>711895</v>
      </c>
      <c r="BQ86" s="173">
        <v>3658032</v>
      </c>
      <c r="BR86" s="34">
        <v>3165890</v>
      </c>
      <c r="BS86" s="34">
        <v>1558975</v>
      </c>
      <c r="BT86" s="34">
        <v>38957</v>
      </c>
      <c r="BU86" s="173">
        <v>204911</v>
      </c>
      <c r="BV86">
        <v>155507</v>
      </c>
      <c r="BW86" s="173">
        <v>-236278</v>
      </c>
      <c r="BX86" s="173">
        <v>53760</v>
      </c>
      <c r="BY86" s="34">
        <v>1317822</v>
      </c>
      <c r="BZ86" s="173">
        <v>132984</v>
      </c>
      <c r="CA86" s="34">
        <v>132139</v>
      </c>
      <c r="CB86">
        <v>1177629</v>
      </c>
      <c r="CC86">
        <v>485064</v>
      </c>
      <c r="CD86">
        <v>1548542</v>
      </c>
      <c r="CE86">
        <v>1608947</v>
      </c>
      <c r="CF86">
        <v>691491</v>
      </c>
      <c r="CG86">
        <v>28151</v>
      </c>
      <c r="CH86">
        <v>1287993</v>
      </c>
      <c r="CI86">
        <v>125714</v>
      </c>
      <c r="CJ86">
        <v>134835</v>
      </c>
      <c r="CK86">
        <v>200069</v>
      </c>
      <c r="CL86">
        <v>-203787</v>
      </c>
      <c r="CM86">
        <v>167805</v>
      </c>
      <c r="CN86">
        <v>1215687</v>
      </c>
      <c r="CO86">
        <v>3655820</v>
      </c>
      <c r="CP86">
        <v>45937</v>
      </c>
      <c r="CQ86">
        <v>489426</v>
      </c>
      <c r="CR86" s="57">
        <v>20.942622950819672</v>
      </c>
      <c r="CS86">
        <v>476869</v>
      </c>
      <c r="CT86" s="34">
        <v>1576608</v>
      </c>
      <c r="CU86" s="34">
        <v>1596673</v>
      </c>
      <c r="CV86">
        <v>622164</v>
      </c>
      <c r="CW86" s="173">
        <v>34150</v>
      </c>
      <c r="CX86" s="34">
        <v>1294992</v>
      </c>
      <c r="CY86" s="173">
        <v>143769</v>
      </c>
      <c r="CZ86" s="34">
        <v>137847</v>
      </c>
      <c r="DA86" s="173">
        <v>250867</v>
      </c>
      <c r="DB86" s="173">
        <v>-189278</v>
      </c>
      <c r="DC86">
        <v>174506</v>
      </c>
      <c r="DD86">
        <v>1234436</v>
      </c>
      <c r="DE86" s="173">
        <v>3562892</v>
      </c>
      <c r="DF86" s="173">
        <v>84208</v>
      </c>
      <c r="DG86" s="173">
        <v>574451</v>
      </c>
      <c r="DH86" s="57">
        <v>21.018442622950818</v>
      </c>
      <c r="DI86" s="34">
        <v>41480</v>
      </c>
      <c r="DJ86">
        <v>468001</v>
      </c>
      <c r="DK86" s="34">
        <v>1524148</v>
      </c>
      <c r="DL86" s="34">
        <v>1563895</v>
      </c>
      <c r="DM86" s="172">
        <v>621861</v>
      </c>
      <c r="DN86" s="173">
        <v>23566</v>
      </c>
      <c r="DO86" s="34">
        <v>1250118</v>
      </c>
      <c r="DP86" s="173">
        <v>132423</v>
      </c>
      <c r="DQ86" s="34">
        <v>141607</v>
      </c>
      <c r="DR86" s="173">
        <v>119073</v>
      </c>
      <c r="DS86" s="34">
        <v>-164688</v>
      </c>
      <c r="DT86">
        <v>167714</v>
      </c>
      <c r="DU86">
        <v>1226540</v>
      </c>
      <c r="DV86" s="173">
        <v>3601536</v>
      </c>
      <c r="DW86" s="173">
        <v>-27761</v>
      </c>
      <c r="DX86" s="173">
        <v>546441</v>
      </c>
      <c r="DY86" s="57">
        <v>21.153688524590162</v>
      </c>
    </row>
    <row r="87" spans="1:129" x14ac:dyDescent="0.2">
      <c r="A87">
        <v>240</v>
      </c>
      <c r="B87" s="34">
        <v>-11406.50517261968</v>
      </c>
      <c r="C87" s="34">
        <v>-7489.5765532575497</v>
      </c>
      <c r="D87" s="34">
        <v>-12727.453147048389</v>
      </c>
      <c r="E87" s="34">
        <v>-2724.9807845294017</v>
      </c>
      <c r="F87">
        <v>55117</v>
      </c>
      <c r="G87">
        <v>51617</v>
      </c>
      <c r="H87">
        <v>19697</v>
      </c>
      <c r="I87">
        <v>22806</v>
      </c>
      <c r="J87">
        <v>34988</v>
      </c>
      <c r="K87">
        <v>43636</v>
      </c>
      <c r="L87">
        <v>85539</v>
      </c>
      <c r="M87">
        <v>103840</v>
      </c>
      <c r="N87">
        <v>151361</v>
      </c>
      <c r="O87" s="34">
        <v>107079</v>
      </c>
      <c r="P87">
        <v>66286</v>
      </c>
      <c r="Q87">
        <v>187146</v>
      </c>
      <c r="R87">
        <v>249138</v>
      </c>
      <c r="S87">
        <v>272824</v>
      </c>
      <c r="T87" s="57">
        <v>18</v>
      </c>
      <c r="U87" s="57">
        <v>18.14423076923077</v>
      </c>
      <c r="V87" s="57">
        <v>18.23076923076923</v>
      </c>
      <c r="W87" s="57">
        <v>18.26923076923077</v>
      </c>
      <c r="X87" s="57">
        <v>18.403846153846153</v>
      </c>
      <c r="Y87" s="57">
        <v>18.48076923076923</v>
      </c>
      <c r="Z87" s="57">
        <v>18.528846153846153</v>
      </c>
      <c r="AA87" s="57">
        <v>18.807692307692307</v>
      </c>
      <c r="AB87" s="57">
        <v>19.115384615384617</v>
      </c>
      <c r="AC87" s="57">
        <v>19.298076923076923</v>
      </c>
      <c r="AD87" s="57">
        <v>19.39423076923077</v>
      </c>
      <c r="AE87" s="57">
        <v>19.471153846153847</v>
      </c>
      <c r="AF87" s="57">
        <v>19.865384615384617</v>
      </c>
      <c r="AG87" s="57">
        <v>19.932692307692307</v>
      </c>
      <c r="AH87" s="57">
        <v>20.10576923076923</v>
      </c>
      <c r="AI87" s="57">
        <v>20.423076923076923</v>
      </c>
      <c r="AJ87" s="57">
        <v>20.759615384615383</v>
      </c>
      <c r="AK87" s="57">
        <v>20.884615384615383</v>
      </c>
      <c r="AL87">
        <v>314833</v>
      </c>
      <c r="AM87">
        <v>401283</v>
      </c>
      <c r="AN87">
        <v>2156777</v>
      </c>
      <c r="AO87" s="34">
        <v>2099116</v>
      </c>
      <c r="AP87" s="34">
        <v>767067</v>
      </c>
      <c r="AQ87">
        <v>59696</v>
      </c>
      <c r="AR87">
        <v>87348</v>
      </c>
      <c r="AS87">
        <v>88307</v>
      </c>
      <c r="AT87">
        <v>-126885</v>
      </c>
      <c r="AU87">
        <v>23983</v>
      </c>
      <c r="AV87">
        <v>23200</v>
      </c>
      <c r="AW87" s="34">
        <v>907203</v>
      </c>
      <c r="AX87" s="173">
        <v>68370</v>
      </c>
      <c r="AY87" s="34">
        <v>73985</v>
      </c>
      <c r="AZ87">
        <v>707688</v>
      </c>
      <c r="BA87">
        <v>311888</v>
      </c>
      <c r="BB87">
        <v>394867</v>
      </c>
      <c r="BC87" s="173">
        <v>2168438</v>
      </c>
      <c r="BD87" s="34">
        <v>2150470</v>
      </c>
      <c r="BE87" s="34">
        <v>775553</v>
      </c>
      <c r="BF87" s="34">
        <v>46907</v>
      </c>
      <c r="BG87" s="173">
        <v>94381</v>
      </c>
      <c r="BH87">
        <v>91413</v>
      </c>
      <c r="BI87">
        <v>-151880</v>
      </c>
      <c r="BJ87" s="173">
        <v>24691</v>
      </c>
      <c r="BK87" s="34">
        <v>918673</v>
      </c>
      <c r="BL87" s="173">
        <v>72806</v>
      </c>
      <c r="BM87" s="34">
        <v>83756</v>
      </c>
      <c r="BN87">
        <v>794895</v>
      </c>
      <c r="BO87">
        <v>308668</v>
      </c>
      <c r="BP87">
        <v>395108</v>
      </c>
      <c r="BQ87" s="173">
        <v>2181794</v>
      </c>
      <c r="BR87" s="34">
        <v>2200658</v>
      </c>
      <c r="BS87" s="34">
        <v>768172</v>
      </c>
      <c r="BT87" s="34">
        <v>52120</v>
      </c>
      <c r="BU87" s="173">
        <v>102796</v>
      </c>
      <c r="BV87">
        <v>95118</v>
      </c>
      <c r="BW87" s="173">
        <v>-113415</v>
      </c>
      <c r="BX87" s="173">
        <v>13222</v>
      </c>
      <c r="BY87" s="34">
        <v>932071</v>
      </c>
      <c r="BZ87" s="173">
        <v>84206</v>
      </c>
      <c r="CA87" s="34">
        <v>84052</v>
      </c>
      <c r="CB87">
        <v>846977</v>
      </c>
      <c r="CC87">
        <v>305241</v>
      </c>
      <c r="CD87">
        <v>1089419</v>
      </c>
      <c r="CE87">
        <v>801133</v>
      </c>
      <c r="CF87">
        <v>392189</v>
      </c>
      <c r="CG87">
        <v>29271</v>
      </c>
      <c r="CH87">
        <v>921502</v>
      </c>
      <c r="CI87">
        <v>75046</v>
      </c>
      <c r="CJ87">
        <v>92871</v>
      </c>
      <c r="CK87">
        <v>116528</v>
      </c>
      <c r="CL87">
        <v>-122726</v>
      </c>
      <c r="CM87">
        <v>104529</v>
      </c>
      <c r="CN87">
        <v>885278</v>
      </c>
      <c r="CO87">
        <v>2185831</v>
      </c>
      <c r="CP87">
        <v>15244</v>
      </c>
      <c r="CQ87">
        <v>152607</v>
      </c>
      <c r="CR87" s="57">
        <v>20.990384615384617</v>
      </c>
      <c r="CS87">
        <v>301259</v>
      </c>
      <c r="CT87" s="34">
        <v>1095512</v>
      </c>
      <c r="CU87" s="34">
        <v>797594</v>
      </c>
      <c r="CV87">
        <v>397257</v>
      </c>
      <c r="CW87" s="173">
        <v>23214</v>
      </c>
      <c r="CX87" s="34">
        <v>913641</v>
      </c>
      <c r="CY87" s="173">
        <v>90644</v>
      </c>
      <c r="CZ87" s="34">
        <v>91227</v>
      </c>
      <c r="DA87" s="173">
        <v>150281</v>
      </c>
      <c r="DB87" s="173">
        <v>-113366</v>
      </c>
      <c r="DC87">
        <v>108853</v>
      </c>
      <c r="DD87">
        <v>890002</v>
      </c>
      <c r="DE87" s="173">
        <v>2161209</v>
      </c>
      <c r="DF87" s="173">
        <v>38074</v>
      </c>
      <c r="DG87" s="173">
        <v>189979</v>
      </c>
      <c r="DH87" s="57">
        <v>21.048076923076923</v>
      </c>
      <c r="DI87" s="34">
        <v>6240</v>
      </c>
      <c r="DJ87">
        <v>296522</v>
      </c>
      <c r="DK87" s="34">
        <v>1067913</v>
      </c>
      <c r="DL87" s="34">
        <v>783498</v>
      </c>
      <c r="DM87" s="172">
        <v>393815</v>
      </c>
      <c r="DN87" s="173">
        <v>25633</v>
      </c>
      <c r="DO87" s="34">
        <v>892762</v>
      </c>
      <c r="DP87" s="173">
        <v>80701</v>
      </c>
      <c r="DQ87" s="34">
        <v>94450</v>
      </c>
      <c r="DR87" s="173">
        <v>68189</v>
      </c>
      <c r="DS87" s="34">
        <v>-105630</v>
      </c>
      <c r="DT87">
        <v>104212</v>
      </c>
      <c r="DU87">
        <v>901532</v>
      </c>
      <c r="DV87" s="173">
        <v>2196849</v>
      </c>
      <c r="DW87" s="173">
        <v>-30116</v>
      </c>
      <c r="DX87" s="173">
        <v>163271</v>
      </c>
      <c r="DY87" s="57">
        <v>21.14423076923077</v>
      </c>
    </row>
    <row r="88" spans="1:129" x14ac:dyDescent="0.2">
      <c r="A88">
        <v>330</v>
      </c>
      <c r="B88" s="34">
        <v>5710.1482912947604</v>
      </c>
      <c r="C88" s="34">
        <v>8581.4525718456771</v>
      </c>
      <c r="D88" s="34">
        <v>-4053.3290277224141</v>
      </c>
      <c r="E88" s="34">
        <v>5486.7947249538738</v>
      </c>
      <c r="F88">
        <v>34906</v>
      </c>
      <c r="G88">
        <v>32928</v>
      </c>
      <c r="H88">
        <v>42180</v>
      </c>
      <c r="I88">
        <v>30482</v>
      </c>
      <c r="J88">
        <v>32170</v>
      </c>
      <c r="K88">
        <v>42231</v>
      </c>
      <c r="L88">
        <v>53578</v>
      </c>
      <c r="M88">
        <v>68378</v>
      </c>
      <c r="N88">
        <v>93914</v>
      </c>
      <c r="O88" s="34">
        <v>97993</v>
      </c>
      <c r="P88">
        <v>67464</v>
      </c>
      <c r="Q88">
        <v>196978</v>
      </c>
      <c r="R88">
        <v>261048</v>
      </c>
      <c r="S88">
        <v>261254</v>
      </c>
      <c r="T88" s="57">
        <v>17.940789473684209</v>
      </c>
      <c r="U88" s="57">
        <v>18.046052631578949</v>
      </c>
      <c r="V88" s="57">
        <v>18.190789473684209</v>
      </c>
      <c r="W88" s="57">
        <v>18.263157894736842</v>
      </c>
      <c r="X88" s="57">
        <v>18.42763157894737</v>
      </c>
      <c r="Y88" s="57">
        <v>18.480263157894736</v>
      </c>
      <c r="Z88" s="57">
        <v>18.605263157894736</v>
      </c>
      <c r="AA88" s="57">
        <v>18.743421052631579</v>
      </c>
      <c r="AB88" s="57">
        <v>18.960526315789473</v>
      </c>
      <c r="AC88" s="57">
        <v>19.190789473684209</v>
      </c>
      <c r="AD88" s="57">
        <v>19.355263157894736</v>
      </c>
      <c r="AE88" s="57">
        <v>19.473684210526315</v>
      </c>
      <c r="AF88" s="57">
        <v>19.796052631578949</v>
      </c>
      <c r="AG88" s="57">
        <v>19.848684210526315</v>
      </c>
      <c r="AH88" s="57">
        <v>19.986842105263158</v>
      </c>
      <c r="AI88" s="57">
        <v>20.230263157894736</v>
      </c>
      <c r="AJ88" s="57">
        <v>20.605263157894736</v>
      </c>
      <c r="AK88" s="57">
        <v>20.82236842105263</v>
      </c>
      <c r="AL88">
        <v>189033</v>
      </c>
      <c r="AM88">
        <v>230897</v>
      </c>
      <c r="AN88">
        <v>1242529</v>
      </c>
      <c r="AO88" s="34">
        <v>1197692</v>
      </c>
      <c r="AP88" s="34">
        <v>458962</v>
      </c>
      <c r="AQ88">
        <v>33300</v>
      </c>
      <c r="AR88">
        <v>48000</v>
      </c>
      <c r="AS88">
        <v>44829</v>
      </c>
      <c r="AT88">
        <v>-48257</v>
      </c>
      <c r="AU88">
        <v>28142</v>
      </c>
      <c r="AV88">
        <v>31714</v>
      </c>
      <c r="AW88" s="34">
        <v>527785</v>
      </c>
      <c r="AX88" s="173">
        <v>31273</v>
      </c>
      <c r="AY88" s="34">
        <v>39788</v>
      </c>
      <c r="AZ88">
        <v>391904</v>
      </c>
      <c r="BA88">
        <v>188235</v>
      </c>
      <c r="BB88">
        <v>205078</v>
      </c>
      <c r="BC88" s="173">
        <v>1217612</v>
      </c>
      <c r="BD88" s="34">
        <v>1254336</v>
      </c>
      <c r="BE88" s="34">
        <v>452316</v>
      </c>
      <c r="BF88" s="34">
        <v>15364</v>
      </c>
      <c r="BG88" s="173">
        <v>67169</v>
      </c>
      <c r="BH88">
        <v>46071</v>
      </c>
      <c r="BI88">
        <v>-66035</v>
      </c>
      <c r="BJ88" s="173">
        <v>31168</v>
      </c>
      <c r="BK88" s="34">
        <v>543474</v>
      </c>
      <c r="BL88" s="173">
        <v>36662</v>
      </c>
      <c r="BM88" s="34">
        <v>47032</v>
      </c>
      <c r="BN88">
        <v>407879</v>
      </c>
      <c r="BO88">
        <v>187281</v>
      </c>
      <c r="BP88">
        <v>201729</v>
      </c>
      <c r="BQ88" s="173">
        <v>1242783</v>
      </c>
      <c r="BR88" s="34">
        <v>1280378</v>
      </c>
      <c r="BS88" s="34">
        <v>444595</v>
      </c>
      <c r="BT88" s="34">
        <v>7406</v>
      </c>
      <c r="BU88" s="173">
        <v>44072</v>
      </c>
      <c r="BV88">
        <v>46246</v>
      </c>
      <c r="BW88" s="173">
        <v>-86592</v>
      </c>
      <c r="BX88" s="173">
        <v>362</v>
      </c>
      <c r="BY88" s="34">
        <v>548229</v>
      </c>
      <c r="BZ88" s="173">
        <v>41950</v>
      </c>
      <c r="CA88" s="34">
        <v>50010</v>
      </c>
      <c r="CB88">
        <v>448570</v>
      </c>
      <c r="CC88">
        <v>186179</v>
      </c>
      <c r="CD88">
        <v>641150</v>
      </c>
      <c r="CE88">
        <v>467676</v>
      </c>
      <c r="CF88">
        <v>195256</v>
      </c>
      <c r="CG88">
        <v>13678</v>
      </c>
      <c r="CH88">
        <v>550626</v>
      </c>
      <c r="CI88">
        <v>39390</v>
      </c>
      <c r="CJ88">
        <v>51134</v>
      </c>
      <c r="CK88">
        <v>66442</v>
      </c>
      <c r="CL88">
        <v>-61542</v>
      </c>
      <c r="CM88">
        <v>48476</v>
      </c>
      <c r="CN88">
        <v>466325</v>
      </c>
      <c r="CO88">
        <v>1239040</v>
      </c>
      <c r="CP88">
        <v>26512</v>
      </c>
      <c r="CQ88">
        <v>157865</v>
      </c>
      <c r="CR88" s="57">
        <v>20.894736842105264</v>
      </c>
      <c r="CS88">
        <v>184978</v>
      </c>
      <c r="CT88" s="34">
        <v>649520</v>
      </c>
      <c r="CU88" s="34">
        <v>462115</v>
      </c>
      <c r="CV88">
        <v>188120</v>
      </c>
      <c r="CW88" s="173">
        <v>14731</v>
      </c>
      <c r="CX88" s="34">
        <v>552451</v>
      </c>
      <c r="CY88" s="173">
        <v>45555</v>
      </c>
      <c r="CZ88" s="34">
        <v>51514</v>
      </c>
      <c r="DA88" s="173">
        <v>74458</v>
      </c>
      <c r="DB88" s="173">
        <v>-70580</v>
      </c>
      <c r="DC88">
        <v>51931</v>
      </c>
      <c r="DD88">
        <v>490854</v>
      </c>
      <c r="DE88" s="173">
        <v>1228195</v>
      </c>
      <c r="DF88" s="173">
        <v>34578</v>
      </c>
      <c r="DG88" s="173">
        <v>193820</v>
      </c>
      <c r="DH88" s="57">
        <v>20.934210526315791</v>
      </c>
      <c r="DI88" s="34">
        <v>12540</v>
      </c>
      <c r="DJ88">
        <v>183787</v>
      </c>
      <c r="DK88" s="34">
        <v>639109</v>
      </c>
      <c r="DL88" s="34">
        <v>456718</v>
      </c>
      <c r="DM88" s="172">
        <v>191223</v>
      </c>
      <c r="DN88" s="173">
        <v>5065</v>
      </c>
      <c r="DO88" s="34">
        <v>543535</v>
      </c>
      <c r="DP88" s="173">
        <v>41187</v>
      </c>
      <c r="DQ88" s="34">
        <v>54387</v>
      </c>
      <c r="DR88" s="173">
        <v>31843</v>
      </c>
      <c r="DS88" s="34">
        <v>-77779</v>
      </c>
      <c r="DT88">
        <v>54310</v>
      </c>
      <c r="DU88">
        <v>525822</v>
      </c>
      <c r="DV88" s="173">
        <v>1257979</v>
      </c>
      <c r="DW88" s="173">
        <v>-18430</v>
      </c>
      <c r="DX88" s="173">
        <v>175067</v>
      </c>
      <c r="DY88" s="57">
        <v>21.065789473684209</v>
      </c>
    </row>
    <row r="89" spans="1:129" x14ac:dyDescent="0.2">
      <c r="A89">
        <v>320</v>
      </c>
      <c r="B89" s="34">
        <v>5302.4607575520586</v>
      </c>
      <c r="C89" s="34">
        <v>3886.4866046725961</v>
      </c>
      <c r="D89" s="34">
        <v>-7200.6296955966727</v>
      </c>
      <c r="E89" s="34">
        <v>-6263.8229452060568</v>
      </c>
      <c r="F89">
        <v>6444</v>
      </c>
      <c r="G89">
        <v>12551</v>
      </c>
      <c r="H89">
        <v>14648</v>
      </c>
      <c r="I89">
        <v>10950</v>
      </c>
      <c r="J89">
        <v>11980</v>
      </c>
      <c r="K89">
        <v>18085</v>
      </c>
      <c r="L89">
        <v>31239</v>
      </c>
      <c r="M89">
        <v>52088</v>
      </c>
      <c r="N89">
        <v>77010</v>
      </c>
      <c r="O89" s="34">
        <v>81745</v>
      </c>
      <c r="P89">
        <v>81502</v>
      </c>
      <c r="Q89">
        <v>186320</v>
      </c>
      <c r="R89">
        <v>214798</v>
      </c>
      <c r="S89">
        <v>220400</v>
      </c>
      <c r="T89" s="57">
        <v>18.115384615384617</v>
      </c>
      <c r="U89" s="57">
        <v>18.153846153846153</v>
      </c>
      <c r="V89" s="57">
        <v>18.346153846153847</v>
      </c>
      <c r="W89" s="57">
        <v>18.346153846153847</v>
      </c>
      <c r="X89" s="57">
        <v>18.576923076923077</v>
      </c>
      <c r="Y89" s="57">
        <v>18.692307692307693</v>
      </c>
      <c r="Z89" s="57">
        <v>18.73076923076923</v>
      </c>
      <c r="AA89" s="57">
        <v>18.78846153846154</v>
      </c>
      <c r="AB89" s="57">
        <v>18.923076923076923</v>
      </c>
      <c r="AC89" s="57">
        <v>19.01923076923077</v>
      </c>
      <c r="AD89" s="57">
        <v>19.076923076923077</v>
      </c>
      <c r="AE89" s="57">
        <v>19.23076923076923</v>
      </c>
      <c r="AF89" s="57">
        <v>19.48076923076923</v>
      </c>
      <c r="AG89" s="57">
        <v>19.51923076923077</v>
      </c>
      <c r="AH89" s="57">
        <v>19.46153846153846</v>
      </c>
      <c r="AI89" s="57">
        <v>20.33653846153846</v>
      </c>
      <c r="AJ89" s="57">
        <v>20.615384615384617</v>
      </c>
      <c r="AK89" s="57">
        <v>19.903846153846153</v>
      </c>
      <c r="AL89">
        <v>61559</v>
      </c>
      <c r="AM89">
        <v>58889</v>
      </c>
      <c r="AN89">
        <v>398118</v>
      </c>
      <c r="AO89" s="34">
        <v>437900</v>
      </c>
      <c r="AP89" s="34">
        <v>146698</v>
      </c>
      <c r="AQ89">
        <v>4522</v>
      </c>
      <c r="AR89">
        <v>28906</v>
      </c>
      <c r="AS89">
        <v>16615</v>
      </c>
      <c r="AT89">
        <v>-32654</v>
      </c>
      <c r="AU89">
        <v>12340</v>
      </c>
      <c r="AV89">
        <v>13434</v>
      </c>
      <c r="AW89" s="34">
        <v>171977</v>
      </c>
      <c r="AX89" s="173">
        <v>12822</v>
      </c>
      <c r="AY89" s="34">
        <v>34151</v>
      </c>
      <c r="AZ89">
        <v>140805</v>
      </c>
      <c r="BA89">
        <v>61775</v>
      </c>
      <c r="BB89">
        <v>63605</v>
      </c>
      <c r="BC89" s="173">
        <v>408723</v>
      </c>
      <c r="BD89" s="34">
        <v>452496</v>
      </c>
      <c r="BE89" s="34">
        <v>148175</v>
      </c>
      <c r="BF89" s="34">
        <v>4383</v>
      </c>
      <c r="BG89" s="173">
        <v>31266</v>
      </c>
      <c r="BH89">
        <v>17679</v>
      </c>
      <c r="BI89">
        <v>-38879</v>
      </c>
      <c r="BJ89" s="173">
        <v>14138</v>
      </c>
      <c r="BK89" s="34">
        <v>174029</v>
      </c>
      <c r="BL89" s="173">
        <v>14892</v>
      </c>
      <c r="BM89" s="34">
        <v>37327</v>
      </c>
      <c r="BN89">
        <v>150425</v>
      </c>
      <c r="BO89">
        <v>61803</v>
      </c>
      <c r="BP89">
        <v>62087</v>
      </c>
      <c r="BQ89" s="173">
        <v>415043</v>
      </c>
      <c r="BR89" s="34">
        <v>458816</v>
      </c>
      <c r="BS89" s="34">
        <v>146637</v>
      </c>
      <c r="BT89" s="34">
        <v>7545</v>
      </c>
      <c r="BU89" s="173">
        <v>25709</v>
      </c>
      <c r="BV89">
        <v>19095</v>
      </c>
      <c r="BW89" s="173">
        <v>-32247</v>
      </c>
      <c r="BX89" s="173">
        <v>6784</v>
      </c>
      <c r="BY89" s="34">
        <v>174685</v>
      </c>
      <c r="BZ89" s="173">
        <v>16062</v>
      </c>
      <c r="CA89" s="34">
        <v>38661</v>
      </c>
      <c r="CB89">
        <v>153206</v>
      </c>
      <c r="CC89">
        <v>61979</v>
      </c>
      <c r="CD89">
        <v>236876</v>
      </c>
      <c r="CE89">
        <v>157165</v>
      </c>
      <c r="CF89">
        <v>68932</v>
      </c>
      <c r="CG89">
        <v>5145</v>
      </c>
      <c r="CH89">
        <v>180435</v>
      </c>
      <c r="CI89">
        <v>14179</v>
      </c>
      <c r="CJ89">
        <v>42262</v>
      </c>
      <c r="CK89">
        <v>38569</v>
      </c>
      <c r="CL89">
        <v>-36946</v>
      </c>
      <c r="CM89">
        <v>21198</v>
      </c>
      <c r="CN89">
        <v>156343</v>
      </c>
      <c r="CO89">
        <v>426493</v>
      </c>
      <c r="CP89">
        <v>14983</v>
      </c>
      <c r="CQ89">
        <v>125865</v>
      </c>
      <c r="CR89" s="57">
        <v>20.192307692307693</v>
      </c>
      <c r="CS89">
        <v>62482</v>
      </c>
      <c r="CT89" s="34">
        <v>243191</v>
      </c>
      <c r="CU89" s="34">
        <v>154933</v>
      </c>
      <c r="CV89">
        <v>68111</v>
      </c>
      <c r="CW89" s="173">
        <v>2881</v>
      </c>
      <c r="CX89" s="34">
        <v>183966</v>
      </c>
      <c r="CY89" s="173">
        <v>22223</v>
      </c>
      <c r="CZ89" s="34">
        <v>37003</v>
      </c>
      <c r="DA89" s="173">
        <v>46115</v>
      </c>
      <c r="DB89" s="173">
        <v>-32520</v>
      </c>
      <c r="DC89">
        <v>21349</v>
      </c>
      <c r="DD89">
        <v>158474</v>
      </c>
      <c r="DE89" s="173">
        <v>423000</v>
      </c>
      <c r="DF89" s="173">
        <v>19189</v>
      </c>
      <c r="DG89" s="173">
        <v>144978</v>
      </c>
      <c r="DH89" s="57">
        <v>20.26923076923077</v>
      </c>
      <c r="DI89" s="34">
        <v>4160</v>
      </c>
      <c r="DJ89">
        <v>62430</v>
      </c>
      <c r="DK89" s="34">
        <v>242209</v>
      </c>
      <c r="DL89" s="34">
        <v>153565</v>
      </c>
      <c r="DM89" s="172">
        <v>65661</v>
      </c>
      <c r="DN89" s="173">
        <v>994</v>
      </c>
      <c r="DO89" s="34">
        <v>182812</v>
      </c>
      <c r="DP89" s="173">
        <v>14123</v>
      </c>
      <c r="DQ89" s="34">
        <v>45274</v>
      </c>
      <c r="DR89" s="173">
        <v>22083</v>
      </c>
      <c r="DS89" s="34">
        <v>-28646</v>
      </c>
      <c r="DT89">
        <v>21607</v>
      </c>
      <c r="DU89">
        <v>163983</v>
      </c>
      <c r="DV89" s="173">
        <v>440346</v>
      </c>
      <c r="DW89" s="173">
        <v>950</v>
      </c>
      <c r="DX89" s="173">
        <v>145933</v>
      </c>
      <c r="DY89" s="57">
        <v>20.307692307692307</v>
      </c>
    </row>
    <row r="90" spans="1:129" x14ac:dyDescent="0.2">
      <c r="A90">
        <v>110</v>
      </c>
      <c r="B90" s="34">
        <v>229817.19654272901</v>
      </c>
      <c r="C90" s="34">
        <v>384191.34404017677</v>
      </c>
      <c r="D90" s="34">
        <v>787079.46711337368</v>
      </c>
      <c r="E90" s="34">
        <v>1058324.0409503963</v>
      </c>
      <c r="F90">
        <v>1143823</v>
      </c>
      <c r="G90">
        <v>1303426</v>
      </c>
      <c r="H90">
        <v>1563592</v>
      </c>
      <c r="I90">
        <v>1736147</v>
      </c>
      <c r="J90">
        <v>2080429</v>
      </c>
      <c r="K90">
        <v>2400618</v>
      </c>
      <c r="L90">
        <v>3071836</v>
      </c>
      <c r="M90">
        <v>3123277</v>
      </c>
      <c r="N90">
        <v>4405982</v>
      </c>
      <c r="O90" s="34">
        <v>4747058</v>
      </c>
      <c r="P90">
        <v>4206561</v>
      </c>
      <c r="Q90">
        <v>8970046</v>
      </c>
      <c r="R90">
        <v>12096920</v>
      </c>
      <c r="S90">
        <v>12064272</v>
      </c>
      <c r="T90" s="57">
        <v>17.024999999999999</v>
      </c>
      <c r="U90" s="57">
        <v>17.125</v>
      </c>
      <c r="V90" s="57">
        <v>17.125</v>
      </c>
      <c r="W90" s="57">
        <v>17.175000000000001</v>
      </c>
      <c r="X90" s="57">
        <v>17.274999999999999</v>
      </c>
      <c r="Y90" s="57">
        <v>17.475000000000001</v>
      </c>
      <c r="Z90" s="57">
        <v>17.649999999999999</v>
      </c>
      <c r="AA90" s="57">
        <v>17.725000000000001</v>
      </c>
      <c r="AB90" s="57">
        <v>17.875</v>
      </c>
      <c r="AC90" s="57">
        <v>17.875</v>
      </c>
      <c r="AD90" s="57">
        <v>17.925000000000001</v>
      </c>
      <c r="AE90" s="57">
        <v>18.05</v>
      </c>
      <c r="AF90" s="57">
        <v>18.55</v>
      </c>
      <c r="AG90" s="57">
        <v>18.649999999999999</v>
      </c>
      <c r="AH90" s="57">
        <v>18.649999999999999</v>
      </c>
      <c r="AI90" s="57">
        <v>18.75</v>
      </c>
      <c r="AJ90" s="57">
        <v>19.05</v>
      </c>
      <c r="AK90" s="57">
        <v>19.074999999999999</v>
      </c>
      <c r="AL90">
        <v>1456160</v>
      </c>
      <c r="AM90">
        <v>3242955</v>
      </c>
      <c r="AN90">
        <v>10023089</v>
      </c>
      <c r="AO90" s="34">
        <v>13201874</v>
      </c>
      <c r="AP90" s="34">
        <v>886782</v>
      </c>
      <c r="AQ90">
        <v>268334</v>
      </c>
      <c r="AR90">
        <v>874272</v>
      </c>
      <c r="AS90">
        <v>718529</v>
      </c>
      <c r="AT90">
        <v>-942133</v>
      </c>
      <c r="AU90">
        <v>254635</v>
      </c>
      <c r="AV90">
        <v>263952</v>
      </c>
      <c r="AW90" s="34">
        <v>5669223</v>
      </c>
      <c r="AX90" s="173">
        <v>514562</v>
      </c>
      <c r="AY90" s="34">
        <v>416580</v>
      </c>
      <c r="AZ90">
        <v>3468544</v>
      </c>
      <c r="BA90">
        <v>1476399</v>
      </c>
      <c r="BB90">
        <v>3194117</v>
      </c>
      <c r="BC90" s="173">
        <v>10089143</v>
      </c>
      <c r="BD90" s="34">
        <v>13465032</v>
      </c>
      <c r="BE90" s="34">
        <v>841249</v>
      </c>
      <c r="BF90" s="34">
        <v>1313142</v>
      </c>
      <c r="BG90" s="173">
        <v>814717</v>
      </c>
      <c r="BH90">
        <v>743877</v>
      </c>
      <c r="BI90">
        <v>-301080</v>
      </c>
      <c r="BJ90" s="173">
        <v>1627440</v>
      </c>
      <c r="BK90" s="34">
        <v>5691636</v>
      </c>
      <c r="BL90" s="173">
        <v>587786</v>
      </c>
      <c r="BM90" s="34">
        <v>452555</v>
      </c>
      <c r="BN90">
        <v>3692210</v>
      </c>
      <c r="BO90">
        <v>1495602</v>
      </c>
      <c r="BP90">
        <v>2561549</v>
      </c>
      <c r="BQ90" s="173">
        <v>9895531</v>
      </c>
      <c r="BR90" s="34">
        <v>13904352</v>
      </c>
      <c r="BS90" s="34">
        <v>870646</v>
      </c>
      <c r="BT90" s="34">
        <v>339983</v>
      </c>
      <c r="BU90" s="173">
        <v>636596</v>
      </c>
      <c r="BV90">
        <v>770123</v>
      </c>
      <c r="BW90" s="173">
        <v>-1034792</v>
      </c>
      <c r="BX90" s="173">
        <v>37498</v>
      </c>
      <c r="BY90" s="34">
        <v>5786190</v>
      </c>
      <c r="BZ90" s="173">
        <v>678542</v>
      </c>
      <c r="CA90" s="34">
        <v>487444</v>
      </c>
      <c r="CB90">
        <v>4029969</v>
      </c>
      <c r="CC90">
        <v>1516596</v>
      </c>
      <c r="CD90">
        <v>7196758</v>
      </c>
      <c r="CE90">
        <v>1015910</v>
      </c>
      <c r="CF90">
        <v>2632338</v>
      </c>
      <c r="CG90">
        <v>421973</v>
      </c>
      <c r="CH90">
        <v>6029699</v>
      </c>
      <c r="CI90">
        <v>664651</v>
      </c>
      <c r="CJ90">
        <v>502408</v>
      </c>
      <c r="CK90">
        <v>1114179</v>
      </c>
      <c r="CL90">
        <v>-927088</v>
      </c>
      <c r="CM90">
        <v>744674</v>
      </c>
      <c r="CN90">
        <v>4106721</v>
      </c>
      <c r="CO90">
        <v>9906920</v>
      </c>
      <c r="CP90">
        <v>615932</v>
      </c>
      <c r="CQ90">
        <v>6643957</v>
      </c>
      <c r="CR90" s="57">
        <v>19.100000000000001</v>
      </c>
      <c r="CS90">
        <v>1538409</v>
      </c>
      <c r="CT90" s="34">
        <v>7473528</v>
      </c>
      <c r="CU90" s="34">
        <v>832419</v>
      </c>
      <c r="CV90">
        <v>2622150</v>
      </c>
      <c r="CW90" s="173">
        <v>242455</v>
      </c>
      <c r="CX90" s="34">
        <v>6058945</v>
      </c>
      <c r="CY90" s="173">
        <v>845088</v>
      </c>
      <c r="CZ90" s="34">
        <v>569495</v>
      </c>
      <c r="DA90" s="173">
        <v>1403536</v>
      </c>
      <c r="DB90" s="173">
        <v>-923505</v>
      </c>
      <c r="DC90">
        <v>789970</v>
      </c>
      <c r="DD90">
        <v>3864765</v>
      </c>
      <c r="DE90" s="173">
        <v>9717181</v>
      </c>
      <c r="DF90" s="173">
        <v>637614</v>
      </c>
      <c r="DG90" s="173">
        <v>7131717</v>
      </c>
      <c r="DH90" s="57">
        <v>19.2</v>
      </c>
      <c r="DI90" s="34">
        <v>1100</v>
      </c>
      <c r="DJ90">
        <v>1558945</v>
      </c>
      <c r="DK90" s="34">
        <v>7525285</v>
      </c>
      <c r="DL90" s="34">
        <v>825703</v>
      </c>
      <c r="DM90" s="172">
        <v>2682447</v>
      </c>
      <c r="DN90" s="173">
        <v>194941</v>
      </c>
      <c r="DO90" s="34">
        <v>6067832</v>
      </c>
      <c r="DP90" s="173">
        <v>878693</v>
      </c>
      <c r="DQ90" s="34">
        <v>578760</v>
      </c>
      <c r="DR90" s="173">
        <v>1160476</v>
      </c>
      <c r="DS90" s="34">
        <v>-1039526</v>
      </c>
      <c r="DT90">
        <v>793364</v>
      </c>
      <c r="DU90">
        <v>3863803</v>
      </c>
      <c r="DV90" s="173">
        <v>10065530</v>
      </c>
      <c r="DW90" s="173">
        <v>387197</v>
      </c>
      <c r="DX90" s="173">
        <v>7456893</v>
      </c>
      <c r="DY90" s="57">
        <v>19.149999999999999</v>
      </c>
    </row>
    <row r="91" spans="1:129" x14ac:dyDescent="0.2">
      <c r="A91">
        <v>130</v>
      </c>
      <c r="B91" s="34">
        <v>-26445.028617175689</v>
      </c>
      <c r="C91" s="34">
        <v>15423.001044447023</v>
      </c>
      <c r="D91" s="34">
        <v>23703.060852073686</v>
      </c>
      <c r="E91" s="34">
        <v>109004.78158274932</v>
      </c>
      <c r="F91">
        <v>219587</v>
      </c>
      <c r="G91">
        <v>210151</v>
      </c>
      <c r="H91">
        <v>204537</v>
      </c>
      <c r="I91">
        <v>132868</v>
      </c>
      <c r="J91">
        <v>210877</v>
      </c>
      <c r="K91">
        <v>176252</v>
      </c>
      <c r="L91">
        <v>241527</v>
      </c>
      <c r="M91">
        <v>288250</v>
      </c>
      <c r="N91">
        <v>349984</v>
      </c>
      <c r="O91" s="34">
        <v>376434</v>
      </c>
      <c r="P91">
        <v>314937</v>
      </c>
      <c r="Q91">
        <v>801576</v>
      </c>
      <c r="R91">
        <v>1113232</v>
      </c>
      <c r="S91">
        <v>951216</v>
      </c>
      <c r="T91" s="57">
        <v>17.787500000000001</v>
      </c>
      <c r="U91" s="57">
        <v>17.912500000000001</v>
      </c>
      <c r="V91" s="57">
        <v>17.912500000000001</v>
      </c>
      <c r="W91" s="57">
        <v>17.887499999999999</v>
      </c>
      <c r="X91" s="57">
        <v>18.0625</v>
      </c>
      <c r="Y91" s="57">
        <v>18.262499999999999</v>
      </c>
      <c r="Z91" s="57">
        <v>18.3</v>
      </c>
      <c r="AA91" s="57">
        <v>18.45</v>
      </c>
      <c r="AB91" s="57">
        <v>18.637499999999999</v>
      </c>
      <c r="AC91" s="57">
        <v>18.737500000000001</v>
      </c>
      <c r="AD91" s="57">
        <v>18.9375</v>
      </c>
      <c r="AE91" s="57">
        <v>19.012499999999999</v>
      </c>
      <c r="AF91" s="57">
        <v>19.387499999999999</v>
      </c>
      <c r="AG91" s="57">
        <v>19.387499999999999</v>
      </c>
      <c r="AH91" s="57">
        <v>19.5</v>
      </c>
      <c r="AI91" s="57">
        <v>19.850000000000001</v>
      </c>
      <c r="AJ91" s="57">
        <v>20.262499999999999</v>
      </c>
      <c r="AK91" s="57">
        <v>20.362500000000001</v>
      </c>
      <c r="AL91">
        <v>793225</v>
      </c>
      <c r="AM91">
        <v>1431342</v>
      </c>
      <c r="AN91">
        <v>5383370</v>
      </c>
      <c r="AO91" s="34">
        <v>5895694</v>
      </c>
      <c r="AP91" s="34">
        <v>1258125</v>
      </c>
      <c r="AQ91">
        <v>141909</v>
      </c>
      <c r="AR91">
        <v>292806</v>
      </c>
      <c r="AS91">
        <v>287070</v>
      </c>
      <c r="AT91">
        <v>-325344</v>
      </c>
      <c r="AU91">
        <v>84955</v>
      </c>
      <c r="AV91">
        <v>94673</v>
      </c>
      <c r="AW91" s="34">
        <v>2571525</v>
      </c>
      <c r="AX91" s="173">
        <v>194191</v>
      </c>
      <c r="AY91" s="34">
        <v>182131</v>
      </c>
      <c r="AZ91">
        <v>2285627</v>
      </c>
      <c r="BA91">
        <v>793645</v>
      </c>
      <c r="BB91">
        <v>1522273</v>
      </c>
      <c r="BC91" s="173">
        <v>5478976</v>
      </c>
      <c r="BD91" s="34">
        <v>6055826</v>
      </c>
      <c r="BE91" s="34">
        <v>1241528</v>
      </c>
      <c r="BF91" s="34">
        <v>173725</v>
      </c>
      <c r="BG91" s="173">
        <v>355029</v>
      </c>
      <c r="BH91">
        <v>287298</v>
      </c>
      <c r="BI91">
        <v>-253445</v>
      </c>
      <c r="BJ91" s="173">
        <v>158686</v>
      </c>
      <c r="BK91" s="34">
        <v>2619207</v>
      </c>
      <c r="BL91" s="173">
        <v>198245</v>
      </c>
      <c r="BM91" s="34">
        <v>210461</v>
      </c>
      <c r="BN91">
        <v>2356005</v>
      </c>
      <c r="BO91">
        <v>793174</v>
      </c>
      <c r="BP91">
        <v>1322534</v>
      </c>
      <c r="BQ91" s="173">
        <v>5477762</v>
      </c>
      <c r="BR91" s="34">
        <v>6178242</v>
      </c>
      <c r="BS91" s="34">
        <v>1234961</v>
      </c>
      <c r="BT91" s="34">
        <v>102093</v>
      </c>
      <c r="BU91" s="173">
        <v>218261</v>
      </c>
      <c r="BV91">
        <v>278569</v>
      </c>
      <c r="BW91" s="173">
        <v>-364656</v>
      </c>
      <c r="BX91" s="173">
        <v>-57902</v>
      </c>
      <c r="BY91" s="34">
        <v>2655187</v>
      </c>
      <c r="BZ91" s="173">
        <v>212890</v>
      </c>
      <c r="CA91" s="34">
        <v>221044</v>
      </c>
      <c r="CB91">
        <v>2354961</v>
      </c>
      <c r="CC91">
        <v>791340</v>
      </c>
      <c r="CD91">
        <v>3101816</v>
      </c>
      <c r="CE91">
        <v>1324752</v>
      </c>
      <c r="CF91">
        <v>1308155</v>
      </c>
      <c r="CG91">
        <v>79945</v>
      </c>
      <c r="CH91">
        <v>2683574</v>
      </c>
      <c r="CI91">
        <v>191379</v>
      </c>
      <c r="CJ91">
        <v>226863</v>
      </c>
      <c r="CK91">
        <v>310857</v>
      </c>
      <c r="CL91">
        <v>-277542</v>
      </c>
      <c r="CM91">
        <v>279932</v>
      </c>
      <c r="CN91">
        <v>2452519</v>
      </c>
      <c r="CO91">
        <v>5470267</v>
      </c>
      <c r="CP91">
        <v>45018</v>
      </c>
      <c r="CQ91">
        <v>524979</v>
      </c>
      <c r="CR91" s="57">
        <v>20.462499999999999</v>
      </c>
      <c r="CS91">
        <v>788715</v>
      </c>
      <c r="CT91" s="34">
        <v>3123536</v>
      </c>
      <c r="CU91" s="34">
        <v>1301457</v>
      </c>
      <c r="CV91">
        <v>1153045</v>
      </c>
      <c r="CW91" s="173">
        <v>73428</v>
      </c>
      <c r="CX91" s="34">
        <v>2671562</v>
      </c>
      <c r="CY91" s="173">
        <v>215280</v>
      </c>
      <c r="CZ91" s="34">
        <v>236694</v>
      </c>
      <c r="DA91" s="173">
        <v>374666</v>
      </c>
      <c r="DB91" s="173">
        <v>-299331</v>
      </c>
      <c r="DC91">
        <v>299385</v>
      </c>
      <c r="DD91">
        <v>2493004</v>
      </c>
      <c r="DE91" s="173">
        <v>5252329</v>
      </c>
      <c r="DF91" s="173">
        <v>67669</v>
      </c>
      <c r="DG91" s="173">
        <v>577779</v>
      </c>
      <c r="DH91" s="57">
        <v>20.5625</v>
      </c>
      <c r="DI91" s="34">
        <v>2600</v>
      </c>
      <c r="DJ91">
        <v>785197</v>
      </c>
      <c r="DK91" s="34">
        <v>3090709</v>
      </c>
      <c r="DL91" s="34">
        <v>1310431</v>
      </c>
      <c r="DM91" s="172">
        <v>1180495</v>
      </c>
      <c r="DN91" s="173">
        <v>47701</v>
      </c>
      <c r="DO91" s="34">
        <v>2650310</v>
      </c>
      <c r="DP91" s="173">
        <v>199229</v>
      </c>
      <c r="DQ91" s="34">
        <v>241170</v>
      </c>
      <c r="DR91" s="173">
        <v>183783</v>
      </c>
      <c r="DS91" s="34">
        <v>-316418</v>
      </c>
      <c r="DT91">
        <v>300235</v>
      </c>
      <c r="DU91">
        <v>2546607</v>
      </c>
      <c r="DV91" s="173">
        <v>5445553</v>
      </c>
      <c r="DW91" s="173">
        <v>-102193</v>
      </c>
      <c r="DX91" s="173">
        <v>473964</v>
      </c>
      <c r="DY91" s="57">
        <v>20.5625</v>
      </c>
    </row>
    <row r="92" spans="1:129" x14ac:dyDescent="0.2">
      <c r="A92">
        <v>140</v>
      </c>
      <c r="B92" s="34">
        <v>-20804.00556365661</v>
      </c>
      <c r="C92" s="34">
        <v>-11552.324104861809</v>
      </c>
      <c r="D92" s="34">
        <v>5405.2235806200424</v>
      </c>
      <c r="E92" s="34">
        <v>49849.219523927262</v>
      </c>
      <c r="F92">
        <v>112634</v>
      </c>
      <c r="G92">
        <v>89949</v>
      </c>
      <c r="H92">
        <v>61656</v>
      </c>
      <c r="I92">
        <v>37074</v>
      </c>
      <c r="J92">
        <v>59035</v>
      </c>
      <c r="K92">
        <v>53534</v>
      </c>
      <c r="L92">
        <v>76738</v>
      </c>
      <c r="M92">
        <v>72800</v>
      </c>
      <c r="N92">
        <v>114942</v>
      </c>
      <c r="O92" s="34">
        <v>118863</v>
      </c>
      <c r="P92">
        <v>53047</v>
      </c>
      <c r="Q92">
        <v>122504</v>
      </c>
      <c r="R92">
        <v>172632</v>
      </c>
      <c r="S92">
        <v>158700</v>
      </c>
      <c r="T92" s="57">
        <v>17.84090909090909</v>
      </c>
      <c r="U92" s="57">
        <v>17.977272727272727</v>
      </c>
      <c r="V92" s="57">
        <v>18.022727272727273</v>
      </c>
      <c r="W92" s="57">
        <v>18.022727272727273</v>
      </c>
      <c r="X92" s="57">
        <v>18.181818181818183</v>
      </c>
      <c r="Y92" s="57">
        <v>18.386363636363637</v>
      </c>
      <c r="Z92" s="57">
        <v>18.363636363636363</v>
      </c>
      <c r="AA92" s="57">
        <v>18.522727272727273</v>
      </c>
      <c r="AB92" s="57">
        <v>18.727272727272727</v>
      </c>
      <c r="AC92" s="57">
        <v>18.75</v>
      </c>
      <c r="AD92" s="57">
        <v>19</v>
      </c>
      <c r="AE92" s="57">
        <v>19.272727272727273</v>
      </c>
      <c r="AF92" s="57">
        <v>19.795454545454547</v>
      </c>
      <c r="AG92" s="57">
        <v>19.90909090909091</v>
      </c>
      <c r="AH92" s="57">
        <v>19.977272727272727</v>
      </c>
      <c r="AI92" s="57">
        <v>20.272727272727273</v>
      </c>
      <c r="AJ92" s="57">
        <v>20.636363636363637</v>
      </c>
      <c r="AK92" s="57">
        <v>20.795454545454547</v>
      </c>
      <c r="AL92">
        <v>342722</v>
      </c>
      <c r="AM92">
        <v>463484</v>
      </c>
      <c r="AN92">
        <v>2272566</v>
      </c>
      <c r="AO92" s="34">
        <v>2520836</v>
      </c>
      <c r="AP92" s="34">
        <v>623947</v>
      </c>
      <c r="AQ92">
        <v>47033</v>
      </c>
      <c r="AR92">
        <v>81884</v>
      </c>
      <c r="AS92">
        <v>101552</v>
      </c>
      <c r="AT92">
        <v>-93852</v>
      </c>
      <c r="AU92">
        <v>6763</v>
      </c>
      <c r="AV92">
        <v>8830</v>
      </c>
      <c r="AW92" s="34">
        <v>1108809</v>
      </c>
      <c r="AX92" s="173">
        <v>68405</v>
      </c>
      <c r="AY92" s="34">
        <v>83204</v>
      </c>
      <c r="AZ92">
        <v>944019</v>
      </c>
      <c r="BA92">
        <v>340385</v>
      </c>
      <c r="BB92">
        <v>436218</v>
      </c>
      <c r="BC92" s="173">
        <v>2281133</v>
      </c>
      <c r="BD92" s="34">
        <v>2521228</v>
      </c>
      <c r="BE92" s="34">
        <v>634153</v>
      </c>
      <c r="BF92" s="34">
        <v>81704</v>
      </c>
      <c r="BG92" s="173">
        <v>57833</v>
      </c>
      <c r="BH92">
        <v>98243</v>
      </c>
      <c r="BI92">
        <v>-68611</v>
      </c>
      <c r="BJ92" s="173">
        <v>25467</v>
      </c>
      <c r="BK92" s="34">
        <v>1090760</v>
      </c>
      <c r="BL92" s="173">
        <v>76615</v>
      </c>
      <c r="BM92" s="34">
        <v>93239</v>
      </c>
      <c r="BN92">
        <v>974413</v>
      </c>
      <c r="BO92">
        <v>337838</v>
      </c>
      <c r="BP92">
        <v>400873</v>
      </c>
      <c r="BQ92" s="173">
        <v>2278804</v>
      </c>
      <c r="BR92" s="34">
        <v>2594156</v>
      </c>
      <c r="BS92" s="34">
        <v>644947</v>
      </c>
      <c r="BT92" s="34">
        <v>49249</v>
      </c>
      <c r="BU92" s="173">
        <v>76190</v>
      </c>
      <c r="BV92">
        <v>94226</v>
      </c>
      <c r="BW92" s="173">
        <v>-97066</v>
      </c>
      <c r="BX92" s="173">
        <v>-6967</v>
      </c>
      <c r="BY92" s="34">
        <v>1120389</v>
      </c>
      <c r="BZ92" s="173">
        <v>78400</v>
      </c>
      <c r="CA92" s="34">
        <v>98289</v>
      </c>
      <c r="CB92">
        <v>1025480</v>
      </c>
      <c r="CC92">
        <v>335417</v>
      </c>
      <c r="CD92">
        <v>1305876</v>
      </c>
      <c r="CE92">
        <v>689592</v>
      </c>
      <c r="CF92">
        <v>401275</v>
      </c>
      <c r="CG92">
        <v>22504</v>
      </c>
      <c r="CH92">
        <v>1132171</v>
      </c>
      <c r="CI92">
        <v>74183</v>
      </c>
      <c r="CJ92">
        <v>99522</v>
      </c>
      <c r="CK92">
        <v>112885</v>
      </c>
      <c r="CL92">
        <v>-98566</v>
      </c>
      <c r="CM92">
        <v>100764</v>
      </c>
      <c r="CN92">
        <v>1042843</v>
      </c>
      <c r="CO92">
        <v>2296390</v>
      </c>
      <c r="CP92">
        <v>13144</v>
      </c>
      <c r="CQ92">
        <v>91936</v>
      </c>
      <c r="CR92" s="57">
        <v>20.90909090909091</v>
      </c>
      <c r="CS92">
        <v>331133</v>
      </c>
      <c r="CT92" s="34">
        <v>1311364</v>
      </c>
      <c r="CU92" s="34">
        <v>683200</v>
      </c>
      <c r="CV92">
        <v>383736</v>
      </c>
      <c r="CW92" s="173">
        <v>58291</v>
      </c>
      <c r="CX92" s="34">
        <v>1120961</v>
      </c>
      <c r="CY92" s="173">
        <v>84999</v>
      </c>
      <c r="CZ92" s="34">
        <v>105404</v>
      </c>
      <c r="DA92" s="173">
        <v>136012</v>
      </c>
      <c r="DB92" s="173">
        <v>-65301</v>
      </c>
      <c r="DC92">
        <v>110118</v>
      </c>
      <c r="DD92">
        <v>1048959</v>
      </c>
      <c r="DE92" s="173">
        <v>2257874</v>
      </c>
      <c r="DF92" s="173">
        <v>67287</v>
      </c>
      <c r="DG92" s="173">
        <v>159400</v>
      </c>
      <c r="DH92" s="57">
        <v>21.15909090909091</v>
      </c>
      <c r="DI92" s="34">
        <v>1540</v>
      </c>
      <c r="DJ92">
        <v>326322</v>
      </c>
      <c r="DK92" s="34">
        <v>1269794</v>
      </c>
      <c r="DL92" s="34">
        <v>689986</v>
      </c>
      <c r="DM92" s="172">
        <v>377400</v>
      </c>
      <c r="DN92" s="173">
        <v>20046</v>
      </c>
      <c r="DO92" s="34">
        <v>1085944</v>
      </c>
      <c r="DP92" s="173">
        <v>87294</v>
      </c>
      <c r="DQ92" s="34">
        <v>96556</v>
      </c>
      <c r="DR92" s="173">
        <v>36120</v>
      </c>
      <c r="DS92" s="34">
        <v>-123942</v>
      </c>
      <c r="DT92">
        <v>102009</v>
      </c>
      <c r="DU92">
        <v>1144247</v>
      </c>
      <c r="DV92" s="173">
        <v>2313234</v>
      </c>
      <c r="DW92" s="173">
        <v>-55483</v>
      </c>
      <c r="DX92" s="173">
        <v>137804</v>
      </c>
      <c r="DY92" s="57">
        <v>21.15909090909091</v>
      </c>
    </row>
    <row r="93" spans="1:129" x14ac:dyDescent="0.2">
      <c r="A93">
        <v>210</v>
      </c>
      <c r="B93" s="34">
        <v>-3369.3087308034505</v>
      </c>
      <c r="C93" s="34">
        <v>-6571.1022868512355</v>
      </c>
      <c r="D93" s="34">
        <v>-2407.4419793700686</v>
      </c>
      <c r="E93" s="34">
        <v>820.75708113217388</v>
      </c>
      <c r="F93">
        <v>11785</v>
      </c>
      <c r="G93">
        <v>10262</v>
      </c>
      <c r="H93">
        <v>13091</v>
      </c>
      <c r="I93">
        <v>14988</v>
      </c>
      <c r="J93">
        <v>12957</v>
      </c>
      <c r="K93">
        <v>16079</v>
      </c>
      <c r="L93">
        <v>14447</v>
      </c>
      <c r="M93">
        <v>18714</v>
      </c>
      <c r="N93">
        <v>23868</v>
      </c>
      <c r="O93" s="34">
        <v>23134</v>
      </c>
      <c r="P93">
        <v>21774</v>
      </c>
      <c r="Q93">
        <v>50002</v>
      </c>
      <c r="R93">
        <v>53150</v>
      </c>
      <c r="S93">
        <v>56410</v>
      </c>
      <c r="T93" s="57">
        <v>17.875</v>
      </c>
      <c r="U93" s="57">
        <v>18.25</v>
      </c>
      <c r="V93" s="57">
        <v>18.25</v>
      </c>
      <c r="W93" s="57">
        <v>18.25</v>
      </c>
      <c r="X93" s="57">
        <v>18.5</v>
      </c>
      <c r="Y93" s="57">
        <v>18.5</v>
      </c>
      <c r="Z93" s="57">
        <v>18.5</v>
      </c>
      <c r="AA93" s="57">
        <v>18.5</v>
      </c>
      <c r="AB93" s="57">
        <v>18.8125</v>
      </c>
      <c r="AC93" s="57">
        <v>18.875</v>
      </c>
      <c r="AD93" s="57">
        <v>18.875</v>
      </c>
      <c r="AE93" s="57">
        <v>19.125</v>
      </c>
      <c r="AF93" s="57">
        <v>19.4375</v>
      </c>
      <c r="AG93" s="57">
        <v>19.4375</v>
      </c>
      <c r="AH93" s="57">
        <v>19.4375</v>
      </c>
      <c r="AI93" s="57">
        <v>19.4375</v>
      </c>
      <c r="AJ93" s="57">
        <v>19.75</v>
      </c>
      <c r="AK93" s="57">
        <v>19.875</v>
      </c>
      <c r="AL93">
        <v>57224</v>
      </c>
      <c r="AM93">
        <v>64924</v>
      </c>
      <c r="AN93">
        <v>336748</v>
      </c>
      <c r="AO93" s="34">
        <v>439024</v>
      </c>
      <c r="AP93" s="34">
        <v>75296</v>
      </c>
      <c r="AQ93">
        <v>2917</v>
      </c>
      <c r="AR93">
        <v>21434</v>
      </c>
      <c r="AS93">
        <v>19283</v>
      </c>
      <c r="AT93">
        <v>-29783</v>
      </c>
      <c r="AU93">
        <v>4140</v>
      </c>
      <c r="AV93">
        <v>4611</v>
      </c>
      <c r="AW93" s="34">
        <v>196791</v>
      </c>
      <c r="AX93" s="173">
        <v>8625</v>
      </c>
      <c r="AY93" s="34">
        <v>14096</v>
      </c>
      <c r="AZ93">
        <v>145695</v>
      </c>
      <c r="BA93">
        <v>57609</v>
      </c>
      <c r="BB93">
        <v>67612</v>
      </c>
      <c r="BC93" s="173">
        <v>343494</v>
      </c>
      <c r="BD93" s="34">
        <v>447490</v>
      </c>
      <c r="BE93" s="34">
        <v>73795</v>
      </c>
      <c r="BF93" s="34">
        <v>454</v>
      </c>
      <c r="BG93" s="173">
        <v>20027</v>
      </c>
      <c r="BH93">
        <v>19743</v>
      </c>
      <c r="BI93">
        <v>-21670</v>
      </c>
      <c r="BJ93" s="173">
        <v>1604</v>
      </c>
      <c r="BK93" s="34">
        <v>198825</v>
      </c>
      <c r="BL93" s="173">
        <v>9593</v>
      </c>
      <c r="BM93" s="34">
        <v>15327</v>
      </c>
      <c r="BN93">
        <v>140399</v>
      </c>
      <c r="BO93">
        <v>58116</v>
      </c>
      <c r="BP93">
        <v>73035</v>
      </c>
      <c r="BQ93" s="173">
        <v>343365</v>
      </c>
      <c r="BR93" s="34">
        <v>456564</v>
      </c>
      <c r="BS93" s="34">
        <v>70860</v>
      </c>
      <c r="BT93" s="34">
        <v>1342</v>
      </c>
      <c r="BU93" s="173">
        <v>28110</v>
      </c>
      <c r="BV93">
        <v>19828</v>
      </c>
      <c r="BW93" s="173">
        <v>-21636</v>
      </c>
      <c r="BX93" s="173">
        <v>1883</v>
      </c>
      <c r="BY93" s="34">
        <v>201394</v>
      </c>
      <c r="BZ93" s="173">
        <v>10782</v>
      </c>
      <c r="CA93" s="34">
        <v>16106</v>
      </c>
      <c r="CB93">
        <v>137456</v>
      </c>
      <c r="CC93">
        <v>58909</v>
      </c>
      <c r="CD93">
        <v>236972</v>
      </c>
      <c r="CE93">
        <v>74547</v>
      </c>
      <c r="CF93">
        <v>69447</v>
      </c>
      <c r="CG93">
        <v>6871</v>
      </c>
      <c r="CH93">
        <v>209323</v>
      </c>
      <c r="CI93">
        <v>10011</v>
      </c>
      <c r="CJ93">
        <v>17638</v>
      </c>
      <c r="CK93">
        <v>27510</v>
      </c>
      <c r="CL93">
        <v>-32966</v>
      </c>
      <c r="CM93">
        <v>18767</v>
      </c>
      <c r="CN93">
        <v>151696</v>
      </c>
      <c r="CO93">
        <v>352475</v>
      </c>
      <c r="CP93">
        <v>3331</v>
      </c>
      <c r="CQ93">
        <v>31556</v>
      </c>
      <c r="CR93" s="57">
        <v>19.875</v>
      </c>
      <c r="CS93">
        <v>59969</v>
      </c>
      <c r="CT93" s="34">
        <v>243147</v>
      </c>
      <c r="CU93" s="34">
        <v>72336</v>
      </c>
      <c r="CV93">
        <v>63939</v>
      </c>
      <c r="CW93" s="173">
        <v>-724</v>
      </c>
      <c r="CX93" s="34">
        <v>213056</v>
      </c>
      <c r="CY93" s="173">
        <v>11913</v>
      </c>
      <c r="CZ93" s="34">
        <v>18178</v>
      </c>
      <c r="DA93" s="173">
        <v>27174</v>
      </c>
      <c r="DB93" s="173">
        <v>-36490</v>
      </c>
      <c r="DC93">
        <v>20285</v>
      </c>
      <c r="DD93">
        <v>168787</v>
      </c>
      <c r="DE93" s="173">
        <v>351524</v>
      </c>
      <c r="DF93" s="173">
        <v>6520</v>
      </c>
      <c r="DG93" s="173">
        <v>38077</v>
      </c>
      <c r="DH93" s="57">
        <v>19.875</v>
      </c>
      <c r="DI93" s="34">
        <v>840</v>
      </c>
      <c r="DJ93">
        <v>60529</v>
      </c>
      <c r="DK93" s="34">
        <v>245565</v>
      </c>
      <c r="DL93" s="34">
        <v>70889</v>
      </c>
      <c r="DM93" s="172">
        <v>67559</v>
      </c>
      <c r="DN93" s="173">
        <v>-453</v>
      </c>
      <c r="DO93" s="34">
        <v>214099</v>
      </c>
      <c r="DP93" s="173">
        <v>11926</v>
      </c>
      <c r="DQ93" s="34">
        <v>19540</v>
      </c>
      <c r="DR93" s="173">
        <v>15618</v>
      </c>
      <c r="DS93" s="34">
        <v>-42945</v>
      </c>
      <c r="DT93">
        <v>21770</v>
      </c>
      <c r="DU93">
        <v>196241</v>
      </c>
      <c r="DV93" s="173">
        <v>367942</v>
      </c>
      <c r="DW93" s="173">
        <v>-4615</v>
      </c>
      <c r="DX93" s="173">
        <v>33463</v>
      </c>
      <c r="DY93" s="57">
        <v>19.875</v>
      </c>
    </row>
    <row r="94" spans="1:129" x14ac:dyDescent="0.2">
      <c r="A94">
        <v>220</v>
      </c>
      <c r="B94" s="34">
        <v>-3107.9446930822623</v>
      </c>
      <c r="C94" s="34">
        <v>-2571.5933955965038</v>
      </c>
      <c r="D94" s="34">
        <v>13735.907954111606</v>
      </c>
      <c r="E94" s="34">
        <v>32438.405376631632</v>
      </c>
      <c r="F94">
        <v>64957</v>
      </c>
      <c r="G94">
        <v>65172</v>
      </c>
      <c r="H94">
        <v>80124</v>
      </c>
      <c r="I94">
        <v>63876</v>
      </c>
      <c r="J94">
        <v>70639</v>
      </c>
      <c r="K94">
        <v>85864</v>
      </c>
      <c r="L94">
        <v>85631</v>
      </c>
      <c r="M94">
        <v>78496</v>
      </c>
      <c r="N94">
        <v>80553</v>
      </c>
      <c r="O94" s="34">
        <v>81951</v>
      </c>
      <c r="P94">
        <v>72023</v>
      </c>
      <c r="Q94">
        <v>177770</v>
      </c>
      <c r="R94">
        <v>190034</v>
      </c>
      <c r="S94">
        <v>190512</v>
      </c>
      <c r="T94" s="57">
        <v>17.774999999999999</v>
      </c>
      <c r="U94" s="57">
        <v>17.95</v>
      </c>
      <c r="V94" s="57">
        <v>18.05</v>
      </c>
      <c r="W94" s="57">
        <v>18.074999999999999</v>
      </c>
      <c r="X94" s="57">
        <v>18.25</v>
      </c>
      <c r="Y94" s="57">
        <v>18.324999999999999</v>
      </c>
      <c r="Z94" s="57">
        <v>18.45</v>
      </c>
      <c r="AA94" s="57">
        <v>18.55</v>
      </c>
      <c r="AB94" s="57">
        <v>18.75</v>
      </c>
      <c r="AC94" s="57">
        <v>18.899999999999999</v>
      </c>
      <c r="AD94" s="57">
        <v>18.95</v>
      </c>
      <c r="AE94" s="57">
        <v>19.125</v>
      </c>
      <c r="AF94" s="57">
        <v>19.425000000000001</v>
      </c>
      <c r="AG94" s="57">
        <v>19.524999999999999</v>
      </c>
      <c r="AH94" s="57">
        <v>19.675000000000001</v>
      </c>
      <c r="AI94" s="57">
        <v>19.95</v>
      </c>
      <c r="AJ94" s="57">
        <v>20.175000000000001</v>
      </c>
      <c r="AK94" s="57">
        <v>20.475000000000001</v>
      </c>
      <c r="AL94">
        <v>152327</v>
      </c>
      <c r="AM94">
        <v>178229</v>
      </c>
      <c r="AN94">
        <v>906594</v>
      </c>
      <c r="AO94" s="34">
        <v>1090040</v>
      </c>
      <c r="AP94" s="34">
        <v>228999</v>
      </c>
      <c r="AQ94">
        <v>25953</v>
      </c>
      <c r="AR94">
        <v>43732</v>
      </c>
      <c r="AS94">
        <v>48221</v>
      </c>
      <c r="AT94">
        <v>-51412</v>
      </c>
      <c r="AU94">
        <v>18183</v>
      </c>
      <c r="AV94">
        <v>16381</v>
      </c>
      <c r="AW94" s="34">
        <v>490740</v>
      </c>
      <c r="AX94" s="173">
        <v>23471</v>
      </c>
      <c r="AY94" s="34">
        <v>30809</v>
      </c>
      <c r="AZ94">
        <v>419285</v>
      </c>
      <c r="BA94">
        <v>153468</v>
      </c>
      <c r="BB94">
        <v>178835</v>
      </c>
      <c r="BC94" s="173">
        <v>912508</v>
      </c>
      <c r="BD94" s="34">
        <v>1121520</v>
      </c>
      <c r="BE94" s="34">
        <v>228623</v>
      </c>
      <c r="BF94" s="34">
        <v>9860</v>
      </c>
      <c r="BG94" s="173">
        <v>53576</v>
      </c>
      <c r="BH94">
        <v>49351</v>
      </c>
      <c r="BI94">
        <v>-71118</v>
      </c>
      <c r="BJ94" s="173">
        <v>5936</v>
      </c>
      <c r="BK94" s="34">
        <v>502441</v>
      </c>
      <c r="BL94" s="173">
        <v>24295</v>
      </c>
      <c r="BM94" s="34">
        <v>34007</v>
      </c>
      <c r="BN94">
        <v>439912</v>
      </c>
      <c r="BO94">
        <v>153796</v>
      </c>
      <c r="BP94">
        <v>180869</v>
      </c>
      <c r="BQ94" s="173">
        <v>935561</v>
      </c>
      <c r="BR94" s="34">
        <v>1159056</v>
      </c>
      <c r="BS94" s="34">
        <v>226866</v>
      </c>
      <c r="BT94" s="34">
        <v>5009</v>
      </c>
      <c r="BU94" s="173">
        <v>50663</v>
      </c>
      <c r="BV94">
        <v>50184</v>
      </c>
      <c r="BW94" s="173">
        <v>-50489</v>
      </c>
      <c r="BX94" s="173">
        <v>-63</v>
      </c>
      <c r="BY94" s="34">
        <v>515153</v>
      </c>
      <c r="BZ94" s="173">
        <v>29724</v>
      </c>
      <c r="CA94" s="34">
        <v>34651</v>
      </c>
      <c r="CB94">
        <v>437050</v>
      </c>
      <c r="CC94">
        <v>154224</v>
      </c>
      <c r="CD94">
        <v>589082</v>
      </c>
      <c r="CE94">
        <v>243955</v>
      </c>
      <c r="CF94">
        <v>181671</v>
      </c>
      <c r="CG94">
        <v>6719</v>
      </c>
      <c r="CH94">
        <v>525803</v>
      </c>
      <c r="CI94">
        <v>25811</v>
      </c>
      <c r="CJ94">
        <v>37468</v>
      </c>
      <c r="CK94">
        <v>73204</v>
      </c>
      <c r="CL94">
        <v>-66814</v>
      </c>
      <c r="CM94">
        <v>51504</v>
      </c>
      <c r="CN94">
        <v>441637</v>
      </c>
      <c r="CO94">
        <v>941765</v>
      </c>
      <c r="CP94">
        <v>27395</v>
      </c>
      <c r="CQ94">
        <v>123490</v>
      </c>
      <c r="CR94" s="57">
        <v>20.475000000000001</v>
      </c>
      <c r="CS94">
        <v>155116</v>
      </c>
      <c r="CT94" s="34">
        <v>597717</v>
      </c>
      <c r="CU94" s="34">
        <v>243458</v>
      </c>
      <c r="CV94">
        <v>178237</v>
      </c>
      <c r="CW94" s="173">
        <v>2782</v>
      </c>
      <c r="CX94" s="34">
        <v>528881</v>
      </c>
      <c r="CY94" s="173">
        <v>29986</v>
      </c>
      <c r="CZ94" s="34">
        <v>38850</v>
      </c>
      <c r="DA94" s="173">
        <v>81629</v>
      </c>
      <c r="DB94" s="173">
        <v>-69325</v>
      </c>
      <c r="DC94">
        <v>55442</v>
      </c>
      <c r="DD94">
        <v>427824</v>
      </c>
      <c r="DE94" s="173">
        <v>938608</v>
      </c>
      <c r="DF94" s="173">
        <v>26134</v>
      </c>
      <c r="DG94" s="173">
        <v>149557</v>
      </c>
      <c r="DH94" s="57">
        <v>20.574999999999999</v>
      </c>
      <c r="DI94" s="34">
        <v>2200</v>
      </c>
      <c r="DJ94">
        <v>155488</v>
      </c>
      <c r="DK94" s="34">
        <v>596794</v>
      </c>
      <c r="DL94" s="34">
        <v>239523</v>
      </c>
      <c r="DM94" s="172">
        <v>176670</v>
      </c>
      <c r="DN94" s="173">
        <v>1979</v>
      </c>
      <c r="DO94" s="34">
        <v>528350</v>
      </c>
      <c r="DP94" s="173">
        <v>29049</v>
      </c>
      <c r="DQ94" s="34">
        <v>39395</v>
      </c>
      <c r="DR94" s="173">
        <v>38772</v>
      </c>
      <c r="DS94" s="34">
        <v>-113187</v>
      </c>
      <c r="DT94">
        <v>55529</v>
      </c>
      <c r="DU94">
        <v>496880</v>
      </c>
      <c r="DV94" s="173">
        <v>975133</v>
      </c>
      <c r="DW94" s="173">
        <v>-14705</v>
      </c>
      <c r="DX94" s="173">
        <v>134855</v>
      </c>
      <c r="DY94" s="57">
        <v>20.65</v>
      </c>
    </row>
    <row r="95" spans="1:129" x14ac:dyDescent="0.2">
      <c r="A95">
        <v>120</v>
      </c>
      <c r="B95" s="34">
        <v>93204.703207175568</v>
      </c>
      <c r="C95" s="34">
        <v>129459.12444729242</v>
      </c>
      <c r="D95" s="34">
        <v>257967.98711007732</v>
      </c>
      <c r="E95" s="34">
        <v>376949.34011467051</v>
      </c>
      <c r="F95">
        <v>604417</v>
      </c>
      <c r="G95">
        <v>656420</v>
      </c>
      <c r="H95">
        <v>697255</v>
      </c>
      <c r="I95">
        <v>770615</v>
      </c>
      <c r="J95">
        <v>906955</v>
      </c>
      <c r="K95">
        <v>1021007</v>
      </c>
      <c r="L95">
        <v>1051380</v>
      </c>
      <c r="M95">
        <v>1161951</v>
      </c>
      <c r="N95">
        <v>1298964</v>
      </c>
      <c r="O95" s="34">
        <v>1411771</v>
      </c>
      <c r="P95">
        <v>1315010</v>
      </c>
      <c r="Q95">
        <v>2447924</v>
      </c>
      <c r="R95">
        <v>3317400</v>
      </c>
      <c r="S95">
        <v>3457754</v>
      </c>
      <c r="T95" s="57">
        <v>17.75</v>
      </c>
      <c r="U95" s="57">
        <v>17.859375</v>
      </c>
      <c r="V95" s="57">
        <v>17.90625</v>
      </c>
      <c r="W95" s="57">
        <v>17.921875</v>
      </c>
      <c r="X95" s="57">
        <v>18.03125</v>
      </c>
      <c r="Y95" s="57">
        <v>18.234375</v>
      </c>
      <c r="Z95" s="57">
        <v>18.296875</v>
      </c>
      <c r="AA95" s="57">
        <v>18.484375</v>
      </c>
      <c r="AB95" s="57">
        <v>18.484375</v>
      </c>
      <c r="AC95" s="57">
        <v>18.578125</v>
      </c>
      <c r="AD95" s="57">
        <v>18.65625</v>
      </c>
      <c r="AE95" s="57">
        <v>18.78125</v>
      </c>
      <c r="AF95" s="57">
        <v>19.234375</v>
      </c>
      <c r="AG95" s="57">
        <v>19.34375</v>
      </c>
      <c r="AH95" s="57">
        <v>19.40625</v>
      </c>
      <c r="AI95" s="57">
        <v>19.546875</v>
      </c>
      <c r="AJ95" s="57">
        <v>20.0625</v>
      </c>
      <c r="AK95" s="57">
        <v>20.140625</v>
      </c>
      <c r="AL95">
        <v>1219800</v>
      </c>
      <c r="AM95">
        <v>1899203</v>
      </c>
      <c r="AN95">
        <v>7716044</v>
      </c>
      <c r="AO95" s="34">
        <v>9038454</v>
      </c>
      <c r="AP95" s="34">
        <v>1604420</v>
      </c>
      <c r="AQ95">
        <v>143536</v>
      </c>
      <c r="AR95">
        <v>370085</v>
      </c>
      <c r="AS95">
        <v>508554</v>
      </c>
      <c r="AT95">
        <v>-652575</v>
      </c>
      <c r="AU95">
        <v>-79398</v>
      </c>
      <c r="AV95">
        <v>-80966</v>
      </c>
      <c r="AW95" s="34">
        <v>3973033</v>
      </c>
      <c r="AX95" s="173">
        <v>241980</v>
      </c>
      <c r="AY95" s="34">
        <v>304214</v>
      </c>
      <c r="AZ95">
        <v>3306354</v>
      </c>
      <c r="BA95">
        <v>1230172</v>
      </c>
      <c r="BB95">
        <v>1950632</v>
      </c>
      <c r="BC95" s="173">
        <v>7793926</v>
      </c>
      <c r="BD95" s="34">
        <v>9319622</v>
      </c>
      <c r="BE95" s="34">
        <v>1527350</v>
      </c>
      <c r="BF95" s="34">
        <v>570672</v>
      </c>
      <c r="BG95" s="173">
        <v>413157</v>
      </c>
      <c r="BH95">
        <v>464450</v>
      </c>
      <c r="BI95">
        <v>-291590</v>
      </c>
      <c r="BJ95" s="173">
        <v>434985</v>
      </c>
      <c r="BK95" s="34">
        <v>4063252</v>
      </c>
      <c r="BL95" s="173">
        <v>270789</v>
      </c>
      <c r="BM95" s="34">
        <v>325770</v>
      </c>
      <c r="BN95">
        <v>3629869</v>
      </c>
      <c r="BO95">
        <v>1240702</v>
      </c>
      <c r="BP95">
        <v>1758398</v>
      </c>
      <c r="BQ95" s="173">
        <v>7815048</v>
      </c>
      <c r="BR95" s="34">
        <v>9584212</v>
      </c>
      <c r="BS95" s="34">
        <v>1573253</v>
      </c>
      <c r="BT95" s="34">
        <v>330446</v>
      </c>
      <c r="BU95" s="173">
        <v>406252</v>
      </c>
      <c r="BV95">
        <v>462328</v>
      </c>
      <c r="BW95" s="173">
        <v>-317404</v>
      </c>
      <c r="BX95" s="173">
        <v>88815</v>
      </c>
      <c r="BY95" s="34">
        <v>4148824</v>
      </c>
      <c r="BZ95" s="173">
        <v>305066</v>
      </c>
      <c r="CA95" s="34">
        <v>338216</v>
      </c>
      <c r="CB95">
        <v>3867934</v>
      </c>
      <c r="CC95">
        <v>1250440</v>
      </c>
      <c r="CD95">
        <v>4868485</v>
      </c>
      <c r="CE95">
        <v>1712806</v>
      </c>
      <c r="CF95">
        <v>1772246</v>
      </c>
      <c r="CG95">
        <v>136770</v>
      </c>
      <c r="CH95">
        <v>4251552</v>
      </c>
      <c r="CI95">
        <v>272326</v>
      </c>
      <c r="CJ95">
        <v>344607</v>
      </c>
      <c r="CK95">
        <v>515142</v>
      </c>
      <c r="CL95">
        <v>-469931</v>
      </c>
      <c r="CM95">
        <v>479947</v>
      </c>
      <c r="CN95">
        <v>4101636</v>
      </c>
      <c r="CO95">
        <v>7929112</v>
      </c>
      <c r="CP95">
        <v>35587</v>
      </c>
      <c r="CQ95">
        <v>1780081</v>
      </c>
      <c r="CR95" s="57">
        <v>20.140625</v>
      </c>
      <c r="CS95">
        <v>1257620</v>
      </c>
      <c r="CT95" s="34">
        <v>4934908</v>
      </c>
      <c r="CU95" s="34">
        <v>1668159</v>
      </c>
      <c r="CV95">
        <v>1541531</v>
      </c>
      <c r="CW95" s="173">
        <v>173495</v>
      </c>
      <c r="CX95" s="34">
        <v>4229861</v>
      </c>
      <c r="CY95" s="173">
        <v>345496</v>
      </c>
      <c r="CZ95" s="34">
        <v>359551</v>
      </c>
      <c r="DA95" s="173">
        <v>580298</v>
      </c>
      <c r="DB95" s="173">
        <v>-425487</v>
      </c>
      <c r="DC95">
        <v>465854</v>
      </c>
      <c r="DD95">
        <v>4250810</v>
      </c>
      <c r="DE95" s="173">
        <v>7706453</v>
      </c>
      <c r="DF95" s="173">
        <v>149131</v>
      </c>
      <c r="DG95" s="173">
        <v>1918184</v>
      </c>
      <c r="DH95" s="57">
        <v>20.15625</v>
      </c>
      <c r="DI95" s="34">
        <v>1920</v>
      </c>
      <c r="DJ95">
        <v>1265986</v>
      </c>
      <c r="DK95" s="34">
        <v>4949395</v>
      </c>
      <c r="DL95" s="34">
        <v>1680926</v>
      </c>
      <c r="DM95" s="172">
        <v>1675210</v>
      </c>
      <c r="DN95" s="173">
        <v>108574</v>
      </c>
      <c r="DO95" s="34">
        <v>4224116</v>
      </c>
      <c r="DP95" s="173">
        <v>341286</v>
      </c>
      <c r="DQ95" s="34">
        <v>383993</v>
      </c>
      <c r="DR95" s="173">
        <v>325222</v>
      </c>
      <c r="DS95" s="34">
        <v>-610497</v>
      </c>
      <c r="DT95">
        <v>467369</v>
      </c>
      <c r="DU95">
        <v>4500178</v>
      </c>
      <c r="DV95" s="173">
        <v>8075218</v>
      </c>
      <c r="DW95" s="173">
        <v>-120537</v>
      </c>
      <c r="DX95" s="173">
        <v>1798782</v>
      </c>
      <c r="DY95" s="57">
        <v>20.21875</v>
      </c>
    </row>
    <row r="96" spans="1:129" x14ac:dyDescent="0.2">
      <c r="A96">
        <v>310</v>
      </c>
      <c r="B96" s="34">
        <v>2950.857169767211</v>
      </c>
      <c r="C96" s="34">
        <v>3799.8698225449189</v>
      </c>
      <c r="D96" s="34">
        <v>3561.7157186754193</v>
      </c>
      <c r="E96" s="34">
        <v>4043.0695642082642</v>
      </c>
      <c r="F96">
        <v>6010</v>
      </c>
      <c r="G96">
        <v>6249</v>
      </c>
      <c r="H96">
        <v>6037</v>
      </c>
      <c r="I96">
        <v>5236</v>
      </c>
      <c r="J96">
        <v>5199</v>
      </c>
      <c r="K96">
        <v>5567</v>
      </c>
      <c r="L96">
        <v>6155</v>
      </c>
      <c r="M96">
        <v>6986</v>
      </c>
      <c r="N96">
        <v>8250</v>
      </c>
      <c r="O96" s="34">
        <v>8699</v>
      </c>
      <c r="P96">
        <v>10214</v>
      </c>
      <c r="Q96">
        <v>22762</v>
      </c>
      <c r="R96">
        <v>26572</v>
      </c>
      <c r="S96">
        <v>31646</v>
      </c>
      <c r="T96" s="57">
        <v>18.5</v>
      </c>
      <c r="U96" s="57">
        <v>18.5</v>
      </c>
      <c r="V96" s="57">
        <v>18.5</v>
      </c>
      <c r="W96" s="57">
        <v>18</v>
      </c>
      <c r="X96" s="57">
        <v>18.25</v>
      </c>
      <c r="Y96" s="57">
        <v>18.25</v>
      </c>
      <c r="Z96" s="57">
        <v>18.25</v>
      </c>
      <c r="AA96" s="57">
        <v>18.75</v>
      </c>
      <c r="AB96" s="57">
        <v>18.75</v>
      </c>
      <c r="AC96" s="57">
        <v>19</v>
      </c>
      <c r="AD96" s="57">
        <v>19</v>
      </c>
      <c r="AE96" s="57">
        <v>19</v>
      </c>
      <c r="AF96" s="57">
        <v>19.25</v>
      </c>
      <c r="AG96" s="57">
        <v>19.25</v>
      </c>
      <c r="AH96" s="57">
        <v>19.75</v>
      </c>
      <c r="AI96" s="57">
        <v>19.75</v>
      </c>
      <c r="AJ96" s="57">
        <v>19.75</v>
      </c>
      <c r="AK96" s="57">
        <v>20.25</v>
      </c>
      <c r="AL96">
        <v>6732</v>
      </c>
      <c r="AM96">
        <v>4866</v>
      </c>
      <c r="AN96">
        <v>38122</v>
      </c>
      <c r="AO96" s="34">
        <v>39156</v>
      </c>
      <c r="AP96" s="34">
        <v>16074</v>
      </c>
      <c r="AQ96">
        <v>279</v>
      </c>
      <c r="AR96">
        <v>2491</v>
      </c>
      <c r="AS96">
        <v>1275</v>
      </c>
      <c r="AT96">
        <v>-5306</v>
      </c>
      <c r="AU96">
        <v>1216</v>
      </c>
      <c r="AV96">
        <v>1168</v>
      </c>
      <c r="AW96" s="34">
        <v>17425</v>
      </c>
      <c r="AX96" s="173">
        <v>409</v>
      </c>
      <c r="AY96" s="34">
        <v>1744</v>
      </c>
      <c r="AZ96">
        <v>19087</v>
      </c>
      <c r="BA96">
        <v>6752</v>
      </c>
      <c r="BB96">
        <v>5185</v>
      </c>
      <c r="BC96" s="173">
        <v>38335</v>
      </c>
      <c r="BD96" s="34">
        <v>40226</v>
      </c>
      <c r="BE96" s="34">
        <v>16102</v>
      </c>
      <c r="BF96" s="34">
        <v>365</v>
      </c>
      <c r="BG96" s="173">
        <v>3203</v>
      </c>
      <c r="BH96">
        <v>1298</v>
      </c>
      <c r="BI96">
        <v>-5944</v>
      </c>
      <c r="BJ96" s="173">
        <v>1905</v>
      </c>
      <c r="BK96" s="34">
        <v>17656</v>
      </c>
      <c r="BL96" s="173">
        <v>502</v>
      </c>
      <c r="BM96" s="34">
        <v>1955</v>
      </c>
      <c r="BN96">
        <v>19564</v>
      </c>
      <c r="BO96">
        <v>6780</v>
      </c>
      <c r="BP96">
        <v>4978</v>
      </c>
      <c r="BQ96" s="173">
        <v>39020</v>
      </c>
      <c r="BR96" s="34">
        <v>42434</v>
      </c>
      <c r="BS96" s="34">
        <v>17298</v>
      </c>
      <c r="BT96" s="34">
        <v>75</v>
      </c>
      <c r="BU96" s="173">
        <v>4355</v>
      </c>
      <c r="BV96">
        <v>1818</v>
      </c>
      <c r="BW96" s="173">
        <v>-2311</v>
      </c>
      <c r="BX96" s="173">
        <v>2537</v>
      </c>
      <c r="BY96" s="34">
        <v>18521</v>
      </c>
      <c r="BZ96" s="173">
        <v>581</v>
      </c>
      <c r="CA96" s="34">
        <v>2115</v>
      </c>
      <c r="CB96">
        <v>19242</v>
      </c>
      <c r="CC96">
        <v>6798</v>
      </c>
      <c r="CD96">
        <v>21075</v>
      </c>
      <c r="CE96">
        <v>18143</v>
      </c>
      <c r="CF96">
        <v>4616</v>
      </c>
      <c r="CG96">
        <v>1460</v>
      </c>
      <c r="CH96">
        <v>18399</v>
      </c>
      <c r="CI96">
        <v>495</v>
      </c>
      <c r="CJ96">
        <v>2181</v>
      </c>
      <c r="CK96">
        <v>4163</v>
      </c>
      <c r="CL96">
        <v>-2543</v>
      </c>
      <c r="CM96">
        <v>1942</v>
      </c>
      <c r="CN96">
        <v>21257</v>
      </c>
      <c r="CO96">
        <v>39931</v>
      </c>
      <c r="CP96">
        <v>3291</v>
      </c>
      <c r="CQ96">
        <v>19114</v>
      </c>
      <c r="CR96" s="57">
        <v>20.125</v>
      </c>
      <c r="CS96">
        <v>6918</v>
      </c>
      <c r="CT96" s="34">
        <v>21443</v>
      </c>
      <c r="CU96" s="34">
        <v>18166</v>
      </c>
      <c r="CV96">
        <v>5006</v>
      </c>
      <c r="CW96" s="173">
        <v>-192</v>
      </c>
      <c r="CX96" s="34">
        <v>18589</v>
      </c>
      <c r="CY96" s="173">
        <v>606</v>
      </c>
      <c r="CZ96" s="34">
        <v>2248</v>
      </c>
      <c r="DA96" s="173">
        <v>3962</v>
      </c>
      <c r="DB96" s="173">
        <v>-10298</v>
      </c>
      <c r="DC96">
        <v>1881</v>
      </c>
      <c r="DD96">
        <v>31361</v>
      </c>
      <c r="DE96" s="173">
        <v>40461</v>
      </c>
      <c r="DF96" s="173">
        <v>2073</v>
      </c>
      <c r="DG96" s="173">
        <v>21187</v>
      </c>
      <c r="DH96" s="57">
        <v>20.125</v>
      </c>
      <c r="DI96" s="34">
        <v>620</v>
      </c>
      <c r="DJ96">
        <v>7002</v>
      </c>
      <c r="DK96" s="34">
        <v>21672</v>
      </c>
      <c r="DL96" s="34">
        <v>17685</v>
      </c>
      <c r="DM96" s="172">
        <v>5240</v>
      </c>
      <c r="DN96" s="173">
        <v>-190</v>
      </c>
      <c r="DO96" s="34">
        <v>18871</v>
      </c>
      <c r="DP96" s="173">
        <v>578</v>
      </c>
      <c r="DQ96" s="34">
        <v>2223</v>
      </c>
      <c r="DR96" s="173">
        <v>2472</v>
      </c>
      <c r="DS96" s="34">
        <v>-3891</v>
      </c>
      <c r="DT96">
        <v>1923</v>
      </c>
      <c r="DU96">
        <v>33736</v>
      </c>
      <c r="DV96" s="173">
        <v>41935</v>
      </c>
      <c r="DW96" s="173">
        <v>543</v>
      </c>
      <c r="DX96" s="173">
        <v>21730</v>
      </c>
      <c r="DY96" s="57">
        <v>20.125</v>
      </c>
    </row>
    <row r="99" spans="2:129" x14ac:dyDescent="0.2">
      <c r="B99" s="34"/>
      <c r="C99" s="34"/>
      <c r="D99" s="34"/>
      <c r="E99" s="34"/>
      <c r="F99" s="34"/>
      <c r="G99" s="34"/>
      <c r="H99" s="34"/>
      <c r="I99" s="34"/>
      <c r="J99" s="34"/>
      <c r="K99" s="34"/>
      <c r="L99" s="34"/>
      <c r="M99" s="34"/>
      <c r="N99" s="34"/>
      <c r="O99" s="34"/>
      <c r="P99" s="34"/>
      <c r="Q99" s="34"/>
      <c r="R99" s="34"/>
      <c r="S99" s="34"/>
      <c r="T99" s="57"/>
      <c r="U99" s="57"/>
      <c r="V99" s="57"/>
      <c r="W99" s="57"/>
      <c r="X99" s="57"/>
      <c r="Y99" s="57"/>
      <c r="Z99" s="57"/>
      <c r="AD99" s="57"/>
      <c r="AE99" s="57"/>
      <c r="AF99" s="57"/>
      <c r="AG99" s="57"/>
      <c r="AH99" s="57"/>
      <c r="AI99" s="57"/>
      <c r="AJ99" s="57"/>
      <c r="AK99" s="57"/>
      <c r="AP99" s="34"/>
      <c r="AW99" s="34"/>
      <c r="AX99" s="173"/>
      <c r="AY99" s="34"/>
      <c r="BC99" s="173"/>
      <c r="BE99" s="34"/>
      <c r="BF99" s="34"/>
      <c r="BG99" s="173"/>
      <c r="BJ99" s="173"/>
      <c r="BK99" s="34"/>
      <c r="BL99" s="173"/>
      <c r="BM99" s="34"/>
      <c r="BQ99" s="173"/>
      <c r="BS99" s="34"/>
      <c r="BT99" s="34"/>
      <c r="BU99" s="173"/>
      <c r="BW99" s="173"/>
      <c r="BX99" s="173"/>
      <c r="BY99" s="34"/>
      <c r="BZ99" s="173"/>
      <c r="CA99" s="34"/>
      <c r="CT99" s="34"/>
      <c r="CU99" s="34"/>
      <c r="CW99" s="173"/>
      <c r="CX99" s="34"/>
      <c r="CY99" s="173"/>
      <c r="CZ99" s="34"/>
      <c r="DA99" s="173"/>
      <c r="DB99" s="173"/>
      <c r="DE99" s="173"/>
      <c r="DF99" s="173"/>
      <c r="DG99" s="173"/>
      <c r="DH99" s="57"/>
      <c r="DI99" s="34"/>
      <c r="DK99" s="34"/>
      <c r="DL99" s="34"/>
      <c r="DM99" s="172"/>
      <c r="DN99" s="173"/>
      <c r="DO99" s="34"/>
      <c r="DP99" s="173"/>
      <c r="DQ99" s="34"/>
      <c r="DR99" s="173"/>
      <c r="DS99" s="34"/>
      <c r="DV99" s="173"/>
      <c r="DW99" s="173"/>
      <c r="DX99" s="173"/>
      <c r="DY99" s="57"/>
    </row>
    <row r="100" spans="2:129" x14ac:dyDescent="0.2">
      <c r="B100" s="34"/>
      <c r="C100" s="34"/>
      <c r="D100" s="34"/>
      <c r="E100" s="34"/>
      <c r="O100" s="34"/>
      <c r="T100" s="57"/>
      <c r="U100" s="57"/>
      <c r="V100" s="57"/>
      <c r="W100" s="57"/>
      <c r="X100" s="57"/>
      <c r="Y100" s="57"/>
      <c r="Z100" s="57"/>
      <c r="AA100" s="57"/>
      <c r="AB100" s="57"/>
      <c r="AD100" s="57"/>
      <c r="AE100" s="57"/>
      <c r="AF100" s="57"/>
      <c r="AG100" s="57"/>
      <c r="AH100" s="57"/>
      <c r="AI100" s="57"/>
      <c r="AJ100" s="57"/>
      <c r="AK100" s="57"/>
      <c r="AO100" s="34"/>
      <c r="AP100" s="34"/>
      <c r="AW100" s="34"/>
      <c r="AX100" s="173"/>
      <c r="AY100" s="34"/>
      <c r="BC100" s="173"/>
      <c r="BD100" s="34"/>
      <c r="BE100" s="34"/>
      <c r="BF100" s="34"/>
      <c r="BG100" s="173"/>
      <c r="BJ100" s="173"/>
      <c r="BK100" s="34"/>
      <c r="BL100" s="173"/>
      <c r="BM100" s="34"/>
      <c r="BQ100" s="173"/>
      <c r="BR100" s="34"/>
      <c r="BS100" s="34"/>
      <c r="BT100" s="34"/>
      <c r="BU100" s="173"/>
      <c r="BW100" s="173"/>
      <c r="BX100" s="173"/>
      <c r="BY100" s="34"/>
      <c r="BZ100" s="173"/>
      <c r="CA100" s="34"/>
      <c r="CT100" s="34"/>
      <c r="CU100" s="34"/>
      <c r="CW100" s="173"/>
      <c r="CX100" s="34"/>
      <c r="CY100" s="173"/>
      <c r="CZ100" s="34"/>
      <c r="DA100" s="173"/>
      <c r="DB100" s="173"/>
      <c r="DE100" s="173"/>
      <c r="DF100" s="173"/>
      <c r="DG100" s="173"/>
      <c r="DH100" s="57"/>
      <c r="DI100" s="34"/>
      <c r="DK100" s="34"/>
      <c r="DL100" s="34"/>
      <c r="DM100" s="172"/>
      <c r="DN100" s="173"/>
      <c r="DO100" s="34"/>
      <c r="DP100" s="173"/>
      <c r="DQ100" s="34"/>
      <c r="DR100" s="173"/>
      <c r="DS100" s="34"/>
      <c r="DV100" s="173"/>
      <c r="DW100" s="173"/>
      <c r="DX100" s="173"/>
      <c r="DY100" s="57"/>
    </row>
    <row r="101" spans="2:129" x14ac:dyDescent="0.2">
      <c r="B101" s="34"/>
      <c r="C101" s="34"/>
      <c r="D101" s="34"/>
      <c r="E101" s="34"/>
      <c r="O101" s="34"/>
      <c r="T101" s="57"/>
      <c r="U101" s="57"/>
      <c r="V101" s="57"/>
      <c r="W101" s="57"/>
      <c r="X101" s="57"/>
      <c r="Y101" s="57"/>
      <c r="Z101" s="57"/>
      <c r="AA101" s="189"/>
      <c r="AB101" s="189"/>
      <c r="AD101" s="57"/>
      <c r="AE101" s="57"/>
      <c r="AF101" s="57"/>
      <c r="AG101" s="57"/>
      <c r="AH101" s="57"/>
      <c r="AI101" s="57"/>
      <c r="AJ101" s="57"/>
      <c r="AK101" s="57"/>
      <c r="AO101" s="34"/>
      <c r="AP101" s="34"/>
      <c r="AW101" s="34"/>
      <c r="AX101" s="173"/>
      <c r="AY101" s="34"/>
      <c r="BC101" s="173"/>
      <c r="BD101" s="34"/>
      <c r="BE101" s="34"/>
      <c r="BF101" s="34"/>
      <c r="BG101" s="173"/>
      <c r="BJ101" s="173"/>
      <c r="BK101" s="34"/>
      <c r="BL101" s="173"/>
      <c r="BM101" s="34"/>
      <c r="BQ101" s="173"/>
      <c r="BR101" s="34"/>
      <c r="BS101" s="34"/>
      <c r="BT101" s="34"/>
      <c r="BU101" s="173"/>
      <c r="BW101" s="173"/>
      <c r="BX101" s="173"/>
      <c r="BY101" s="34"/>
      <c r="BZ101" s="173"/>
      <c r="CA101" s="34"/>
      <c r="CT101" s="34"/>
      <c r="CU101" s="34"/>
      <c r="CW101" s="173"/>
      <c r="CX101" s="34"/>
      <c r="CY101" s="173"/>
      <c r="CZ101" s="34"/>
      <c r="DA101" s="173"/>
      <c r="DB101" s="173"/>
      <c r="DE101" s="173"/>
      <c r="DF101" s="173"/>
      <c r="DG101" s="173"/>
      <c r="DH101" s="57"/>
      <c r="DI101" s="34"/>
      <c r="DK101" s="34"/>
      <c r="DL101" s="34"/>
      <c r="DM101" s="172"/>
      <c r="DN101" s="173"/>
      <c r="DO101" s="34"/>
      <c r="DP101" s="173"/>
      <c r="DQ101" s="34"/>
      <c r="DR101" s="173"/>
      <c r="DS101" s="34"/>
      <c r="DV101" s="173"/>
      <c r="DW101" s="173"/>
      <c r="DX101" s="173"/>
      <c r="DY101" s="57"/>
    </row>
    <row r="102" spans="2:129" x14ac:dyDescent="0.2">
      <c r="B102" s="34"/>
      <c r="C102" s="34"/>
      <c r="D102" s="34"/>
      <c r="E102" s="34"/>
      <c r="O102" s="34"/>
      <c r="T102" s="57"/>
      <c r="U102" s="57"/>
      <c r="V102" s="57"/>
      <c r="W102" s="57"/>
      <c r="X102" s="57"/>
      <c r="Y102" s="57"/>
      <c r="Z102" s="57"/>
      <c r="AA102" s="57"/>
      <c r="AB102" s="57"/>
      <c r="AD102" s="57"/>
      <c r="AE102" s="57"/>
      <c r="AF102" s="57"/>
      <c r="AG102" s="57"/>
      <c r="AH102" s="57"/>
      <c r="AI102" s="57"/>
      <c r="AJ102" s="57"/>
      <c r="AK102" s="57"/>
      <c r="AO102" s="34"/>
      <c r="AP102" s="34"/>
      <c r="AW102" s="34"/>
      <c r="AX102" s="173"/>
      <c r="AY102" s="34"/>
      <c r="BC102" s="173"/>
      <c r="BD102" s="34"/>
      <c r="BE102" s="34"/>
      <c r="BF102" s="34"/>
      <c r="BG102" s="173"/>
      <c r="BJ102" s="173"/>
      <c r="BK102" s="34"/>
      <c r="BL102" s="173"/>
      <c r="BM102" s="34"/>
      <c r="BQ102" s="173"/>
      <c r="BR102" s="34"/>
      <c r="BS102" s="34"/>
      <c r="BT102" s="34"/>
      <c r="BU102" s="173"/>
      <c r="BW102" s="173"/>
      <c r="BX102" s="173"/>
      <c r="BY102" s="34"/>
      <c r="BZ102" s="173"/>
      <c r="CA102" s="34"/>
      <c r="CT102" s="34"/>
      <c r="CU102" s="34"/>
      <c r="CW102" s="173"/>
      <c r="CX102" s="34"/>
      <c r="CY102" s="173"/>
      <c r="CZ102" s="34"/>
      <c r="DA102" s="173"/>
      <c r="DB102" s="173"/>
      <c r="DE102" s="173"/>
      <c r="DF102" s="173"/>
      <c r="DG102" s="173"/>
      <c r="DH102" s="57"/>
      <c r="DI102" s="34"/>
      <c r="DK102" s="34"/>
      <c r="DL102" s="34"/>
      <c r="DM102" s="172"/>
      <c r="DN102" s="173"/>
      <c r="DO102" s="34"/>
      <c r="DP102" s="173"/>
      <c r="DQ102" s="34"/>
      <c r="DR102" s="173"/>
      <c r="DS102" s="34"/>
      <c r="DV102" s="173"/>
      <c r="DW102" s="173"/>
      <c r="DX102" s="173"/>
      <c r="DY102" s="57"/>
    </row>
    <row r="103" spans="2:129" x14ac:dyDescent="0.2">
      <c r="B103" s="34"/>
      <c r="C103" s="34"/>
      <c r="D103" s="34"/>
      <c r="E103" s="34"/>
      <c r="O103" s="34"/>
      <c r="T103" s="57"/>
      <c r="U103" s="57"/>
      <c r="V103" s="57"/>
      <c r="W103" s="57"/>
      <c r="X103" s="57"/>
      <c r="Y103" s="57"/>
      <c r="Z103" s="57"/>
      <c r="AA103" s="189"/>
      <c r="AB103" s="189"/>
      <c r="AD103" s="57"/>
      <c r="AE103" s="57"/>
      <c r="AF103" s="57"/>
      <c r="AG103" s="57"/>
      <c r="AH103" s="57"/>
      <c r="AI103" s="57"/>
      <c r="AJ103" s="57"/>
      <c r="AK103" s="57"/>
      <c r="AO103" s="34"/>
      <c r="AP103" s="34"/>
      <c r="AW103" s="34"/>
      <c r="AX103" s="173"/>
      <c r="AY103" s="34"/>
      <c r="BC103" s="173"/>
      <c r="BD103" s="34"/>
      <c r="BE103" s="34"/>
      <c r="BF103" s="34"/>
      <c r="BG103" s="173"/>
      <c r="BJ103" s="173"/>
      <c r="BK103" s="34"/>
      <c r="BL103" s="173"/>
      <c r="BM103" s="34"/>
      <c r="BQ103" s="173"/>
      <c r="BR103" s="34"/>
      <c r="BS103" s="34"/>
      <c r="BT103" s="34"/>
      <c r="BU103" s="173"/>
      <c r="BW103" s="173"/>
      <c r="BX103" s="173"/>
      <c r="BY103" s="34"/>
      <c r="BZ103" s="173"/>
      <c r="CA103" s="34"/>
      <c r="CT103" s="34"/>
      <c r="CU103" s="34"/>
      <c r="CW103" s="173"/>
      <c r="CX103" s="34"/>
      <c r="CY103" s="173"/>
      <c r="CZ103" s="34"/>
      <c r="DA103" s="173"/>
      <c r="DB103" s="173"/>
      <c r="DE103" s="173"/>
      <c r="DF103" s="173"/>
      <c r="DG103" s="173"/>
      <c r="DH103" s="57"/>
      <c r="DI103" s="34"/>
      <c r="DK103" s="34"/>
      <c r="DL103" s="34"/>
      <c r="DM103" s="172"/>
      <c r="DN103" s="173"/>
      <c r="DO103" s="34"/>
      <c r="DP103" s="173"/>
      <c r="DQ103" s="34"/>
      <c r="DR103" s="173"/>
      <c r="DS103" s="34"/>
      <c r="DV103" s="173"/>
      <c r="DW103" s="173"/>
      <c r="DX103" s="173"/>
      <c r="DY103" s="57"/>
    </row>
    <row r="104" spans="2:129" x14ac:dyDescent="0.2">
      <c r="B104" s="34"/>
      <c r="C104" s="34"/>
      <c r="D104" s="34"/>
      <c r="E104" s="34"/>
      <c r="O104" s="34"/>
      <c r="T104" s="57"/>
      <c r="U104" s="57"/>
      <c r="V104" s="57"/>
      <c r="W104" s="57"/>
      <c r="X104" s="57"/>
      <c r="Y104" s="57"/>
      <c r="Z104" s="57"/>
      <c r="AA104" s="57"/>
      <c r="AB104" s="57"/>
      <c r="AD104" s="57"/>
      <c r="AE104" s="57"/>
      <c r="AF104" s="57"/>
      <c r="AG104" s="57"/>
      <c r="AH104" s="57"/>
      <c r="AI104" s="57"/>
      <c r="AJ104" s="57"/>
      <c r="AK104" s="57"/>
      <c r="AO104" s="34"/>
      <c r="AP104" s="34"/>
      <c r="AW104" s="34"/>
      <c r="AX104" s="173"/>
      <c r="AY104" s="34"/>
      <c r="BC104" s="173"/>
      <c r="BD104" s="34"/>
      <c r="BE104" s="34"/>
      <c r="BF104" s="34"/>
      <c r="BG104" s="173"/>
      <c r="BJ104" s="173"/>
      <c r="BK104" s="34"/>
      <c r="BL104" s="173"/>
      <c r="BM104" s="34"/>
      <c r="BQ104" s="173"/>
      <c r="BR104" s="34"/>
      <c r="BS104" s="34"/>
      <c r="BT104" s="34"/>
      <c r="BU104" s="173"/>
      <c r="BW104" s="173"/>
      <c r="BX104" s="173"/>
      <c r="BY104" s="34"/>
      <c r="BZ104" s="173"/>
      <c r="CA104" s="34"/>
      <c r="CT104" s="34"/>
      <c r="CU104" s="34"/>
      <c r="CW104" s="173"/>
      <c r="CX104" s="34"/>
      <c r="CY104" s="173"/>
      <c r="CZ104" s="34"/>
      <c r="DA104" s="173"/>
      <c r="DB104" s="173"/>
      <c r="DE104" s="173"/>
      <c r="DF104" s="173"/>
      <c r="DG104" s="173"/>
      <c r="DH104" s="57"/>
      <c r="DI104" s="34"/>
      <c r="DK104" s="34"/>
      <c r="DL104" s="34"/>
      <c r="DM104" s="172"/>
      <c r="DN104" s="173"/>
      <c r="DO104" s="34"/>
      <c r="DP104" s="173"/>
      <c r="DQ104" s="34"/>
      <c r="DR104" s="173"/>
      <c r="DS104" s="34"/>
      <c r="DV104" s="173"/>
      <c r="DW104" s="173"/>
      <c r="DX104" s="173"/>
      <c r="DY104" s="57"/>
    </row>
    <row r="105" spans="2:129" x14ac:dyDescent="0.2">
      <c r="B105" s="34"/>
      <c r="C105" s="34"/>
      <c r="D105" s="34"/>
      <c r="E105" s="34"/>
      <c r="O105" s="34"/>
      <c r="T105" s="57"/>
      <c r="U105" s="57"/>
      <c r="V105" s="57"/>
      <c r="W105" s="57"/>
      <c r="X105" s="57"/>
      <c r="Y105" s="57"/>
      <c r="Z105" s="57"/>
      <c r="AA105" s="57"/>
      <c r="AB105" s="57"/>
      <c r="AD105" s="57"/>
      <c r="AE105" s="57"/>
      <c r="AF105" s="57"/>
      <c r="AG105" s="57"/>
      <c r="AH105" s="57"/>
      <c r="AI105" s="57"/>
      <c r="AJ105" s="57"/>
      <c r="AK105" s="57"/>
      <c r="AO105" s="34"/>
      <c r="AP105" s="34"/>
      <c r="AW105" s="34"/>
      <c r="AX105" s="173"/>
      <c r="AY105" s="34"/>
      <c r="BC105" s="173"/>
      <c r="BD105" s="34"/>
      <c r="BE105" s="34"/>
      <c r="BF105" s="34"/>
      <c r="BG105" s="173"/>
      <c r="BJ105" s="173"/>
      <c r="BK105" s="34"/>
      <c r="BL105" s="173"/>
      <c r="BM105" s="34"/>
      <c r="BQ105" s="173"/>
      <c r="BR105" s="34"/>
      <c r="BS105" s="34"/>
      <c r="BT105" s="34"/>
      <c r="BU105" s="173"/>
      <c r="BW105" s="173"/>
      <c r="BX105" s="173"/>
      <c r="BY105" s="34"/>
      <c r="BZ105" s="173"/>
      <c r="CA105" s="34"/>
      <c r="CT105" s="34"/>
      <c r="CU105" s="34"/>
      <c r="CW105" s="173"/>
      <c r="CX105" s="34"/>
      <c r="CY105" s="173"/>
      <c r="CZ105" s="34"/>
      <c r="DA105" s="173"/>
      <c r="DB105" s="173"/>
      <c r="DE105" s="173"/>
      <c r="DF105" s="173"/>
      <c r="DG105" s="173"/>
      <c r="DH105" s="57"/>
      <c r="DI105" s="34"/>
      <c r="DK105" s="34"/>
      <c r="DL105" s="34"/>
      <c r="DM105" s="172"/>
      <c r="DN105" s="173"/>
      <c r="DO105" s="34"/>
      <c r="DP105" s="173"/>
      <c r="DQ105" s="34"/>
      <c r="DR105" s="173"/>
      <c r="DS105" s="34"/>
      <c r="DV105" s="173"/>
      <c r="DW105" s="173"/>
      <c r="DX105" s="173"/>
      <c r="DY105" s="57"/>
    </row>
    <row r="106" spans="2:129" x14ac:dyDescent="0.2">
      <c r="B106" s="34"/>
      <c r="C106" s="34"/>
      <c r="D106" s="34"/>
      <c r="E106" s="34"/>
      <c r="O106" s="34"/>
      <c r="T106" s="57"/>
      <c r="U106" s="57"/>
      <c r="V106" s="57"/>
      <c r="W106" s="57"/>
      <c r="X106" s="57"/>
      <c r="Y106" s="57"/>
      <c r="Z106" s="57"/>
      <c r="AA106" s="57"/>
      <c r="AB106" s="57"/>
      <c r="AD106" s="57"/>
      <c r="AE106" s="57"/>
      <c r="AF106" s="57"/>
      <c r="AG106" s="57"/>
      <c r="AH106" s="57"/>
      <c r="AI106" s="57"/>
      <c r="AJ106" s="57"/>
      <c r="AK106" s="57"/>
      <c r="AO106" s="34"/>
      <c r="AP106" s="34"/>
      <c r="AW106" s="34"/>
      <c r="AX106" s="173"/>
      <c r="AY106" s="34"/>
      <c r="BC106" s="173"/>
      <c r="BD106" s="34"/>
      <c r="BE106" s="34"/>
      <c r="BF106" s="34"/>
      <c r="BG106" s="173"/>
      <c r="BJ106" s="173"/>
      <c r="BK106" s="34"/>
      <c r="BL106" s="173"/>
      <c r="BM106" s="34"/>
      <c r="BQ106" s="173"/>
      <c r="BR106" s="34"/>
      <c r="BS106" s="34"/>
      <c r="BT106" s="34"/>
      <c r="BU106" s="173"/>
      <c r="BW106" s="173"/>
      <c r="BX106" s="173"/>
      <c r="BY106" s="34"/>
      <c r="BZ106" s="173"/>
      <c r="CA106" s="34"/>
      <c r="CT106" s="34"/>
      <c r="CU106" s="34"/>
      <c r="CW106" s="173"/>
      <c r="CX106" s="34"/>
      <c r="CY106" s="173"/>
      <c r="CZ106" s="34"/>
      <c r="DA106" s="173"/>
      <c r="DB106" s="173"/>
      <c r="DE106" s="173"/>
      <c r="DF106" s="173"/>
      <c r="DG106" s="173"/>
      <c r="DH106" s="57"/>
      <c r="DI106" s="34"/>
      <c r="DK106" s="34"/>
      <c r="DL106" s="34"/>
      <c r="DM106" s="172"/>
      <c r="DN106" s="173"/>
      <c r="DO106" s="34"/>
      <c r="DP106" s="173"/>
      <c r="DQ106" s="34"/>
      <c r="DR106" s="173"/>
      <c r="DS106" s="34"/>
      <c r="DV106" s="173"/>
      <c r="DW106" s="173"/>
      <c r="DX106" s="173"/>
      <c r="DY106" s="57"/>
    </row>
    <row r="107" spans="2:129" x14ac:dyDescent="0.2">
      <c r="B107" s="34"/>
      <c r="C107" s="34"/>
      <c r="D107" s="34"/>
      <c r="E107" s="34"/>
      <c r="O107" s="34"/>
      <c r="T107" s="57"/>
      <c r="U107" s="57"/>
      <c r="V107" s="57"/>
      <c r="W107" s="57"/>
      <c r="X107" s="57"/>
      <c r="Y107" s="57"/>
      <c r="Z107" s="57"/>
      <c r="AA107" s="57"/>
      <c r="AB107" s="57"/>
      <c r="AD107" s="57"/>
      <c r="AE107" s="57"/>
      <c r="AF107" s="57"/>
      <c r="AG107" s="57"/>
      <c r="AH107" s="57"/>
      <c r="AI107" s="57"/>
      <c r="AJ107" s="57"/>
      <c r="AK107" s="57"/>
      <c r="AO107" s="34"/>
      <c r="AP107" s="34"/>
      <c r="AW107" s="34"/>
      <c r="AX107" s="173"/>
      <c r="AY107" s="34"/>
      <c r="BC107" s="173"/>
      <c r="BD107" s="34"/>
      <c r="BE107" s="34"/>
      <c r="BF107" s="34"/>
      <c r="BG107" s="173"/>
      <c r="BJ107" s="173"/>
      <c r="BK107" s="34"/>
      <c r="BL107" s="173"/>
      <c r="BM107" s="34"/>
      <c r="BQ107" s="173"/>
      <c r="BR107" s="34"/>
      <c r="BS107" s="34"/>
      <c r="BT107" s="34"/>
      <c r="BU107" s="173"/>
      <c r="BW107" s="173"/>
      <c r="BX107" s="173"/>
      <c r="BY107" s="34"/>
      <c r="BZ107" s="173"/>
      <c r="CA107" s="34"/>
      <c r="CT107" s="34"/>
      <c r="CU107" s="34"/>
      <c r="CW107" s="173"/>
      <c r="CX107" s="34"/>
      <c r="CY107" s="173"/>
      <c r="CZ107" s="34"/>
      <c r="DA107" s="173"/>
      <c r="DB107" s="173"/>
      <c r="DE107" s="173"/>
      <c r="DF107" s="173"/>
      <c r="DG107" s="173"/>
      <c r="DH107" s="57"/>
      <c r="DI107" s="34"/>
      <c r="DK107" s="34"/>
      <c r="DL107" s="34"/>
      <c r="DM107" s="172"/>
      <c r="DN107" s="173"/>
      <c r="DO107" s="34"/>
      <c r="DP107" s="173"/>
      <c r="DQ107" s="34"/>
      <c r="DR107" s="173"/>
      <c r="DS107" s="34"/>
      <c r="DV107" s="173"/>
      <c r="DW107" s="173"/>
      <c r="DX107" s="173"/>
      <c r="DY107" s="57"/>
    </row>
    <row r="108" spans="2:129" x14ac:dyDescent="0.2">
      <c r="B108" s="34"/>
      <c r="C108" s="34"/>
      <c r="D108" s="34"/>
      <c r="E108" s="34"/>
      <c r="O108" s="34"/>
      <c r="T108" s="57"/>
      <c r="U108" s="57"/>
      <c r="V108" s="57"/>
      <c r="W108" s="57"/>
      <c r="X108" s="57"/>
      <c r="Y108" s="57"/>
      <c r="Z108" s="57"/>
      <c r="AA108" s="189"/>
      <c r="AB108" s="189"/>
      <c r="AD108" s="57"/>
      <c r="AE108" s="57"/>
      <c r="AF108" s="57"/>
      <c r="AG108" s="57"/>
      <c r="AH108" s="57"/>
      <c r="AI108" s="57"/>
      <c r="AJ108" s="57"/>
      <c r="AK108" s="57"/>
      <c r="AO108" s="34"/>
      <c r="AP108" s="34"/>
      <c r="AW108" s="34"/>
      <c r="AX108" s="173"/>
      <c r="AY108" s="34"/>
      <c r="BC108" s="173"/>
      <c r="BD108" s="34"/>
      <c r="BE108" s="34"/>
      <c r="BF108" s="34"/>
      <c r="BG108" s="173"/>
      <c r="BJ108" s="173"/>
      <c r="BK108" s="34"/>
      <c r="BL108" s="173"/>
      <c r="BM108" s="34"/>
      <c r="BQ108" s="173"/>
      <c r="BR108" s="34"/>
      <c r="BS108" s="34"/>
      <c r="BT108" s="34"/>
      <c r="BU108" s="173"/>
      <c r="BW108" s="173"/>
      <c r="BX108" s="173"/>
      <c r="BY108" s="34"/>
      <c r="BZ108" s="173"/>
      <c r="CA108" s="34"/>
      <c r="CT108" s="34"/>
      <c r="CU108" s="34"/>
      <c r="CW108" s="173"/>
      <c r="CX108" s="34"/>
      <c r="CY108" s="173"/>
      <c r="CZ108" s="34"/>
      <c r="DA108" s="173"/>
      <c r="DB108" s="173"/>
      <c r="DE108" s="173"/>
      <c r="DF108" s="173"/>
      <c r="DG108" s="173"/>
      <c r="DH108" s="57"/>
      <c r="DI108" s="34"/>
      <c r="DK108" s="34"/>
      <c r="DL108" s="34"/>
      <c r="DM108" s="172"/>
      <c r="DN108" s="173"/>
      <c r="DO108" s="34"/>
      <c r="DP108" s="173"/>
      <c r="DQ108" s="34"/>
      <c r="DR108" s="173"/>
      <c r="DS108" s="34"/>
      <c r="DV108" s="173"/>
      <c r="DW108" s="173"/>
      <c r="DX108" s="173"/>
      <c r="DY108" s="57"/>
    </row>
    <row r="109" spans="2:129" x14ac:dyDescent="0.2">
      <c r="B109" s="34"/>
      <c r="C109" s="34"/>
      <c r="D109" s="34"/>
      <c r="E109" s="34"/>
      <c r="O109" s="34"/>
      <c r="T109" s="57"/>
      <c r="U109" s="57"/>
      <c r="V109" s="57"/>
      <c r="W109" s="57"/>
      <c r="X109" s="57"/>
      <c r="Y109" s="57"/>
      <c r="Z109" s="57"/>
      <c r="AA109" s="189"/>
      <c r="AB109" s="189"/>
      <c r="AD109" s="57"/>
      <c r="AE109" s="57"/>
      <c r="AF109" s="57"/>
      <c r="AG109" s="57"/>
      <c r="AH109" s="57"/>
      <c r="AI109" s="57"/>
      <c r="AJ109" s="57"/>
      <c r="AK109" s="57"/>
      <c r="AO109" s="34"/>
      <c r="AP109" s="34"/>
      <c r="AW109" s="34"/>
      <c r="AX109" s="173"/>
      <c r="AY109" s="34"/>
      <c r="BC109" s="173"/>
      <c r="BD109" s="34"/>
      <c r="BE109" s="34"/>
      <c r="BF109" s="34"/>
      <c r="BG109" s="173"/>
      <c r="BJ109" s="173"/>
      <c r="BK109" s="34"/>
      <c r="BL109" s="173"/>
      <c r="BM109" s="34"/>
      <c r="BQ109" s="173"/>
      <c r="BR109" s="34"/>
      <c r="BS109" s="34"/>
      <c r="BT109" s="34"/>
      <c r="BU109" s="173"/>
      <c r="BW109" s="173"/>
      <c r="BX109" s="173"/>
      <c r="BY109" s="34"/>
      <c r="BZ109" s="173"/>
      <c r="CA109" s="34"/>
      <c r="CT109" s="34"/>
      <c r="CU109" s="34"/>
      <c r="CW109" s="173"/>
      <c r="CX109" s="34"/>
      <c r="CY109" s="173"/>
      <c r="CZ109" s="34"/>
      <c r="DA109" s="173"/>
      <c r="DB109" s="173"/>
      <c r="DE109" s="173"/>
      <c r="DF109" s="173"/>
      <c r="DG109" s="173"/>
      <c r="DH109" s="57"/>
      <c r="DI109" s="34"/>
      <c r="DK109" s="34"/>
      <c r="DL109" s="34"/>
      <c r="DM109" s="172"/>
      <c r="DN109" s="173"/>
      <c r="DO109" s="34"/>
      <c r="DP109" s="173"/>
      <c r="DQ109" s="34"/>
      <c r="DR109" s="173"/>
      <c r="DS109" s="34"/>
      <c r="DV109" s="173"/>
      <c r="DW109" s="173"/>
      <c r="DX109" s="173"/>
      <c r="DY109" s="57"/>
    </row>
    <row r="110" spans="2:129" x14ac:dyDescent="0.2">
      <c r="B110" s="34"/>
      <c r="C110" s="34"/>
      <c r="D110" s="34"/>
      <c r="E110" s="34"/>
      <c r="O110" s="34"/>
      <c r="T110" s="57"/>
      <c r="U110" s="57"/>
      <c r="V110" s="57"/>
      <c r="W110" s="57"/>
      <c r="X110" s="57"/>
      <c r="Y110" s="57"/>
      <c r="Z110" s="57"/>
      <c r="AA110" s="57"/>
      <c r="AB110" s="57"/>
      <c r="AD110" s="57"/>
      <c r="AE110" s="57"/>
      <c r="AF110" s="57"/>
      <c r="AG110" s="57"/>
      <c r="AH110" s="57"/>
      <c r="AI110" s="57"/>
      <c r="AJ110" s="57"/>
      <c r="AK110" s="57"/>
      <c r="AO110" s="34"/>
      <c r="AP110" s="34"/>
      <c r="AW110" s="34"/>
      <c r="AX110" s="173"/>
      <c r="AY110" s="34"/>
      <c r="BC110" s="173"/>
      <c r="BD110" s="34"/>
      <c r="BE110" s="34"/>
      <c r="BF110" s="34"/>
      <c r="BG110" s="173"/>
      <c r="BJ110" s="173"/>
      <c r="BK110" s="34"/>
      <c r="BL110" s="173"/>
      <c r="BM110" s="34"/>
      <c r="BQ110" s="173"/>
      <c r="BR110" s="34"/>
      <c r="BS110" s="34"/>
      <c r="BT110" s="34"/>
      <c r="BU110" s="173"/>
      <c r="BW110" s="173"/>
      <c r="BX110" s="173"/>
      <c r="BY110" s="34"/>
      <c r="BZ110" s="173"/>
      <c r="CA110" s="34"/>
      <c r="CT110" s="34"/>
      <c r="CU110" s="34"/>
      <c r="CW110" s="173"/>
      <c r="CX110" s="34"/>
      <c r="CY110" s="173"/>
      <c r="CZ110" s="34"/>
      <c r="DA110" s="173"/>
      <c r="DB110" s="173"/>
      <c r="DE110" s="173"/>
      <c r="DF110" s="173"/>
      <c r="DG110" s="173"/>
      <c r="DH110" s="57"/>
      <c r="DI110" s="34"/>
      <c r="DK110" s="34"/>
      <c r="DL110" s="34"/>
      <c r="DM110" s="172"/>
      <c r="DN110" s="173"/>
      <c r="DO110" s="34"/>
      <c r="DP110" s="173"/>
      <c r="DQ110" s="34"/>
      <c r="DR110" s="173"/>
      <c r="DS110" s="34"/>
      <c r="DV110" s="173"/>
      <c r="DW110" s="173"/>
      <c r="DX110" s="173"/>
      <c r="DY110" s="57"/>
    </row>
  </sheetData>
  <sortState ref="A36:MK47">
    <sortCondition ref="A36:A47"/>
  </sortState>
  <dataConsolidate function="average" topLabels="1">
    <dataRefs count="1">
      <dataRef ref="J2:EQ298" sheet="Perusaineisto2"/>
    </dataRefs>
  </dataConsolid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939"/>
  <sheetViews>
    <sheetView workbookViewId="0">
      <pane xSplit="2" ySplit="2" topLeftCell="HU3" activePane="bottomRight" state="frozen"/>
      <selection pane="topRight" activeCell="C1" sqref="C1"/>
      <selection pane="bottomLeft" activeCell="A3" sqref="A3"/>
      <selection pane="bottomRight" activeCell="HU3" sqref="HU3"/>
    </sheetView>
  </sheetViews>
  <sheetFormatPr defaultColWidth="9.140625" defaultRowHeight="13.5" x14ac:dyDescent="0.25"/>
  <cols>
    <col min="1" max="1" width="9.28515625" style="27" bestFit="1" customWidth="1"/>
    <col min="2" max="2" width="9.140625" style="27"/>
    <col min="3" max="3" width="9.28515625" style="27" bestFit="1" customWidth="1"/>
    <col min="4" max="4" width="9.140625" style="27"/>
    <col min="5" max="5" width="9.28515625" style="27" bestFit="1" customWidth="1"/>
    <col min="6" max="6" width="12" style="27" bestFit="1" customWidth="1"/>
    <col min="7" max="7" width="12.7109375" style="29" bestFit="1" customWidth="1"/>
    <col min="8" max="8" width="16.28515625" style="27" bestFit="1" customWidth="1"/>
    <col min="9" max="9" width="12.28515625" style="28" bestFit="1" customWidth="1"/>
    <col min="10" max="14" width="6.7109375" style="36" customWidth="1"/>
    <col min="15" max="19" width="9.28515625" style="36" bestFit="1" customWidth="1"/>
    <col min="20" max="20" width="9.28515625" style="70" bestFit="1" customWidth="1"/>
    <col min="21" max="56" width="9.28515625" style="36" bestFit="1" customWidth="1"/>
    <col min="57" max="60" width="9.28515625" style="70" bestFit="1" customWidth="1"/>
    <col min="61" max="87" width="9.28515625" style="36" bestFit="1" customWidth="1"/>
    <col min="88" max="90" width="9.28515625" style="70" bestFit="1" customWidth="1"/>
    <col min="91" max="126" width="9.28515625" style="36" bestFit="1" customWidth="1"/>
    <col min="127" max="127" width="11.42578125" style="70" customWidth="1"/>
    <col min="128" max="128" width="9.28515625" style="70" bestFit="1" customWidth="1"/>
    <col min="129" max="129" width="11.42578125" style="70" customWidth="1"/>
    <col min="130" max="130" width="9.28515625" style="70" bestFit="1" customWidth="1"/>
    <col min="131" max="131" width="11.42578125" style="39" customWidth="1"/>
    <col min="132" max="133" width="8.7109375" style="39" customWidth="1"/>
    <col min="134" max="134" width="7.85546875" style="39" customWidth="1"/>
    <col min="135" max="135" width="9.5703125" style="39" customWidth="1"/>
    <col min="136" max="136" width="9" style="39" customWidth="1"/>
    <col min="137" max="138" width="9.28515625" style="73" bestFit="1" customWidth="1"/>
    <col min="139" max="139" width="9.7109375" style="73" bestFit="1" customWidth="1"/>
    <col min="140" max="141" width="9.28515625" style="73" bestFit="1" customWidth="1"/>
    <col min="142" max="142" width="10.140625" style="73" bestFit="1" customWidth="1"/>
    <col min="143" max="143" width="9.28515625" style="73" bestFit="1" customWidth="1"/>
    <col min="144" max="144" width="10.140625" style="73" bestFit="1" customWidth="1"/>
    <col min="145" max="145" width="9.28515625" style="73" bestFit="1" customWidth="1"/>
    <col min="146" max="146" width="10.140625" style="73" bestFit="1" customWidth="1"/>
    <col min="147" max="147" width="9.28515625" style="73" bestFit="1" customWidth="1"/>
    <col min="148" max="148" width="10.140625" style="73" bestFit="1" customWidth="1"/>
    <col min="149" max="149" width="9.28515625" style="73" bestFit="1" customWidth="1"/>
    <col min="150" max="150" width="10.140625" style="73" bestFit="1" customWidth="1"/>
    <col min="151" max="151" width="9.28515625" style="73" bestFit="1" customWidth="1"/>
    <col min="152" max="152" width="10.140625" style="73" bestFit="1" customWidth="1"/>
    <col min="153" max="153" width="9.28515625" style="73" bestFit="1" customWidth="1"/>
    <col min="154" max="154" width="10.140625" style="73" bestFit="1" customWidth="1"/>
    <col min="155" max="155" width="9.28515625" style="73" bestFit="1" customWidth="1"/>
    <col min="156" max="156" width="10.140625" style="73" bestFit="1" customWidth="1"/>
    <col min="157" max="157" width="9.28515625" style="73" bestFit="1" customWidth="1"/>
    <col min="158" max="158" width="10.140625" style="73" bestFit="1" customWidth="1"/>
    <col min="159" max="159" width="9.28515625" style="73" bestFit="1" customWidth="1"/>
    <col min="160" max="160" width="10.140625" style="73" bestFit="1" customWidth="1"/>
    <col min="161" max="161" width="9.28515625" style="73" bestFit="1" customWidth="1"/>
    <col min="162" max="162" width="10.140625" style="73" bestFit="1" customWidth="1"/>
    <col min="163" max="165" width="9.28515625" style="73" bestFit="1" customWidth="1"/>
    <col min="166" max="166" width="9.140625" style="87"/>
    <col min="167" max="180" width="9.140625" style="64"/>
    <col min="181" max="196" width="9.140625" style="73"/>
    <col min="197" max="197" width="9.140625" style="86"/>
    <col min="198" max="198" width="9.140625" style="78"/>
    <col min="199" max="212" width="9.140625" style="73"/>
    <col min="213" max="213" width="9.140625" style="78"/>
    <col min="214" max="228" width="9.140625" style="73"/>
    <col min="229" max="229" width="9.140625" style="86"/>
    <col min="230" max="230" width="12.28515625" style="178" customWidth="1"/>
    <col min="231" max="16384" width="9.140625" style="30"/>
  </cols>
  <sheetData>
    <row r="1" spans="1:231" x14ac:dyDescent="0.25">
      <c r="C1" s="27">
        <v>2</v>
      </c>
      <c r="D1" s="27">
        <v>3</v>
      </c>
      <c r="E1" s="27">
        <v>4</v>
      </c>
      <c r="F1" s="27">
        <v>5</v>
      </c>
      <c r="G1" s="29">
        <v>6</v>
      </c>
      <c r="H1" s="27">
        <v>7</v>
      </c>
      <c r="I1" s="28">
        <v>8</v>
      </c>
      <c r="J1" s="36">
        <f>SUM(J3:J298)-J98</f>
        <v>5132206</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c r="CX1" s="36">
        <v>101</v>
      </c>
      <c r="CY1" s="36">
        <v>102</v>
      </c>
      <c r="CZ1" s="36">
        <v>103</v>
      </c>
      <c r="DA1" s="36">
        <v>104</v>
      </c>
      <c r="DB1" s="36">
        <v>105</v>
      </c>
      <c r="DC1" s="36">
        <v>106</v>
      </c>
      <c r="DD1" s="36">
        <v>107</v>
      </c>
      <c r="DE1" s="36">
        <v>108</v>
      </c>
      <c r="DF1" s="36">
        <v>109</v>
      </c>
      <c r="DG1" s="36">
        <v>110</v>
      </c>
      <c r="DH1" s="36">
        <v>111</v>
      </c>
      <c r="DI1" s="36">
        <v>112</v>
      </c>
      <c r="DJ1" s="36">
        <v>113</v>
      </c>
      <c r="DK1" s="36">
        <v>114</v>
      </c>
      <c r="DL1" s="36">
        <v>115</v>
      </c>
      <c r="DM1" s="36">
        <v>116</v>
      </c>
      <c r="DN1" s="36">
        <v>117</v>
      </c>
      <c r="DO1" s="36">
        <v>118</v>
      </c>
      <c r="DP1" s="36">
        <v>119</v>
      </c>
      <c r="DQ1" s="36">
        <v>120</v>
      </c>
      <c r="DR1" s="36">
        <v>121</v>
      </c>
      <c r="DS1" s="36">
        <v>122</v>
      </c>
      <c r="DT1" s="36">
        <v>123</v>
      </c>
      <c r="DU1" s="36">
        <v>124</v>
      </c>
      <c r="DV1" s="36">
        <v>125</v>
      </c>
      <c r="DW1" s="36">
        <v>126</v>
      </c>
      <c r="DX1" s="36">
        <v>127</v>
      </c>
      <c r="DY1" s="36">
        <v>128</v>
      </c>
      <c r="DZ1" s="36">
        <v>129</v>
      </c>
      <c r="EA1" s="36">
        <v>130</v>
      </c>
      <c r="EB1" s="36">
        <v>131</v>
      </c>
      <c r="EC1" s="36">
        <v>132</v>
      </c>
      <c r="ED1" s="36">
        <v>133</v>
      </c>
      <c r="EE1" s="36">
        <v>134</v>
      </c>
      <c r="EF1" s="36">
        <v>135</v>
      </c>
      <c r="EG1" s="36">
        <v>136</v>
      </c>
      <c r="EH1" s="36">
        <v>137</v>
      </c>
      <c r="EI1" s="36">
        <v>138</v>
      </c>
      <c r="EJ1" s="36">
        <v>139</v>
      </c>
      <c r="EK1" s="36">
        <v>140</v>
      </c>
      <c r="EL1" s="36">
        <v>141</v>
      </c>
      <c r="EM1" s="36">
        <v>142</v>
      </c>
      <c r="EN1" s="36">
        <v>143</v>
      </c>
      <c r="EO1" s="36">
        <v>144</v>
      </c>
      <c r="EP1" s="36">
        <v>145</v>
      </c>
      <c r="EQ1" s="36">
        <v>146</v>
      </c>
      <c r="ER1" s="36">
        <v>147</v>
      </c>
      <c r="ES1" s="36">
        <v>148</v>
      </c>
      <c r="ET1" s="36">
        <v>149</v>
      </c>
      <c r="EU1" s="36">
        <v>150</v>
      </c>
      <c r="EV1" s="36">
        <v>151</v>
      </c>
      <c r="EW1" s="36">
        <v>152</v>
      </c>
      <c r="EX1" s="36">
        <v>153</v>
      </c>
      <c r="EY1" s="36">
        <v>154</v>
      </c>
      <c r="EZ1" s="36">
        <v>155</v>
      </c>
      <c r="FA1" s="36">
        <v>156</v>
      </c>
      <c r="FB1" s="36">
        <v>157</v>
      </c>
      <c r="FC1" s="36">
        <v>158</v>
      </c>
      <c r="FD1" s="36">
        <v>159</v>
      </c>
      <c r="FE1" s="36">
        <v>160</v>
      </c>
      <c r="FF1" s="36">
        <v>161</v>
      </c>
      <c r="FG1" s="36">
        <v>162</v>
      </c>
      <c r="FH1" s="36">
        <v>163</v>
      </c>
      <c r="FI1" s="36">
        <v>164</v>
      </c>
      <c r="FJ1" s="63">
        <v>2009</v>
      </c>
      <c r="FK1" s="64">
        <v>166</v>
      </c>
      <c r="FL1" s="64">
        <v>167</v>
      </c>
      <c r="FM1" s="64">
        <v>168</v>
      </c>
      <c r="FN1" s="64">
        <v>169</v>
      </c>
      <c r="FO1" s="64">
        <v>170</v>
      </c>
      <c r="FP1" s="64">
        <v>171</v>
      </c>
      <c r="FQ1" s="64">
        <v>172</v>
      </c>
      <c r="FR1" s="64">
        <v>173</v>
      </c>
      <c r="FS1" s="64">
        <v>174</v>
      </c>
      <c r="FT1" s="64">
        <v>175</v>
      </c>
      <c r="FU1" s="64">
        <v>176</v>
      </c>
      <c r="FV1" s="64">
        <v>177</v>
      </c>
      <c r="FW1" s="64">
        <v>178</v>
      </c>
      <c r="FX1" s="64">
        <v>179</v>
      </c>
      <c r="FY1" s="65">
        <v>2010</v>
      </c>
      <c r="FZ1" s="66">
        <v>181</v>
      </c>
      <c r="GA1" s="65">
        <v>182</v>
      </c>
      <c r="GB1" s="66">
        <v>183</v>
      </c>
      <c r="GC1" s="65">
        <v>184</v>
      </c>
      <c r="GD1" s="66">
        <v>185</v>
      </c>
      <c r="GE1" s="65">
        <v>186</v>
      </c>
      <c r="GF1" s="66">
        <v>187</v>
      </c>
      <c r="GG1" s="65">
        <v>188</v>
      </c>
      <c r="GH1" s="66">
        <v>189</v>
      </c>
      <c r="GI1" s="65">
        <v>190</v>
      </c>
      <c r="GJ1" s="66">
        <v>191</v>
      </c>
      <c r="GK1" s="65">
        <v>192</v>
      </c>
      <c r="GL1" s="66">
        <v>193</v>
      </c>
      <c r="GM1" s="65">
        <v>194</v>
      </c>
      <c r="GN1" s="66">
        <v>195</v>
      </c>
      <c r="GO1" s="67">
        <v>196</v>
      </c>
      <c r="GP1" s="68">
        <v>2011</v>
      </c>
      <c r="GQ1" s="66">
        <v>106</v>
      </c>
      <c r="GR1" s="65">
        <v>107</v>
      </c>
      <c r="GS1" s="65">
        <v>103</v>
      </c>
      <c r="GT1" s="66"/>
      <c r="GU1" s="66">
        <v>128</v>
      </c>
      <c r="GV1" s="65">
        <v>129</v>
      </c>
      <c r="GW1" s="66">
        <v>130</v>
      </c>
      <c r="GX1" s="66">
        <v>112</v>
      </c>
      <c r="GY1" s="65" t="s">
        <v>562</v>
      </c>
      <c r="GZ1" s="65">
        <v>113</v>
      </c>
      <c r="HA1" s="65">
        <v>2011</v>
      </c>
      <c r="HB1" s="65"/>
      <c r="HC1" s="66">
        <v>104</v>
      </c>
      <c r="HD1" s="66">
        <v>120</v>
      </c>
      <c r="HE1" s="68">
        <v>2012</v>
      </c>
      <c r="HF1" s="66">
        <v>106</v>
      </c>
      <c r="HG1" s="65">
        <v>107</v>
      </c>
      <c r="HH1" s="65">
        <v>103</v>
      </c>
      <c r="HI1" s="66"/>
      <c r="HJ1" s="66">
        <v>128</v>
      </c>
      <c r="HK1" s="65">
        <v>129</v>
      </c>
      <c r="HL1" s="66">
        <v>130</v>
      </c>
      <c r="HM1" s="66">
        <v>112</v>
      </c>
      <c r="HN1" s="65" t="s">
        <v>562</v>
      </c>
      <c r="HO1" s="65">
        <v>113</v>
      </c>
      <c r="HP1" s="65">
        <v>2012</v>
      </c>
      <c r="HQ1" s="65" t="s">
        <v>562</v>
      </c>
      <c r="HR1" s="66">
        <v>104</v>
      </c>
      <c r="HS1" s="66">
        <v>120</v>
      </c>
      <c r="HT1" s="65">
        <v>121</v>
      </c>
      <c r="HU1" s="67">
        <v>131</v>
      </c>
    </row>
    <row r="2" spans="1:231" x14ac:dyDescent="0.25">
      <c r="A2" s="27" t="s">
        <v>123</v>
      </c>
      <c r="B2" s="27" t="s">
        <v>124</v>
      </c>
      <c r="C2" s="27" t="s">
        <v>125</v>
      </c>
      <c r="D2" s="27" t="s">
        <v>126</v>
      </c>
      <c r="E2" s="27" t="s">
        <v>127</v>
      </c>
      <c r="F2" s="27" t="s">
        <v>128</v>
      </c>
      <c r="G2" s="29" t="s">
        <v>129</v>
      </c>
      <c r="H2" s="27" t="s">
        <v>0</v>
      </c>
      <c r="I2" s="31" t="s">
        <v>126</v>
      </c>
      <c r="J2" s="69" t="s">
        <v>1</v>
      </c>
      <c r="K2" s="36" t="s">
        <v>2</v>
      </c>
      <c r="L2" s="36" t="s">
        <v>3</v>
      </c>
      <c r="M2" s="36" t="s">
        <v>4</v>
      </c>
      <c r="N2" s="36" t="s">
        <v>5</v>
      </c>
      <c r="O2" s="36" t="s">
        <v>6</v>
      </c>
      <c r="P2" s="36" t="s">
        <v>7</v>
      </c>
      <c r="Q2" s="36" t="s">
        <v>8</v>
      </c>
      <c r="R2" s="36" t="s">
        <v>453</v>
      </c>
      <c r="S2" s="36" t="s">
        <v>466</v>
      </c>
      <c r="T2" s="70" t="s">
        <v>479</v>
      </c>
      <c r="U2" s="36" t="s">
        <v>9</v>
      </c>
      <c r="V2" s="36" t="s">
        <v>10</v>
      </c>
      <c r="W2" s="36" t="s">
        <v>11</v>
      </c>
      <c r="X2" s="36" t="s">
        <v>12</v>
      </c>
      <c r="Y2" s="36" t="s">
        <v>13</v>
      </c>
      <c r="Z2" s="36" t="s">
        <v>14</v>
      </c>
      <c r="AA2" s="36" t="s">
        <v>15</v>
      </c>
      <c r="AB2" s="36" t="s">
        <v>16</v>
      </c>
      <c r="AC2" s="36" t="s">
        <v>17</v>
      </c>
      <c r="AD2" s="36" t="s">
        <v>18</v>
      </c>
      <c r="AE2" s="36" t="s">
        <v>19</v>
      </c>
      <c r="AF2" s="36" t="s">
        <v>20</v>
      </c>
      <c r="AG2" s="36" t="s">
        <v>21</v>
      </c>
      <c r="AH2" s="36" t="s">
        <v>22</v>
      </c>
      <c r="AI2" s="36" t="s">
        <v>23</v>
      </c>
      <c r="AJ2" s="36" t="s">
        <v>24</v>
      </c>
      <c r="AK2" s="36" t="s">
        <v>25</v>
      </c>
      <c r="AL2" s="36" t="s">
        <v>26</v>
      </c>
      <c r="AM2" s="36" t="s">
        <v>27</v>
      </c>
      <c r="AN2" s="36" t="s">
        <v>28</v>
      </c>
      <c r="AO2" s="36" t="s">
        <v>29</v>
      </c>
      <c r="AP2" s="36" t="s">
        <v>30</v>
      </c>
      <c r="AQ2" s="36" t="s">
        <v>31</v>
      </c>
      <c r="AR2" s="36" t="s">
        <v>32</v>
      </c>
      <c r="AS2" s="36" t="s">
        <v>33</v>
      </c>
      <c r="AT2" s="36" t="s">
        <v>34</v>
      </c>
      <c r="AU2" s="36" t="s">
        <v>35</v>
      </c>
      <c r="AV2" s="36" t="s">
        <v>36</v>
      </c>
      <c r="AW2" s="36" t="s">
        <v>37</v>
      </c>
      <c r="AX2" s="36" t="s">
        <v>38</v>
      </c>
      <c r="AY2" s="36" t="s">
        <v>39</v>
      </c>
      <c r="AZ2" s="36" t="s">
        <v>40</v>
      </c>
      <c r="BA2" s="36" t="s">
        <v>454</v>
      </c>
      <c r="BB2" s="36" t="s">
        <v>455</v>
      </c>
      <c r="BC2" s="36" t="s">
        <v>456</v>
      </c>
      <c r="BD2" s="36" t="s">
        <v>457</v>
      </c>
      <c r="BE2" s="70" t="s">
        <v>467</v>
      </c>
      <c r="BF2" s="70" t="s">
        <v>468</v>
      </c>
      <c r="BG2" s="70" t="s">
        <v>469</v>
      </c>
      <c r="BH2" s="70" t="s">
        <v>470</v>
      </c>
      <c r="BI2" s="36" t="s">
        <v>480</v>
      </c>
      <c r="BJ2" s="36" t="s">
        <v>481</v>
      </c>
      <c r="BK2" s="36" t="s">
        <v>482</v>
      </c>
      <c r="BL2" s="36" t="s">
        <v>483</v>
      </c>
      <c r="BM2" s="36" t="s">
        <v>41</v>
      </c>
      <c r="BN2" s="36" t="s">
        <v>42</v>
      </c>
      <c r="BO2" s="36" t="s">
        <v>43</v>
      </c>
      <c r="BP2" s="36" t="s">
        <v>44</v>
      </c>
      <c r="BQ2" s="36" t="s">
        <v>45</v>
      </c>
      <c r="BR2" s="36" t="s">
        <v>46</v>
      </c>
      <c r="BS2" s="36" t="s">
        <v>47</v>
      </c>
      <c r="BT2" s="36" t="s">
        <v>48</v>
      </c>
      <c r="BU2" s="36" t="s">
        <v>49</v>
      </c>
      <c r="BV2" s="36" t="s">
        <v>50</v>
      </c>
      <c r="BW2" s="36" t="s">
        <v>51</v>
      </c>
      <c r="BX2" s="36" t="s">
        <v>52</v>
      </c>
      <c r="BY2" s="36" t="s">
        <v>53</v>
      </c>
      <c r="BZ2" s="36" t="s">
        <v>54</v>
      </c>
      <c r="CA2" s="36" t="s">
        <v>55</v>
      </c>
      <c r="CB2" s="36" t="s">
        <v>56</v>
      </c>
      <c r="CC2" s="36" t="s">
        <v>57</v>
      </c>
      <c r="CD2" s="36" t="s">
        <v>58</v>
      </c>
      <c r="CE2" s="36" t="s">
        <v>59</v>
      </c>
      <c r="CF2" s="36" t="s">
        <v>60</v>
      </c>
      <c r="CG2" s="36" t="s">
        <v>61</v>
      </c>
      <c r="CH2" s="36" t="s">
        <v>62</v>
      </c>
      <c r="CI2" s="36" t="s">
        <v>63</v>
      </c>
      <c r="CJ2" s="70" t="s">
        <v>64</v>
      </c>
      <c r="CK2" s="70" t="s">
        <v>458</v>
      </c>
      <c r="CL2" s="70" t="s">
        <v>459</v>
      </c>
      <c r="CM2" s="36" t="s">
        <v>460</v>
      </c>
      <c r="CN2" s="36" t="s">
        <v>471</v>
      </c>
      <c r="CO2" s="36" t="s">
        <v>472</v>
      </c>
      <c r="CP2" s="36" t="s">
        <v>473</v>
      </c>
      <c r="CQ2" s="36" t="s">
        <v>484</v>
      </c>
      <c r="CR2" s="36" t="s">
        <v>485</v>
      </c>
      <c r="CS2" s="36" t="s">
        <v>486</v>
      </c>
      <c r="CT2" s="36" t="s">
        <v>65</v>
      </c>
      <c r="CU2" s="36" t="s">
        <v>66</v>
      </c>
      <c r="CV2" s="36" t="s">
        <v>67</v>
      </c>
      <c r="CW2" s="36" t="s">
        <v>68</v>
      </c>
      <c r="CX2" s="36" t="s">
        <v>69</v>
      </c>
      <c r="CY2" s="36" t="s">
        <v>70</v>
      </c>
      <c r="CZ2" s="36" t="s">
        <v>71</v>
      </c>
      <c r="DA2" s="36" t="s">
        <v>72</v>
      </c>
      <c r="DB2" s="36" t="s">
        <v>73</v>
      </c>
      <c r="DC2" s="36" t="s">
        <v>74</v>
      </c>
      <c r="DD2" s="36" t="s">
        <v>75</v>
      </c>
      <c r="DE2" s="36" t="s">
        <v>76</v>
      </c>
      <c r="DF2" s="36" t="s">
        <v>77</v>
      </c>
      <c r="DG2" s="36" t="s">
        <v>78</v>
      </c>
      <c r="DH2" s="36" t="s">
        <v>79</v>
      </c>
      <c r="DI2" s="36" t="s">
        <v>80</v>
      </c>
      <c r="DJ2" s="36" t="s">
        <v>81</v>
      </c>
      <c r="DK2" s="36" t="s">
        <v>82</v>
      </c>
      <c r="DL2" s="36" t="s">
        <v>83</v>
      </c>
      <c r="DM2" s="36" t="s">
        <v>84</v>
      </c>
      <c r="DN2" s="36" t="s">
        <v>85</v>
      </c>
      <c r="DO2" s="36" t="s">
        <v>86</v>
      </c>
      <c r="DP2" s="36" t="s">
        <v>87</v>
      </c>
      <c r="DQ2" s="36" t="s">
        <v>88</v>
      </c>
      <c r="DR2" s="36" t="s">
        <v>89</v>
      </c>
      <c r="DS2" s="36" t="s">
        <v>90</v>
      </c>
      <c r="DT2" s="36" t="s">
        <v>91</v>
      </c>
      <c r="DU2" s="36" t="s">
        <v>92</v>
      </c>
      <c r="DV2" s="36" t="s">
        <v>93</v>
      </c>
      <c r="DW2" s="71" t="s">
        <v>94</v>
      </c>
      <c r="DX2" s="70" t="s">
        <v>95</v>
      </c>
      <c r="DY2" s="71" t="s">
        <v>96</v>
      </c>
      <c r="DZ2" s="70" t="s">
        <v>461</v>
      </c>
      <c r="EA2" s="37" t="s">
        <v>462</v>
      </c>
      <c r="EB2" s="37" t="s">
        <v>463</v>
      </c>
      <c r="EC2" s="37" t="s">
        <v>464</v>
      </c>
      <c r="ED2" s="37" t="s">
        <v>474</v>
      </c>
      <c r="EE2" s="72" t="s">
        <v>475</v>
      </c>
      <c r="EF2" s="72" t="s">
        <v>476</v>
      </c>
      <c r="EG2" s="73" t="s">
        <v>477</v>
      </c>
      <c r="EH2" s="73" t="s">
        <v>487</v>
      </c>
      <c r="EI2" s="73" t="s">
        <v>489</v>
      </c>
      <c r="EJ2" s="73" t="s">
        <v>488</v>
      </c>
      <c r="EK2" s="73" t="s">
        <v>490</v>
      </c>
      <c r="EL2" s="73" t="s">
        <v>491</v>
      </c>
      <c r="EM2" s="73" t="s">
        <v>492</v>
      </c>
      <c r="EN2" s="73" t="s">
        <v>493</v>
      </c>
      <c r="EO2" s="73" t="s">
        <v>494</v>
      </c>
      <c r="EP2" s="73" t="s">
        <v>495</v>
      </c>
      <c r="EQ2" s="73" t="s">
        <v>496</v>
      </c>
      <c r="ER2" s="73" t="s">
        <v>497</v>
      </c>
      <c r="ES2" s="73" t="s">
        <v>498</v>
      </c>
      <c r="ET2" s="73" t="s">
        <v>499</v>
      </c>
      <c r="EU2" s="73" t="s">
        <v>500</v>
      </c>
      <c r="EV2" s="73" t="s">
        <v>501</v>
      </c>
      <c r="EW2" s="73" t="s">
        <v>502</v>
      </c>
      <c r="EX2" s="73" t="s">
        <v>503</v>
      </c>
      <c r="EY2" s="73" t="s">
        <v>504</v>
      </c>
      <c r="EZ2" s="73" t="s">
        <v>505</v>
      </c>
      <c r="FA2" s="73" t="s">
        <v>506</v>
      </c>
      <c r="FB2" s="73" t="s">
        <v>507</v>
      </c>
      <c r="FC2" s="73" t="s">
        <v>508</v>
      </c>
      <c r="FD2" s="73" t="s">
        <v>509</v>
      </c>
      <c r="FE2" s="73" t="s">
        <v>510</v>
      </c>
      <c r="FF2" s="73" t="s">
        <v>511</v>
      </c>
      <c r="FG2" s="73" t="s">
        <v>512</v>
      </c>
      <c r="FH2" s="73" t="s">
        <v>513</v>
      </c>
      <c r="FI2" s="73" t="s">
        <v>514</v>
      </c>
      <c r="FJ2" s="63" t="s">
        <v>527</v>
      </c>
      <c r="FK2" s="64" t="s">
        <v>528</v>
      </c>
      <c r="FL2" s="64" t="s">
        <v>529</v>
      </c>
      <c r="FM2" s="64" t="s">
        <v>530</v>
      </c>
      <c r="FN2" s="64" t="s">
        <v>531</v>
      </c>
      <c r="FO2" s="64" t="s">
        <v>532</v>
      </c>
      <c r="FP2" s="64" t="s">
        <v>533</v>
      </c>
      <c r="FQ2" s="64" t="s">
        <v>534</v>
      </c>
      <c r="FR2" s="64" t="s">
        <v>535</v>
      </c>
      <c r="FS2" s="64" t="s">
        <v>536</v>
      </c>
      <c r="FT2" s="64" t="s">
        <v>537</v>
      </c>
      <c r="FU2" s="74" t="s">
        <v>538</v>
      </c>
      <c r="FV2" s="64" t="s">
        <v>541</v>
      </c>
      <c r="FW2" s="64" t="s">
        <v>539</v>
      </c>
      <c r="FX2" s="64" t="s">
        <v>540</v>
      </c>
      <c r="FY2" s="65" t="s">
        <v>543</v>
      </c>
      <c r="FZ2" s="65" t="s">
        <v>544</v>
      </c>
      <c r="GA2" s="65" t="s">
        <v>545</v>
      </c>
      <c r="GB2" s="65" t="s">
        <v>546</v>
      </c>
      <c r="GC2" s="65" t="s">
        <v>547</v>
      </c>
      <c r="GD2" s="65" t="s">
        <v>548</v>
      </c>
      <c r="GE2" s="65" t="s">
        <v>549</v>
      </c>
      <c r="GF2" s="65" t="s">
        <v>550</v>
      </c>
      <c r="GG2" s="65" t="s">
        <v>551</v>
      </c>
      <c r="GH2" s="65" t="s">
        <v>552</v>
      </c>
      <c r="GI2" s="65" t="s">
        <v>553</v>
      </c>
      <c r="GJ2" s="65" t="s">
        <v>554</v>
      </c>
      <c r="GK2" s="65" t="s">
        <v>555</v>
      </c>
      <c r="GL2" s="65" t="s">
        <v>556</v>
      </c>
      <c r="GM2" s="65" t="s">
        <v>557</v>
      </c>
      <c r="GN2" s="65" t="s">
        <v>558</v>
      </c>
      <c r="GO2" s="67" t="s">
        <v>605</v>
      </c>
      <c r="GP2" s="68" t="s">
        <v>564</v>
      </c>
      <c r="GQ2" s="65" t="s">
        <v>567</v>
      </c>
      <c r="GR2" s="65" t="s">
        <v>568</v>
      </c>
      <c r="GS2" s="65" t="s">
        <v>565</v>
      </c>
      <c r="GT2" s="65" t="s">
        <v>571</v>
      </c>
      <c r="GU2" s="65" t="s">
        <v>573</v>
      </c>
      <c r="GV2" s="65" t="s">
        <v>574</v>
      </c>
      <c r="GW2" s="65" t="s">
        <v>575</v>
      </c>
      <c r="GX2" s="65" t="s">
        <v>569</v>
      </c>
      <c r="GY2" s="65" t="s">
        <v>592</v>
      </c>
      <c r="GZ2" s="65" t="s">
        <v>570</v>
      </c>
      <c r="HA2" s="65" t="s">
        <v>576</v>
      </c>
      <c r="HB2" s="65" t="s">
        <v>593</v>
      </c>
      <c r="HC2" s="65" t="s">
        <v>566</v>
      </c>
      <c r="HD2" s="65" t="s">
        <v>572</v>
      </c>
      <c r="HE2" s="68" t="s">
        <v>577</v>
      </c>
      <c r="HF2" s="65" t="s">
        <v>580</v>
      </c>
      <c r="HG2" s="65" t="s">
        <v>581</v>
      </c>
      <c r="HH2" s="65" t="s">
        <v>578</v>
      </c>
      <c r="HI2" s="65" t="s">
        <v>584</v>
      </c>
      <c r="HJ2" s="65" t="s">
        <v>587</v>
      </c>
      <c r="HK2" s="65" t="s">
        <v>588</v>
      </c>
      <c r="HL2" s="65" t="s">
        <v>589</v>
      </c>
      <c r="HM2" s="65" t="s">
        <v>582</v>
      </c>
      <c r="HN2" s="65" t="s">
        <v>594</v>
      </c>
      <c r="HO2" s="65" t="s">
        <v>583</v>
      </c>
      <c r="HP2" s="65" t="s">
        <v>590</v>
      </c>
      <c r="HQ2" s="65" t="s">
        <v>595</v>
      </c>
      <c r="HR2" s="65" t="s">
        <v>579</v>
      </c>
      <c r="HS2" s="65" t="s">
        <v>585</v>
      </c>
      <c r="HT2" s="65" t="s">
        <v>586</v>
      </c>
      <c r="HU2" s="67" t="s">
        <v>591</v>
      </c>
      <c r="HV2" s="179" t="s">
        <v>129</v>
      </c>
    </row>
    <row r="3" spans="1:231" ht="15" x14ac:dyDescent="0.25">
      <c r="A3" s="32">
        <v>20</v>
      </c>
      <c r="B3" s="32" t="s">
        <v>478</v>
      </c>
      <c r="C3" s="32">
        <v>6</v>
      </c>
      <c r="D3" s="32" t="s">
        <v>114</v>
      </c>
      <c r="E3" s="32">
        <v>4</v>
      </c>
      <c r="F3" s="32" t="s">
        <v>100</v>
      </c>
      <c r="G3" s="43" t="s">
        <v>141</v>
      </c>
      <c r="H3" s="32" t="s">
        <v>97</v>
      </c>
      <c r="I3" s="33" t="s">
        <v>114</v>
      </c>
      <c r="J3" s="71">
        <v>15857</v>
      </c>
      <c r="K3" s="71">
        <v>15954</v>
      </c>
      <c r="L3" s="71">
        <v>15945</v>
      </c>
      <c r="M3" s="71">
        <v>16022</v>
      </c>
      <c r="N3" s="71">
        <v>16117</v>
      </c>
      <c r="O3" s="71">
        <v>16269</v>
      </c>
      <c r="P3" s="71">
        <v>16324</v>
      </c>
      <c r="Q3" s="71">
        <v>16422</v>
      </c>
      <c r="R3" s="71">
        <v>16586</v>
      </c>
      <c r="S3" s="71">
        <v>16738</v>
      </c>
      <c r="T3" s="71">
        <v>16837</v>
      </c>
      <c r="U3" s="71">
        <v>28859</v>
      </c>
      <c r="V3" s="71">
        <v>11924</v>
      </c>
      <c r="W3" s="71">
        <v>9330</v>
      </c>
      <c r="X3" s="71">
        <v>783.75573731064139</v>
      </c>
      <c r="Y3" s="71">
        <v>30962</v>
      </c>
      <c r="Z3" s="71">
        <v>13003</v>
      </c>
      <c r="AA3" s="71">
        <v>7217</v>
      </c>
      <c r="AB3" s="71">
        <v>1080.4392395887469</v>
      </c>
      <c r="AC3" s="71">
        <v>30309</v>
      </c>
      <c r="AD3" s="71">
        <v>14529</v>
      </c>
      <c r="AE3" s="71">
        <v>6886</v>
      </c>
      <c r="AF3" s="71">
        <v>578.56646702759792</v>
      </c>
      <c r="AG3" s="71">
        <v>35575</v>
      </c>
      <c r="AH3" s="71">
        <v>16428</v>
      </c>
      <c r="AI3" s="71">
        <v>7664</v>
      </c>
      <c r="AJ3" s="71">
        <v>535.84673370637415</v>
      </c>
      <c r="AK3" s="71">
        <v>38383</v>
      </c>
      <c r="AL3" s="71">
        <v>17041</v>
      </c>
      <c r="AM3" s="71">
        <v>8540</v>
      </c>
      <c r="AN3" s="71">
        <v>303</v>
      </c>
      <c r="AO3" s="71">
        <v>36280</v>
      </c>
      <c r="AP3" s="71">
        <v>15696</v>
      </c>
      <c r="AQ3" s="71">
        <v>9157</v>
      </c>
      <c r="AR3" s="71">
        <v>1557</v>
      </c>
      <c r="AS3" s="71">
        <v>37069</v>
      </c>
      <c r="AT3" s="71">
        <v>18754</v>
      </c>
      <c r="AU3" s="71">
        <v>9563</v>
      </c>
      <c r="AV3" s="71">
        <v>281</v>
      </c>
      <c r="AW3" s="71">
        <v>38817</v>
      </c>
      <c r="AX3" s="71">
        <v>19209</v>
      </c>
      <c r="AY3" s="71">
        <v>10028</v>
      </c>
      <c r="AZ3" s="71">
        <v>438</v>
      </c>
      <c r="BA3" s="71">
        <v>42196</v>
      </c>
      <c r="BB3" s="71">
        <v>20583</v>
      </c>
      <c r="BC3" s="71">
        <v>10600</v>
      </c>
      <c r="BD3" s="71">
        <v>221</v>
      </c>
      <c r="BE3" s="71">
        <v>44686</v>
      </c>
      <c r="BF3" s="71">
        <v>21596</v>
      </c>
      <c r="BG3" s="71">
        <v>12849</v>
      </c>
      <c r="BH3" s="71">
        <v>252</v>
      </c>
      <c r="BI3" s="71">
        <v>48994</v>
      </c>
      <c r="BJ3" s="71">
        <v>24498</v>
      </c>
      <c r="BK3" s="71">
        <v>17549</v>
      </c>
      <c r="BL3" s="71">
        <v>185</v>
      </c>
      <c r="BM3" s="71">
        <v>25566.246701414289</v>
      </c>
      <c r="BN3" s="71">
        <v>2335.1211709916192</v>
      </c>
      <c r="BO3" s="71">
        <v>953.96191888969054</v>
      </c>
      <c r="BP3" s="71">
        <v>26982.220854293755</v>
      </c>
      <c r="BQ3" s="71">
        <v>2916.5468327690623</v>
      </c>
      <c r="BR3" s="71">
        <v>1059.5839367075193</v>
      </c>
      <c r="BS3" s="71">
        <v>26016.485780551753</v>
      </c>
      <c r="BT3" s="71">
        <v>3170.174225873021</v>
      </c>
      <c r="BU3" s="71">
        <v>1117.9451471896637</v>
      </c>
      <c r="BV3" s="71">
        <v>30851</v>
      </c>
      <c r="BW3" s="71">
        <v>3511</v>
      </c>
      <c r="BX3" s="71">
        <v>1210</v>
      </c>
      <c r="BY3" s="71">
        <v>34186</v>
      </c>
      <c r="BZ3" s="71">
        <v>2968</v>
      </c>
      <c r="CA3" s="71">
        <v>1226</v>
      </c>
      <c r="CB3" s="71">
        <v>33412</v>
      </c>
      <c r="CC3" s="71">
        <v>1627</v>
      </c>
      <c r="CD3" s="71">
        <v>1241</v>
      </c>
      <c r="CE3" s="71">
        <v>33883</v>
      </c>
      <c r="CF3" s="71">
        <v>1901</v>
      </c>
      <c r="CG3" s="71">
        <v>1285</v>
      </c>
      <c r="CH3" s="71">
        <v>35295</v>
      </c>
      <c r="CI3" s="71">
        <v>2000</v>
      </c>
      <c r="CJ3" s="71">
        <v>1522</v>
      </c>
      <c r="CK3" s="71">
        <v>38443</v>
      </c>
      <c r="CL3" s="71">
        <v>2203</v>
      </c>
      <c r="CM3" s="71">
        <v>1550</v>
      </c>
      <c r="CN3" s="71">
        <v>40679</v>
      </c>
      <c r="CO3" s="71">
        <v>2504</v>
      </c>
      <c r="CP3" s="71">
        <v>1503</v>
      </c>
      <c r="CQ3" s="71">
        <v>44759</v>
      </c>
      <c r="CR3" s="71">
        <v>2553</v>
      </c>
      <c r="CS3" s="71">
        <v>1682</v>
      </c>
      <c r="CT3" s="71">
        <v>-1320.1070347964001</v>
      </c>
      <c r="CU3" s="71">
        <v>-2388.4367435000004</v>
      </c>
      <c r="CV3" s="71">
        <v>1835.0984656215464</v>
      </c>
      <c r="CW3" s="71">
        <v>12093</v>
      </c>
      <c r="CX3" s="71">
        <v>2563.1839992734285</v>
      </c>
      <c r="CY3" s="71">
        <v>-2694.0342058800002</v>
      </c>
      <c r="CZ3" s="71">
        <v>1934.4975301602999</v>
      </c>
      <c r="DA3" s="71">
        <v>12973</v>
      </c>
      <c r="DB3" s="71">
        <v>488.08136259130487</v>
      </c>
      <c r="DC3" s="71">
        <v>-5628.7453349999996</v>
      </c>
      <c r="DD3" s="71">
        <v>2183.4156613233363</v>
      </c>
      <c r="DE3" s="71">
        <v>15453</v>
      </c>
      <c r="DF3" s="71">
        <v>3039.8285828653502</v>
      </c>
      <c r="DG3" s="71">
        <v>-4236</v>
      </c>
      <c r="DH3" s="71">
        <v>2328.8982177125431</v>
      </c>
      <c r="DI3" s="71">
        <v>17875</v>
      </c>
      <c r="DJ3" s="71">
        <v>5641</v>
      </c>
      <c r="DK3" s="71">
        <v>-3719</v>
      </c>
      <c r="DL3" s="71">
        <v>2708</v>
      </c>
      <c r="DM3" s="71">
        <v>17931</v>
      </c>
      <c r="DN3" s="71">
        <v>-53</v>
      </c>
      <c r="DO3" s="71">
        <v>-2752</v>
      </c>
      <c r="DP3" s="71">
        <v>2402</v>
      </c>
      <c r="DQ3" s="71">
        <v>19330</v>
      </c>
      <c r="DR3" s="71">
        <v>1043</v>
      </c>
      <c r="DS3" s="71">
        <v>-5289</v>
      </c>
      <c r="DT3" s="71">
        <v>2828</v>
      </c>
      <c r="DU3" s="71">
        <v>23613</v>
      </c>
      <c r="DV3" s="71">
        <v>1195</v>
      </c>
      <c r="DW3" s="71">
        <v>-2786</v>
      </c>
      <c r="DX3" s="70">
        <v>2862</v>
      </c>
      <c r="DY3" s="71">
        <v>24975</v>
      </c>
      <c r="DZ3" s="70">
        <v>1545</v>
      </c>
      <c r="EA3" s="35">
        <v>-3933</v>
      </c>
      <c r="EB3" s="35">
        <v>2758</v>
      </c>
      <c r="EC3" s="35">
        <v>27128</v>
      </c>
      <c r="ED3" s="35">
        <v>4128</v>
      </c>
      <c r="EE3" s="35">
        <v>-2509</v>
      </c>
      <c r="EF3" s="35">
        <v>2930</v>
      </c>
      <c r="EG3" s="73">
        <v>29067</v>
      </c>
      <c r="EH3" s="73">
        <v>4617</v>
      </c>
      <c r="EI3" s="73">
        <v>-5079</v>
      </c>
      <c r="EJ3" s="73">
        <v>2974</v>
      </c>
      <c r="EK3" s="73">
        <v>29886</v>
      </c>
      <c r="EL3" s="73">
        <v>48612.701888582233</v>
      </c>
      <c r="EM3" s="73">
        <v>-2644.9233315337224</v>
      </c>
      <c r="EN3" s="73">
        <v>46281.617227825685</v>
      </c>
      <c r="EO3" s="73">
        <v>1039.7377613850613</v>
      </c>
      <c r="EP3" s="73">
        <v>48585.287256569005</v>
      </c>
      <c r="EQ3" s="73">
        <v>-1728.467320244949</v>
      </c>
      <c r="ER3" s="73">
        <v>53518.070951758658</v>
      </c>
      <c r="ES3" s="73">
        <v>619.26794523128353</v>
      </c>
      <c r="ET3" s="73">
        <v>57842</v>
      </c>
      <c r="EU3" s="73">
        <v>3276</v>
      </c>
      <c r="EV3" s="73">
        <v>60868</v>
      </c>
      <c r="EW3" s="73">
        <v>-1141</v>
      </c>
      <c r="EX3" s="73">
        <v>64042</v>
      </c>
      <c r="EY3" s="73">
        <v>-1734</v>
      </c>
      <c r="EZ3" s="73">
        <v>66696</v>
      </c>
      <c r="FA3" s="73">
        <v>-1611</v>
      </c>
      <c r="FB3" s="73">
        <v>71298</v>
      </c>
      <c r="FC3" s="73">
        <v>-1217</v>
      </c>
      <c r="FD3" s="73">
        <v>74236</v>
      </c>
      <c r="FE3" s="73">
        <v>1251</v>
      </c>
      <c r="FF3" s="73">
        <v>85628</v>
      </c>
      <c r="FG3" s="73">
        <v>1691</v>
      </c>
      <c r="FH3" s="73">
        <v>-2726</v>
      </c>
      <c r="FI3" s="73">
        <v>-1034</v>
      </c>
      <c r="FJ3" s="75">
        <v>16858</v>
      </c>
      <c r="FK3" s="76">
        <v>49506</v>
      </c>
      <c r="FL3" s="76">
        <v>26331</v>
      </c>
      <c r="FM3" s="76">
        <v>19830</v>
      </c>
      <c r="FN3" s="76">
        <v>153</v>
      </c>
      <c r="FO3" s="76">
        <v>45449</v>
      </c>
      <c r="FP3" s="76">
        <v>2344</v>
      </c>
      <c r="FQ3" s="76">
        <v>1713</v>
      </c>
      <c r="FR3" s="76">
        <v>5023</v>
      </c>
      <c r="FS3" s="76">
        <v>-4633</v>
      </c>
      <c r="FT3" s="76">
        <v>3133</v>
      </c>
      <c r="FU3" s="76">
        <v>30504</v>
      </c>
      <c r="FV3" s="76">
        <v>4633</v>
      </c>
      <c r="FW3" s="76">
        <v>90021</v>
      </c>
      <c r="FX3" s="76">
        <v>1934</v>
      </c>
      <c r="FY3" s="73">
        <v>17012</v>
      </c>
      <c r="FZ3" s="73">
        <v>49783</v>
      </c>
      <c r="GA3" s="73">
        <v>27814</v>
      </c>
      <c r="GB3" s="73">
        <v>28386</v>
      </c>
      <c r="GC3" s="73">
        <v>176</v>
      </c>
      <c r="GD3" s="73">
        <v>44557</v>
      </c>
      <c r="GE3" s="73">
        <v>3015</v>
      </c>
      <c r="GF3" s="73">
        <v>2211</v>
      </c>
      <c r="GG3" s="73">
        <v>5287</v>
      </c>
      <c r="GH3" s="73">
        <v>-5653</v>
      </c>
      <c r="GI3" s="73">
        <v>3083</v>
      </c>
      <c r="GJ3" s="73">
        <v>31702</v>
      </c>
      <c r="GK3" s="73">
        <v>5653</v>
      </c>
      <c r="GL3" s="73">
        <v>100109</v>
      </c>
      <c r="GM3" s="73">
        <v>2245</v>
      </c>
      <c r="GN3" s="73">
        <v>3144</v>
      </c>
      <c r="GO3" s="77">
        <v>19.75</v>
      </c>
      <c r="GP3" s="78">
        <v>17091</v>
      </c>
      <c r="GQ3" s="65">
        <v>50880</v>
      </c>
      <c r="GR3" s="65">
        <v>28848</v>
      </c>
      <c r="GS3" s="65">
        <v>25133</v>
      </c>
      <c r="GT3" s="65">
        <v>252</v>
      </c>
      <c r="GU3" s="65">
        <v>45886</v>
      </c>
      <c r="GV3" s="65">
        <v>2841</v>
      </c>
      <c r="GW3" s="65">
        <v>2153</v>
      </c>
      <c r="GX3" s="65">
        <v>3489</v>
      </c>
      <c r="GY3" s="65">
        <v>-5882</v>
      </c>
      <c r="GZ3" s="65">
        <v>3237</v>
      </c>
      <c r="HA3" s="65">
        <v>34031</v>
      </c>
      <c r="HB3" s="65">
        <v>5882</v>
      </c>
      <c r="HC3" s="65">
        <v>100790</v>
      </c>
      <c r="HD3" s="65">
        <v>290</v>
      </c>
      <c r="HE3" s="78">
        <v>17134</v>
      </c>
      <c r="HF3" s="65">
        <v>51037</v>
      </c>
      <c r="HG3" s="65">
        <v>29328</v>
      </c>
      <c r="HH3" s="65">
        <v>23310</v>
      </c>
      <c r="HI3" s="65">
        <v>2391</v>
      </c>
      <c r="HJ3" s="65">
        <v>47523</v>
      </c>
      <c r="HK3" s="65">
        <v>1287</v>
      </c>
      <c r="HL3" s="65">
        <v>2227</v>
      </c>
      <c r="HM3" s="65">
        <v>-3338</v>
      </c>
      <c r="HN3" s="65">
        <v>-5029</v>
      </c>
      <c r="HO3" s="65">
        <v>2541</v>
      </c>
      <c r="HP3" s="65">
        <v>39203</v>
      </c>
      <c r="HQ3" s="65">
        <v>5029</v>
      </c>
      <c r="HR3" s="65">
        <v>106755</v>
      </c>
      <c r="HS3" s="65">
        <v>-3643</v>
      </c>
      <c r="HT3" s="65">
        <v>-209</v>
      </c>
      <c r="HU3" s="77">
        <v>19.75</v>
      </c>
      <c r="HV3" s="180">
        <v>230</v>
      </c>
      <c r="HW3" s="30" t="s">
        <v>756</v>
      </c>
    </row>
    <row r="4" spans="1:231" ht="15" x14ac:dyDescent="0.25">
      <c r="A4" s="27">
        <v>5</v>
      </c>
      <c r="B4" s="27" t="s">
        <v>131</v>
      </c>
      <c r="C4" s="27">
        <v>14</v>
      </c>
      <c r="D4" s="27" t="s">
        <v>106</v>
      </c>
      <c r="E4" s="27">
        <v>3</v>
      </c>
      <c r="F4" s="27" t="s">
        <v>743</v>
      </c>
      <c r="G4" s="29" t="s">
        <v>130</v>
      </c>
      <c r="H4" s="27" t="s">
        <v>98</v>
      </c>
      <c r="I4" s="31" t="s">
        <v>106</v>
      </c>
      <c r="J4" s="69">
        <v>11720</v>
      </c>
      <c r="K4" s="69">
        <v>11624</v>
      </c>
      <c r="L4" s="36">
        <v>11503</v>
      </c>
      <c r="M4" s="36">
        <v>11341</v>
      </c>
      <c r="N4" s="36">
        <v>11185</v>
      </c>
      <c r="O4" s="36">
        <v>11075</v>
      </c>
      <c r="P4" s="36">
        <v>11027</v>
      </c>
      <c r="Q4" s="36">
        <v>10910</v>
      </c>
      <c r="R4" s="69">
        <v>10768</v>
      </c>
      <c r="S4" s="69">
        <v>10698</v>
      </c>
      <c r="T4" s="71">
        <v>10634</v>
      </c>
      <c r="U4" s="36">
        <v>17447</v>
      </c>
      <c r="V4" s="36">
        <v>17643</v>
      </c>
      <c r="W4" s="36">
        <v>6639</v>
      </c>
      <c r="X4" s="36">
        <v>489.93142978238166</v>
      </c>
      <c r="Y4" s="36">
        <v>18669</v>
      </c>
      <c r="Z4" s="36">
        <v>17773</v>
      </c>
      <c r="AA4" s="36">
        <v>6912</v>
      </c>
      <c r="AB4" s="36">
        <v>811.67493310325222</v>
      </c>
      <c r="AC4" s="36">
        <v>18127</v>
      </c>
      <c r="AD4" s="36">
        <v>19359</v>
      </c>
      <c r="AE4" s="36">
        <v>7335</v>
      </c>
      <c r="AF4" s="36">
        <v>475.29908018023013</v>
      </c>
      <c r="AG4" s="36">
        <v>19824</v>
      </c>
      <c r="AH4" s="36">
        <v>20512</v>
      </c>
      <c r="AI4" s="36">
        <v>7272</v>
      </c>
      <c r="AJ4" s="36">
        <v>564.10230535190794</v>
      </c>
      <c r="AK4" s="36">
        <v>20090</v>
      </c>
      <c r="AL4" s="36">
        <v>22458</v>
      </c>
      <c r="AM4" s="36">
        <v>7895</v>
      </c>
      <c r="AN4" s="36">
        <v>481</v>
      </c>
      <c r="AO4" s="36">
        <v>19020</v>
      </c>
      <c r="AP4" s="36">
        <v>22824</v>
      </c>
      <c r="AQ4" s="36">
        <v>8075</v>
      </c>
      <c r="AR4" s="36">
        <v>416</v>
      </c>
      <c r="AS4" s="36">
        <v>19812</v>
      </c>
      <c r="AT4" s="36">
        <v>22506</v>
      </c>
      <c r="AU4" s="36">
        <v>8220</v>
      </c>
      <c r="AV4" s="36">
        <v>330</v>
      </c>
      <c r="AW4" s="36">
        <v>19600</v>
      </c>
      <c r="AX4" s="69">
        <v>22880</v>
      </c>
      <c r="AY4" s="36">
        <v>15157</v>
      </c>
      <c r="AZ4" s="36">
        <v>191</v>
      </c>
      <c r="BA4" s="36">
        <v>21240</v>
      </c>
      <c r="BB4" s="36">
        <v>24136</v>
      </c>
      <c r="BC4" s="36">
        <v>15348</v>
      </c>
      <c r="BD4" s="36">
        <v>245</v>
      </c>
      <c r="BE4" s="70">
        <v>23115</v>
      </c>
      <c r="BF4" s="70">
        <v>25310</v>
      </c>
      <c r="BG4" s="70">
        <v>17133</v>
      </c>
      <c r="BH4" s="70">
        <v>378</v>
      </c>
      <c r="BI4" s="36">
        <v>25408</v>
      </c>
      <c r="BJ4" s="36">
        <v>27033</v>
      </c>
      <c r="BK4" s="36">
        <v>18018</v>
      </c>
      <c r="BL4" s="36">
        <v>171</v>
      </c>
      <c r="BM4" s="36">
        <v>14100.539378680161</v>
      </c>
      <c r="BN4" s="36">
        <v>2881.7319319915305</v>
      </c>
      <c r="BO4" s="36">
        <v>437.1204208734672</v>
      </c>
      <c r="BP4" s="36">
        <v>15538.209774073159</v>
      </c>
      <c r="BQ4" s="36">
        <v>2482.2856066454415</v>
      </c>
      <c r="BR4" s="36">
        <v>620.61344864297575</v>
      </c>
      <c r="BS4" s="36">
        <v>14595.516446256388</v>
      </c>
      <c r="BT4" s="36">
        <v>2822.1934060241551</v>
      </c>
      <c r="BU4" s="36">
        <v>681.49747802204274</v>
      </c>
      <c r="BV4" s="36">
        <v>16799</v>
      </c>
      <c r="BW4" s="36">
        <v>2202</v>
      </c>
      <c r="BX4" s="36">
        <v>796</v>
      </c>
      <c r="BY4" s="36">
        <v>17721</v>
      </c>
      <c r="BZ4" s="36">
        <v>1510</v>
      </c>
      <c r="CA4" s="36">
        <v>833</v>
      </c>
      <c r="CB4" s="36">
        <v>17274</v>
      </c>
      <c r="CC4" s="36">
        <v>915</v>
      </c>
      <c r="CD4" s="36">
        <v>807</v>
      </c>
      <c r="CE4" s="36">
        <v>17919</v>
      </c>
      <c r="CF4" s="36">
        <v>1014</v>
      </c>
      <c r="CG4" s="36">
        <v>854</v>
      </c>
      <c r="CH4" s="36">
        <v>17420</v>
      </c>
      <c r="CI4" s="36">
        <v>1255</v>
      </c>
      <c r="CJ4" s="70">
        <v>900</v>
      </c>
      <c r="CK4" s="70">
        <v>18662</v>
      </c>
      <c r="CL4" s="70">
        <v>1624</v>
      </c>
      <c r="CM4" s="36">
        <v>930</v>
      </c>
      <c r="CN4" s="36">
        <v>19952</v>
      </c>
      <c r="CO4" s="36">
        <v>2184</v>
      </c>
      <c r="CP4" s="36">
        <v>979</v>
      </c>
      <c r="CQ4" s="36">
        <v>21715</v>
      </c>
      <c r="CR4" s="36">
        <v>2423</v>
      </c>
      <c r="CS4" s="36">
        <v>1270</v>
      </c>
      <c r="CT4" s="36">
        <v>597.73989064421016</v>
      </c>
      <c r="CU4" s="36">
        <v>-2253.7182143999999</v>
      </c>
      <c r="CV4" s="36">
        <v>1532.69657384375</v>
      </c>
      <c r="CW4" s="36">
        <v>7310</v>
      </c>
      <c r="CX4" s="36">
        <v>-398.94176156670414</v>
      </c>
      <c r="CY4" s="36">
        <v>-2977.2626745000002</v>
      </c>
      <c r="CZ4" s="36">
        <v>1524.7917413000591</v>
      </c>
      <c r="DA4" s="36">
        <v>9959</v>
      </c>
      <c r="DB4" s="36">
        <v>-373.37719674455451</v>
      </c>
      <c r="DC4" s="36">
        <v>-2261.1184830000002</v>
      </c>
      <c r="DD4" s="36">
        <v>1527.9873119028277</v>
      </c>
      <c r="DE4" s="36">
        <v>11798</v>
      </c>
      <c r="DF4" s="36">
        <v>285.0785353522611</v>
      </c>
      <c r="DG4" s="36">
        <v>-657</v>
      </c>
      <c r="DH4" s="36">
        <v>1547.6652992988245</v>
      </c>
      <c r="DI4" s="36">
        <v>12907</v>
      </c>
      <c r="DJ4" s="36">
        <v>3726</v>
      </c>
      <c r="DK4" s="36">
        <v>-1797</v>
      </c>
      <c r="DL4" s="36">
        <v>1594</v>
      </c>
      <c r="DM4" s="36">
        <v>11602</v>
      </c>
      <c r="DN4" s="36">
        <v>2014</v>
      </c>
      <c r="DO4" s="69">
        <v>-4496</v>
      </c>
      <c r="DP4" s="36">
        <v>1641</v>
      </c>
      <c r="DQ4" s="36">
        <v>12989</v>
      </c>
      <c r="DR4" s="36">
        <v>1677</v>
      </c>
      <c r="DS4" s="36">
        <v>-3869</v>
      </c>
      <c r="DT4" s="36">
        <v>1702</v>
      </c>
      <c r="DU4" s="36">
        <v>15217</v>
      </c>
      <c r="DV4" s="36">
        <v>-174</v>
      </c>
      <c r="DW4" s="71">
        <v>-1965</v>
      </c>
      <c r="DX4" s="39">
        <v>1781</v>
      </c>
      <c r="DY4" s="71">
        <v>17591</v>
      </c>
      <c r="DZ4" s="70">
        <v>1596</v>
      </c>
      <c r="EA4" s="35">
        <v>-1893</v>
      </c>
      <c r="EB4" s="35">
        <v>1605</v>
      </c>
      <c r="EC4" s="38">
        <v>18962</v>
      </c>
      <c r="ED4" s="38">
        <v>2676</v>
      </c>
      <c r="EE4" s="38">
        <v>-2563</v>
      </c>
      <c r="EF4" s="38">
        <v>1736</v>
      </c>
      <c r="EG4" s="73">
        <v>20726</v>
      </c>
      <c r="EH4" s="73">
        <v>2147</v>
      </c>
      <c r="EI4" s="73">
        <v>-3619</v>
      </c>
      <c r="EJ4" s="73">
        <v>1851</v>
      </c>
      <c r="EK4" s="73">
        <v>19063</v>
      </c>
      <c r="EL4" s="73">
        <v>39391.126068624035</v>
      </c>
      <c r="EM4" s="73">
        <v>-910.23305800969774</v>
      </c>
      <c r="EN4" s="73">
        <v>42448.278007914923</v>
      </c>
      <c r="EO4" s="73">
        <v>-1923.733502866763</v>
      </c>
      <c r="EP4" s="73">
        <v>43295.945157280934</v>
      </c>
      <c r="EQ4" s="73">
        <v>-1901.3645086473821</v>
      </c>
      <c r="ER4" s="73">
        <v>45249.447923131389</v>
      </c>
      <c r="ES4" s="73">
        <v>-1429.4291869963822</v>
      </c>
      <c r="ET4" s="73">
        <v>46670</v>
      </c>
      <c r="EU4" s="73">
        <v>1896</v>
      </c>
      <c r="EV4" s="73">
        <v>47905</v>
      </c>
      <c r="EW4" s="73">
        <v>344</v>
      </c>
      <c r="EX4" s="73">
        <v>48783</v>
      </c>
      <c r="EY4" s="73">
        <v>-25</v>
      </c>
      <c r="EZ4" s="73">
        <v>57532</v>
      </c>
      <c r="FA4" s="73">
        <v>-1955</v>
      </c>
      <c r="FB4" s="73">
        <v>58827</v>
      </c>
      <c r="FC4" s="73">
        <v>28</v>
      </c>
      <c r="FD4" s="73">
        <v>62459</v>
      </c>
      <c r="FE4" s="73">
        <v>940</v>
      </c>
      <c r="FF4" s="73">
        <v>67721</v>
      </c>
      <c r="FG4" s="73">
        <v>296</v>
      </c>
      <c r="FH4" s="73">
        <v>-4381</v>
      </c>
      <c r="FI4" s="73">
        <v>-4084</v>
      </c>
      <c r="FJ4" s="79">
        <v>10573</v>
      </c>
      <c r="FK4" s="80">
        <v>25110</v>
      </c>
      <c r="FL4" s="80">
        <v>28901</v>
      </c>
      <c r="FM4" s="80">
        <v>40417</v>
      </c>
      <c r="FN4" s="76">
        <v>375</v>
      </c>
      <c r="FO4" s="80">
        <v>21784</v>
      </c>
      <c r="FP4" s="80">
        <v>2045</v>
      </c>
      <c r="FQ4" s="80">
        <v>1281</v>
      </c>
      <c r="FR4" s="80">
        <v>3583</v>
      </c>
      <c r="FS4" s="81">
        <v>-3067</v>
      </c>
      <c r="FT4" s="76">
        <v>2018</v>
      </c>
      <c r="FU4" s="76">
        <v>19700</v>
      </c>
      <c r="FV4" s="76">
        <v>3067</v>
      </c>
      <c r="FW4" s="80">
        <v>90627</v>
      </c>
      <c r="FX4" s="80">
        <v>1565</v>
      </c>
      <c r="FY4" s="73">
        <v>10487</v>
      </c>
      <c r="FZ4" s="73">
        <v>25815</v>
      </c>
      <c r="GA4" s="73">
        <v>30121</v>
      </c>
      <c r="GB4" s="73">
        <v>40432</v>
      </c>
      <c r="GC4" s="73">
        <v>266</v>
      </c>
      <c r="GD4" s="73">
        <v>21796</v>
      </c>
      <c r="GE4" s="73">
        <v>2505</v>
      </c>
      <c r="GF4" s="73">
        <v>1514</v>
      </c>
      <c r="GG4" s="73">
        <v>3856</v>
      </c>
      <c r="GH4" s="73">
        <v>-3857</v>
      </c>
      <c r="GI4" s="73">
        <v>2133</v>
      </c>
      <c r="GJ4" s="73">
        <v>18573</v>
      </c>
      <c r="GK4" s="73">
        <v>3857</v>
      </c>
      <c r="GL4" s="73">
        <v>92376</v>
      </c>
      <c r="GM4" s="73">
        <v>1723</v>
      </c>
      <c r="GN4" s="73">
        <v>-795</v>
      </c>
      <c r="GO4" s="77">
        <v>20.5</v>
      </c>
      <c r="GP4" s="78">
        <v>10327</v>
      </c>
      <c r="GQ4" s="73">
        <v>26578</v>
      </c>
      <c r="GR4" s="65">
        <v>31116</v>
      </c>
      <c r="GS4" s="65">
        <v>41559</v>
      </c>
      <c r="GT4" s="65">
        <v>190</v>
      </c>
      <c r="GU4" s="65">
        <v>22558</v>
      </c>
      <c r="GV4" s="65">
        <v>2510</v>
      </c>
      <c r="GW4" s="65">
        <v>1510</v>
      </c>
      <c r="GX4" s="65">
        <v>3198</v>
      </c>
      <c r="GY4" s="65">
        <v>-4182</v>
      </c>
      <c r="GZ4" s="65">
        <v>2364</v>
      </c>
      <c r="HA4" s="65">
        <v>18032</v>
      </c>
      <c r="HB4" s="65">
        <v>4182</v>
      </c>
      <c r="HC4" s="65">
        <v>95849</v>
      </c>
      <c r="HD4" s="65">
        <v>834</v>
      </c>
      <c r="HE4" s="78">
        <v>10268</v>
      </c>
      <c r="HF4" s="73">
        <v>26351</v>
      </c>
      <c r="HG4" s="65">
        <v>32174</v>
      </c>
      <c r="HH4" s="65">
        <v>41150</v>
      </c>
      <c r="HI4" s="65">
        <v>22</v>
      </c>
      <c r="HJ4" s="65">
        <v>23203</v>
      </c>
      <c r="HK4" s="65">
        <v>1513</v>
      </c>
      <c r="HL4" s="65">
        <v>1635</v>
      </c>
      <c r="HM4" s="65">
        <v>527</v>
      </c>
      <c r="HN4" s="65">
        <v>-4369</v>
      </c>
      <c r="HO4" s="65">
        <v>2336</v>
      </c>
      <c r="HP4" s="65">
        <v>21015</v>
      </c>
      <c r="HQ4" s="65">
        <v>4369</v>
      </c>
      <c r="HR4" s="65">
        <v>98818</v>
      </c>
      <c r="HS4" s="65">
        <v>-1809</v>
      </c>
      <c r="HT4" s="65">
        <v>-1771</v>
      </c>
      <c r="HU4" s="77">
        <v>20.5</v>
      </c>
      <c r="HV4" s="180">
        <v>340</v>
      </c>
      <c r="HW4" s="30" t="s">
        <v>761</v>
      </c>
    </row>
    <row r="5" spans="1:231" ht="15" x14ac:dyDescent="0.25">
      <c r="A5" s="27">
        <v>9</v>
      </c>
      <c r="B5" s="27" t="s">
        <v>133</v>
      </c>
      <c r="C5" s="27">
        <v>17</v>
      </c>
      <c r="D5" s="27" t="s">
        <v>117</v>
      </c>
      <c r="E5" s="27">
        <v>2</v>
      </c>
      <c r="F5" s="27" t="s">
        <v>744</v>
      </c>
      <c r="G5" s="29" t="s">
        <v>130</v>
      </c>
      <c r="H5" s="27" t="s">
        <v>98</v>
      </c>
      <c r="I5" s="31" t="s">
        <v>117</v>
      </c>
      <c r="J5" s="69">
        <v>3029</v>
      </c>
      <c r="K5" s="69">
        <v>2990</v>
      </c>
      <c r="L5" s="36">
        <v>2940</v>
      </c>
      <c r="M5" s="36">
        <v>2902</v>
      </c>
      <c r="N5" s="36">
        <v>2898</v>
      </c>
      <c r="O5" s="36">
        <v>2891</v>
      </c>
      <c r="P5" s="36">
        <v>2894</v>
      </c>
      <c r="Q5" s="36">
        <v>2854</v>
      </c>
      <c r="R5" s="69">
        <v>2827</v>
      </c>
      <c r="S5" s="69">
        <v>2817</v>
      </c>
      <c r="T5" s="71">
        <v>2759</v>
      </c>
      <c r="U5" s="36">
        <v>4412</v>
      </c>
      <c r="V5" s="36">
        <v>3735</v>
      </c>
      <c r="W5" s="36">
        <v>2040</v>
      </c>
      <c r="X5" s="36">
        <v>187.36135007812328</v>
      </c>
      <c r="Y5" s="36">
        <v>4285</v>
      </c>
      <c r="Z5" s="36">
        <v>3752</v>
      </c>
      <c r="AA5" s="36">
        <v>2021</v>
      </c>
      <c r="AB5" s="36">
        <v>292.9833678959522</v>
      </c>
      <c r="AC5" s="36">
        <v>4150</v>
      </c>
      <c r="AD5" s="36">
        <v>4490</v>
      </c>
      <c r="AE5" s="36">
        <v>2061</v>
      </c>
      <c r="AF5" s="36">
        <v>99.90362831813755</v>
      </c>
      <c r="AG5" s="36">
        <v>4627</v>
      </c>
      <c r="AH5" s="36">
        <v>5061</v>
      </c>
      <c r="AI5" s="36">
        <v>2151</v>
      </c>
      <c r="AJ5" s="36">
        <v>272.80081672057088</v>
      </c>
      <c r="AK5" s="36">
        <v>4945</v>
      </c>
      <c r="AL5" s="36">
        <v>5368</v>
      </c>
      <c r="AM5" s="36">
        <v>2380</v>
      </c>
      <c r="AN5" s="36">
        <v>73</v>
      </c>
      <c r="AO5" s="36">
        <v>4643</v>
      </c>
      <c r="AP5" s="36">
        <v>5330</v>
      </c>
      <c r="AQ5" s="36">
        <v>2637</v>
      </c>
      <c r="AR5" s="36">
        <v>76</v>
      </c>
      <c r="AS5" s="36">
        <v>5055</v>
      </c>
      <c r="AT5" s="36">
        <v>5343</v>
      </c>
      <c r="AU5" s="36">
        <v>1674</v>
      </c>
      <c r="AV5" s="36">
        <v>142</v>
      </c>
      <c r="AW5" s="36">
        <v>5041</v>
      </c>
      <c r="AX5" s="69">
        <v>5352</v>
      </c>
      <c r="AY5" s="36">
        <v>1643</v>
      </c>
      <c r="AZ5" s="36">
        <v>50</v>
      </c>
      <c r="BA5" s="36">
        <v>5460</v>
      </c>
      <c r="BB5" s="36">
        <v>5869</v>
      </c>
      <c r="BC5" s="36">
        <v>1929</v>
      </c>
      <c r="BD5" s="36">
        <v>20</v>
      </c>
      <c r="BE5" s="70">
        <v>6013</v>
      </c>
      <c r="BF5" s="70">
        <v>6049</v>
      </c>
      <c r="BG5" s="70">
        <v>2142</v>
      </c>
      <c r="BH5" s="70">
        <v>69</v>
      </c>
      <c r="BI5" s="36">
        <v>6200</v>
      </c>
      <c r="BJ5" s="36">
        <v>6336</v>
      </c>
      <c r="BK5" s="36">
        <v>1962</v>
      </c>
      <c r="BL5" s="36">
        <v>15</v>
      </c>
      <c r="BM5" s="36">
        <v>3681.9700860953994</v>
      </c>
      <c r="BN5" s="36">
        <v>625.15452265743647</v>
      </c>
      <c r="BO5" s="36">
        <v>100.5763800239836</v>
      </c>
      <c r="BP5" s="36">
        <v>3676.0835086692464</v>
      </c>
      <c r="BQ5" s="36">
        <v>485.22216784145934</v>
      </c>
      <c r="BR5" s="36">
        <v>119.58161571413434</v>
      </c>
      <c r="BS5" s="36">
        <v>3529.0872609418861</v>
      </c>
      <c r="BT5" s="36">
        <v>502.54552426699502</v>
      </c>
      <c r="BU5" s="36">
        <v>114.36778999382749</v>
      </c>
      <c r="BV5" s="36">
        <v>4184</v>
      </c>
      <c r="BW5" s="36">
        <v>298</v>
      </c>
      <c r="BX5" s="36">
        <v>141</v>
      </c>
      <c r="BY5" s="36">
        <v>4488</v>
      </c>
      <c r="BZ5" s="36">
        <v>291</v>
      </c>
      <c r="CA5" s="36">
        <v>163</v>
      </c>
      <c r="CB5" s="36">
        <v>4377</v>
      </c>
      <c r="CC5" s="36">
        <v>117</v>
      </c>
      <c r="CD5" s="36">
        <v>149</v>
      </c>
      <c r="CE5" s="36">
        <v>4731</v>
      </c>
      <c r="CF5" s="36">
        <v>162</v>
      </c>
      <c r="CG5" s="36">
        <v>162</v>
      </c>
      <c r="CH5" s="36">
        <v>4661</v>
      </c>
      <c r="CI5" s="36">
        <v>219</v>
      </c>
      <c r="CJ5" s="70">
        <v>161</v>
      </c>
      <c r="CK5" s="70">
        <v>4982</v>
      </c>
      <c r="CL5" s="70">
        <v>283</v>
      </c>
      <c r="CM5" s="36">
        <v>195</v>
      </c>
      <c r="CN5" s="36">
        <v>5499</v>
      </c>
      <c r="CO5" s="36">
        <v>317</v>
      </c>
      <c r="CP5" s="36">
        <v>197</v>
      </c>
      <c r="CQ5" s="36">
        <v>5712</v>
      </c>
      <c r="CR5" s="36">
        <v>215</v>
      </c>
      <c r="CS5" s="36">
        <v>273</v>
      </c>
      <c r="CT5" s="36">
        <v>275.66001147041658</v>
      </c>
      <c r="CU5" s="36">
        <v>-741.03600400000005</v>
      </c>
      <c r="CV5" s="36">
        <v>391.2051169494747</v>
      </c>
      <c r="CW5" s="36">
        <v>1246</v>
      </c>
      <c r="CX5" s="36">
        <v>177.27007449043262</v>
      </c>
      <c r="CY5" s="36">
        <v>-163.14228869999999</v>
      </c>
      <c r="CZ5" s="36">
        <v>449.90270328454199</v>
      </c>
      <c r="DA5" s="36">
        <v>2250</v>
      </c>
      <c r="DB5" s="36">
        <v>72.657184231372767</v>
      </c>
      <c r="DC5" s="36">
        <v>-413.06954739999992</v>
      </c>
      <c r="DD5" s="36">
        <v>425.01089016823835</v>
      </c>
      <c r="DE5" s="36">
        <v>2178</v>
      </c>
      <c r="DF5" s="36">
        <v>417.44243347747039</v>
      </c>
      <c r="DG5" s="36">
        <v>-711</v>
      </c>
      <c r="DH5" s="36">
        <v>424.84270224177686</v>
      </c>
      <c r="DI5" s="36">
        <v>2420</v>
      </c>
      <c r="DJ5" s="36">
        <v>796</v>
      </c>
      <c r="DK5" s="36">
        <v>-544</v>
      </c>
      <c r="DL5" s="36">
        <v>469</v>
      </c>
      <c r="DM5" s="36">
        <v>2091</v>
      </c>
      <c r="DN5" s="36">
        <v>222</v>
      </c>
      <c r="DO5" s="69">
        <v>-697</v>
      </c>
      <c r="DP5" s="36">
        <v>473</v>
      </c>
      <c r="DQ5" s="36">
        <v>2013</v>
      </c>
      <c r="DR5" s="36">
        <v>-77</v>
      </c>
      <c r="DS5" s="36">
        <v>-673</v>
      </c>
      <c r="DT5" s="36">
        <v>497</v>
      </c>
      <c r="DU5" s="36">
        <v>2458</v>
      </c>
      <c r="DV5" s="36">
        <v>-712</v>
      </c>
      <c r="DW5" s="71">
        <v>-368</v>
      </c>
      <c r="DX5" s="39">
        <v>500</v>
      </c>
      <c r="DY5" s="71">
        <v>2893</v>
      </c>
      <c r="DZ5" s="70">
        <v>-79</v>
      </c>
      <c r="EA5" s="35">
        <v>-891</v>
      </c>
      <c r="EB5" s="35">
        <v>477</v>
      </c>
      <c r="EC5" s="38">
        <v>3668</v>
      </c>
      <c r="ED5" s="38">
        <v>448</v>
      </c>
      <c r="EE5" s="38">
        <v>-376</v>
      </c>
      <c r="EF5" s="38">
        <v>498</v>
      </c>
      <c r="EG5" s="73">
        <v>3839</v>
      </c>
      <c r="EH5" s="73">
        <v>-344</v>
      </c>
      <c r="EI5" s="73">
        <v>-937</v>
      </c>
      <c r="EJ5" s="73">
        <v>496</v>
      </c>
      <c r="EK5" s="73">
        <v>4788</v>
      </c>
      <c r="EL5" s="73">
        <v>9576.2841568655149</v>
      </c>
      <c r="EM5" s="73">
        <v>-230.75383510519313</v>
      </c>
      <c r="EN5" s="73">
        <v>9635.8226828328898</v>
      </c>
      <c r="EO5" s="73">
        <v>391.8778686553207</v>
      </c>
      <c r="EP5" s="73">
        <v>10112.635454351273</v>
      </c>
      <c r="EQ5" s="73">
        <v>-352.35370593686559</v>
      </c>
      <c r="ER5" s="73">
        <v>11072.483950667118</v>
      </c>
      <c r="ES5" s="73">
        <v>316.19330174764076</v>
      </c>
      <c r="ET5" s="73">
        <v>11869</v>
      </c>
      <c r="EU5" s="73">
        <v>785</v>
      </c>
      <c r="EV5" s="73">
        <v>12387</v>
      </c>
      <c r="EW5" s="73">
        <v>-251</v>
      </c>
      <c r="EX5" s="73">
        <v>12160</v>
      </c>
      <c r="EY5" s="73">
        <v>-491</v>
      </c>
      <c r="EZ5" s="73">
        <v>12746</v>
      </c>
      <c r="FA5" s="73">
        <v>-1212</v>
      </c>
      <c r="FB5" s="73">
        <v>13281</v>
      </c>
      <c r="FC5" s="73">
        <v>-556</v>
      </c>
      <c r="FD5" s="73">
        <v>13674</v>
      </c>
      <c r="FE5" s="73">
        <v>-50</v>
      </c>
      <c r="FF5" s="73">
        <v>14747</v>
      </c>
      <c r="FG5" s="73">
        <v>-840</v>
      </c>
      <c r="FH5" s="73">
        <v>-1672</v>
      </c>
      <c r="FI5" s="73">
        <v>-2512</v>
      </c>
      <c r="FJ5" s="79">
        <v>2776</v>
      </c>
      <c r="FK5" s="80">
        <v>6053</v>
      </c>
      <c r="FL5" s="80">
        <v>7341</v>
      </c>
      <c r="FM5" s="80">
        <v>2036</v>
      </c>
      <c r="FN5" s="76">
        <v>17</v>
      </c>
      <c r="FO5" s="80">
        <v>5634</v>
      </c>
      <c r="FP5" s="80">
        <v>188</v>
      </c>
      <c r="FQ5" s="80">
        <v>231</v>
      </c>
      <c r="FR5" s="80">
        <v>827</v>
      </c>
      <c r="FS5" s="81">
        <v>-1198</v>
      </c>
      <c r="FT5" s="76">
        <v>579</v>
      </c>
      <c r="FU5" s="76">
        <v>7068</v>
      </c>
      <c r="FV5" s="76">
        <v>1198</v>
      </c>
      <c r="FW5" s="80">
        <v>14501</v>
      </c>
      <c r="FX5" s="80">
        <v>248</v>
      </c>
      <c r="FY5" s="73">
        <v>2770</v>
      </c>
      <c r="FZ5" s="73">
        <v>6352</v>
      </c>
      <c r="GA5" s="73">
        <v>7636</v>
      </c>
      <c r="GB5" s="73">
        <v>2118</v>
      </c>
      <c r="GC5" s="73">
        <v>25</v>
      </c>
      <c r="GD5" s="73">
        <v>5867</v>
      </c>
      <c r="GE5" s="73">
        <v>252</v>
      </c>
      <c r="GF5" s="73">
        <v>233</v>
      </c>
      <c r="GG5" s="73">
        <v>647</v>
      </c>
      <c r="GH5" s="73">
        <v>-2682</v>
      </c>
      <c r="GI5" s="73">
        <v>562</v>
      </c>
      <c r="GJ5" s="73">
        <v>7995</v>
      </c>
      <c r="GK5" s="73">
        <v>2682</v>
      </c>
      <c r="GL5" s="73">
        <v>15398</v>
      </c>
      <c r="GM5" s="73">
        <v>85</v>
      </c>
      <c r="GN5" s="73">
        <v>-2053</v>
      </c>
      <c r="GO5" s="77">
        <v>21</v>
      </c>
      <c r="GP5" s="78">
        <v>2750</v>
      </c>
      <c r="GQ5" s="73">
        <v>6677</v>
      </c>
      <c r="GR5" s="65">
        <v>8106</v>
      </c>
      <c r="GS5" s="65">
        <v>2144</v>
      </c>
      <c r="GT5" s="65">
        <v>338</v>
      </c>
      <c r="GU5" s="65">
        <v>6140</v>
      </c>
      <c r="GV5" s="65">
        <v>303</v>
      </c>
      <c r="GW5" s="65">
        <v>234</v>
      </c>
      <c r="GX5" s="65">
        <v>432</v>
      </c>
      <c r="GY5" s="65">
        <v>-823</v>
      </c>
      <c r="GZ5" s="65">
        <v>530</v>
      </c>
      <c r="HA5" s="65">
        <v>7596</v>
      </c>
      <c r="HB5" s="65">
        <v>823</v>
      </c>
      <c r="HC5" s="65">
        <v>16383</v>
      </c>
      <c r="HD5" s="65">
        <v>220</v>
      </c>
      <c r="HE5" s="78">
        <v>2761</v>
      </c>
      <c r="HF5" s="73">
        <v>6878</v>
      </c>
      <c r="HG5" s="65">
        <v>7669</v>
      </c>
      <c r="HH5" s="65">
        <v>2241</v>
      </c>
      <c r="HI5" s="65">
        <v>14</v>
      </c>
      <c r="HJ5" s="65">
        <v>6353</v>
      </c>
      <c r="HK5" s="65">
        <v>180</v>
      </c>
      <c r="HL5" s="65">
        <v>345</v>
      </c>
      <c r="HM5" s="65">
        <v>18</v>
      </c>
      <c r="HN5" s="65">
        <v>-802</v>
      </c>
      <c r="HO5" s="65">
        <v>535</v>
      </c>
      <c r="HP5" s="65">
        <v>8626</v>
      </c>
      <c r="HQ5" s="65">
        <v>802</v>
      </c>
      <c r="HR5" s="65">
        <v>16690</v>
      </c>
      <c r="HS5" s="65">
        <v>-517</v>
      </c>
      <c r="HT5" s="65">
        <v>-2350</v>
      </c>
      <c r="HU5" s="77">
        <v>21.5</v>
      </c>
      <c r="HV5" s="180">
        <v>340</v>
      </c>
      <c r="HW5" s="30" t="s">
        <v>761</v>
      </c>
    </row>
    <row r="6" spans="1:231" ht="15" x14ac:dyDescent="0.25">
      <c r="A6" s="27">
        <v>10</v>
      </c>
      <c r="B6" s="27" t="s">
        <v>134</v>
      </c>
      <c r="C6" s="27">
        <v>14</v>
      </c>
      <c r="D6" s="27" t="s">
        <v>106</v>
      </c>
      <c r="E6" s="27">
        <v>4</v>
      </c>
      <c r="F6" s="27" t="s">
        <v>100</v>
      </c>
      <c r="G6" s="29" t="s">
        <v>130</v>
      </c>
      <c r="H6" s="27" t="s">
        <v>98</v>
      </c>
      <c r="I6" s="31" t="s">
        <v>106</v>
      </c>
      <c r="J6" s="82">
        <v>13299</v>
      </c>
      <c r="K6" s="82">
        <v>13174</v>
      </c>
      <c r="L6" s="82">
        <v>13135</v>
      </c>
      <c r="M6" s="82">
        <v>13040</v>
      </c>
      <c r="N6" s="82">
        <v>12925</v>
      </c>
      <c r="O6" s="82">
        <v>12897</v>
      </c>
      <c r="P6" s="82">
        <v>12880</v>
      </c>
      <c r="Q6" s="82">
        <v>12868</v>
      </c>
      <c r="R6" s="82">
        <v>12791</v>
      </c>
      <c r="S6" s="82">
        <v>12788</v>
      </c>
      <c r="T6" s="82">
        <v>12706</v>
      </c>
      <c r="U6" s="82">
        <v>23133</v>
      </c>
      <c r="V6" s="82">
        <v>14705</v>
      </c>
      <c r="W6" s="82">
        <v>7557</v>
      </c>
      <c r="X6" s="82">
        <v>860.61761970355201</v>
      </c>
      <c r="Y6" s="82">
        <v>22666</v>
      </c>
      <c r="Z6" s="82">
        <v>14758</v>
      </c>
      <c r="AA6" s="82">
        <v>8842</v>
      </c>
      <c r="AB6" s="82">
        <v>1130.2228658213542</v>
      </c>
      <c r="AC6" s="82">
        <v>22590</v>
      </c>
      <c r="AD6" s="82">
        <v>15696</v>
      </c>
      <c r="AE6" s="82">
        <v>9142</v>
      </c>
      <c r="AF6" s="82">
        <v>1184.2111902154991</v>
      </c>
      <c r="AG6" s="82">
        <v>23708</v>
      </c>
      <c r="AH6" s="82">
        <v>17503</v>
      </c>
      <c r="AI6" s="82">
        <v>8414</v>
      </c>
      <c r="AJ6" s="82">
        <v>1096.921656381975</v>
      </c>
      <c r="AK6" s="82">
        <v>24000</v>
      </c>
      <c r="AL6" s="82">
        <v>18850</v>
      </c>
      <c r="AM6" s="82">
        <v>9092</v>
      </c>
      <c r="AN6" s="82">
        <v>1123</v>
      </c>
      <c r="AO6" s="82">
        <v>22567</v>
      </c>
      <c r="AP6" s="82">
        <v>21775</v>
      </c>
      <c r="AQ6" s="82">
        <v>9640</v>
      </c>
      <c r="AR6" s="82">
        <v>1022</v>
      </c>
      <c r="AS6" s="82">
        <v>23081</v>
      </c>
      <c r="AT6" s="82">
        <v>21887</v>
      </c>
      <c r="AU6" s="82">
        <v>10669</v>
      </c>
      <c r="AV6" s="82">
        <v>909</v>
      </c>
      <c r="AW6" s="82">
        <v>23978</v>
      </c>
      <c r="AX6" s="82">
        <v>23048</v>
      </c>
      <c r="AY6" s="82">
        <v>11300</v>
      </c>
      <c r="AZ6" s="82">
        <v>872</v>
      </c>
      <c r="BA6" s="82">
        <v>25846</v>
      </c>
      <c r="BB6" s="82">
        <v>23476</v>
      </c>
      <c r="BC6" s="82">
        <v>13668</v>
      </c>
      <c r="BD6" s="82">
        <v>3388</v>
      </c>
      <c r="BE6" s="82">
        <v>27075</v>
      </c>
      <c r="BF6" s="82">
        <v>24394</v>
      </c>
      <c r="BG6" s="82">
        <v>13256</v>
      </c>
      <c r="BH6" s="82">
        <v>984</v>
      </c>
      <c r="BI6" s="82">
        <v>29496</v>
      </c>
      <c r="BJ6" s="82">
        <v>27720</v>
      </c>
      <c r="BK6" s="82">
        <v>14243</v>
      </c>
      <c r="BL6" s="82">
        <v>56</v>
      </c>
      <c r="BM6" s="82">
        <v>17548.5600590676</v>
      </c>
      <c r="BN6" s="82">
        <v>4785.9556353887583</v>
      </c>
      <c r="BO6" s="82">
        <v>783.75573731064151</v>
      </c>
      <c r="BP6" s="82">
        <v>17704.806642750344</v>
      </c>
      <c r="BQ6" s="82">
        <v>4099.9170833522548</v>
      </c>
      <c r="BR6" s="82">
        <v>846.65802180724643</v>
      </c>
      <c r="BS6" s="82">
        <v>17250.699241304264</v>
      </c>
      <c r="BT6" s="82">
        <v>4379.1090412783633</v>
      </c>
      <c r="BU6" s="82">
        <v>946.39346219892263</v>
      </c>
      <c r="BV6" s="82">
        <v>20013</v>
      </c>
      <c r="BW6" s="82">
        <v>2688</v>
      </c>
      <c r="BX6" s="82">
        <v>994</v>
      </c>
      <c r="BY6" s="82">
        <v>21052</v>
      </c>
      <c r="BZ6" s="82">
        <v>1941</v>
      </c>
      <c r="CA6" s="82">
        <v>1007</v>
      </c>
      <c r="CB6" s="82">
        <v>20559</v>
      </c>
      <c r="CC6" s="82">
        <v>1070</v>
      </c>
      <c r="CD6" s="82">
        <v>938</v>
      </c>
      <c r="CE6" s="82">
        <v>20678</v>
      </c>
      <c r="CF6" s="82">
        <v>1408</v>
      </c>
      <c r="CG6" s="82">
        <v>995</v>
      </c>
      <c r="CH6" s="82">
        <v>21048</v>
      </c>
      <c r="CI6" s="82">
        <v>1845</v>
      </c>
      <c r="CJ6" s="82">
        <v>1085</v>
      </c>
      <c r="CK6" s="82">
        <v>22614</v>
      </c>
      <c r="CL6" s="82">
        <v>1985</v>
      </c>
      <c r="CM6" s="82">
        <v>1247</v>
      </c>
      <c r="CN6" s="82">
        <v>23638</v>
      </c>
      <c r="CO6" s="82">
        <v>2015</v>
      </c>
      <c r="CP6" s="82">
        <v>1422</v>
      </c>
      <c r="CQ6" s="82">
        <v>26075</v>
      </c>
      <c r="CR6" s="82">
        <v>1846</v>
      </c>
      <c r="CS6" s="82">
        <v>1575</v>
      </c>
      <c r="CT6" s="82">
        <v>2895.3551540349126</v>
      </c>
      <c r="CU6" s="82">
        <v>-3952.4162719999999</v>
      </c>
      <c r="CV6" s="82">
        <v>1692.4751039821856</v>
      </c>
      <c r="CW6" s="82">
        <v>7086</v>
      </c>
      <c r="CX6" s="82">
        <v>2146.582505428265</v>
      </c>
      <c r="CY6" s="82">
        <v>-3596.5306200000005</v>
      </c>
      <c r="CZ6" s="82">
        <v>1784.8102756095552</v>
      </c>
      <c r="DA6" s="82">
        <v>7357</v>
      </c>
      <c r="DB6" s="82">
        <v>1981.926525422446</v>
      </c>
      <c r="DC6" s="82">
        <v>-3465.1758490000002</v>
      </c>
      <c r="DD6" s="82">
        <v>1762.7776572430971</v>
      </c>
      <c r="DE6" s="82">
        <v>7035</v>
      </c>
      <c r="DF6" s="82">
        <v>1346.0079754714727</v>
      </c>
      <c r="DG6" s="82">
        <v>-2602</v>
      </c>
      <c r="DH6" s="82">
        <v>1744.1087974058694</v>
      </c>
      <c r="DI6" s="82">
        <v>7510</v>
      </c>
      <c r="DJ6" s="82">
        <v>1706</v>
      </c>
      <c r="DK6" s="82">
        <v>-2592</v>
      </c>
      <c r="DL6" s="82">
        <v>1760</v>
      </c>
      <c r="DM6" s="82">
        <v>8888</v>
      </c>
      <c r="DN6" s="82">
        <v>3873</v>
      </c>
      <c r="DO6" s="82">
        <v>-6697</v>
      </c>
      <c r="DP6" s="82">
        <v>1886</v>
      </c>
      <c r="DQ6" s="82">
        <v>13975</v>
      </c>
      <c r="DR6" s="82">
        <v>553</v>
      </c>
      <c r="DS6" s="82">
        <v>-5248</v>
      </c>
      <c r="DT6" s="82">
        <v>2034</v>
      </c>
      <c r="DU6" s="82">
        <v>15930</v>
      </c>
      <c r="DV6" s="82">
        <v>329</v>
      </c>
      <c r="DW6" s="82">
        <v>-2330</v>
      </c>
      <c r="DX6" s="82">
        <v>2311</v>
      </c>
      <c r="DY6" s="82">
        <v>19686</v>
      </c>
      <c r="DZ6" s="82">
        <v>3721</v>
      </c>
      <c r="EA6" s="82">
        <v>-4484</v>
      </c>
      <c r="EB6" s="82">
        <v>2490</v>
      </c>
      <c r="EC6" s="82">
        <v>21105</v>
      </c>
      <c r="ED6" s="82">
        <v>-102</v>
      </c>
      <c r="EE6" s="82">
        <v>-3150</v>
      </c>
      <c r="EF6" s="82">
        <v>2409</v>
      </c>
      <c r="EG6" s="82">
        <v>24526</v>
      </c>
      <c r="EH6" s="82">
        <v>2226</v>
      </c>
      <c r="EI6" s="82">
        <v>-3368</v>
      </c>
      <c r="EJ6" s="82">
        <v>2357</v>
      </c>
      <c r="EK6" s="82">
        <v>23922</v>
      </c>
      <c r="EL6" s="82">
        <v>40964.860496524394</v>
      </c>
      <c r="EM6" s="82">
        <v>1748.9862472732532</v>
      </c>
      <c r="EN6" s="82">
        <v>42909.953866051765</v>
      </c>
      <c r="EO6" s="82">
        <v>998.53171940199093</v>
      </c>
      <c r="EP6" s="82">
        <v>44118.21592975127</v>
      </c>
      <c r="EQ6" s="82">
        <v>690.41143812450287</v>
      </c>
      <c r="ER6" s="82">
        <v>46704.609862876379</v>
      </c>
      <c r="ES6" s="82">
        <v>-337.55316840825259</v>
      </c>
      <c r="ET6" s="82">
        <v>49414</v>
      </c>
      <c r="EU6" s="82">
        <v>-366</v>
      </c>
      <c r="EV6" s="82">
        <v>50760</v>
      </c>
      <c r="EW6" s="82">
        <v>1993</v>
      </c>
      <c r="EX6" s="82">
        <v>55584</v>
      </c>
      <c r="EY6" s="82">
        <v>-1481</v>
      </c>
      <c r="EZ6" s="82">
        <v>58236</v>
      </c>
      <c r="FA6" s="82">
        <v>-1800</v>
      </c>
      <c r="FB6" s="82">
        <v>62482</v>
      </c>
      <c r="FC6" s="82">
        <v>1231</v>
      </c>
      <c r="FD6" s="82">
        <v>64790</v>
      </c>
      <c r="FE6" s="82">
        <v>-2511</v>
      </c>
      <c r="FF6" s="82">
        <v>68218</v>
      </c>
      <c r="FG6" s="82">
        <v>-131</v>
      </c>
      <c r="FH6" s="82">
        <v>8560</v>
      </c>
      <c r="FI6" s="82">
        <v>8431</v>
      </c>
      <c r="FJ6" s="82">
        <v>12586</v>
      </c>
      <c r="FK6" s="82">
        <v>29565</v>
      </c>
      <c r="FL6" s="82">
        <v>30530</v>
      </c>
      <c r="FM6" s="82">
        <v>13505</v>
      </c>
      <c r="FN6" s="82">
        <v>533</v>
      </c>
      <c r="FO6" s="82">
        <v>26406</v>
      </c>
      <c r="FP6" s="82">
        <v>1442</v>
      </c>
      <c r="FQ6" s="82">
        <v>1717</v>
      </c>
      <c r="FR6" s="82">
        <v>2856</v>
      </c>
      <c r="FS6" s="82">
        <v>-4860</v>
      </c>
      <c r="FT6" s="82">
        <v>2474</v>
      </c>
      <c r="FU6" s="82">
        <v>23184</v>
      </c>
      <c r="FV6" s="82">
        <v>4860</v>
      </c>
      <c r="FW6" s="82">
        <v>70947</v>
      </c>
      <c r="FX6" s="82">
        <v>382</v>
      </c>
      <c r="FY6" s="82">
        <v>12439</v>
      </c>
      <c r="FZ6" s="82">
        <v>29349</v>
      </c>
      <c r="GA6" s="82">
        <v>32374</v>
      </c>
      <c r="GB6" s="82">
        <v>15551</v>
      </c>
      <c r="GC6" s="82">
        <v>502</v>
      </c>
      <c r="GD6" s="82">
        <v>25745</v>
      </c>
      <c r="GE6" s="82">
        <v>1856</v>
      </c>
      <c r="GF6" s="82">
        <v>1748</v>
      </c>
      <c r="GG6" s="82">
        <v>4526</v>
      </c>
      <c r="GH6" s="82">
        <v>-5696</v>
      </c>
      <c r="GI6" s="82">
        <v>2557</v>
      </c>
      <c r="GJ6" s="82">
        <v>24087</v>
      </c>
      <c r="GK6" s="82">
        <v>5696</v>
      </c>
      <c r="GL6" s="82">
        <v>73023</v>
      </c>
      <c r="GM6" s="82">
        <v>1969</v>
      </c>
      <c r="GN6" s="82">
        <v>10780</v>
      </c>
      <c r="GO6" s="83">
        <v>19.75</v>
      </c>
      <c r="GP6" s="82">
        <v>12385</v>
      </c>
      <c r="GQ6" s="82">
        <v>30432</v>
      </c>
      <c r="GR6" s="82">
        <v>33662</v>
      </c>
      <c r="GS6" s="82">
        <v>15913</v>
      </c>
      <c r="GT6" s="82">
        <v>316</v>
      </c>
      <c r="GU6" s="82">
        <v>26277</v>
      </c>
      <c r="GV6" s="82">
        <v>2198</v>
      </c>
      <c r="GW6" s="82">
        <v>1957</v>
      </c>
      <c r="GX6" s="82">
        <v>2781</v>
      </c>
      <c r="GY6" s="82">
        <v>-4060</v>
      </c>
      <c r="GZ6" s="82">
        <v>2659</v>
      </c>
      <c r="HA6" s="82">
        <v>26188</v>
      </c>
      <c r="HB6" s="82">
        <v>4060</v>
      </c>
      <c r="HC6" s="82">
        <v>77198</v>
      </c>
      <c r="HD6" s="82">
        <v>122</v>
      </c>
      <c r="HE6" s="82">
        <v>12341</v>
      </c>
      <c r="HF6" s="82">
        <v>30474</v>
      </c>
      <c r="HG6" s="82">
        <v>35531</v>
      </c>
      <c r="HH6" s="82">
        <v>16491</v>
      </c>
      <c r="HI6" s="82">
        <v>928</v>
      </c>
      <c r="HJ6" s="82">
        <v>26751</v>
      </c>
      <c r="HK6" s="82">
        <v>1614</v>
      </c>
      <c r="HL6" s="82">
        <v>2109</v>
      </c>
      <c r="HM6" s="82">
        <v>1944</v>
      </c>
      <c r="HN6" s="82">
        <v>-4772</v>
      </c>
      <c r="HO6" s="82">
        <v>2863</v>
      </c>
      <c r="HP6" s="82">
        <v>28019</v>
      </c>
      <c r="HQ6" s="82">
        <v>4772</v>
      </c>
      <c r="HR6" s="82">
        <v>81203</v>
      </c>
      <c r="HS6" s="82">
        <v>-919</v>
      </c>
      <c r="HT6" s="82">
        <v>9984</v>
      </c>
      <c r="HU6" s="83">
        <v>19.75</v>
      </c>
      <c r="HV6" s="180">
        <v>340</v>
      </c>
      <c r="HW6" s="30" t="s">
        <v>761</v>
      </c>
    </row>
    <row r="7" spans="1:231" ht="15" x14ac:dyDescent="0.25">
      <c r="A7" s="27">
        <v>16</v>
      </c>
      <c r="B7" s="27" t="s">
        <v>135</v>
      </c>
      <c r="C7" s="27">
        <v>7</v>
      </c>
      <c r="D7" s="27" t="s">
        <v>119</v>
      </c>
      <c r="E7" s="27">
        <v>3</v>
      </c>
      <c r="F7" s="27" t="s">
        <v>743</v>
      </c>
      <c r="G7" s="29" t="s">
        <v>132</v>
      </c>
      <c r="H7" s="27" t="s">
        <v>99</v>
      </c>
      <c r="I7" s="31" t="s">
        <v>119</v>
      </c>
      <c r="J7" s="69">
        <v>8609</v>
      </c>
      <c r="K7" s="69">
        <v>8636</v>
      </c>
      <c r="L7" s="36">
        <v>8644</v>
      </c>
      <c r="M7" s="36">
        <v>8680</v>
      </c>
      <c r="N7" s="36">
        <v>8648</v>
      </c>
      <c r="O7" s="36">
        <v>8554</v>
      </c>
      <c r="P7" s="36">
        <v>8547</v>
      </c>
      <c r="Q7" s="36">
        <v>8560</v>
      </c>
      <c r="R7" s="69">
        <v>8597</v>
      </c>
      <c r="S7" s="69">
        <v>8663</v>
      </c>
      <c r="T7" s="71">
        <v>8604</v>
      </c>
      <c r="U7" s="36">
        <v>16529</v>
      </c>
      <c r="V7" s="36">
        <v>5378</v>
      </c>
      <c r="W7" s="36">
        <v>3832</v>
      </c>
      <c r="X7" s="36">
        <v>151.70550966828296</v>
      </c>
      <c r="Y7" s="36">
        <v>16849</v>
      </c>
      <c r="Z7" s="36">
        <v>5424</v>
      </c>
      <c r="AA7" s="36">
        <v>4128</v>
      </c>
      <c r="AB7" s="36">
        <v>215.44873379719564</v>
      </c>
      <c r="AC7" s="36">
        <v>16672</v>
      </c>
      <c r="AD7" s="36">
        <v>5595</v>
      </c>
      <c r="AE7" s="36">
        <v>4508</v>
      </c>
      <c r="AF7" s="36">
        <v>131.35477056644012</v>
      </c>
      <c r="AG7" s="36">
        <v>17736</v>
      </c>
      <c r="AH7" s="36">
        <v>7220</v>
      </c>
      <c r="AI7" s="36">
        <v>4937</v>
      </c>
      <c r="AJ7" s="36">
        <v>149.18269077136031</v>
      </c>
      <c r="AK7" s="36">
        <v>19187</v>
      </c>
      <c r="AL7" s="36">
        <v>8344</v>
      </c>
      <c r="AM7" s="36">
        <v>4758</v>
      </c>
      <c r="AN7" s="36">
        <v>89</v>
      </c>
      <c r="AO7" s="36">
        <v>18483</v>
      </c>
      <c r="AP7" s="36">
        <v>8817</v>
      </c>
      <c r="AQ7" s="36">
        <v>5089</v>
      </c>
      <c r="AR7" s="36">
        <v>65</v>
      </c>
      <c r="AS7" s="36">
        <v>18621</v>
      </c>
      <c r="AT7" s="36">
        <v>9352</v>
      </c>
      <c r="AU7" s="36">
        <v>6078</v>
      </c>
      <c r="AV7" s="36">
        <v>74</v>
      </c>
      <c r="AW7" s="36">
        <v>20224</v>
      </c>
      <c r="AX7" s="69">
        <v>10137</v>
      </c>
      <c r="AY7" s="36">
        <v>6480</v>
      </c>
      <c r="AZ7" s="36">
        <v>70</v>
      </c>
      <c r="BA7" s="36">
        <v>22066</v>
      </c>
      <c r="BB7" s="36">
        <v>10417</v>
      </c>
      <c r="BC7" s="36">
        <v>6607</v>
      </c>
      <c r="BD7" s="36">
        <v>0</v>
      </c>
      <c r="BE7" s="70">
        <v>22561</v>
      </c>
      <c r="BF7" s="70">
        <v>10758</v>
      </c>
      <c r="BG7" s="70">
        <v>5848</v>
      </c>
      <c r="BH7" s="70">
        <v>106</v>
      </c>
      <c r="BI7" s="36">
        <v>24862</v>
      </c>
      <c r="BJ7" s="36">
        <v>13070</v>
      </c>
      <c r="BK7" s="36">
        <v>6383</v>
      </c>
      <c r="BL7" s="36">
        <v>131</v>
      </c>
      <c r="BM7" s="36">
        <v>12811.042546499757</v>
      </c>
      <c r="BN7" s="36">
        <v>3129.9773114487202</v>
      </c>
      <c r="BO7" s="36">
        <v>587.64861505651959</v>
      </c>
      <c r="BP7" s="36">
        <v>13438.888075980578</v>
      </c>
      <c r="BQ7" s="36">
        <v>2785.1920622026228</v>
      </c>
      <c r="BR7" s="36">
        <v>624.48177095159042</v>
      </c>
      <c r="BS7" s="36">
        <v>13025.818528591106</v>
      </c>
      <c r="BT7" s="36">
        <v>2833.2938091706146</v>
      </c>
      <c r="BU7" s="36">
        <v>812.68406066202124</v>
      </c>
      <c r="BV7" s="36">
        <v>15088</v>
      </c>
      <c r="BW7" s="36">
        <v>1782</v>
      </c>
      <c r="BX7" s="36">
        <v>866</v>
      </c>
      <c r="BY7" s="36">
        <v>16668</v>
      </c>
      <c r="BZ7" s="36">
        <v>1631</v>
      </c>
      <c r="CA7" s="36">
        <v>888</v>
      </c>
      <c r="CB7" s="36">
        <v>16814</v>
      </c>
      <c r="CC7" s="36">
        <v>763</v>
      </c>
      <c r="CD7" s="36">
        <v>906</v>
      </c>
      <c r="CE7" s="36">
        <v>16514</v>
      </c>
      <c r="CF7" s="36">
        <v>1200</v>
      </c>
      <c r="CG7" s="36">
        <v>907</v>
      </c>
      <c r="CH7" s="36">
        <v>17646</v>
      </c>
      <c r="CI7" s="36">
        <v>1625</v>
      </c>
      <c r="CJ7" s="70">
        <v>953</v>
      </c>
      <c r="CK7" s="70">
        <v>19074</v>
      </c>
      <c r="CL7" s="70">
        <v>1803</v>
      </c>
      <c r="CM7" s="36">
        <v>1189</v>
      </c>
      <c r="CN7" s="36">
        <v>19284</v>
      </c>
      <c r="CO7" s="36">
        <v>2055</v>
      </c>
      <c r="CP7" s="36">
        <v>1222</v>
      </c>
      <c r="CQ7" s="36">
        <v>21734</v>
      </c>
      <c r="CR7" s="36">
        <v>1894</v>
      </c>
      <c r="CS7" s="36">
        <v>1234</v>
      </c>
      <c r="CT7" s="36">
        <v>253.29101725103561</v>
      </c>
      <c r="CU7" s="36">
        <v>-2197.8798230000002</v>
      </c>
      <c r="CV7" s="36">
        <v>1127.3636710715084</v>
      </c>
      <c r="CW7" s="36">
        <v>1513</v>
      </c>
      <c r="CX7" s="36">
        <v>515.32780667806981</v>
      </c>
      <c r="CY7" s="36">
        <v>-1047.1380300000001</v>
      </c>
      <c r="CZ7" s="36">
        <v>1240.7223335065669</v>
      </c>
      <c r="DA7" s="36">
        <v>2184</v>
      </c>
      <c r="DB7" s="36">
        <v>-72.488996304911254</v>
      </c>
      <c r="DC7" s="36">
        <v>-794.85614049999992</v>
      </c>
      <c r="DD7" s="36">
        <v>1258.0456899321025</v>
      </c>
      <c r="DE7" s="36">
        <v>1741</v>
      </c>
      <c r="DF7" s="36">
        <v>1203.7209896850345</v>
      </c>
      <c r="DG7" s="36">
        <v>-859</v>
      </c>
      <c r="DH7" s="36">
        <v>1267.6324017404086</v>
      </c>
      <c r="DI7" s="36">
        <v>2179</v>
      </c>
      <c r="DJ7" s="36">
        <v>2355</v>
      </c>
      <c r="DK7" s="36">
        <v>-2859</v>
      </c>
      <c r="DL7" s="36">
        <v>1259</v>
      </c>
      <c r="DM7" s="36">
        <v>3254</v>
      </c>
      <c r="DN7" s="36">
        <v>687</v>
      </c>
      <c r="DO7" s="69">
        <v>-2199</v>
      </c>
      <c r="DP7" s="36">
        <v>1306</v>
      </c>
      <c r="DQ7" s="36">
        <v>4054</v>
      </c>
      <c r="DR7" s="36">
        <v>-903</v>
      </c>
      <c r="DS7" s="36">
        <v>-2280</v>
      </c>
      <c r="DT7" s="36">
        <v>1401</v>
      </c>
      <c r="DU7" s="36">
        <v>7090</v>
      </c>
      <c r="DV7" s="36">
        <v>1806</v>
      </c>
      <c r="DW7" s="71">
        <v>-1160</v>
      </c>
      <c r="DX7" s="39">
        <v>1600</v>
      </c>
      <c r="DY7" s="71">
        <v>6384</v>
      </c>
      <c r="DZ7" s="70">
        <v>2215</v>
      </c>
      <c r="EA7" s="35">
        <v>-2546</v>
      </c>
      <c r="EB7" s="35">
        <v>1710</v>
      </c>
      <c r="EC7" s="38">
        <v>5767</v>
      </c>
      <c r="ED7" s="38">
        <v>1007</v>
      </c>
      <c r="EE7" s="38">
        <v>-1086</v>
      </c>
      <c r="EF7" s="38">
        <v>1697</v>
      </c>
      <c r="EG7" s="73">
        <v>6068</v>
      </c>
      <c r="EH7" s="73">
        <v>2041</v>
      </c>
      <c r="EI7" s="73">
        <v>-3490</v>
      </c>
      <c r="EJ7" s="73">
        <v>1694</v>
      </c>
      <c r="EK7" s="73">
        <v>7099</v>
      </c>
      <c r="EL7" s="73">
        <v>24215.024900222514</v>
      </c>
      <c r="EM7" s="73">
        <v>-874.07265382047285</v>
      </c>
      <c r="EN7" s="73">
        <v>24721.438746798121</v>
      </c>
      <c r="EO7" s="73">
        <v>-426.524581506392</v>
      </c>
      <c r="EP7" s="73">
        <v>25530.086297225065</v>
      </c>
      <c r="EQ7" s="73">
        <v>-1174.7926663336546</v>
      </c>
      <c r="ER7" s="73">
        <v>27273.85871877801</v>
      </c>
      <c r="ES7" s="73">
        <v>112.51772280275088</v>
      </c>
      <c r="ET7" s="73">
        <v>29917</v>
      </c>
      <c r="EU7" s="73">
        <v>1412</v>
      </c>
      <c r="EV7" s="73">
        <v>31674</v>
      </c>
      <c r="EW7" s="73">
        <v>-500</v>
      </c>
      <c r="EX7" s="73">
        <v>34918</v>
      </c>
      <c r="EY7" s="73">
        <v>-2197</v>
      </c>
      <c r="EZ7" s="73">
        <v>34926</v>
      </c>
      <c r="FA7" s="73">
        <v>300</v>
      </c>
      <c r="FB7" s="73">
        <v>36719</v>
      </c>
      <c r="FC7" s="73">
        <v>599</v>
      </c>
      <c r="FD7" s="73">
        <v>38051</v>
      </c>
      <c r="FE7" s="73">
        <v>-596</v>
      </c>
      <c r="FF7" s="73">
        <v>42156</v>
      </c>
      <c r="FG7" s="73">
        <v>441</v>
      </c>
      <c r="FH7" s="73">
        <v>-2432</v>
      </c>
      <c r="FI7" s="73">
        <v>-1991</v>
      </c>
      <c r="FJ7" s="79">
        <v>8551</v>
      </c>
      <c r="FK7" s="80">
        <v>24601</v>
      </c>
      <c r="FL7" s="80">
        <v>14269</v>
      </c>
      <c r="FM7" s="80">
        <v>5197</v>
      </c>
      <c r="FN7" s="76">
        <v>0</v>
      </c>
      <c r="FO7" s="80">
        <v>21791</v>
      </c>
      <c r="FP7" s="80">
        <v>1324</v>
      </c>
      <c r="FQ7" s="80">
        <v>1486</v>
      </c>
      <c r="FR7" s="80">
        <v>2207</v>
      </c>
      <c r="FS7" s="81">
        <v>-2552</v>
      </c>
      <c r="FT7" s="76">
        <v>1794</v>
      </c>
      <c r="FU7" s="76">
        <v>8631</v>
      </c>
      <c r="FV7" s="76">
        <v>2552</v>
      </c>
      <c r="FW7" s="80">
        <v>41772</v>
      </c>
      <c r="FX7" s="80">
        <v>507</v>
      </c>
      <c r="FY7" s="73">
        <v>8552</v>
      </c>
      <c r="FZ7" s="73">
        <v>25776</v>
      </c>
      <c r="GA7" s="73">
        <v>15106</v>
      </c>
      <c r="GB7" s="73">
        <v>5960</v>
      </c>
      <c r="GC7" s="73">
        <v>-1</v>
      </c>
      <c r="GD7" s="73">
        <v>22182</v>
      </c>
      <c r="GE7" s="73">
        <v>1746</v>
      </c>
      <c r="GF7" s="73">
        <v>1848</v>
      </c>
      <c r="GG7" s="73">
        <v>4515</v>
      </c>
      <c r="GH7" s="73">
        <v>-3156</v>
      </c>
      <c r="GI7" s="73">
        <v>1863</v>
      </c>
      <c r="GJ7" s="73">
        <v>7863</v>
      </c>
      <c r="GK7" s="73">
        <v>3156</v>
      </c>
      <c r="GL7" s="73">
        <v>42286</v>
      </c>
      <c r="GM7" s="73">
        <v>2746</v>
      </c>
      <c r="GN7" s="73">
        <v>1403</v>
      </c>
      <c r="GO7" s="77">
        <v>20</v>
      </c>
      <c r="GP7" s="78">
        <v>8498</v>
      </c>
      <c r="GQ7" s="73">
        <v>26455</v>
      </c>
      <c r="GR7" s="65">
        <v>15877</v>
      </c>
      <c r="GS7" s="65">
        <v>6009</v>
      </c>
      <c r="GT7" s="65">
        <v>58</v>
      </c>
      <c r="GU7" s="65">
        <v>22445</v>
      </c>
      <c r="GV7" s="65">
        <v>2095</v>
      </c>
      <c r="GW7" s="65">
        <v>1915</v>
      </c>
      <c r="GX7" s="65">
        <v>2385</v>
      </c>
      <c r="GY7" s="65">
        <v>-4845</v>
      </c>
      <c r="GZ7" s="65">
        <v>2187</v>
      </c>
      <c r="HA7" s="65">
        <v>16632</v>
      </c>
      <c r="HB7" s="65">
        <v>4845</v>
      </c>
      <c r="HC7" s="65">
        <v>45983</v>
      </c>
      <c r="HD7" s="65">
        <v>292</v>
      </c>
      <c r="HE7" s="78">
        <v>8461</v>
      </c>
      <c r="HF7" s="73">
        <v>27009</v>
      </c>
      <c r="HG7" s="65">
        <v>16944</v>
      </c>
      <c r="HH7" s="65">
        <v>6302</v>
      </c>
      <c r="HI7" s="65">
        <v>54</v>
      </c>
      <c r="HJ7" s="65">
        <v>23600</v>
      </c>
      <c r="HK7" s="65">
        <v>1444</v>
      </c>
      <c r="HL7" s="65">
        <v>1965</v>
      </c>
      <c r="HM7" s="65">
        <v>1718</v>
      </c>
      <c r="HN7" s="65">
        <v>-4837</v>
      </c>
      <c r="HO7" s="65">
        <v>1997</v>
      </c>
      <c r="HP7" s="65">
        <v>17985</v>
      </c>
      <c r="HQ7" s="65">
        <v>4837</v>
      </c>
      <c r="HR7" s="65">
        <v>48591</v>
      </c>
      <c r="HS7" s="65">
        <v>-185</v>
      </c>
      <c r="HT7" s="65">
        <v>1669</v>
      </c>
      <c r="HU7" s="77">
        <v>20</v>
      </c>
      <c r="HV7" s="180">
        <v>240</v>
      </c>
      <c r="HW7" s="30" t="s">
        <v>757</v>
      </c>
    </row>
    <row r="8" spans="1:231" ht="15" x14ac:dyDescent="0.25">
      <c r="A8" s="27">
        <v>18</v>
      </c>
      <c r="B8" s="27" t="s">
        <v>136</v>
      </c>
      <c r="C8" s="27">
        <v>1</v>
      </c>
      <c r="D8" s="27" t="s">
        <v>121</v>
      </c>
      <c r="E8" s="27">
        <v>2</v>
      </c>
      <c r="F8" s="27" t="s">
        <v>744</v>
      </c>
      <c r="G8" s="29" t="s">
        <v>130</v>
      </c>
      <c r="H8" s="27" t="s">
        <v>98</v>
      </c>
      <c r="I8" s="27" t="s">
        <v>121</v>
      </c>
      <c r="J8" s="69">
        <v>4314</v>
      </c>
      <c r="K8" s="69">
        <v>4360</v>
      </c>
      <c r="L8" s="36">
        <v>4389</v>
      </c>
      <c r="M8" s="36">
        <v>4421</v>
      </c>
      <c r="N8" s="36">
        <v>4446</v>
      </c>
      <c r="O8" s="36">
        <v>4474</v>
      </c>
      <c r="P8" s="36">
        <v>4530</v>
      </c>
      <c r="Q8" s="36">
        <v>4555</v>
      </c>
      <c r="R8" s="69">
        <v>4627</v>
      </c>
      <c r="S8" s="69">
        <v>4711</v>
      </c>
      <c r="T8" s="71">
        <v>4761</v>
      </c>
      <c r="U8" s="36">
        <v>8186</v>
      </c>
      <c r="V8" s="36">
        <v>3350</v>
      </c>
      <c r="W8" s="36">
        <v>2076</v>
      </c>
      <c r="X8" s="36">
        <v>144.47342883043797</v>
      </c>
      <c r="Y8" s="36">
        <v>7917</v>
      </c>
      <c r="Z8" s="36">
        <v>3124</v>
      </c>
      <c r="AA8" s="36">
        <v>2222</v>
      </c>
      <c r="AB8" s="36">
        <v>110.33127975875124</v>
      </c>
      <c r="AC8" s="36">
        <v>8473</v>
      </c>
      <c r="AD8" s="36">
        <v>3491</v>
      </c>
      <c r="AE8" s="36">
        <v>2051</v>
      </c>
      <c r="AF8" s="36">
        <v>282.89209230826157</v>
      </c>
      <c r="AG8" s="36">
        <v>9684</v>
      </c>
      <c r="AH8" s="36">
        <v>3744</v>
      </c>
      <c r="AI8" s="36">
        <v>1885</v>
      </c>
      <c r="AJ8" s="36">
        <v>837.91224963124785</v>
      </c>
      <c r="AK8" s="36">
        <v>10241</v>
      </c>
      <c r="AL8" s="36">
        <v>4174</v>
      </c>
      <c r="AM8" s="36">
        <v>2153</v>
      </c>
      <c r="AN8" s="36">
        <v>115</v>
      </c>
      <c r="AO8" s="36">
        <v>9861</v>
      </c>
      <c r="AP8" s="36">
        <v>4487</v>
      </c>
      <c r="AQ8" s="36">
        <v>2256</v>
      </c>
      <c r="AR8" s="36">
        <v>74</v>
      </c>
      <c r="AS8" s="36">
        <v>10126</v>
      </c>
      <c r="AT8" s="36">
        <v>4827</v>
      </c>
      <c r="AU8" s="36">
        <v>2566</v>
      </c>
      <c r="AV8" s="36">
        <v>160</v>
      </c>
      <c r="AW8" s="36">
        <v>10361</v>
      </c>
      <c r="AX8" s="69">
        <v>5023</v>
      </c>
      <c r="AY8" s="36">
        <v>2944</v>
      </c>
      <c r="AZ8" s="36">
        <v>150</v>
      </c>
      <c r="BA8" s="36">
        <v>11569</v>
      </c>
      <c r="BB8" s="36">
        <v>5201</v>
      </c>
      <c r="BC8" s="36">
        <v>3589</v>
      </c>
      <c r="BD8" s="36">
        <v>142</v>
      </c>
      <c r="BE8" s="70">
        <v>12598</v>
      </c>
      <c r="BF8" s="70">
        <v>5204</v>
      </c>
      <c r="BG8" s="70">
        <v>3351</v>
      </c>
      <c r="BH8" s="70">
        <v>157</v>
      </c>
      <c r="BI8" s="36">
        <v>13444</v>
      </c>
      <c r="BJ8" s="36">
        <v>5709</v>
      </c>
      <c r="BK8" s="36">
        <v>2841</v>
      </c>
      <c r="BL8" s="36">
        <v>248</v>
      </c>
      <c r="BM8" s="36">
        <v>6947.6750541985593</v>
      </c>
      <c r="BN8" s="36">
        <v>1113.740449028126</v>
      </c>
      <c r="BO8" s="36">
        <v>124.7954414344412</v>
      </c>
      <c r="BP8" s="36">
        <v>6814.1338405881197</v>
      </c>
      <c r="BQ8" s="36">
        <v>973.13534250630278</v>
      </c>
      <c r="BR8" s="36">
        <v>129.8410792282865</v>
      </c>
      <c r="BS8" s="36">
        <v>7013.2683455185488</v>
      </c>
      <c r="BT8" s="36">
        <v>1261.0730726084103</v>
      </c>
      <c r="BU8" s="36">
        <v>198.62994115104451</v>
      </c>
      <c r="BV8" s="36">
        <v>8516</v>
      </c>
      <c r="BW8" s="36">
        <v>950</v>
      </c>
      <c r="BX8" s="36">
        <v>218</v>
      </c>
      <c r="BY8" s="36">
        <v>9378</v>
      </c>
      <c r="BZ8" s="36">
        <v>629</v>
      </c>
      <c r="CA8" s="36">
        <v>234</v>
      </c>
      <c r="CB8" s="36">
        <v>9242</v>
      </c>
      <c r="CC8" s="36">
        <v>382</v>
      </c>
      <c r="CD8" s="36">
        <v>237</v>
      </c>
      <c r="CE8" s="36">
        <v>9433</v>
      </c>
      <c r="CF8" s="36">
        <v>451</v>
      </c>
      <c r="CG8" s="36">
        <v>242</v>
      </c>
      <c r="CH8" s="36">
        <v>9568</v>
      </c>
      <c r="CI8" s="36">
        <v>540</v>
      </c>
      <c r="CJ8" s="70">
        <v>253</v>
      </c>
      <c r="CK8" s="70">
        <v>10710</v>
      </c>
      <c r="CL8" s="70">
        <v>587</v>
      </c>
      <c r="CM8" s="36">
        <v>272</v>
      </c>
      <c r="CN8" s="36">
        <v>11652</v>
      </c>
      <c r="CO8" s="36">
        <v>664</v>
      </c>
      <c r="CP8" s="36">
        <v>282</v>
      </c>
      <c r="CQ8" s="36">
        <v>12466</v>
      </c>
      <c r="CR8" s="36">
        <v>673</v>
      </c>
      <c r="CS8" s="36">
        <v>305</v>
      </c>
      <c r="CT8" s="36">
        <v>509.44122925191692</v>
      </c>
      <c r="CU8" s="36">
        <v>-1787.8376579999999</v>
      </c>
      <c r="CV8" s="36">
        <v>640.62781189189548</v>
      </c>
      <c r="CW8" s="36">
        <v>2543</v>
      </c>
      <c r="CX8" s="36">
        <v>-289.11504558733748</v>
      </c>
      <c r="CY8" s="36">
        <v>-655.76472530000001</v>
      </c>
      <c r="CZ8" s="36">
        <v>763.74137406172144</v>
      </c>
      <c r="DA8" s="36">
        <v>3213</v>
      </c>
      <c r="DB8" s="36">
        <v>593.19881662974944</v>
      </c>
      <c r="DC8" s="36">
        <v>997.01802810000004</v>
      </c>
      <c r="DD8" s="36">
        <v>633.56391898051208</v>
      </c>
      <c r="DE8" s="36">
        <v>3860</v>
      </c>
      <c r="DF8" s="36">
        <v>1375.7772384551602</v>
      </c>
      <c r="DG8" s="36">
        <v>-427</v>
      </c>
      <c r="DH8" s="36">
        <v>544.08794210298822</v>
      </c>
      <c r="DI8" s="36">
        <v>3015</v>
      </c>
      <c r="DJ8" s="36">
        <v>2546</v>
      </c>
      <c r="DK8" s="36">
        <v>-710</v>
      </c>
      <c r="DL8" s="36">
        <v>535</v>
      </c>
      <c r="DM8" s="36">
        <v>2725</v>
      </c>
      <c r="DN8" s="36">
        <v>1291</v>
      </c>
      <c r="DO8" s="69">
        <v>-1217</v>
      </c>
      <c r="DP8" s="36">
        <v>580</v>
      </c>
      <c r="DQ8" s="36">
        <v>2491</v>
      </c>
      <c r="DR8" s="36">
        <v>1018</v>
      </c>
      <c r="DS8" s="36">
        <v>-2005</v>
      </c>
      <c r="DT8" s="36">
        <v>624</v>
      </c>
      <c r="DU8" s="36">
        <v>3780</v>
      </c>
      <c r="DV8" s="36">
        <v>66</v>
      </c>
      <c r="DW8" s="71">
        <v>-1265</v>
      </c>
      <c r="DX8" s="39">
        <v>647</v>
      </c>
      <c r="DY8" s="71">
        <v>4671</v>
      </c>
      <c r="DZ8" s="70">
        <v>1406</v>
      </c>
      <c r="EA8" s="35">
        <v>-863</v>
      </c>
      <c r="EB8" s="35">
        <v>776</v>
      </c>
      <c r="EC8" s="38">
        <v>4982</v>
      </c>
      <c r="ED8" s="38">
        <v>1255</v>
      </c>
      <c r="EE8" s="38">
        <v>-1784</v>
      </c>
      <c r="EF8" s="38">
        <v>674</v>
      </c>
      <c r="EG8" s="73">
        <v>4456</v>
      </c>
      <c r="EH8" s="73">
        <v>-18</v>
      </c>
      <c r="EI8" s="73">
        <v>-5135</v>
      </c>
      <c r="EJ8" s="73">
        <v>839</v>
      </c>
      <c r="EK8" s="73">
        <v>9764</v>
      </c>
      <c r="EL8" s="73">
        <v>12481.226022708734</v>
      </c>
      <c r="EM8" s="73">
        <v>-79.721077142756229</v>
      </c>
      <c r="EN8" s="73">
        <v>12814.238117102524</v>
      </c>
      <c r="EO8" s="73">
        <v>-1052.856419649059</v>
      </c>
      <c r="EP8" s="73">
        <v>12775.386706089916</v>
      </c>
      <c r="EQ8" s="73">
        <v>1559.1020782982073</v>
      </c>
      <c r="ER8" s="73">
        <v>13243.285517505843</v>
      </c>
      <c r="ES8" s="73">
        <v>831.68929635217205</v>
      </c>
      <c r="ET8" s="73">
        <v>13960</v>
      </c>
      <c r="EU8" s="73">
        <v>332</v>
      </c>
      <c r="EV8" s="73">
        <v>15273</v>
      </c>
      <c r="EW8" s="73">
        <v>711</v>
      </c>
      <c r="EX8" s="73">
        <v>16572</v>
      </c>
      <c r="EY8" s="73">
        <v>394</v>
      </c>
      <c r="EZ8" s="73">
        <v>18305</v>
      </c>
      <c r="FA8" s="73">
        <v>-581</v>
      </c>
      <c r="FB8" s="73">
        <v>18954</v>
      </c>
      <c r="FC8" s="73">
        <v>630</v>
      </c>
      <c r="FD8" s="73">
        <v>19885</v>
      </c>
      <c r="FE8" s="73">
        <v>581</v>
      </c>
      <c r="FF8" s="73">
        <v>21987</v>
      </c>
      <c r="FG8" s="73">
        <v>-857</v>
      </c>
      <c r="FH8" s="73">
        <v>2996</v>
      </c>
      <c r="FI8" s="73">
        <v>2139</v>
      </c>
      <c r="FJ8" s="79">
        <v>4831</v>
      </c>
      <c r="FK8" s="80">
        <v>13872</v>
      </c>
      <c r="FL8" s="80">
        <v>6460</v>
      </c>
      <c r="FM8" s="80">
        <v>3051</v>
      </c>
      <c r="FN8" s="76">
        <v>162</v>
      </c>
      <c r="FO8" s="80">
        <v>12931</v>
      </c>
      <c r="FP8" s="80">
        <v>617</v>
      </c>
      <c r="FQ8" s="80">
        <v>324</v>
      </c>
      <c r="FR8" s="80">
        <v>942</v>
      </c>
      <c r="FS8" s="81">
        <v>-1865</v>
      </c>
      <c r="FT8" s="76">
        <v>868</v>
      </c>
      <c r="FU8" s="76">
        <v>10972</v>
      </c>
      <c r="FV8" s="76">
        <v>1865</v>
      </c>
      <c r="FW8" s="80">
        <v>22203</v>
      </c>
      <c r="FX8" s="80">
        <v>74</v>
      </c>
      <c r="FY8" s="73">
        <v>4864</v>
      </c>
      <c r="FZ8" s="73">
        <v>14296</v>
      </c>
      <c r="GA8" s="73">
        <v>5973</v>
      </c>
      <c r="GB8" s="73">
        <v>4555</v>
      </c>
      <c r="GC8" s="73">
        <v>65</v>
      </c>
      <c r="GD8" s="73">
        <v>12933</v>
      </c>
      <c r="GE8" s="73">
        <v>844</v>
      </c>
      <c r="GF8" s="73">
        <v>519</v>
      </c>
      <c r="GG8" s="73">
        <v>1073</v>
      </c>
      <c r="GH8" s="73">
        <v>-717</v>
      </c>
      <c r="GI8" s="73">
        <v>989</v>
      </c>
      <c r="GJ8" s="73">
        <v>11423</v>
      </c>
      <c r="GK8" s="73">
        <v>717</v>
      </c>
      <c r="GL8" s="73">
        <v>23521</v>
      </c>
      <c r="GM8" s="73">
        <v>84</v>
      </c>
      <c r="GN8" s="73">
        <v>2297</v>
      </c>
      <c r="GO8" s="77">
        <v>18.75</v>
      </c>
      <c r="GP8" s="78">
        <v>4911</v>
      </c>
      <c r="GQ8" s="73">
        <v>14836</v>
      </c>
      <c r="GR8" s="65">
        <v>6246</v>
      </c>
      <c r="GS8" s="65">
        <v>3941</v>
      </c>
      <c r="GT8" s="65">
        <v>201</v>
      </c>
      <c r="GU8" s="65">
        <v>13380</v>
      </c>
      <c r="GV8" s="65">
        <v>922</v>
      </c>
      <c r="GW8" s="65">
        <v>534</v>
      </c>
      <c r="GX8" s="65">
        <v>-974</v>
      </c>
      <c r="GY8" s="65">
        <v>-913</v>
      </c>
      <c r="GZ8" s="65">
        <v>1357</v>
      </c>
      <c r="HA8" s="65">
        <v>13393</v>
      </c>
      <c r="HB8" s="65">
        <v>913</v>
      </c>
      <c r="HC8" s="65">
        <v>25777</v>
      </c>
      <c r="HD8" s="65">
        <v>-2331</v>
      </c>
      <c r="HE8" s="78">
        <v>4988</v>
      </c>
      <c r="HF8" s="73">
        <v>16020</v>
      </c>
      <c r="HG8" s="65">
        <v>6823</v>
      </c>
      <c r="HH8" s="65">
        <v>4216</v>
      </c>
      <c r="HI8" s="65">
        <v>488</v>
      </c>
      <c r="HJ8" s="65">
        <v>14734</v>
      </c>
      <c r="HK8" s="65">
        <v>620</v>
      </c>
      <c r="HL8" s="65">
        <v>666</v>
      </c>
      <c r="HM8" s="65">
        <v>710</v>
      </c>
      <c r="HN8" s="65">
        <v>94</v>
      </c>
      <c r="HO8" s="65">
        <v>1325</v>
      </c>
      <c r="HP8" s="65">
        <v>12874</v>
      </c>
      <c r="HQ8" s="65">
        <v>-94</v>
      </c>
      <c r="HR8" s="65">
        <v>26174</v>
      </c>
      <c r="HS8" s="65">
        <v>-496</v>
      </c>
      <c r="HT8" s="65">
        <v>-529</v>
      </c>
      <c r="HU8" s="77">
        <v>20</v>
      </c>
      <c r="HV8" s="180">
        <v>330</v>
      </c>
      <c r="HW8" s="30" t="s">
        <v>760</v>
      </c>
    </row>
    <row r="9" spans="1:231" ht="15" x14ac:dyDescent="0.25">
      <c r="A9" s="27">
        <v>19</v>
      </c>
      <c r="B9" s="27" t="s">
        <v>137</v>
      </c>
      <c r="C9" s="27">
        <v>2</v>
      </c>
      <c r="D9" s="27" t="s">
        <v>122</v>
      </c>
      <c r="E9" s="27">
        <v>2</v>
      </c>
      <c r="F9" s="27" t="s">
        <v>744</v>
      </c>
      <c r="G9" s="29" t="s">
        <v>130</v>
      </c>
      <c r="H9" s="27" t="s">
        <v>98</v>
      </c>
      <c r="I9" s="31" t="s">
        <v>122</v>
      </c>
      <c r="J9" s="69">
        <v>3291</v>
      </c>
      <c r="K9" s="69">
        <v>3316</v>
      </c>
      <c r="L9" s="36">
        <v>3338</v>
      </c>
      <c r="M9" s="36">
        <v>3378</v>
      </c>
      <c r="N9" s="36">
        <v>3457</v>
      </c>
      <c r="O9" s="36">
        <v>3514</v>
      </c>
      <c r="P9" s="36">
        <v>3620</v>
      </c>
      <c r="Q9" s="36">
        <v>3699</v>
      </c>
      <c r="R9" s="69">
        <v>3750</v>
      </c>
      <c r="S9" s="69">
        <v>3823</v>
      </c>
      <c r="T9" s="71">
        <v>3852</v>
      </c>
      <c r="U9" s="36">
        <v>6265</v>
      </c>
      <c r="V9" s="36">
        <v>1525</v>
      </c>
      <c r="W9" s="36">
        <v>1269</v>
      </c>
      <c r="X9" s="36">
        <v>177.10188656397111</v>
      </c>
      <c r="Y9" s="36">
        <v>6454</v>
      </c>
      <c r="Z9" s="36">
        <v>1583</v>
      </c>
      <c r="AA9" s="36">
        <v>1292</v>
      </c>
      <c r="AB9" s="36">
        <v>184.83853118120061</v>
      </c>
      <c r="AC9" s="36">
        <v>6291</v>
      </c>
      <c r="AD9" s="36">
        <v>1955</v>
      </c>
      <c r="AE9" s="36">
        <v>1237</v>
      </c>
      <c r="AF9" s="36">
        <v>141.44604615413078</v>
      </c>
      <c r="AG9" s="36">
        <v>6901</v>
      </c>
      <c r="AH9" s="36">
        <v>2212</v>
      </c>
      <c r="AI9" s="36">
        <v>1301</v>
      </c>
      <c r="AJ9" s="36">
        <v>144.30524090397645</v>
      </c>
      <c r="AK9" s="36">
        <v>7390</v>
      </c>
      <c r="AL9" s="36">
        <v>2436</v>
      </c>
      <c r="AM9" s="36">
        <v>1347</v>
      </c>
      <c r="AN9" s="36">
        <v>110</v>
      </c>
      <c r="AO9" s="36">
        <v>7473</v>
      </c>
      <c r="AP9" s="36">
        <v>2550</v>
      </c>
      <c r="AQ9" s="36">
        <v>1372</v>
      </c>
      <c r="AR9" s="36">
        <v>93</v>
      </c>
      <c r="AS9" s="36">
        <v>7582</v>
      </c>
      <c r="AT9" s="36">
        <v>2328</v>
      </c>
      <c r="AU9" s="36">
        <v>1500</v>
      </c>
      <c r="AV9" s="36">
        <v>80</v>
      </c>
      <c r="AW9" s="36">
        <v>8094</v>
      </c>
      <c r="AX9" s="69">
        <v>2736</v>
      </c>
      <c r="AY9" s="36">
        <v>1596</v>
      </c>
      <c r="AZ9" s="36">
        <v>192</v>
      </c>
      <c r="BA9" s="36">
        <v>9021</v>
      </c>
      <c r="BB9" s="36">
        <v>2789</v>
      </c>
      <c r="BC9" s="36">
        <v>2115</v>
      </c>
      <c r="BD9" s="36">
        <v>109</v>
      </c>
      <c r="BE9" s="70">
        <v>9511</v>
      </c>
      <c r="BF9" s="70">
        <v>3051</v>
      </c>
      <c r="BG9" s="70">
        <v>2378</v>
      </c>
      <c r="BH9" s="70">
        <v>413</v>
      </c>
      <c r="BI9" s="36">
        <v>10556</v>
      </c>
      <c r="BJ9" s="36">
        <v>3892</v>
      </c>
      <c r="BK9" s="36">
        <v>2048</v>
      </c>
      <c r="BL9" s="36">
        <v>180</v>
      </c>
      <c r="BM9" s="36">
        <v>5497.3905643209491</v>
      </c>
      <c r="BN9" s="36">
        <v>663.16499403773798</v>
      </c>
      <c r="BO9" s="36">
        <v>100.40819209752209</v>
      </c>
      <c r="BP9" s="36">
        <v>5512.0229139231005</v>
      </c>
      <c r="BQ9" s="36">
        <v>838.41681341063247</v>
      </c>
      <c r="BR9" s="36">
        <v>99.735440391676036</v>
      </c>
      <c r="BS9" s="36">
        <v>5487.2992887332584</v>
      </c>
      <c r="BT9" s="36">
        <v>643.31881871527969</v>
      </c>
      <c r="BU9" s="36">
        <v>155.91020782982076</v>
      </c>
      <c r="BV9" s="36">
        <v>6352</v>
      </c>
      <c r="BW9" s="36">
        <v>372</v>
      </c>
      <c r="BX9" s="36">
        <v>173</v>
      </c>
      <c r="BY9" s="36">
        <v>6922</v>
      </c>
      <c r="BZ9" s="36">
        <v>291</v>
      </c>
      <c r="CA9" s="36">
        <v>177</v>
      </c>
      <c r="CB9" s="36">
        <v>7113</v>
      </c>
      <c r="CC9" s="36">
        <v>182</v>
      </c>
      <c r="CD9" s="36">
        <v>178</v>
      </c>
      <c r="CE9" s="36">
        <v>7190</v>
      </c>
      <c r="CF9" s="36">
        <v>193</v>
      </c>
      <c r="CG9" s="36">
        <v>199</v>
      </c>
      <c r="CH9" s="36">
        <v>7641</v>
      </c>
      <c r="CI9" s="36">
        <v>239</v>
      </c>
      <c r="CJ9" s="70">
        <v>214</v>
      </c>
      <c r="CK9" s="70">
        <v>8488</v>
      </c>
      <c r="CL9" s="70">
        <v>270</v>
      </c>
      <c r="CM9" s="36">
        <v>263</v>
      </c>
      <c r="CN9" s="36">
        <v>8875</v>
      </c>
      <c r="CO9" s="36">
        <v>342</v>
      </c>
      <c r="CP9" s="36">
        <v>294</v>
      </c>
      <c r="CQ9" s="36">
        <v>9839</v>
      </c>
      <c r="CR9" s="36">
        <v>392</v>
      </c>
      <c r="CS9" s="36">
        <v>325</v>
      </c>
      <c r="CT9" s="36">
        <v>107.64027293536707</v>
      </c>
      <c r="CU9" s="36">
        <v>-563.76592949999997</v>
      </c>
      <c r="CV9" s="36">
        <v>339.40323559932926</v>
      </c>
      <c r="CW9" s="36">
        <v>1668</v>
      </c>
      <c r="CX9" s="36">
        <v>266.57786344149497</v>
      </c>
      <c r="CY9" s="36">
        <v>-542.57425079999996</v>
      </c>
      <c r="CZ9" s="36">
        <v>380.10471380301493</v>
      </c>
      <c r="DA9" s="36">
        <v>1701</v>
      </c>
      <c r="DB9" s="36">
        <v>70.302553260911608</v>
      </c>
      <c r="DC9" s="36">
        <v>-592.18968910000001</v>
      </c>
      <c r="DD9" s="36">
        <v>396.92350644916604</v>
      </c>
      <c r="DE9" s="36">
        <v>1969</v>
      </c>
      <c r="DF9" s="36">
        <v>363.11773323040234</v>
      </c>
      <c r="DG9" s="36">
        <v>-374</v>
      </c>
      <c r="DH9" s="36">
        <v>357.90390751009545</v>
      </c>
      <c r="DI9" s="36">
        <v>1902</v>
      </c>
      <c r="DJ9" s="36">
        <v>1161</v>
      </c>
      <c r="DK9" s="36">
        <v>-601</v>
      </c>
      <c r="DL9" s="36">
        <v>347</v>
      </c>
      <c r="DM9" s="36">
        <v>2034</v>
      </c>
      <c r="DN9" s="36">
        <v>649</v>
      </c>
      <c r="DO9" s="69">
        <v>-1209</v>
      </c>
      <c r="DP9" s="36">
        <v>343</v>
      </c>
      <c r="DQ9" s="36">
        <v>3569</v>
      </c>
      <c r="DR9" s="36">
        <v>-594</v>
      </c>
      <c r="DS9" s="36">
        <v>-369</v>
      </c>
      <c r="DT9" s="36">
        <v>395</v>
      </c>
      <c r="DU9" s="36">
        <v>4037</v>
      </c>
      <c r="DV9" s="36">
        <v>-280</v>
      </c>
      <c r="DW9" s="71">
        <v>-387</v>
      </c>
      <c r="DX9" s="39">
        <v>376</v>
      </c>
      <c r="DY9" s="71">
        <v>4846</v>
      </c>
      <c r="DZ9" s="70">
        <v>655</v>
      </c>
      <c r="EA9" s="35">
        <v>-84</v>
      </c>
      <c r="EB9" s="35">
        <v>406</v>
      </c>
      <c r="EC9" s="38">
        <v>4710</v>
      </c>
      <c r="ED9" s="38">
        <v>437</v>
      </c>
      <c r="EE9" s="38">
        <v>-869</v>
      </c>
      <c r="EF9" s="38">
        <v>368</v>
      </c>
      <c r="EG9" s="73">
        <v>5653</v>
      </c>
      <c r="EH9" s="73">
        <v>-570</v>
      </c>
      <c r="EI9" s="73">
        <v>-2838</v>
      </c>
      <c r="EJ9" s="73">
        <v>358</v>
      </c>
      <c r="EK9" s="73">
        <v>10504</v>
      </c>
      <c r="EL9" s="73">
        <v>8524.7732406281484</v>
      </c>
      <c r="EM9" s="73">
        <v>-231.76296266396218</v>
      </c>
      <c r="EN9" s="73">
        <v>8633.0862652693613</v>
      </c>
      <c r="EO9" s="73">
        <v>-113.52685036151995</v>
      </c>
      <c r="EP9" s="73">
        <v>8882.5089602117823</v>
      </c>
      <c r="EQ9" s="73">
        <v>-319.55706027687097</v>
      </c>
      <c r="ER9" s="73">
        <v>9491.8538177818373</v>
      </c>
      <c r="ES9" s="73">
        <v>5.2138257203068417</v>
      </c>
      <c r="ET9" s="73">
        <v>9998</v>
      </c>
      <c r="EU9" s="73">
        <v>814</v>
      </c>
      <c r="EV9" s="73">
        <v>10769</v>
      </c>
      <c r="EW9" s="73">
        <v>310</v>
      </c>
      <c r="EX9" s="73">
        <v>11997</v>
      </c>
      <c r="EY9" s="73">
        <v>-962</v>
      </c>
      <c r="EZ9" s="73">
        <v>12691</v>
      </c>
      <c r="FA9" s="73">
        <v>-528</v>
      </c>
      <c r="FB9" s="73">
        <v>13246</v>
      </c>
      <c r="FC9" s="73">
        <v>276</v>
      </c>
      <c r="FD9" s="73">
        <v>14448</v>
      </c>
      <c r="FE9" s="73">
        <v>369</v>
      </c>
      <c r="FF9" s="73">
        <v>16801</v>
      </c>
      <c r="FG9" s="73">
        <v>-824</v>
      </c>
      <c r="FH9" s="73">
        <v>-4</v>
      </c>
      <c r="FI9" s="73">
        <v>-828</v>
      </c>
      <c r="FJ9" s="79">
        <v>3840</v>
      </c>
      <c r="FK9" s="80">
        <v>10846</v>
      </c>
      <c r="FL9" s="80">
        <v>4921</v>
      </c>
      <c r="FM9" s="80">
        <v>2309</v>
      </c>
      <c r="FN9" s="76">
        <v>43</v>
      </c>
      <c r="FO9" s="80">
        <v>10157</v>
      </c>
      <c r="FP9" s="80">
        <v>352</v>
      </c>
      <c r="FQ9" s="80">
        <v>337</v>
      </c>
      <c r="FR9" s="80">
        <v>829</v>
      </c>
      <c r="FS9" s="81">
        <v>-614</v>
      </c>
      <c r="FT9" s="76">
        <v>538</v>
      </c>
      <c r="FU9" s="76">
        <v>10625</v>
      </c>
      <c r="FV9" s="76">
        <v>614</v>
      </c>
      <c r="FW9" s="80">
        <v>17068</v>
      </c>
      <c r="FX9" s="80">
        <v>318</v>
      </c>
      <c r="FY9" s="73">
        <v>3911</v>
      </c>
      <c r="FZ9" s="73">
        <v>11482</v>
      </c>
      <c r="GA9" s="73">
        <v>4924</v>
      </c>
      <c r="GB9" s="73">
        <v>2419</v>
      </c>
      <c r="GC9" s="73">
        <v>75</v>
      </c>
      <c r="GD9" s="73">
        <v>10468</v>
      </c>
      <c r="GE9" s="73">
        <v>540</v>
      </c>
      <c r="GF9" s="73">
        <v>474</v>
      </c>
      <c r="GG9" s="73">
        <v>607</v>
      </c>
      <c r="GH9" s="73">
        <v>-1980</v>
      </c>
      <c r="GI9" s="73">
        <v>535</v>
      </c>
      <c r="GJ9" s="73">
        <v>10994</v>
      </c>
      <c r="GK9" s="73">
        <v>1980</v>
      </c>
      <c r="GL9" s="73">
        <v>18156</v>
      </c>
      <c r="GM9" s="73">
        <v>99</v>
      </c>
      <c r="GN9" s="73">
        <v>-411</v>
      </c>
      <c r="GO9" s="77">
        <v>20.25</v>
      </c>
      <c r="GP9" s="78">
        <v>3975</v>
      </c>
      <c r="GQ9" s="73">
        <v>12415</v>
      </c>
      <c r="GR9" s="65">
        <v>5082</v>
      </c>
      <c r="GS9" s="65">
        <v>2366</v>
      </c>
      <c r="GT9" s="65">
        <v>85</v>
      </c>
      <c r="GU9" s="65">
        <v>11344</v>
      </c>
      <c r="GV9" s="65">
        <v>575</v>
      </c>
      <c r="GW9" s="65">
        <v>496</v>
      </c>
      <c r="GX9" s="65">
        <v>41</v>
      </c>
      <c r="GY9" s="65">
        <v>-988</v>
      </c>
      <c r="GZ9" s="65">
        <v>581</v>
      </c>
      <c r="HA9" s="65">
        <v>11138</v>
      </c>
      <c r="HB9" s="65">
        <v>988</v>
      </c>
      <c r="HC9" s="65">
        <v>19681</v>
      </c>
      <c r="HD9" s="65">
        <v>-498</v>
      </c>
      <c r="HE9" s="78">
        <v>3971</v>
      </c>
      <c r="HF9" s="73">
        <v>12035</v>
      </c>
      <c r="HG9" s="65">
        <v>5368</v>
      </c>
      <c r="HH9" s="65">
        <v>2650</v>
      </c>
      <c r="HI9" s="65">
        <v>80</v>
      </c>
      <c r="HJ9" s="65">
        <v>11291</v>
      </c>
      <c r="HK9" s="65">
        <v>237</v>
      </c>
      <c r="HL9" s="65">
        <v>507</v>
      </c>
      <c r="HM9" s="65">
        <v>-935</v>
      </c>
      <c r="HN9" s="65">
        <v>-1426</v>
      </c>
      <c r="HO9" s="65">
        <v>619</v>
      </c>
      <c r="HP9" s="65">
        <v>14056</v>
      </c>
      <c r="HQ9" s="65">
        <v>1426</v>
      </c>
      <c r="HR9" s="65">
        <v>20866</v>
      </c>
      <c r="HS9" s="65">
        <v>-1512</v>
      </c>
      <c r="HT9" s="65">
        <v>-2420</v>
      </c>
      <c r="HU9" s="77">
        <v>20.25</v>
      </c>
      <c r="HV9" s="180">
        <v>320</v>
      </c>
      <c r="HW9" s="30" t="s">
        <v>759</v>
      </c>
    </row>
    <row r="10" spans="1:231" ht="15" x14ac:dyDescent="0.25">
      <c r="A10" s="27">
        <v>46</v>
      </c>
      <c r="B10" s="27" t="s">
        <v>138</v>
      </c>
      <c r="C10" s="27">
        <v>10</v>
      </c>
      <c r="D10" s="27" t="s">
        <v>107</v>
      </c>
      <c r="E10" s="27">
        <v>1</v>
      </c>
      <c r="F10" s="27" t="s">
        <v>103</v>
      </c>
      <c r="G10" s="29" t="s">
        <v>130</v>
      </c>
      <c r="H10" s="27" t="s">
        <v>98</v>
      </c>
      <c r="I10" s="31" t="s">
        <v>107</v>
      </c>
      <c r="J10" s="69">
        <v>1938</v>
      </c>
      <c r="K10" s="69">
        <v>1909</v>
      </c>
      <c r="L10" s="36">
        <v>1871</v>
      </c>
      <c r="M10" s="36">
        <v>1819</v>
      </c>
      <c r="N10" s="36">
        <v>1793</v>
      </c>
      <c r="O10" s="36">
        <v>1747</v>
      </c>
      <c r="P10" s="36">
        <v>1738</v>
      </c>
      <c r="Q10" s="36">
        <v>1713</v>
      </c>
      <c r="R10" s="69">
        <v>1696</v>
      </c>
      <c r="S10" s="69">
        <v>1677</v>
      </c>
      <c r="T10" s="71">
        <v>1652</v>
      </c>
      <c r="U10" s="36">
        <v>3569</v>
      </c>
      <c r="V10" s="36">
        <v>2387</v>
      </c>
      <c r="W10" s="36">
        <v>1726</v>
      </c>
      <c r="X10" s="36">
        <v>188.70685348981539</v>
      </c>
      <c r="Y10" s="36">
        <v>3360</v>
      </c>
      <c r="Z10" s="36">
        <v>2283</v>
      </c>
      <c r="AA10" s="36">
        <v>1639</v>
      </c>
      <c r="AB10" s="36">
        <v>232.60390229626972</v>
      </c>
      <c r="AC10" s="36">
        <v>3297</v>
      </c>
      <c r="AD10" s="36">
        <v>2129</v>
      </c>
      <c r="AE10" s="36">
        <v>1937</v>
      </c>
      <c r="AF10" s="36">
        <v>162.80591281474267</v>
      </c>
      <c r="AG10" s="36">
        <v>3224</v>
      </c>
      <c r="AH10" s="36">
        <v>2752</v>
      </c>
      <c r="AI10" s="36">
        <v>1860</v>
      </c>
      <c r="AJ10" s="36">
        <v>138.58685140428508</v>
      </c>
      <c r="AK10" s="36">
        <v>3124</v>
      </c>
      <c r="AL10" s="36">
        <v>3038</v>
      </c>
      <c r="AM10" s="36">
        <v>2304</v>
      </c>
      <c r="AN10" s="36">
        <v>113</v>
      </c>
      <c r="AO10" s="36">
        <v>2964</v>
      </c>
      <c r="AP10" s="36">
        <v>3485</v>
      </c>
      <c r="AQ10" s="36">
        <v>2367</v>
      </c>
      <c r="AR10" s="36">
        <v>96</v>
      </c>
      <c r="AS10" s="36">
        <v>3109</v>
      </c>
      <c r="AT10" s="36">
        <v>3705</v>
      </c>
      <c r="AU10" s="36">
        <v>1674</v>
      </c>
      <c r="AV10" s="36">
        <v>107</v>
      </c>
      <c r="AW10" s="36">
        <v>3344</v>
      </c>
      <c r="AX10" s="69">
        <v>3662</v>
      </c>
      <c r="AY10" s="36">
        <v>1665</v>
      </c>
      <c r="AZ10" s="36">
        <v>90</v>
      </c>
      <c r="BA10" s="36">
        <v>3593</v>
      </c>
      <c r="BB10" s="36">
        <v>3786</v>
      </c>
      <c r="BC10" s="36">
        <v>2062</v>
      </c>
      <c r="BD10" s="36">
        <v>102</v>
      </c>
      <c r="BE10" s="70">
        <v>3841</v>
      </c>
      <c r="BF10" s="70">
        <v>3726</v>
      </c>
      <c r="BG10" s="70">
        <v>2019</v>
      </c>
      <c r="BH10" s="70">
        <v>150</v>
      </c>
      <c r="BI10" s="36">
        <v>4167</v>
      </c>
      <c r="BJ10" s="36">
        <v>3900</v>
      </c>
      <c r="BK10" s="36">
        <v>2240</v>
      </c>
      <c r="BL10" s="36">
        <v>284</v>
      </c>
      <c r="BM10" s="36">
        <v>2265.8277452894768</v>
      </c>
      <c r="BN10" s="36">
        <v>1173.615350848424</v>
      </c>
      <c r="BO10" s="36">
        <v>129.16832752244051</v>
      </c>
      <c r="BP10" s="36">
        <v>2274.0689536860905</v>
      </c>
      <c r="BQ10" s="36">
        <v>956.31654986015178</v>
      </c>
      <c r="BR10" s="36">
        <v>129.5047033753635</v>
      </c>
      <c r="BS10" s="36">
        <v>2172.4834461033379</v>
      </c>
      <c r="BT10" s="36">
        <v>993.82245746106867</v>
      </c>
      <c r="BU10" s="36">
        <v>130.51383093413256</v>
      </c>
      <c r="BV10" s="36">
        <v>2486</v>
      </c>
      <c r="BW10" s="36">
        <v>598</v>
      </c>
      <c r="BX10" s="36">
        <v>140</v>
      </c>
      <c r="BY10" s="36">
        <v>2565</v>
      </c>
      <c r="BZ10" s="36">
        <v>413</v>
      </c>
      <c r="CA10" s="36">
        <v>146</v>
      </c>
      <c r="CB10" s="36">
        <v>2610</v>
      </c>
      <c r="CC10" s="36">
        <v>206</v>
      </c>
      <c r="CD10" s="36">
        <v>148</v>
      </c>
      <c r="CE10" s="36">
        <v>2664</v>
      </c>
      <c r="CF10" s="36">
        <v>293</v>
      </c>
      <c r="CG10" s="36">
        <v>152</v>
      </c>
      <c r="CH10" s="36">
        <v>2711</v>
      </c>
      <c r="CI10" s="36">
        <v>409</v>
      </c>
      <c r="CJ10" s="70">
        <v>224</v>
      </c>
      <c r="CK10" s="70">
        <v>2870</v>
      </c>
      <c r="CL10" s="70">
        <v>490</v>
      </c>
      <c r="CM10" s="36">
        <v>233</v>
      </c>
      <c r="CN10" s="36">
        <v>3037</v>
      </c>
      <c r="CO10" s="36">
        <v>561</v>
      </c>
      <c r="CP10" s="36">
        <v>243</v>
      </c>
      <c r="CQ10" s="36">
        <v>3363</v>
      </c>
      <c r="CR10" s="36">
        <v>541</v>
      </c>
      <c r="CS10" s="36">
        <v>263</v>
      </c>
      <c r="CT10" s="36">
        <v>679.64741083096612</v>
      </c>
      <c r="CU10" s="36">
        <v>-47.933559039999999</v>
      </c>
      <c r="CV10" s="36">
        <v>182.98846399012399</v>
      </c>
      <c r="CW10" s="36">
        <v>571</v>
      </c>
      <c r="CX10" s="36">
        <v>134.04577738982428</v>
      </c>
      <c r="CY10" s="36">
        <v>-90.989668219999999</v>
      </c>
      <c r="CZ10" s="36">
        <v>185.17490703412363</v>
      </c>
      <c r="DA10" s="36">
        <v>329</v>
      </c>
      <c r="DB10" s="36">
        <v>-136.56859628674695</v>
      </c>
      <c r="DC10" s="36">
        <v>-175.0836314</v>
      </c>
      <c r="DD10" s="36">
        <v>187.02497422520025</v>
      </c>
      <c r="DE10" s="36">
        <v>261</v>
      </c>
      <c r="DF10" s="36">
        <v>-62.73409657014362</v>
      </c>
      <c r="DG10" s="36">
        <v>-636</v>
      </c>
      <c r="DH10" s="36">
        <v>204.3483306507359</v>
      </c>
      <c r="DI10" s="36">
        <v>191</v>
      </c>
      <c r="DJ10" s="36">
        <v>110</v>
      </c>
      <c r="DK10" s="36">
        <v>-182</v>
      </c>
      <c r="DL10" s="36">
        <v>213</v>
      </c>
      <c r="DM10" s="36">
        <v>126</v>
      </c>
      <c r="DN10" s="36">
        <v>144</v>
      </c>
      <c r="DO10" s="69">
        <v>-153</v>
      </c>
      <c r="DP10" s="36">
        <v>216</v>
      </c>
      <c r="DQ10" s="36">
        <v>260</v>
      </c>
      <c r="DR10" s="36">
        <v>283</v>
      </c>
      <c r="DS10" s="36">
        <v>-159</v>
      </c>
      <c r="DT10" s="36">
        <v>228</v>
      </c>
      <c r="DU10" s="36">
        <v>382</v>
      </c>
      <c r="DV10" s="36">
        <v>177</v>
      </c>
      <c r="DW10" s="71">
        <v>-92</v>
      </c>
      <c r="DX10" s="39">
        <v>230</v>
      </c>
      <c r="DY10" s="71">
        <v>333</v>
      </c>
      <c r="DZ10" s="70">
        <v>567</v>
      </c>
      <c r="EA10" s="35">
        <v>49</v>
      </c>
      <c r="EB10" s="35">
        <v>253</v>
      </c>
      <c r="EC10" s="38">
        <v>284</v>
      </c>
      <c r="ED10" s="38">
        <v>688</v>
      </c>
      <c r="EE10" s="38">
        <v>124</v>
      </c>
      <c r="EF10" s="38">
        <v>230</v>
      </c>
      <c r="EG10" s="73">
        <v>246</v>
      </c>
      <c r="EH10" s="73">
        <v>905</v>
      </c>
      <c r="EI10" s="73">
        <v>-320</v>
      </c>
      <c r="EJ10" s="73">
        <v>254</v>
      </c>
      <c r="EK10" s="73">
        <v>100</v>
      </c>
      <c r="EL10" s="73">
        <v>6812.7883371764274</v>
      </c>
      <c r="EM10" s="73">
        <v>521.88713581006868</v>
      </c>
      <c r="EN10" s="73">
        <v>7045.5604273991585</v>
      </c>
      <c r="EO10" s="73">
        <v>-34.310336998148252</v>
      </c>
      <c r="EP10" s="73">
        <v>7334.5072850600345</v>
      </c>
      <c r="EQ10" s="73">
        <v>-325.94820148240836</v>
      </c>
      <c r="ER10" s="73">
        <v>7670.8831379830553</v>
      </c>
      <c r="ES10" s="73">
        <v>-268.09155477964856</v>
      </c>
      <c r="ET10" s="73">
        <v>8456</v>
      </c>
      <c r="EU10" s="73">
        <v>-105</v>
      </c>
      <c r="EV10" s="73">
        <v>8762</v>
      </c>
      <c r="EW10" s="73">
        <v>-73</v>
      </c>
      <c r="EX10" s="73">
        <v>8306</v>
      </c>
      <c r="EY10" s="73">
        <v>54</v>
      </c>
      <c r="EZ10" s="73">
        <v>8575</v>
      </c>
      <c r="FA10" s="73">
        <v>-54</v>
      </c>
      <c r="FB10" s="73">
        <v>8976</v>
      </c>
      <c r="FC10" s="73">
        <v>313</v>
      </c>
      <c r="FD10" s="73">
        <v>9034</v>
      </c>
      <c r="FE10" s="73">
        <v>457</v>
      </c>
      <c r="FF10" s="73">
        <v>9586</v>
      </c>
      <c r="FG10" s="73">
        <v>750</v>
      </c>
      <c r="FH10" s="73">
        <v>3094</v>
      </c>
      <c r="FI10" s="73">
        <v>3844</v>
      </c>
      <c r="FJ10" s="79">
        <v>1617</v>
      </c>
      <c r="FK10" s="80">
        <v>4140</v>
      </c>
      <c r="FL10" s="80">
        <v>4151</v>
      </c>
      <c r="FM10" s="80">
        <v>2042</v>
      </c>
      <c r="FN10" s="76">
        <v>117</v>
      </c>
      <c r="FO10" s="80">
        <v>3445</v>
      </c>
      <c r="FP10" s="80">
        <v>417</v>
      </c>
      <c r="FQ10" s="80">
        <v>278</v>
      </c>
      <c r="FR10" s="80">
        <v>585</v>
      </c>
      <c r="FS10" s="81">
        <v>-892</v>
      </c>
      <c r="FT10" s="76">
        <v>246</v>
      </c>
      <c r="FU10" s="76">
        <v>80</v>
      </c>
      <c r="FV10" s="76">
        <v>892</v>
      </c>
      <c r="FW10" s="80">
        <v>9865</v>
      </c>
      <c r="FX10" s="80">
        <v>343</v>
      </c>
      <c r="FY10" s="73">
        <v>1615</v>
      </c>
      <c r="FZ10" s="73">
        <v>4034</v>
      </c>
      <c r="GA10" s="73">
        <v>4469</v>
      </c>
      <c r="GB10" s="73">
        <v>2142</v>
      </c>
      <c r="GC10" s="73">
        <v>177</v>
      </c>
      <c r="GD10" s="73">
        <v>3226</v>
      </c>
      <c r="GE10" s="73">
        <v>533</v>
      </c>
      <c r="GF10" s="73">
        <v>275</v>
      </c>
      <c r="GG10" s="73">
        <v>439</v>
      </c>
      <c r="GH10" s="73">
        <v>-492</v>
      </c>
      <c r="GI10" s="73">
        <v>244</v>
      </c>
      <c r="GJ10" s="73">
        <v>63</v>
      </c>
      <c r="GK10" s="73">
        <v>492</v>
      </c>
      <c r="GL10" s="73">
        <v>10294</v>
      </c>
      <c r="GM10" s="73">
        <v>279</v>
      </c>
      <c r="GN10" s="73">
        <v>4466</v>
      </c>
      <c r="GO10" s="77">
        <v>19.75</v>
      </c>
      <c r="GP10" s="78">
        <v>1566</v>
      </c>
      <c r="GQ10" s="73">
        <v>4124</v>
      </c>
      <c r="GR10" s="65">
        <v>4644</v>
      </c>
      <c r="GS10" s="65">
        <v>2236</v>
      </c>
      <c r="GT10" s="65">
        <v>105</v>
      </c>
      <c r="GU10" s="65">
        <v>3307</v>
      </c>
      <c r="GV10" s="65">
        <v>542</v>
      </c>
      <c r="GW10" s="65">
        <v>275</v>
      </c>
      <c r="GX10" s="65">
        <v>437</v>
      </c>
      <c r="GY10" s="65">
        <v>-504</v>
      </c>
      <c r="GZ10" s="65">
        <v>400</v>
      </c>
      <c r="HA10" s="65">
        <v>0</v>
      </c>
      <c r="HB10" s="65">
        <v>504</v>
      </c>
      <c r="HC10" s="65">
        <v>10672</v>
      </c>
      <c r="HD10" s="65">
        <v>36</v>
      </c>
      <c r="HE10" s="78">
        <v>1532</v>
      </c>
      <c r="HF10" s="73">
        <v>3995</v>
      </c>
      <c r="HG10" s="65">
        <v>4875</v>
      </c>
      <c r="HH10" s="65">
        <v>2144</v>
      </c>
      <c r="HI10" s="65">
        <v>103</v>
      </c>
      <c r="HJ10" s="65">
        <v>3357</v>
      </c>
      <c r="HK10" s="65">
        <v>354</v>
      </c>
      <c r="HL10" s="65">
        <v>284</v>
      </c>
      <c r="HM10" s="65">
        <v>-92</v>
      </c>
      <c r="HN10" s="65">
        <v>-228</v>
      </c>
      <c r="HO10" s="65">
        <v>300</v>
      </c>
      <c r="HP10" s="65">
        <v>0</v>
      </c>
      <c r="HQ10" s="65">
        <v>228</v>
      </c>
      <c r="HR10" s="65">
        <v>11209</v>
      </c>
      <c r="HS10" s="65">
        <v>-467</v>
      </c>
      <c r="HT10" s="65">
        <v>4035</v>
      </c>
      <c r="HU10" s="77">
        <v>19.75</v>
      </c>
      <c r="HV10" s="180">
        <v>340</v>
      </c>
      <c r="HW10" s="30" t="s">
        <v>761</v>
      </c>
    </row>
    <row r="11" spans="1:231" ht="15" x14ac:dyDescent="0.25">
      <c r="A11" s="27">
        <v>47</v>
      </c>
      <c r="B11" s="27" t="s">
        <v>139</v>
      </c>
      <c r="C11" s="27">
        <v>19</v>
      </c>
      <c r="D11" s="27" t="s">
        <v>113</v>
      </c>
      <c r="E11" s="27">
        <v>1</v>
      </c>
      <c r="F11" s="27" t="s">
        <v>103</v>
      </c>
      <c r="G11" s="29" t="s">
        <v>130</v>
      </c>
      <c r="H11" s="27" t="s">
        <v>98</v>
      </c>
      <c r="I11" s="31" t="s">
        <v>113</v>
      </c>
      <c r="J11" s="69">
        <v>2324</v>
      </c>
      <c r="K11" s="69">
        <v>2225</v>
      </c>
      <c r="L11" s="36">
        <v>2145</v>
      </c>
      <c r="M11" s="36">
        <v>2100</v>
      </c>
      <c r="N11" s="36">
        <v>2073</v>
      </c>
      <c r="O11" s="36">
        <v>2022</v>
      </c>
      <c r="P11" s="36">
        <v>1998</v>
      </c>
      <c r="Q11" s="36">
        <v>2000</v>
      </c>
      <c r="R11" s="69">
        <v>1997</v>
      </c>
      <c r="S11" s="69">
        <v>1965</v>
      </c>
      <c r="T11" s="71">
        <v>1915</v>
      </c>
      <c r="U11" s="36">
        <v>3694</v>
      </c>
      <c r="V11" s="36">
        <v>5152</v>
      </c>
      <c r="W11" s="36">
        <v>2775</v>
      </c>
      <c r="X11" s="36">
        <v>89.980540656908403</v>
      </c>
      <c r="Y11" s="36">
        <v>3589</v>
      </c>
      <c r="Z11" s="36">
        <v>4696</v>
      </c>
      <c r="AA11" s="36">
        <v>2873</v>
      </c>
      <c r="AB11" s="36">
        <v>75.011815201833926</v>
      </c>
      <c r="AC11" s="36">
        <v>3469</v>
      </c>
      <c r="AD11" s="36">
        <v>5298</v>
      </c>
      <c r="AE11" s="36">
        <v>1657</v>
      </c>
      <c r="AF11" s="36">
        <v>72.152620451988227</v>
      </c>
      <c r="AG11" s="36">
        <v>3420</v>
      </c>
      <c r="AH11" s="36">
        <v>5596</v>
      </c>
      <c r="AI11" s="36">
        <v>1868</v>
      </c>
      <c r="AJ11" s="36">
        <v>398.43719778731963</v>
      </c>
      <c r="AK11" s="36">
        <v>3744</v>
      </c>
      <c r="AL11" s="36">
        <v>6094</v>
      </c>
      <c r="AM11" s="36">
        <v>2174</v>
      </c>
      <c r="AN11" s="36">
        <v>374</v>
      </c>
      <c r="AO11" s="36">
        <v>3525</v>
      </c>
      <c r="AP11" s="36">
        <v>6348</v>
      </c>
      <c r="AQ11" s="36">
        <v>2074</v>
      </c>
      <c r="AR11" s="36">
        <v>440</v>
      </c>
      <c r="AS11" s="36">
        <v>3651</v>
      </c>
      <c r="AT11" s="36">
        <v>5981</v>
      </c>
      <c r="AU11" s="36">
        <v>1814</v>
      </c>
      <c r="AV11" s="36">
        <v>374</v>
      </c>
      <c r="AW11" s="36">
        <v>3775</v>
      </c>
      <c r="AX11" s="69">
        <v>5460</v>
      </c>
      <c r="AY11" s="36">
        <v>1947</v>
      </c>
      <c r="AZ11" s="36">
        <v>439</v>
      </c>
      <c r="BA11" s="36">
        <v>4081</v>
      </c>
      <c r="BB11" s="36">
        <v>5649</v>
      </c>
      <c r="BC11" s="36">
        <v>2340</v>
      </c>
      <c r="BD11" s="36">
        <v>1311</v>
      </c>
      <c r="BE11" s="70">
        <v>4592</v>
      </c>
      <c r="BF11" s="70">
        <v>6134</v>
      </c>
      <c r="BG11" s="70">
        <v>2545</v>
      </c>
      <c r="BH11" s="70">
        <v>1003</v>
      </c>
      <c r="BI11" s="36">
        <v>4729</v>
      </c>
      <c r="BJ11" s="36">
        <v>6601</v>
      </c>
      <c r="BK11" s="36">
        <v>1906</v>
      </c>
      <c r="BL11" s="36">
        <v>534</v>
      </c>
      <c r="BM11" s="36">
        <v>3332.6437628348413</v>
      </c>
      <c r="BN11" s="36">
        <v>177.60645034335565</v>
      </c>
      <c r="BO11" s="36">
        <v>183.66121569597004</v>
      </c>
      <c r="BP11" s="36">
        <v>3287.4012106166947</v>
      </c>
      <c r="BQ11" s="36">
        <v>100.57638002398359</v>
      </c>
      <c r="BR11" s="36">
        <v>200.98457212150569</v>
      </c>
      <c r="BS11" s="36">
        <v>2984.3265671330519</v>
      </c>
      <c r="BT11" s="36">
        <v>278.35101829380079</v>
      </c>
      <c r="BU11" s="36">
        <v>206.70296162119706</v>
      </c>
      <c r="BV11" s="36">
        <v>3142</v>
      </c>
      <c r="BW11" s="36">
        <v>85</v>
      </c>
      <c r="BX11" s="36">
        <v>194</v>
      </c>
      <c r="BY11" s="36">
        <v>3397</v>
      </c>
      <c r="BZ11" s="36">
        <v>117</v>
      </c>
      <c r="CA11" s="36">
        <v>230</v>
      </c>
      <c r="CB11" s="36">
        <v>3244</v>
      </c>
      <c r="CC11" s="36">
        <v>48</v>
      </c>
      <c r="CD11" s="36">
        <v>233</v>
      </c>
      <c r="CE11" s="36">
        <v>3328</v>
      </c>
      <c r="CF11" s="36">
        <v>81</v>
      </c>
      <c r="CG11" s="36">
        <v>242</v>
      </c>
      <c r="CH11" s="36">
        <v>3395</v>
      </c>
      <c r="CI11" s="36">
        <v>132</v>
      </c>
      <c r="CJ11" s="70">
        <v>248</v>
      </c>
      <c r="CK11" s="70">
        <v>3637</v>
      </c>
      <c r="CL11" s="70">
        <v>133</v>
      </c>
      <c r="CM11" s="36">
        <v>311</v>
      </c>
      <c r="CN11" s="36">
        <v>3993</v>
      </c>
      <c r="CO11" s="36">
        <v>207</v>
      </c>
      <c r="CP11" s="36">
        <v>392</v>
      </c>
      <c r="CQ11" s="36">
        <v>4004</v>
      </c>
      <c r="CR11" s="36">
        <v>243</v>
      </c>
      <c r="CS11" s="36">
        <v>482</v>
      </c>
      <c r="CT11" s="36">
        <v>229.91289547288557</v>
      </c>
      <c r="CU11" s="36">
        <v>-488.41773840000002</v>
      </c>
      <c r="CV11" s="36">
        <v>343.60793376086701</v>
      </c>
      <c r="CW11" s="36">
        <v>723</v>
      </c>
      <c r="CX11" s="36">
        <v>-443.00699829962002</v>
      </c>
      <c r="CY11" s="36">
        <v>-383.80484819999998</v>
      </c>
      <c r="CZ11" s="36">
        <v>363.95867286270988</v>
      </c>
      <c r="DA11" s="36">
        <v>874</v>
      </c>
      <c r="DB11" s="36">
        <v>-268.59611855903313</v>
      </c>
      <c r="DC11" s="36">
        <v>-566.62512419999996</v>
      </c>
      <c r="DD11" s="36">
        <v>261.36403772118814</v>
      </c>
      <c r="DE11" s="36">
        <v>1394</v>
      </c>
      <c r="DF11" s="36">
        <v>-703.36190846203908</v>
      </c>
      <c r="DG11" s="36">
        <v>-529</v>
      </c>
      <c r="DH11" s="36">
        <v>280.87383719072341</v>
      </c>
      <c r="DI11" s="36">
        <v>1720</v>
      </c>
      <c r="DJ11" s="36">
        <v>-314</v>
      </c>
      <c r="DK11" s="36">
        <v>-317</v>
      </c>
      <c r="DL11" s="36">
        <v>330</v>
      </c>
      <c r="DM11" s="36">
        <v>2733</v>
      </c>
      <c r="DN11" s="36">
        <v>-447</v>
      </c>
      <c r="DO11" s="69">
        <v>-621</v>
      </c>
      <c r="DP11" s="36">
        <v>305</v>
      </c>
      <c r="DQ11" s="36">
        <v>3219</v>
      </c>
      <c r="DR11" s="36">
        <v>10</v>
      </c>
      <c r="DS11" s="36">
        <v>-428</v>
      </c>
      <c r="DT11" s="36">
        <v>390</v>
      </c>
      <c r="DU11" s="36">
        <v>4075</v>
      </c>
      <c r="DV11" s="36">
        <v>-590</v>
      </c>
      <c r="DW11" s="71">
        <v>-1428</v>
      </c>
      <c r="DX11" s="39">
        <v>341</v>
      </c>
      <c r="DY11" s="71">
        <v>5840</v>
      </c>
      <c r="DZ11" s="70">
        <v>-309</v>
      </c>
      <c r="EA11" s="35">
        <v>13</v>
      </c>
      <c r="EB11" s="35">
        <v>371</v>
      </c>
      <c r="EC11" s="38">
        <v>6289</v>
      </c>
      <c r="ED11" s="38">
        <v>211</v>
      </c>
      <c r="EE11" s="38">
        <v>24</v>
      </c>
      <c r="EF11" s="38">
        <v>318</v>
      </c>
      <c r="EG11" s="73">
        <v>6634</v>
      </c>
      <c r="EH11" s="73">
        <v>556</v>
      </c>
      <c r="EI11" s="73">
        <v>289</v>
      </c>
      <c r="EJ11" s="73">
        <v>279</v>
      </c>
      <c r="EK11" s="73">
        <v>5716</v>
      </c>
      <c r="EL11" s="73">
        <v>11073.661266152347</v>
      </c>
      <c r="EM11" s="73">
        <v>-53.988324394145039</v>
      </c>
      <c r="EN11" s="73">
        <v>11228.898722276323</v>
      </c>
      <c r="EO11" s="73">
        <v>-736.15855412203382</v>
      </c>
      <c r="EP11" s="73">
        <v>10270.395729372171</v>
      </c>
      <c r="EQ11" s="73">
        <v>-19.846175322458301</v>
      </c>
      <c r="ER11" s="73">
        <v>11261.358992083393</v>
      </c>
      <c r="ES11" s="73">
        <v>-646.68257724450996</v>
      </c>
      <c r="ET11" s="73">
        <v>12397</v>
      </c>
      <c r="EU11" s="73">
        <v>-629</v>
      </c>
      <c r="EV11" s="73">
        <v>12094</v>
      </c>
      <c r="EW11" s="73">
        <v>-830</v>
      </c>
      <c r="EX11" s="73">
        <v>11500</v>
      </c>
      <c r="EY11" s="73">
        <v>-380</v>
      </c>
      <c r="EZ11" s="73">
        <v>11983</v>
      </c>
      <c r="FA11" s="73">
        <v>-931</v>
      </c>
      <c r="FB11" s="73">
        <v>12461</v>
      </c>
      <c r="FC11" s="73">
        <v>324</v>
      </c>
      <c r="FD11" s="73">
        <v>13058</v>
      </c>
      <c r="FE11" s="73">
        <v>492</v>
      </c>
      <c r="FF11" s="73">
        <v>12887</v>
      </c>
      <c r="FG11" s="73">
        <v>341</v>
      </c>
      <c r="FH11" s="73">
        <v>-2011</v>
      </c>
      <c r="FI11" s="73">
        <v>-1669</v>
      </c>
      <c r="FJ11" s="79">
        <v>1882</v>
      </c>
      <c r="FK11" s="80">
        <v>5027</v>
      </c>
      <c r="FL11" s="80">
        <v>6929</v>
      </c>
      <c r="FM11" s="80">
        <v>2280</v>
      </c>
      <c r="FN11" s="76">
        <v>521</v>
      </c>
      <c r="FO11" s="80">
        <v>4306</v>
      </c>
      <c r="FP11" s="80">
        <v>219</v>
      </c>
      <c r="FQ11" s="80">
        <v>502</v>
      </c>
      <c r="FR11" s="80">
        <v>1224</v>
      </c>
      <c r="FS11" s="81">
        <v>-23</v>
      </c>
      <c r="FT11" s="76">
        <v>268</v>
      </c>
      <c r="FU11" s="76">
        <v>4798</v>
      </c>
      <c r="FV11" s="76">
        <v>23</v>
      </c>
      <c r="FW11" s="80">
        <v>13265</v>
      </c>
      <c r="FX11" s="80">
        <v>816</v>
      </c>
      <c r="FY11" s="73">
        <v>1876</v>
      </c>
      <c r="FZ11" s="73">
        <v>4861</v>
      </c>
      <c r="GA11" s="73">
        <v>7672</v>
      </c>
      <c r="GB11" s="73">
        <v>2350</v>
      </c>
      <c r="GC11" s="73">
        <v>728</v>
      </c>
      <c r="GD11" s="73">
        <v>4045</v>
      </c>
      <c r="GE11" s="73">
        <v>291</v>
      </c>
      <c r="GF11" s="73">
        <v>525</v>
      </c>
      <c r="GG11" s="73">
        <v>1103</v>
      </c>
      <c r="GH11" s="73">
        <v>-733</v>
      </c>
      <c r="GI11" s="73">
        <v>272</v>
      </c>
      <c r="GJ11" s="73">
        <v>3882</v>
      </c>
      <c r="GK11" s="73">
        <v>733</v>
      </c>
      <c r="GL11" s="73">
        <v>14321</v>
      </c>
      <c r="GM11" s="73">
        <v>761</v>
      </c>
      <c r="GN11" s="73">
        <v>-93</v>
      </c>
      <c r="GO11" s="77">
        <v>20.5</v>
      </c>
      <c r="GP11" s="78">
        <v>1893</v>
      </c>
      <c r="GQ11" s="73">
        <v>4898</v>
      </c>
      <c r="GR11" s="65">
        <v>7948</v>
      </c>
      <c r="GS11" s="65">
        <v>2745</v>
      </c>
      <c r="GT11" s="65">
        <v>598</v>
      </c>
      <c r="GU11" s="65">
        <v>4035</v>
      </c>
      <c r="GV11" s="65">
        <v>357</v>
      </c>
      <c r="GW11" s="65">
        <v>506</v>
      </c>
      <c r="GX11" s="65">
        <v>707</v>
      </c>
      <c r="GY11" s="65">
        <v>-461</v>
      </c>
      <c r="GZ11" s="65">
        <v>317</v>
      </c>
      <c r="HA11" s="65">
        <v>3966</v>
      </c>
      <c r="HB11" s="65">
        <v>461</v>
      </c>
      <c r="HC11" s="65">
        <v>15316</v>
      </c>
      <c r="HD11" s="65">
        <v>139</v>
      </c>
      <c r="HE11" s="78">
        <v>1880</v>
      </c>
      <c r="HF11" s="73">
        <v>5386</v>
      </c>
      <c r="HG11" s="65">
        <v>8387</v>
      </c>
      <c r="HH11" s="65">
        <v>2671</v>
      </c>
      <c r="HI11" s="65">
        <v>591</v>
      </c>
      <c r="HJ11" s="65">
        <v>4609</v>
      </c>
      <c r="HK11" s="65">
        <v>230</v>
      </c>
      <c r="HL11" s="65">
        <v>547</v>
      </c>
      <c r="HM11" s="65">
        <v>494</v>
      </c>
      <c r="HN11" s="65">
        <v>-677</v>
      </c>
      <c r="HO11" s="65">
        <v>293</v>
      </c>
      <c r="HP11" s="65">
        <v>4439</v>
      </c>
      <c r="HQ11" s="65">
        <v>677</v>
      </c>
      <c r="HR11" s="65">
        <v>16242</v>
      </c>
      <c r="HS11" s="65">
        <v>199</v>
      </c>
      <c r="HT11" s="65">
        <v>245</v>
      </c>
      <c r="HU11" s="77">
        <v>20.75</v>
      </c>
      <c r="HV11" s="180">
        <v>330</v>
      </c>
      <c r="HW11" s="30" t="s">
        <v>760</v>
      </c>
    </row>
    <row r="12" spans="1:231" ht="15" x14ac:dyDescent="0.25">
      <c r="A12" s="27">
        <v>49</v>
      </c>
      <c r="B12" s="27" t="s">
        <v>140</v>
      </c>
      <c r="C12" s="27">
        <v>1</v>
      </c>
      <c r="D12" s="27" t="s">
        <v>121</v>
      </c>
      <c r="E12" s="27">
        <v>7</v>
      </c>
      <c r="F12" s="27" t="s">
        <v>104</v>
      </c>
      <c r="G12" s="29" t="s">
        <v>141</v>
      </c>
      <c r="H12" s="27" t="s">
        <v>97</v>
      </c>
      <c r="I12" s="31" t="s">
        <v>121</v>
      </c>
      <c r="J12" s="69">
        <v>204962</v>
      </c>
      <c r="K12" s="69">
        <v>209667</v>
      </c>
      <c r="L12" s="36">
        <v>213271</v>
      </c>
      <c r="M12" s="36">
        <v>216836</v>
      </c>
      <c r="N12" s="36">
        <v>221597</v>
      </c>
      <c r="O12" s="36">
        <v>224231</v>
      </c>
      <c r="P12" s="36">
        <v>227472</v>
      </c>
      <c r="Q12" s="36">
        <v>231704</v>
      </c>
      <c r="R12" s="69">
        <v>235019</v>
      </c>
      <c r="S12" s="69">
        <v>238047</v>
      </c>
      <c r="T12" s="71">
        <v>241565</v>
      </c>
      <c r="U12" s="36">
        <v>640875</v>
      </c>
      <c r="V12" s="36">
        <v>39</v>
      </c>
      <c r="W12" s="36">
        <v>112484</v>
      </c>
      <c r="X12" s="36">
        <v>17242.962596687034</v>
      </c>
      <c r="Y12" s="36">
        <v>688594</v>
      </c>
      <c r="Z12" s="36">
        <v>-3609</v>
      </c>
      <c r="AA12" s="36">
        <v>136974</v>
      </c>
      <c r="AB12" s="36">
        <v>14159.741528794613</v>
      </c>
      <c r="AC12" s="36">
        <v>878997</v>
      </c>
      <c r="AD12" s="36">
        <v>-12401</v>
      </c>
      <c r="AE12" s="36">
        <v>125461</v>
      </c>
      <c r="AF12" s="36">
        <v>20327.529167991146</v>
      </c>
      <c r="AG12" s="36">
        <v>917511</v>
      </c>
      <c r="AH12" s="36">
        <v>-46807</v>
      </c>
      <c r="AI12" s="36">
        <v>132900</v>
      </c>
      <c r="AJ12" s="36">
        <v>17826.911077361401</v>
      </c>
      <c r="AK12" s="36">
        <v>891114</v>
      </c>
      <c r="AL12" s="36">
        <v>-78940</v>
      </c>
      <c r="AM12" s="36">
        <v>143407</v>
      </c>
      <c r="AN12" s="36">
        <v>31235</v>
      </c>
      <c r="AO12" s="36">
        <v>823851</v>
      </c>
      <c r="AP12" s="36">
        <v>-65523</v>
      </c>
      <c r="AQ12" s="36">
        <v>160266</v>
      </c>
      <c r="AR12" s="36">
        <v>18447</v>
      </c>
      <c r="AS12" s="36">
        <v>844706</v>
      </c>
      <c r="AT12" s="36">
        <v>-26186</v>
      </c>
      <c r="AU12" s="36">
        <v>169616</v>
      </c>
      <c r="AV12" s="36">
        <v>20020</v>
      </c>
      <c r="AW12" s="36">
        <v>923105</v>
      </c>
      <c r="AX12" s="69">
        <v>-5756</v>
      </c>
      <c r="AY12" s="36">
        <v>166696</v>
      </c>
      <c r="AZ12" s="36">
        <v>24672</v>
      </c>
      <c r="BA12" s="36">
        <v>992179</v>
      </c>
      <c r="BB12" s="36">
        <v>4185</v>
      </c>
      <c r="BC12" s="36">
        <v>204635</v>
      </c>
      <c r="BD12" s="36">
        <v>375994</v>
      </c>
      <c r="BE12" s="70">
        <v>1084175</v>
      </c>
      <c r="BF12" s="70">
        <v>-2673</v>
      </c>
      <c r="BG12" s="70">
        <v>218956</v>
      </c>
      <c r="BH12" s="70">
        <v>26162</v>
      </c>
      <c r="BI12" s="36">
        <v>1148231</v>
      </c>
      <c r="BJ12" s="36">
        <v>-1938</v>
      </c>
      <c r="BK12" s="36">
        <v>216539</v>
      </c>
      <c r="BL12" s="36">
        <v>324</v>
      </c>
      <c r="BM12" s="36">
        <v>502744.65877192543</v>
      </c>
      <c r="BN12" s="36">
        <v>115119.92640096338</v>
      </c>
      <c r="BO12" s="36">
        <v>22642.299599880924</v>
      </c>
      <c r="BP12" s="36">
        <v>528748.8668338455</v>
      </c>
      <c r="BQ12" s="36">
        <v>135615.13893163664</v>
      </c>
      <c r="BR12" s="36">
        <v>23875.1171008438</v>
      </c>
      <c r="BS12" s="36">
        <v>650918.55836036953</v>
      </c>
      <c r="BT12" s="36">
        <v>201043.94245954658</v>
      </c>
      <c r="BU12" s="36">
        <v>26602.788892196582</v>
      </c>
      <c r="BV12" s="36">
        <v>709873</v>
      </c>
      <c r="BW12" s="36">
        <v>179100</v>
      </c>
      <c r="BX12" s="36">
        <v>28131</v>
      </c>
      <c r="BY12" s="36">
        <v>718088</v>
      </c>
      <c r="BZ12" s="36">
        <v>142498</v>
      </c>
      <c r="CA12" s="36">
        <v>30165</v>
      </c>
      <c r="CB12" s="36">
        <v>710650</v>
      </c>
      <c r="CC12" s="36">
        <v>81357</v>
      </c>
      <c r="CD12" s="36">
        <v>31483</v>
      </c>
      <c r="CE12" s="36">
        <v>706004</v>
      </c>
      <c r="CF12" s="36">
        <v>97937</v>
      </c>
      <c r="CG12" s="36">
        <v>40403</v>
      </c>
      <c r="CH12" s="36">
        <v>763001</v>
      </c>
      <c r="CI12" s="36">
        <v>117091</v>
      </c>
      <c r="CJ12" s="70">
        <v>42691</v>
      </c>
      <c r="CK12" s="70">
        <v>822860</v>
      </c>
      <c r="CL12" s="70">
        <v>123851</v>
      </c>
      <c r="CM12" s="36">
        <v>45171</v>
      </c>
      <c r="CN12" s="36">
        <v>888610</v>
      </c>
      <c r="CO12" s="36">
        <v>142783</v>
      </c>
      <c r="CP12" s="36">
        <v>52473</v>
      </c>
      <c r="CQ12" s="36">
        <v>952702</v>
      </c>
      <c r="CR12" s="36">
        <v>147485</v>
      </c>
      <c r="CS12" s="36">
        <v>48051</v>
      </c>
      <c r="CT12" s="36">
        <v>96718.653554735924</v>
      </c>
      <c r="CU12" s="36">
        <v>-68905.07978</v>
      </c>
      <c r="CV12" s="36">
        <v>49108.688083717221</v>
      </c>
      <c r="CW12" s="36">
        <v>90896</v>
      </c>
      <c r="CX12" s="36">
        <v>118750.93554534094</v>
      </c>
      <c r="CY12" s="36">
        <v>-78786.9614</v>
      </c>
      <c r="CZ12" s="36">
        <v>53064.468114091964</v>
      </c>
      <c r="DA12" s="36">
        <v>73544</v>
      </c>
      <c r="DB12" s="36">
        <v>248495.47490383856</v>
      </c>
      <c r="DC12" s="36">
        <v>-72738.418999999994</v>
      </c>
      <c r="DD12" s="36">
        <v>52716.487294243096</v>
      </c>
      <c r="DE12" s="36">
        <v>57500</v>
      </c>
      <c r="DF12" s="36">
        <v>182170.06153996225</v>
      </c>
      <c r="DG12" s="36">
        <v>-186578</v>
      </c>
      <c r="DH12" s="36">
        <v>56904.366663134722</v>
      </c>
      <c r="DI12" s="36">
        <v>55944</v>
      </c>
      <c r="DJ12" s="36">
        <v>120871</v>
      </c>
      <c r="DK12" s="36">
        <v>-148968</v>
      </c>
      <c r="DL12" s="36">
        <v>65983</v>
      </c>
      <c r="DM12" s="36">
        <v>25083</v>
      </c>
      <c r="DN12" s="36">
        <v>37130</v>
      </c>
      <c r="DO12" s="69">
        <v>-123906</v>
      </c>
      <c r="DP12" s="36">
        <v>73969</v>
      </c>
      <c r="DQ12" s="36">
        <v>94847</v>
      </c>
      <c r="DR12" s="36">
        <v>63955</v>
      </c>
      <c r="DS12" s="36">
        <v>-84783</v>
      </c>
      <c r="DT12" s="36">
        <v>78919</v>
      </c>
      <c r="DU12" s="36">
        <v>115566</v>
      </c>
      <c r="DV12" s="36">
        <v>122209</v>
      </c>
      <c r="DW12" s="71">
        <v>-97028</v>
      </c>
      <c r="DX12" s="39">
        <v>83970</v>
      </c>
      <c r="DY12" s="71">
        <v>143100</v>
      </c>
      <c r="DZ12" s="70">
        <v>162497</v>
      </c>
      <c r="EA12" s="35">
        <v>289184</v>
      </c>
      <c r="EB12" s="35">
        <v>85226</v>
      </c>
      <c r="EC12" s="38">
        <v>127344</v>
      </c>
      <c r="ED12" s="38">
        <v>168220</v>
      </c>
      <c r="EE12" s="38">
        <v>-105971</v>
      </c>
      <c r="EF12" s="38">
        <v>86307</v>
      </c>
      <c r="EG12" s="73">
        <v>120788</v>
      </c>
      <c r="EH12" s="73">
        <v>62350</v>
      </c>
      <c r="EI12" s="73">
        <v>-182566</v>
      </c>
      <c r="EJ12" s="73">
        <v>89453</v>
      </c>
      <c r="EK12" s="73">
        <v>114238</v>
      </c>
      <c r="EL12" s="73">
        <v>630386.51267380116</v>
      </c>
      <c r="EM12" s="73">
        <v>4891.409465280125</v>
      </c>
      <c r="EN12" s="73">
        <v>678407.02487331245</v>
      </c>
      <c r="EO12" s="73">
        <v>22287.254887120671</v>
      </c>
      <c r="EP12" s="73">
        <v>719458.16577611153</v>
      </c>
      <c r="EQ12" s="73">
        <v>159790.80785706718</v>
      </c>
      <c r="ER12" s="73">
        <v>795406.28316455672</v>
      </c>
      <c r="ES12" s="73">
        <v>151114.66548262365</v>
      </c>
      <c r="ET12" s="73">
        <v>862841</v>
      </c>
      <c r="EU12" s="73">
        <v>126053</v>
      </c>
      <c r="EV12" s="73">
        <v>896140</v>
      </c>
      <c r="EW12" s="73">
        <v>-4003</v>
      </c>
      <c r="EX12" s="73">
        <v>940345</v>
      </c>
      <c r="EY12" s="73">
        <v>22888</v>
      </c>
      <c r="EZ12" s="73">
        <v>981866</v>
      </c>
      <c r="FA12" s="73">
        <v>12435</v>
      </c>
      <c r="FB12" s="73">
        <v>1050498</v>
      </c>
      <c r="FC12" s="73">
        <v>28702</v>
      </c>
      <c r="FD12" s="73">
        <v>1143638</v>
      </c>
      <c r="FE12" s="73">
        <v>19895</v>
      </c>
      <c r="FF12" s="73">
        <v>1245781</v>
      </c>
      <c r="FG12" s="73">
        <v>49874</v>
      </c>
      <c r="FH12" s="73">
        <v>518522</v>
      </c>
      <c r="FI12" s="73">
        <v>567598</v>
      </c>
      <c r="FJ12" s="79">
        <v>244330</v>
      </c>
      <c r="FK12" s="80">
        <v>1126149</v>
      </c>
      <c r="FL12" s="80">
        <v>-3219</v>
      </c>
      <c r="FM12" s="80">
        <v>224334</v>
      </c>
      <c r="FN12" s="76">
        <v>49042</v>
      </c>
      <c r="FO12" s="80">
        <v>966040</v>
      </c>
      <c r="FP12" s="80">
        <v>110045</v>
      </c>
      <c r="FQ12" s="80">
        <v>50063</v>
      </c>
      <c r="FR12" s="80">
        <v>122456</v>
      </c>
      <c r="FS12" s="81">
        <v>-196485</v>
      </c>
      <c r="FT12" s="76">
        <v>95307</v>
      </c>
      <c r="FU12" s="76">
        <v>152669</v>
      </c>
      <c r="FV12" s="76">
        <v>196485</v>
      </c>
      <c r="FW12" s="80">
        <v>1271947</v>
      </c>
      <c r="FX12" s="80">
        <v>55783</v>
      </c>
      <c r="FY12" s="73">
        <v>247970</v>
      </c>
      <c r="FZ12" s="73">
        <v>1183767</v>
      </c>
      <c r="GA12" s="73">
        <v>24390</v>
      </c>
      <c r="GB12" s="73">
        <v>232307</v>
      </c>
      <c r="GC12" s="73">
        <v>288681</v>
      </c>
      <c r="GD12" s="73">
        <v>1000318</v>
      </c>
      <c r="GE12" s="73">
        <v>120446</v>
      </c>
      <c r="GF12" s="73">
        <v>63003</v>
      </c>
      <c r="GG12" s="73">
        <v>183032</v>
      </c>
      <c r="GH12" s="73">
        <v>157664</v>
      </c>
      <c r="GI12" s="73">
        <v>88921</v>
      </c>
      <c r="GJ12" s="73">
        <v>214887</v>
      </c>
      <c r="GK12" s="73">
        <v>-157664</v>
      </c>
      <c r="GL12" s="73">
        <v>1311235</v>
      </c>
      <c r="GM12" s="73">
        <v>358053</v>
      </c>
      <c r="GN12" s="73">
        <v>925903</v>
      </c>
      <c r="GO12" s="77">
        <v>17.75</v>
      </c>
      <c r="GP12" s="78">
        <v>252439</v>
      </c>
      <c r="GQ12" s="73">
        <v>1231449</v>
      </c>
      <c r="GR12" s="65">
        <v>30920</v>
      </c>
      <c r="GS12" s="65">
        <v>299748</v>
      </c>
      <c r="GT12" s="65">
        <v>17331</v>
      </c>
      <c r="GU12" s="65">
        <v>1023609</v>
      </c>
      <c r="GV12" s="65">
        <v>144527</v>
      </c>
      <c r="GW12" s="65">
        <v>63312</v>
      </c>
      <c r="GX12" s="65">
        <v>140573</v>
      </c>
      <c r="GY12" s="65">
        <v>-121297</v>
      </c>
      <c r="GZ12" s="65">
        <v>95917</v>
      </c>
      <c r="HA12" s="65">
        <v>159709</v>
      </c>
      <c r="HB12" s="65">
        <v>121297</v>
      </c>
      <c r="HC12" s="65">
        <v>1438875</v>
      </c>
      <c r="HD12" s="65">
        <v>46313</v>
      </c>
      <c r="HE12" s="78">
        <v>256824</v>
      </c>
      <c r="HF12" s="73">
        <v>1249323</v>
      </c>
      <c r="HG12" s="65">
        <v>47526</v>
      </c>
      <c r="HH12" s="65">
        <v>316566</v>
      </c>
      <c r="HI12" s="65">
        <v>44902</v>
      </c>
      <c r="HJ12" s="65">
        <v>1067500</v>
      </c>
      <c r="HK12" s="65">
        <v>116129</v>
      </c>
      <c r="HL12" s="65">
        <v>65694</v>
      </c>
      <c r="HM12" s="65">
        <v>145484</v>
      </c>
      <c r="HN12" s="65">
        <v>-148410</v>
      </c>
      <c r="HO12" s="65">
        <v>118843</v>
      </c>
      <c r="HP12" s="65">
        <v>192187</v>
      </c>
      <c r="HQ12" s="65">
        <v>148410</v>
      </c>
      <c r="HR12" s="65">
        <v>1512833</v>
      </c>
      <c r="HS12" s="65">
        <v>26080</v>
      </c>
      <c r="HT12" s="65">
        <v>325462</v>
      </c>
      <c r="HU12" s="77">
        <v>17.75</v>
      </c>
      <c r="HV12" s="180">
        <v>110</v>
      </c>
      <c r="HW12" s="30" t="s">
        <v>750</v>
      </c>
    </row>
    <row r="13" spans="1:231" ht="15" x14ac:dyDescent="0.25">
      <c r="A13" s="27">
        <v>50</v>
      </c>
      <c r="B13" s="27" t="s">
        <v>142</v>
      </c>
      <c r="C13" s="27">
        <v>4</v>
      </c>
      <c r="D13" s="27" t="s">
        <v>120</v>
      </c>
      <c r="E13" s="27">
        <v>4</v>
      </c>
      <c r="F13" s="27" t="s">
        <v>100</v>
      </c>
      <c r="G13" s="29" t="s">
        <v>132</v>
      </c>
      <c r="H13" s="27" t="s">
        <v>99</v>
      </c>
      <c r="I13" s="31" t="s">
        <v>120</v>
      </c>
      <c r="J13" s="69">
        <v>13218</v>
      </c>
      <c r="K13" s="69">
        <v>13121</v>
      </c>
      <c r="L13" s="36">
        <v>12957</v>
      </c>
      <c r="M13" s="36">
        <v>12883</v>
      </c>
      <c r="N13" s="36">
        <v>12843</v>
      </c>
      <c r="O13" s="36">
        <v>12779</v>
      </c>
      <c r="P13" s="36">
        <v>12793</v>
      </c>
      <c r="Q13" s="36">
        <v>12807</v>
      </c>
      <c r="R13" s="69">
        <v>12769</v>
      </c>
      <c r="S13" s="69">
        <v>12676</v>
      </c>
      <c r="T13" s="71">
        <v>12576</v>
      </c>
      <c r="U13" s="36">
        <v>26130</v>
      </c>
      <c r="V13" s="36">
        <v>8283</v>
      </c>
      <c r="W13" s="36">
        <v>6943</v>
      </c>
      <c r="X13" s="36">
        <v>593.87156833559538</v>
      </c>
      <c r="Y13" s="36">
        <v>27878</v>
      </c>
      <c r="Z13" s="36">
        <v>9619</v>
      </c>
      <c r="AA13" s="36">
        <v>6974</v>
      </c>
      <c r="AB13" s="36">
        <v>769.79613941433604</v>
      </c>
      <c r="AC13" s="36">
        <v>27703</v>
      </c>
      <c r="AD13" s="36">
        <v>9503</v>
      </c>
      <c r="AE13" s="36">
        <v>7277</v>
      </c>
      <c r="AF13" s="36">
        <v>408.19209752208729</v>
      </c>
      <c r="AG13" s="36">
        <v>29959</v>
      </c>
      <c r="AH13" s="36">
        <v>10899</v>
      </c>
      <c r="AI13" s="36">
        <v>7372</v>
      </c>
      <c r="AJ13" s="36">
        <v>601.94458880574791</v>
      </c>
      <c r="AK13" s="36">
        <v>31056</v>
      </c>
      <c r="AL13" s="36">
        <v>12280</v>
      </c>
      <c r="AM13" s="36">
        <v>7431</v>
      </c>
      <c r="AN13" s="36">
        <v>259</v>
      </c>
      <c r="AO13" s="36">
        <v>30083</v>
      </c>
      <c r="AP13" s="36">
        <v>12667</v>
      </c>
      <c r="AQ13" s="36">
        <v>7819</v>
      </c>
      <c r="AR13" s="36">
        <v>196</v>
      </c>
      <c r="AS13" s="36">
        <v>29711</v>
      </c>
      <c r="AT13" s="36">
        <v>13669</v>
      </c>
      <c r="AU13" s="36">
        <v>7814</v>
      </c>
      <c r="AV13" s="36">
        <v>330</v>
      </c>
      <c r="AW13" s="36">
        <v>31407</v>
      </c>
      <c r="AX13" s="69">
        <v>14952</v>
      </c>
      <c r="AY13" s="36">
        <v>8700</v>
      </c>
      <c r="AZ13" s="36">
        <v>340</v>
      </c>
      <c r="BA13" s="36">
        <v>32852</v>
      </c>
      <c r="BB13" s="36">
        <v>15976</v>
      </c>
      <c r="BC13" s="36">
        <v>10662</v>
      </c>
      <c r="BD13" s="36">
        <v>154</v>
      </c>
      <c r="BE13" s="70">
        <v>34766</v>
      </c>
      <c r="BF13" s="70">
        <v>16825</v>
      </c>
      <c r="BG13" s="70">
        <v>9460</v>
      </c>
      <c r="BH13" s="70">
        <v>378</v>
      </c>
      <c r="BI13" s="36">
        <v>37400</v>
      </c>
      <c r="BJ13" s="36">
        <v>19105</v>
      </c>
      <c r="BK13" s="36">
        <v>11346</v>
      </c>
      <c r="BL13" s="36">
        <v>68</v>
      </c>
      <c r="BM13" s="36">
        <v>21446.315254813118</v>
      </c>
      <c r="BN13" s="36">
        <v>4125.9862119537884</v>
      </c>
      <c r="BO13" s="36">
        <v>558.21572792575512</v>
      </c>
      <c r="BP13" s="36">
        <v>23139.294922574685</v>
      </c>
      <c r="BQ13" s="36">
        <v>3984.035602020273</v>
      </c>
      <c r="BR13" s="36">
        <v>754.99560188572309</v>
      </c>
      <c r="BS13" s="36">
        <v>22114.357698718239</v>
      </c>
      <c r="BT13" s="36">
        <v>4800.4197970644473</v>
      </c>
      <c r="BU13" s="36">
        <v>788.29681132510223</v>
      </c>
      <c r="BV13" s="36">
        <v>24897</v>
      </c>
      <c r="BW13" s="36">
        <v>4215</v>
      </c>
      <c r="BX13" s="36">
        <v>847</v>
      </c>
      <c r="BY13" s="36">
        <v>27416</v>
      </c>
      <c r="BZ13" s="36">
        <v>2769</v>
      </c>
      <c r="CA13" s="36">
        <v>871</v>
      </c>
      <c r="CB13" s="36">
        <v>27475</v>
      </c>
      <c r="CC13" s="36">
        <v>1724</v>
      </c>
      <c r="CD13" s="36">
        <v>884</v>
      </c>
      <c r="CE13" s="36">
        <v>26726</v>
      </c>
      <c r="CF13" s="36">
        <v>2094</v>
      </c>
      <c r="CG13" s="36">
        <v>891</v>
      </c>
      <c r="CH13" s="36">
        <v>27856</v>
      </c>
      <c r="CI13" s="36">
        <v>2628</v>
      </c>
      <c r="CJ13" s="70">
        <v>923</v>
      </c>
      <c r="CK13" s="70">
        <v>29043</v>
      </c>
      <c r="CL13" s="70">
        <v>2782</v>
      </c>
      <c r="CM13" s="36">
        <v>1027</v>
      </c>
      <c r="CN13" s="36">
        <v>30822</v>
      </c>
      <c r="CO13" s="36">
        <v>2878</v>
      </c>
      <c r="CP13" s="36">
        <v>1066</v>
      </c>
      <c r="CQ13" s="36">
        <v>33603</v>
      </c>
      <c r="CR13" s="36">
        <v>2655</v>
      </c>
      <c r="CS13" s="36">
        <v>1142</v>
      </c>
      <c r="CT13" s="36">
        <v>-1612.7540268394291</v>
      </c>
      <c r="CU13" s="36">
        <v>-1994.2042443999999</v>
      </c>
      <c r="CV13" s="36">
        <v>1739.2313475384854</v>
      </c>
      <c r="CW13" s="36">
        <v>12144</v>
      </c>
      <c r="CX13" s="36">
        <v>3172.360668917021</v>
      </c>
      <c r="CY13" s="36">
        <v>-970.1079598</v>
      </c>
      <c r="CZ13" s="36">
        <v>1673.3016803655732</v>
      </c>
      <c r="DA13" s="36">
        <v>11365</v>
      </c>
      <c r="DB13" s="36">
        <v>1888.2458503833843</v>
      </c>
      <c r="DC13" s="36">
        <v>-2607.081048</v>
      </c>
      <c r="DD13" s="36">
        <v>1547.1607355194399</v>
      </c>
      <c r="DE13" s="36">
        <v>9956</v>
      </c>
      <c r="DF13" s="36">
        <v>3160.0829502853308</v>
      </c>
      <c r="DG13" s="36">
        <v>-2006</v>
      </c>
      <c r="DH13" s="36">
        <v>1582.8165759292804</v>
      </c>
      <c r="DI13" s="36">
        <v>8504</v>
      </c>
      <c r="DJ13" s="36">
        <v>5372</v>
      </c>
      <c r="DK13" s="36">
        <v>-1544</v>
      </c>
      <c r="DL13" s="36">
        <v>1563</v>
      </c>
      <c r="DM13" s="36">
        <v>6573</v>
      </c>
      <c r="DN13" s="36">
        <v>2743</v>
      </c>
      <c r="DO13" s="69">
        <v>-857</v>
      </c>
      <c r="DP13" s="36">
        <v>1734</v>
      </c>
      <c r="DQ13" s="36">
        <v>4385</v>
      </c>
      <c r="DR13" s="36">
        <v>1131</v>
      </c>
      <c r="DS13" s="36">
        <v>-3589</v>
      </c>
      <c r="DT13" s="36">
        <v>1759</v>
      </c>
      <c r="DU13" s="36">
        <v>4154</v>
      </c>
      <c r="DV13" s="36">
        <v>2036</v>
      </c>
      <c r="DW13" s="71">
        <v>-2663</v>
      </c>
      <c r="DX13" s="39">
        <v>1791</v>
      </c>
      <c r="DY13" s="71">
        <v>5142</v>
      </c>
      <c r="DZ13" s="70">
        <v>1823</v>
      </c>
      <c r="EA13" s="35">
        <v>-323</v>
      </c>
      <c r="EB13" s="35">
        <v>1769</v>
      </c>
      <c r="EC13" s="38">
        <v>5277</v>
      </c>
      <c r="ED13" s="38">
        <v>877</v>
      </c>
      <c r="EE13" s="38">
        <v>-4128</v>
      </c>
      <c r="EF13" s="38">
        <v>1979</v>
      </c>
      <c r="EG13" s="73">
        <v>7481</v>
      </c>
      <c r="EH13" s="73">
        <v>3416</v>
      </c>
      <c r="EI13" s="73">
        <v>-4314</v>
      </c>
      <c r="EJ13" s="73">
        <v>2084</v>
      </c>
      <c r="EK13" s="73">
        <v>8418</v>
      </c>
      <c r="EL13" s="73">
        <v>40939.968683408093</v>
      </c>
      <c r="EM13" s="73">
        <v>-3653.882702376327</v>
      </c>
      <c r="EN13" s="73">
        <v>39524.330906381554</v>
      </c>
      <c r="EO13" s="73">
        <v>2294.2515048614719</v>
      </c>
      <c r="EP13" s="73">
        <v>40457.269334463555</v>
      </c>
      <c r="EQ13" s="73">
        <v>342.93518205502102</v>
      </c>
      <c r="ER13" s="73">
        <v>43014.230380457906</v>
      </c>
      <c r="ES13" s="73">
        <v>1445.5752279366873</v>
      </c>
      <c r="ET13" s="73">
        <v>45293</v>
      </c>
      <c r="EU13" s="73">
        <v>3829</v>
      </c>
      <c r="EV13" s="73">
        <v>47750</v>
      </c>
      <c r="EW13" s="73">
        <v>836</v>
      </c>
      <c r="EX13" s="73">
        <v>50260</v>
      </c>
      <c r="EY13" s="73">
        <v>-522</v>
      </c>
      <c r="EZ13" s="73">
        <v>53222</v>
      </c>
      <c r="FA13" s="73">
        <v>307</v>
      </c>
      <c r="FB13" s="73">
        <v>57723</v>
      </c>
      <c r="FC13" s="73">
        <v>111</v>
      </c>
      <c r="FD13" s="73">
        <v>60292</v>
      </c>
      <c r="FE13" s="73">
        <v>-1050</v>
      </c>
      <c r="FF13" s="73">
        <v>64218</v>
      </c>
      <c r="FG13" s="73">
        <v>1380</v>
      </c>
      <c r="FH13" s="73">
        <v>3597</v>
      </c>
      <c r="FI13" s="73">
        <v>4978</v>
      </c>
      <c r="FJ13" s="79">
        <v>12554</v>
      </c>
      <c r="FK13" s="80">
        <v>36521</v>
      </c>
      <c r="FL13" s="80">
        <v>21172</v>
      </c>
      <c r="FM13" s="80">
        <v>11931</v>
      </c>
      <c r="FN13" s="76">
        <v>137</v>
      </c>
      <c r="FO13" s="80">
        <v>33748</v>
      </c>
      <c r="FP13" s="80">
        <v>1766</v>
      </c>
      <c r="FQ13" s="80">
        <v>1007</v>
      </c>
      <c r="FR13" s="80">
        <v>1541</v>
      </c>
      <c r="FS13" s="81">
        <v>-2342</v>
      </c>
      <c r="FT13" s="76">
        <v>2159</v>
      </c>
      <c r="FU13" s="76">
        <v>8719</v>
      </c>
      <c r="FV13" s="76">
        <v>2342</v>
      </c>
      <c r="FW13" s="80">
        <v>68125</v>
      </c>
      <c r="FX13" s="80">
        <v>-574</v>
      </c>
      <c r="FY13" s="73">
        <v>12507</v>
      </c>
      <c r="FZ13" s="73">
        <v>38619</v>
      </c>
      <c r="GA13" s="73">
        <v>22268</v>
      </c>
      <c r="GB13" s="73">
        <v>12845</v>
      </c>
      <c r="GC13" s="73">
        <v>141</v>
      </c>
      <c r="GD13" s="73">
        <v>34678</v>
      </c>
      <c r="GE13" s="73">
        <v>2213</v>
      </c>
      <c r="GF13" s="73">
        <v>1728</v>
      </c>
      <c r="GG13" s="73">
        <v>4466</v>
      </c>
      <c r="GH13" s="73">
        <v>-4008</v>
      </c>
      <c r="GI13" s="73">
        <v>2132</v>
      </c>
      <c r="GJ13" s="73">
        <v>7953</v>
      </c>
      <c r="GK13" s="73">
        <v>4008</v>
      </c>
      <c r="GL13" s="73">
        <v>69401</v>
      </c>
      <c r="GM13" s="73">
        <v>2375</v>
      </c>
      <c r="GN13" s="73">
        <v>6779</v>
      </c>
      <c r="GO13" s="77">
        <v>19.5</v>
      </c>
      <c r="GP13" s="78">
        <v>12424</v>
      </c>
      <c r="GQ13" s="73">
        <v>38790</v>
      </c>
      <c r="GR13" s="65">
        <v>23653</v>
      </c>
      <c r="GS13" s="65">
        <v>11219</v>
      </c>
      <c r="GT13" s="65">
        <v>296</v>
      </c>
      <c r="GU13" s="65">
        <v>34004</v>
      </c>
      <c r="GV13" s="65">
        <v>3036</v>
      </c>
      <c r="GW13" s="65">
        <v>1750</v>
      </c>
      <c r="GX13" s="65">
        <v>2914</v>
      </c>
      <c r="GY13" s="65">
        <v>-6241</v>
      </c>
      <c r="GZ13" s="65">
        <v>2241</v>
      </c>
      <c r="HA13" s="65">
        <v>11179</v>
      </c>
      <c r="HB13" s="65">
        <v>6241</v>
      </c>
      <c r="HC13" s="65">
        <v>70807</v>
      </c>
      <c r="HD13" s="65">
        <v>785</v>
      </c>
      <c r="HE13" s="78">
        <v>12406</v>
      </c>
      <c r="HF13" s="73">
        <v>41014</v>
      </c>
      <c r="HG13" s="65">
        <v>24334</v>
      </c>
      <c r="HH13" s="65">
        <v>10322</v>
      </c>
      <c r="HI13" s="65">
        <v>155</v>
      </c>
      <c r="HJ13" s="65">
        <v>36891</v>
      </c>
      <c r="HK13" s="65">
        <v>2286</v>
      </c>
      <c r="HL13" s="65">
        <v>1837</v>
      </c>
      <c r="HM13" s="65">
        <v>2534</v>
      </c>
      <c r="HN13" s="65">
        <v>-2966</v>
      </c>
      <c r="HO13" s="65">
        <v>2316</v>
      </c>
      <c r="HP13" s="65">
        <v>11975</v>
      </c>
      <c r="HQ13" s="65">
        <v>2966</v>
      </c>
      <c r="HR13" s="65">
        <v>73111</v>
      </c>
      <c r="HS13" s="65">
        <v>252</v>
      </c>
      <c r="HT13" s="65">
        <v>7816</v>
      </c>
      <c r="HU13" s="77">
        <v>20.5</v>
      </c>
      <c r="HV13" s="180">
        <v>240</v>
      </c>
      <c r="HW13" s="30" t="s">
        <v>757</v>
      </c>
    </row>
    <row r="14" spans="1:231" ht="15" x14ac:dyDescent="0.25">
      <c r="A14" s="27">
        <v>51</v>
      </c>
      <c r="B14" s="27" t="s">
        <v>143</v>
      </c>
      <c r="C14" s="27">
        <v>4</v>
      </c>
      <c r="D14" s="27" t="s">
        <v>120</v>
      </c>
      <c r="E14" s="27">
        <v>3</v>
      </c>
      <c r="F14" s="27" t="s">
        <v>743</v>
      </c>
      <c r="G14" s="29" t="s">
        <v>130</v>
      </c>
      <c r="H14" s="27" t="s">
        <v>98</v>
      </c>
      <c r="I14" s="31" t="s">
        <v>120</v>
      </c>
      <c r="J14" s="69">
        <v>9373</v>
      </c>
      <c r="K14" s="69">
        <v>9253</v>
      </c>
      <c r="L14" s="36">
        <v>9233</v>
      </c>
      <c r="M14" s="36">
        <v>9079</v>
      </c>
      <c r="N14" s="36">
        <v>9043</v>
      </c>
      <c r="O14" s="36">
        <v>9043</v>
      </c>
      <c r="P14" s="36">
        <v>9102</v>
      </c>
      <c r="Q14" s="36">
        <v>9159</v>
      </c>
      <c r="R14" s="69">
        <v>9180</v>
      </c>
      <c r="S14" s="69">
        <v>9175</v>
      </c>
      <c r="T14" s="71">
        <v>9188</v>
      </c>
      <c r="U14" s="36">
        <v>19193</v>
      </c>
      <c r="V14" s="36">
        <v>4782</v>
      </c>
      <c r="W14" s="36">
        <v>3164</v>
      </c>
      <c r="X14" s="36">
        <v>462.85317362207837</v>
      </c>
      <c r="Y14" s="36">
        <v>20007</v>
      </c>
      <c r="Z14" s="36">
        <v>4582</v>
      </c>
      <c r="AA14" s="36">
        <v>3616</v>
      </c>
      <c r="AB14" s="36">
        <v>355.38108861317278</v>
      </c>
      <c r="AC14" s="36">
        <v>18122</v>
      </c>
      <c r="AD14" s="36">
        <v>4690</v>
      </c>
      <c r="AE14" s="36">
        <v>3895</v>
      </c>
      <c r="AF14" s="36">
        <v>241.85423825165287</v>
      </c>
      <c r="AG14" s="36">
        <v>20595</v>
      </c>
      <c r="AH14" s="36">
        <v>5466</v>
      </c>
      <c r="AI14" s="36">
        <v>4270</v>
      </c>
      <c r="AJ14" s="36">
        <v>390.53236524362859</v>
      </c>
      <c r="AK14" s="36">
        <v>22615</v>
      </c>
      <c r="AL14" s="36">
        <v>6960</v>
      </c>
      <c r="AM14" s="36">
        <v>4309</v>
      </c>
      <c r="AN14" s="36">
        <v>334</v>
      </c>
      <c r="AO14" s="36">
        <v>22008</v>
      </c>
      <c r="AP14" s="36">
        <v>6574</v>
      </c>
      <c r="AQ14" s="36">
        <v>4428</v>
      </c>
      <c r="AR14" s="36">
        <v>215</v>
      </c>
      <c r="AS14" s="36">
        <v>22054</v>
      </c>
      <c r="AT14" s="36">
        <v>7140</v>
      </c>
      <c r="AU14" s="36">
        <v>5244</v>
      </c>
      <c r="AV14" s="36">
        <v>162</v>
      </c>
      <c r="AW14" s="36">
        <v>23371</v>
      </c>
      <c r="AX14" s="69">
        <v>7735</v>
      </c>
      <c r="AY14" s="36">
        <v>5632</v>
      </c>
      <c r="AZ14" s="36">
        <v>128</v>
      </c>
      <c r="BA14" s="36">
        <v>26001</v>
      </c>
      <c r="BB14" s="36">
        <v>9021</v>
      </c>
      <c r="BC14" s="36">
        <v>5230</v>
      </c>
      <c r="BD14" s="36">
        <v>65</v>
      </c>
      <c r="BE14" s="70">
        <v>28121</v>
      </c>
      <c r="BF14" s="70">
        <v>9329</v>
      </c>
      <c r="BG14" s="70">
        <v>5033</v>
      </c>
      <c r="BH14" s="70">
        <v>169</v>
      </c>
      <c r="BI14" s="36">
        <v>35004</v>
      </c>
      <c r="BJ14" s="36">
        <v>10670</v>
      </c>
      <c r="BK14" s="36">
        <v>5414</v>
      </c>
      <c r="BL14" s="36">
        <v>69</v>
      </c>
      <c r="BM14" s="36">
        <v>14271.081936112136</v>
      </c>
      <c r="BN14" s="36">
        <v>1823.6616866221643</v>
      </c>
      <c r="BO14" s="36">
        <v>3098.1897933474947</v>
      </c>
      <c r="BP14" s="36">
        <v>14249.049317745676</v>
      </c>
      <c r="BQ14" s="36">
        <v>2116.9814303710391</v>
      </c>
      <c r="BR14" s="36">
        <v>3640.9322320387905</v>
      </c>
      <c r="BS14" s="36">
        <v>13759.286075889755</v>
      </c>
      <c r="BT14" s="36">
        <v>1315.3977728554778</v>
      </c>
      <c r="BU14" s="36">
        <v>3046.8924757767336</v>
      </c>
      <c r="BV14" s="36">
        <v>16215</v>
      </c>
      <c r="BW14" s="36">
        <v>1412</v>
      </c>
      <c r="BX14" s="36">
        <v>2969</v>
      </c>
      <c r="BY14" s="36">
        <v>18033</v>
      </c>
      <c r="BZ14" s="36">
        <v>908</v>
      </c>
      <c r="CA14" s="36">
        <v>3674</v>
      </c>
      <c r="CB14" s="36">
        <v>17870</v>
      </c>
      <c r="CC14" s="36">
        <v>532</v>
      </c>
      <c r="CD14" s="36">
        <v>3606</v>
      </c>
      <c r="CE14" s="36">
        <v>17899</v>
      </c>
      <c r="CF14" s="36">
        <v>700</v>
      </c>
      <c r="CG14" s="36">
        <v>3455</v>
      </c>
      <c r="CH14" s="36">
        <v>18748</v>
      </c>
      <c r="CI14" s="36">
        <v>987</v>
      </c>
      <c r="CJ14" s="70">
        <v>3636</v>
      </c>
      <c r="CK14" s="70">
        <v>20111</v>
      </c>
      <c r="CL14" s="70">
        <v>1200</v>
      </c>
      <c r="CM14" s="36">
        <v>4690</v>
      </c>
      <c r="CN14" s="36">
        <v>21463</v>
      </c>
      <c r="CO14" s="36">
        <v>1369</v>
      </c>
      <c r="CP14" s="36">
        <v>5289</v>
      </c>
      <c r="CQ14" s="36">
        <v>27249</v>
      </c>
      <c r="CR14" s="36">
        <v>1338</v>
      </c>
      <c r="CS14" s="36">
        <v>6417</v>
      </c>
      <c r="CT14" s="36">
        <v>412.9013594630095</v>
      </c>
      <c r="CU14" s="36">
        <v>-1381.6638158999999</v>
      </c>
      <c r="CV14" s="36">
        <v>1232.8175009628758</v>
      </c>
      <c r="CW14" s="36">
        <v>4611</v>
      </c>
      <c r="CX14" s="36">
        <v>559.0566675580626</v>
      </c>
      <c r="CY14" s="36">
        <v>-1755.3773881</v>
      </c>
      <c r="CZ14" s="36">
        <v>1232.8175009628758</v>
      </c>
      <c r="DA14" s="36">
        <v>5635</v>
      </c>
      <c r="DB14" s="36">
        <v>-2003.1182041565962</v>
      </c>
      <c r="DC14" s="36">
        <v>-637.60042920000001</v>
      </c>
      <c r="DD14" s="36">
        <v>1308.8384437234788</v>
      </c>
      <c r="DE14" s="36">
        <v>6008</v>
      </c>
      <c r="DF14" s="36">
        <v>403.14645972824195</v>
      </c>
      <c r="DG14" s="36">
        <v>-1214</v>
      </c>
      <c r="DH14" s="36">
        <v>1247.6180384914887</v>
      </c>
      <c r="DI14" s="36">
        <v>14579</v>
      </c>
      <c r="DJ14" s="36">
        <v>4960</v>
      </c>
      <c r="DK14" s="36">
        <v>-2953</v>
      </c>
      <c r="DL14" s="36">
        <v>1337</v>
      </c>
      <c r="DM14" s="36">
        <v>13211</v>
      </c>
      <c r="DN14" s="36">
        <v>2009</v>
      </c>
      <c r="DO14" s="69">
        <v>-5558</v>
      </c>
      <c r="DP14" s="36">
        <v>1325</v>
      </c>
      <c r="DQ14" s="36">
        <v>12443</v>
      </c>
      <c r="DR14" s="36">
        <v>852</v>
      </c>
      <c r="DS14" s="36">
        <v>-1869</v>
      </c>
      <c r="DT14" s="36">
        <v>1416</v>
      </c>
      <c r="DU14" s="36">
        <v>11121</v>
      </c>
      <c r="DV14" s="36">
        <v>1179</v>
      </c>
      <c r="DW14" s="71">
        <v>-4309</v>
      </c>
      <c r="DX14" s="39">
        <v>1490</v>
      </c>
      <c r="DY14" s="71">
        <v>13299</v>
      </c>
      <c r="DZ14" s="70">
        <v>3043</v>
      </c>
      <c r="EA14" s="35">
        <v>-2226</v>
      </c>
      <c r="EB14" s="35">
        <v>1925</v>
      </c>
      <c r="EC14" s="38">
        <v>13336</v>
      </c>
      <c r="ED14" s="38">
        <v>3516</v>
      </c>
      <c r="EE14" s="38">
        <v>-2064</v>
      </c>
      <c r="EF14" s="38">
        <v>1757</v>
      </c>
      <c r="EG14" s="73">
        <v>11545</v>
      </c>
      <c r="EH14" s="73">
        <v>8510</v>
      </c>
      <c r="EI14" s="73">
        <v>-4627</v>
      </c>
      <c r="EJ14" s="73">
        <v>1756</v>
      </c>
      <c r="EK14" s="73">
        <v>10788</v>
      </c>
      <c r="EL14" s="73">
        <v>25484.67555708046</v>
      </c>
      <c r="EM14" s="73">
        <v>-542.06968698545006</v>
      </c>
      <c r="EN14" s="73">
        <v>26247.744179436333</v>
      </c>
      <c r="EO14" s="73">
        <v>-619.43613315774508</v>
      </c>
      <c r="EP14" s="73">
        <v>27171.264083636492</v>
      </c>
      <c r="EQ14" s="73">
        <v>-2417.7014428842213</v>
      </c>
      <c r="ER14" s="73">
        <v>28258.935404063086</v>
      </c>
      <c r="ES14" s="73">
        <v>-691.42056568327189</v>
      </c>
      <c r="ET14" s="73">
        <v>28746</v>
      </c>
      <c r="EU14" s="73">
        <v>3655</v>
      </c>
      <c r="EV14" s="73">
        <v>30809</v>
      </c>
      <c r="EW14" s="73">
        <v>717</v>
      </c>
      <c r="EX14" s="73">
        <v>33387</v>
      </c>
      <c r="EY14" s="73">
        <v>-533</v>
      </c>
      <c r="EZ14" s="73">
        <v>35276</v>
      </c>
      <c r="FA14" s="73">
        <v>-778</v>
      </c>
      <c r="FB14" s="73">
        <v>36869</v>
      </c>
      <c r="FC14" s="73">
        <v>1131</v>
      </c>
      <c r="FD14" s="73">
        <v>38456</v>
      </c>
      <c r="FE14" s="73">
        <v>1800</v>
      </c>
      <c r="FF14" s="73">
        <v>42269</v>
      </c>
      <c r="FG14" s="73">
        <v>6764</v>
      </c>
      <c r="FH14" s="73">
        <v>4471</v>
      </c>
      <c r="FI14" s="73">
        <v>11247</v>
      </c>
      <c r="FJ14" s="79">
        <v>9189</v>
      </c>
      <c r="FK14" s="80">
        <v>46197</v>
      </c>
      <c r="FL14" s="80">
        <v>11244</v>
      </c>
      <c r="FM14" s="80">
        <v>6072</v>
      </c>
      <c r="FN14" s="76">
        <v>175</v>
      </c>
      <c r="FO14" s="80">
        <v>35781</v>
      </c>
      <c r="FP14" s="80">
        <v>1142</v>
      </c>
      <c r="FQ14" s="80">
        <v>9274</v>
      </c>
      <c r="FR14" s="80">
        <v>17251</v>
      </c>
      <c r="FS14" s="81">
        <v>-3808</v>
      </c>
      <c r="FT14" s="76">
        <v>1962</v>
      </c>
      <c r="FU14" s="76">
        <v>10728</v>
      </c>
      <c r="FV14" s="76">
        <v>3808</v>
      </c>
      <c r="FW14" s="80">
        <v>46202</v>
      </c>
      <c r="FX14" s="80">
        <v>15242</v>
      </c>
      <c r="FY14" s="73">
        <v>9245</v>
      </c>
      <c r="FZ14" s="73">
        <v>48769</v>
      </c>
      <c r="GA14" s="73">
        <v>10105</v>
      </c>
      <c r="GB14" s="73">
        <v>6583</v>
      </c>
      <c r="GC14" s="73">
        <v>647</v>
      </c>
      <c r="GD14" s="73">
        <v>36269</v>
      </c>
      <c r="GE14" s="73">
        <v>1677</v>
      </c>
      <c r="GF14" s="73">
        <v>10823</v>
      </c>
      <c r="GG14" s="73">
        <v>16656</v>
      </c>
      <c r="GH14" s="73">
        <v>-6038</v>
      </c>
      <c r="GI14" s="73">
        <v>2154</v>
      </c>
      <c r="GJ14" s="73">
        <v>10655</v>
      </c>
      <c r="GK14" s="73">
        <v>6038</v>
      </c>
      <c r="GL14" s="73">
        <v>49257</v>
      </c>
      <c r="GM14" s="73">
        <v>14382</v>
      </c>
      <c r="GN14" s="73">
        <v>40844</v>
      </c>
      <c r="GO14" s="77">
        <v>18</v>
      </c>
      <c r="GP14" s="78">
        <v>9197</v>
      </c>
      <c r="GQ14" s="73">
        <v>40551</v>
      </c>
      <c r="GR14" s="65">
        <v>9310</v>
      </c>
      <c r="GS14" s="65">
        <v>6963</v>
      </c>
      <c r="GT14" s="65">
        <v>716</v>
      </c>
      <c r="GU14" s="65">
        <v>27885</v>
      </c>
      <c r="GV14" s="65">
        <v>2382</v>
      </c>
      <c r="GW14" s="65">
        <v>10284</v>
      </c>
      <c r="GX14" s="65">
        <v>4866</v>
      </c>
      <c r="GY14" s="65">
        <v>-10325</v>
      </c>
      <c r="GZ14" s="65">
        <v>2462</v>
      </c>
      <c r="HA14" s="65">
        <v>10258</v>
      </c>
      <c r="HB14" s="65">
        <v>10325</v>
      </c>
      <c r="HC14" s="65">
        <v>52553</v>
      </c>
      <c r="HD14" s="65">
        <v>2413</v>
      </c>
      <c r="HE14" s="78">
        <v>9282</v>
      </c>
      <c r="HF14" s="73">
        <v>41466</v>
      </c>
      <c r="HG14" s="65">
        <v>12320</v>
      </c>
      <c r="HH14" s="65">
        <v>6717</v>
      </c>
      <c r="HI14" s="65">
        <v>1124</v>
      </c>
      <c r="HJ14" s="65">
        <v>26193</v>
      </c>
      <c r="HK14" s="65">
        <v>2096</v>
      </c>
      <c r="HL14" s="65">
        <v>13177</v>
      </c>
      <c r="HM14" s="65">
        <v>6487</v>
      </c>
      <c r="HN14" s="65">
        <v>-11203</v>
      </c>
      <c r="HO14" s="65">
        <v>2883</v>
      </c>
      <c r="HP14" s="65">
        <v>10094</v>
      </c>
      <c r="HQ14" s="65">
        <v>11203</v>
      </c>
      <c r="HR14" s="65">
        <v>55037</v>
      </c>
      <c r="HS14" s="65">
        <v>3612</v>
      </c>
      <c r="HT14" s="65">
        <v>46993</v>
      </c>
      <c r="HU14" s="77">
        <v>18</v>
      </c>
      <c r="HV14" s="180">
        <v>320</v>
      </c>
      <c r="HW14" s="30" t="s">
        <v>759</v>
      </c>
    </row>
    <row r="15" spans="1:231" ht="15" x14ac:dyDescent="0.25">
      <c r="A15" s="27">
        <v>52</v>
      </c>
      <c r="B15" s="27" t="s">
        <v>144</v>
      </c>
      <c r="C15" s="27">
        <v>14</v>
      </c>
      <c r="D15" s="27" t="s">
        <v>106</v>
      </c>
      <c r="E15" s="27">
        <v>2</v>
      </c>
      <c r="F15" s="27" t="s">
        <v>744</v>
      </c>
      <c r="G15" s="29" t="s">
        <v>130</v>
      </c>
      <c r="H15" s="27" t="s">
        <v>98</v>
      </c>
      <c r="I15" s="31" t="s">
        <v>106</v>
      </c>
      <c r="J15" s="69">
        <v>3153</v>
      </c>
      <c r="K15" s="69">
        <v>3117</v>
      </c>
      <c r="L15" s="36">
        <v>3067</v>
      </c>
      <c r="M15" s="36">
        <v>3027</v>
      </c>
      <c r="N15" s="36">
        <v>2990</v>
      </c>
      <c r="O15" s="36">
        <v>2985</v>
      </c>
      <c r="P15" s="36">
        <v>2935</v>
      </c>
      <c r="Q15" s="36">
        <v>2916</v>
      </c>
      <c r="R15" s="69">
        <v>2854</v>
      </c>
      <c r="S15" s="69">
        <v>2827</v>
      </c>
      <c r="T15" s="71">
        <v>2780</v>
      </c>
      <c r="U15" s="36">
        <v>5386</v>
      </c>
      <c r="V15" s="36">
        <v>4093</v>
      </c>
      <c r="W15" s="36">
        <v>2620</v>
      </c>
      <c r="X15" s="36">
        <v>178.44738997566321</v>
      </c>
      <c r="Y15" s="36">
        <v>5262</v>
      </c>
      <c r="Z15" s="36">
        <v>3954</v>
      </c>
      <c r="AA15" s="36">
        <v>2632</v>
      </c>
      <c r="AB15" s="36">
        <v>185.00671910766212</v>
      </c>
      <c r="AC15" s="36">
        <v>4662</v>
      </c>
      <c r="AD15" s="36">
        <v>4502</v>
      </c>
      <c r="AE15" s="36">
        <v>2861</v>
      </c>
      <c r="AF15" s="36">
        <v>75.852754834141479</v>
      </c>
      <c r="AG15" s="36">
        <v>5662</v>
      </c>
      <c r="AH15" s="36">
        <v>5316</v>
      </c>
      <c r="AI15" s="36">
        <v>2745</v>
      </c>
      <c r="AJ15" s="36">
        <v>89.307788951062349</v>
      </c>
      <c r="AK15" s="36">
        <v>6080</v>
      </c>
      <c r="AL15" s="36">
        <v>5158</v>
      </c>
      <c r="AM15" s="36">
        <v>3158</v>
      </c>
      <c r="AN15" s="36">
        <v>66</v>
      </c>
      <c r="AO15" s="36">
        <v>5403</v>
      </c>
      <c r="AP15" s="36">
        <v>4980</v>
      </c>
      <c r="AQ15" s="36">
        <v>3313</v>
      </c>
      <c r="AR15" s="36">
        <v>72</v>
      </c>
      <c r="AS15" s="36">
        <v>5864</v>
      </c>
      <c r="AT15" s="36">
        <v>5707</v>
      </c>
      <c r="AU15" s="36">
        <v>4254</v>
      </c>
      <c r="AV15" s="36">
        <v>68</v>
      </c>
      <c r="AW15" s="36">
        <v>5835</v>
      </c>
      <c r="AX15" s="69">
        <v>5408</v>
      </c>
      <c r="AY15" s="36">
        <v>4365</v>
      </c>
      <c r="AZ15" s="36">
        <v>124</v>
      </c>
      <c r="BA15" s="36">
        <v>6219</v>
      </c>
      <c r="BB15" s="36">
        <v>5755</v>
      </c>
      <c r="BC15" s="36">
        <v>4831</v>
      </c>
      <c r="BD15" s="36">
        <v>0</v>
      </c>
      <c r="BE15" s="70">
        <v>6813</v>
      </c>
      <c r="BF15" s="70">
        <v>5776</v>
      </c>
      <c r="BG15" s="70">
        <v>4158</v>
      </c>
      <c r="BH15" s="70">
        <v>54</v>
      </c>
      <c r="BI15" s="36">
        <v>7049</v>
      </c>
      <c r="BJ15" s="36">
        <v>6355</v>
      </c>
      <c r="BK15" s="36">
        <v>4162</v>
      </c>
      <c r="BL15" s="36">
        <v>34</v>
      </c>
      <c r="BM15" s="36">
        <v>4161.978428216551</v>
      </c>
      <c r="BN15" s="36">
        <v>1060.088500486904</v>
      </c>
      <c r="BO15" s="36">
        <v>164.15141622643478</v>
      </c>
      <c r="BP15" s="36">
        <v>4031.6327852088807</v>
      </c>
      <c r="BQ15" s="36">
        <v>999.03628318137544</v>
      </c>
      <c r="BR15" s="36">
        <v>231.5947747375007</v>
      </c>
      <c r="BS15" s="36">
        <v>3698.6206908150893</v>
      </c>
      <c r="BT15" s="36">
        <v>680.65653838973515</v>
      </c>
      <c r="BU15" s="36">
        <v>282.89209230826157</v>
      </c>
      <c r="BV15" s="36">
        <v>4745</v>
      </c>
      <c r="BW15" s="36">
        <v>624</v>
      </c>
      <c r="BX15" s="36">
        <v>293</v>
      </c>
      <c r="BY15" s="36">
        <v>5037</v>
      </c>
      <c r="BZ15" s="36">
        <v>744</v>
      </c>
      <c r="CA15" s="36">
        <v>299</v>
      </c>
      <c r="CB15" s="36">
        <v>4833</v>
      </c>
      <c r="CC15" s="36">
        <v>275</v>
      </c>
      <c r="CD15" s="36">
        <v>295</v>
      </c>
      <c r="CE15" s="36">
        <v>5153</v>
      </c>
      <c r="CF15" s="36">
        <v>415</v>
      </c>
      <c r="CG15" s="36">
        <v>296</v>
      </c>
      <c r="CH15" s="36">
        <v>5108</v>
      </c>
      <c r="CI15" s="36">
        <v>386</v>
      </c>
      <c r="CJ15" s="70">
        <v>341</v>
      </c>
      <c r="CK15" s="70">
        <v>5435</v>
      </c>
      <c r="CL15" s="70">
        <v>444</v>
      </c>
      <c r="CM15" s="36">
        <v>340</v>
      </c>
      <c r="CN15" s="36">
        <v>5908</v>
      </c>
      <c r="CO15" s="36">
        <v>513</v>
      </c>
      <c r="CP15" s="36">
        <v>392</v>
      </c>
      <c r="CQ15" s="36">
        <v>6162</v>
      </c>
      <c r="CR15" s="36">
        <v>472</v>
      </c>
      <c r="CS15" s="36">
        <v>415</v>
      </c>
      <c r="CT15" s="36">
        <v>692.26150531557937</v>
      </c>
      <c r="CU15" s="36">
        <v>-790.98781810000003</v>
      </c>
      <c r="CV15" s="36">
        <v>472.944449209769</v>
      </c>
      <c r="CW15" s="36">
        <v>2304</v>
      </c>
      <c r="CX15" s="36">
        <v>-161.96497318243513</v>
      </c>
      <c r="CY15" s="36">
        <v>-778.71009949999996</v>
      </c>
      <c r="CZ15" s="36">
        <v>486.23129540022836</v>
      </c>
      <c r="DA15" s="36">
        <v>2903</v>
      </c>
      <c r="DB15" s="36">
        <v>-521.88713581006868</v>
      </c>
      <c r="DC15" s="36">
        <v>345.62618889999999</v>
      </c>
      <c r="DD15" s="36">
        <v>521.38257203068417</v>
      </c>
      <c r="DE15" s="36">
        <v>3184</v>
      </c>
      <c r="DF15" s="36">
        <v>685.53398825711895</v>
      </c>
      <c r="DG15" s="36">
        <v>-452</v>
      </c>
      <c r="DH15" s="36">
        <v>429.21558832977615</v>
      </c>
      <c r="DI15" s="36">
        <v>3548</v>
      </c>
      <c r="DJ15" s="36">
        <v>1441</v>
      </c>
      <c r="DK15" s="36">
        <v>-807</v>
      </c>
      <c r="DL15" s="36">
        <v>433</v>
      </c>
      <c r="DM15" s="36">
        <v>2844</v>
      </c>
      <c r="DN15" s="36">
        <v>-533</v>
      </c>
      <c r="DO15" s="69">
        <v>-1129</v>
      </c>
      <c r="DP15" s="36">
        <v>454</v>
      </c>
      <c r="DQ15" s="36">
        <v>3520</v>
      </c>
      <c r="DR15" s="36">
        <v>142</v>
      </c>
      <c r="DS15" s="36">
        <v>-335</v>
      </c>
      <c r="DT15" s="36">
        <v>467</v>
      </c>
      <c r="DU15" s="36">
        <v>3191</v>
      </c>
      <c r="DV15" s="36">
        <v>-259</v>
      </c>
      <c r="DW15" s="71">
        <v>-1117</v>
      </c>
      <c r="DX15" s="39">
        <v>459</v>
      </c>
      <c r="DY15" s="71">
        <v>4466</v>
      </c>
      <c r="DZ15" s="70">
        <v>80</v>
      </c>
      <c r="EA15" s="35">
        <v>-933</v>
      </c>
      <c r="EB15" s="35">
        <v>492</v>
      </c>
      <c r="EC15" s="38">
        <v>5075</v>
      </c>
      <c r="ED15" s="38">
        <v>-607</v>
      </c>
      <c r="EE15" s="38">
        <v>260</v>
      </c>
      <c r="EF15" s="38">
        <v>736</v>
      </c>
      <c r="EG15" s="73">
        <v>5116</v>
      </c>
      <c r="EH15" s="73">
        <v>-160</v>
      </c>
      <c r="EI15" s="73">
        <v>419</v>
      </c>
      <c r="EJ15" s="73">
        <v>478</v>
      </c>
      <c r="EK15" s="73">
        <v>5167</v>
      </c>
      <c r="EL15" s="73">
        <v>10990.912806333285</v>
      </c>
      <c r="EM15" s="73">
        <v>205.02108235658196</v>
      </c>
      <c r="EN15" s="73">
        <v>11625.654040799027</v>
      </c>
      <c r="EO15" s="73">
        <v>-597.57170271774874</v>
      </c>
      <c r="EP15" s="73">
        <v>11966.739155662972</v>
      </c>
      <c r="EQ15" s="73">
        <v>-748.4362727537241</v>
      </c>
      <c r="ER15" s="73">
        <v>12389.059039007825</v>
      </c>
      <c r="ES15" s="73">
        <v>256.3183999273428</v>
      </c>
      <c r="ET15" s="73">
        <v>12845</v>
      </c>
      <c r="EU15" s="73">
        <v>1008</v>
      </c>
      <c r="EV15" s="73">
        <v>14170</v>
      </c>
      <c r="EW15" s="73">
        <v>-987</v>
      </c>
      <c r="EX15" s="73">
        <v>15595</v>
      </c>
      <c r="EY15" s="73">
        <v>-325</v>
      </c>
      <c r="EZ15" s="73">
        <v>15853</v>
      </c>
      <c r="FA15" s="73">
        <v>-718</v>
      </c>
      <c r="FB15" s="73">
        <v>16571</v>
      </c>
      <c r="FC15" s="73">
        <v>-412</v>
      </c>
      <c r="FD15" s="73">
        <v>17126</v>
      </c>
      <c r="FE15" s="73">
        <v>-1367</v>
      </c>
      <c r="FF15" s="73">
        <v>17552</v>
      </c>
      <c r="FG15" s="73">
        <v>-638</v>
      </c>
      <c r="FH15" s="73">
        <v>-2090</v>
      </c>
      <c r="FI15" s="73">
        <v>-2728</v>
      </c>
      <c r="FJ15" s="79">
        <v>2772</v>
      </c>
      <c r="FK15" s="80">
        <v>6978</v>
      </c>
      <c r="FL15" s="80">
        <v>7145</v>
      </c>
      <c r="FM15" s="80">
        <v>2118</v>
      </c>
      <c r="FN15" s="76">
        <v>28</v>
      </c>
      <c r="FO15" s="80">
        <v>6161</v>
      </c>
      <c r="FP15" s="80">
        <v>381</v>
      </c>
      <c r="FQ15" s="80">
        <v>436</v>
      </c>
      <c r="FR15" s="80">
        <v>853</v>
      </c>
      <c r="FS15" s="81">
        <v>-245</v>
      </c>
      <c r="FT15" s="76">
        <v>434</v>
      </c>
      <c r="FU15" s="76">
        <v>5111</v>
      </c>
      <c r="FV15" s="76">
        <v>245</v>
      </c>
      <c r="FW15" s="80">
        <v>15279</v>
      </c>
      <c r="FX15" s="80">
        <v>419</v>
      </c>
      <c r="FY15" s="73">
        <v>2755</v>
      </c>
      <c r="FZ15" s="73">
        <v>6989</v>
      </c>
      <c r="GA15" s="73">
        <v>7542</v>
      </c>
      <c r="GB15" s="73">
        <v>2087</v>
      </c>
      <c r="GC15" s="73">
        <v>37</v>
      </c>
      <c r="GD15" s="73">
        <v>6046</v>
      </c>
      <c r="GE15" s="73">
        <v>456</v>
      </c>
      <c r="GF15" s="73">
        <v>487</v>
      </c>
      <c r="GG15" s="73">
        <v>1098</v>
      </c>
      <c r="GH15" s="73">
        <v>-210</v>
      </c>
      <c r="GI15" s="73">
        <v>436</v>
      </c>
      <c r="GJ15" s="73">
        <v>4249</v>
      </c>
      <c r="GK15" s="73">
        <v>210</v>
      </c>
      <c r="GL15" s="73">
        <v>15458</v>
      </c>
      <c r="GM15" s="73">
        <v>662</v>
      </c>
      <c r="GN15" s="73">
        <v>-1647</v>
      </c>
      <c r="GO15" s="77">
        <v>21</v>
      </c>
      <c r="GP15" s="78">
        <v>2747</v>
      </c>
      <c r="GQ15" s="73">
        <v>7382</v>
      </c>
      <c r="GR15" s="65">
        <v>8267</v>
      </c>
      <c r="GS15" s="65">
        <v>2203</v>
      </c>
      <c r="GT15" s="65">
        <v>48</v>
      </c>
      <c r="GU15" s="65">
        <v>6444</v>
      </c>
      <c r="GV15" s="65">
        <v>448</v>
      </c>
      <c r="GW15" s="65">
        <v>490</v>
      </c>
      <c r="GX15" s="65">
        <v>1312</v>
      </c>
      <c r="GY15" s="65">
        <v>-150</v>
      </c>
      <c r="GZ15" s="65">
        <v>392</v>
      </c>
      <c r="HA15" s="65">
        <v>3249</v>
      </c>
      <c r="HB15" s="65">
        <v>150</v>
      </c>
      <c r="HC15" s="65">
        <v>16502</v>
      </c>
      <c r="HD15" s="65">
        <v>920</v>
      </c>
      <c r="HE15" s="78">
        <v>2686</v>
      </c>
      <c r="HF15" s="73">
        <v>7683</v>
      </c>
      <c r="HG15" s="65">
        <v>7992</v>
      </c>
      <c r="HH15" s="65">
        <v>2060</v>
      </c>
      <c r="HI15" s="65">
        <v>79</v>
      </c>
      <c r="HJ15" s="65">
        <v>6805</v>
      </c>
      <c r="HK15" s="65">
        <v>323</v>
      </c>
      <c r="HL15" s="65">
        <v>555</v>
      </c>
      <c r="HM15" s="65">
        <v>15</v>
      </c>
      <c r="HN15" s="65">
        <v>-298</v>
      </c>
      <c r="HO15" s="65">
        <v>440</v>
      </c>
      <c r="HP15" s="65">
        <v>2898</v>
      </c>
      <c r="HQ15" s="65">
        <v>298</v>
      </c>
      <c r="HR15" s="65">
        <v>17686</v>
      </c>
      <c r="HS15" s="65">
        <v>-368</v>
      </c>
      <c r="HT15" s="65">
        <v>-1095</v>
      </c>
      <c r="HU15" s="77">
        <v>21</v>
      </c>
      <c r="HV15" s="180">
        <v>340</v>
      </c>
      <c r="HW15" s="30" t="s">
        <v>761</v>
      </c>
    </row>
    <row r="16" spans="1:231" ht="15" x14ac:dyDescent="0.25">
      <c r="A16" s="27">
        <v>61</v>
      </c>
      <c r="B16" s="27" t="s">
        <v>145</v>
      </c>
      <c r="C16" s="27">
        <v>5</v>
      </c>
      <c r="D16" s="27" t="s">
        <v>109</v>
      </c>
      <c r="E16" s="27">
        <v>4</v>
      </c>
      <c r="F16" s="27" t="s">
        <v>100</v>
      </c>
      <c r="G16" s="29" t="s">
        <v>141</v>
      </c>
      <c r="H16" s="27" t="s">
        <v>97</v>
      </c>
      <c r="I16" s="31" t="s">
        <v>109</v>
      </c>
      <c r="J16" s="69">
        <v>18857</v>
      </c>
      <c r="K16" s="69">
        <v>18644</v>
      </c>
      <c r="L16" s="36">
        <v>18506</v>
      </c>
      <c r="M16" s="36">
        <v>18311</v>
      </c>
      <c r="N16" s="36">
        <v>18201</v>
      </c>
      <c r="O16" s="36">
        <v>18104</v>
      </c>
      <c r="P16" s="36">
        <v>18076</v>
      </c>
      <c r="Q16" s="36">
        <v>17918</v>
      </c>
      <c r="R16" s="69">
        <v>17894</v>
      </c>
      <c r="S16" s="69">
        <v>17835</v>
      </c>
      <c r="T16" s="71">
        <v>17870</v>
      </c>
      <c r="U16" s="36">
        <v>42270</v>
      </c>
      <c r="V16" s="36">
        <v>11812</v>
      </c>
      <c r="W16" s="36">
        <v>19316</v>
      </c>
      <c r="X16" s="36">
        <v>1183.8748143625762</v>
      </c>
      <c r="Y16" s="36">
        <v>42452</v>
      </c>
      <c r="Z16" s="36">
        <v>12072</v>
      </c>
      <c r="AA16" s="36">
        <v>19590</v>
      </c>
      <c r="AB16" s="36">
        <v>1267.6324017404086</v>
      </c>
      <c r="AC16" s="36">
        <v>42025</v>
      </c>
      <c r="AD16" s="36">
        <v>12256</v>
      </c>
      <c r="AE16" s="36">
        <v>19357</v>
      </c>
      <c r="AF16" s="36">
        <v>455.95746863715641</v>
      </c>
      <c r="AG16" s="36">
        <v>45914</v>
      </c>
      <c r="AH16" s="36">
        <v>13412</v>
      </c>
      <c r="AI16" s="36">
        <v>18272</v>
      </c>
      <c r="AJ16" s="36">
        <v>509.94579303130143</v>
      </c>
      <c r="AK16" s="36">
        <v>47893</v>
      </c>
      <c r="AL16" s="36">
        <v>15081</v>
      </c>
      <c r="AM16" s="36">
        <v>18482</v>
      </c>
      <c r="AN16" s="36">
        <v>316</v>
      </c>
      <c r="AO16" s="36">
        <v>44751</v>
      </c>
      <c r="AP16" s="36">
        <v>16271</v>
      </c>
      <c r="AQ16" s="36">
        <v>19196</v>
      </c>
      <c r="AR16" s="36">
        <v>467</v>
      </c>
      <c r="AS16" s="36">
        <v>44642</v>
      </c>
      <c r="AT16" s="36">
        <v>18302</v>
      </c>
      <c r="AU16" s="36">
        <v>19337</v>
      </c>
      <c r="AV16" s="36">
        <v>1949</v>
      </c>
      <c r="AW16" s="36">
        <v>45483</v>
      </c>
      <c r="AX16" s="69">
        <v>20189</v>
      </c>
      <c r="AY16" s="36">
        <v>18929</v>
      </c>
      <c r="AZ16" s="36">
        <v>287</v>
      </c>
      <c r="BA16" s="36">
        <v>46243</v>
      </c>
      <c r="BB16" s="36">
        <v>22443</v>
      </c>
      <c r="BC16" s="36">
        <v>21192</v>
      </c>
      <c r="BD16" s="36">
        <v>103</v>
      </c>
      <c r="BE16" s="70">
        <v>49704</v>
      </c>
      <c r="BF16" s="70">
        <v>23928</v>
      </c>
      <c r="BG16" s="70">
        <v>24345</v>
      </c>
      <c r="BH16" s="70">
        <v>339</v>
      </c>
      <c r="BI16" s="36">
        <v>54519</v>
      </c>
      <c r="BJ16" s="36">
        <v>27499</v>
      </c>
      <c r="BK16" s="36">
        <v>25785</v>
      </c>
      <c r="BL16" s="36">
        <v>241</v>
      </c>
      <c r="BM16" s="36">
        <v>34365.502638027625</v>
      </c>
      <c r="BN16" s="36">
        <v>6151.6415982562276</v>
      </c>
      <c r="BO16" s="36">
        <v>1724.0944341569495</v>
      </c>
      <c r="BP16" s="36">
        <v>34232.802364049494</v>
      </c>
      <c r="BQ16" s="36">
        <v>6243.8085819571361</v>
      </c>
      <c r="BR16" s="36">
        <v>1947.7843763507592</v>
      </c>
      <c r="BS16" s="36">
        <v>32285.522551478116</v>
      </c>
      <c r="BT16" s="36">
        <v>7736.6446172295082</v>
      </c>
      <c r="BU16" s="36">
        <v>1975.3671962904471</v>
      </c>
      <c r="BV16" s="36">
        <v>37510</v>
      </c>
      <c r="BW16" s="36">
        <v>6369</v>
      </c>
      <c r="BX16" s="36">
        <v>2009</v>
      </c>
      <c r="BY16" s="36">
        <v>40483</v>
      </c>
      <c r="BZ16" s="36">
        <v>5305</v>
      </c>
      <c r="CA16" s="36">
        <v>2080</v>
      </c>
      <c r="CB16" s="36">
        <v>39735</v>
      </c>
      <c r="CC16" s="36">
        <v>2904</v>
      </c>
      <c r="CD16" s="36">
        <v>2087</v>
      </c>
      <c r="CE16" s="36">
        <v>38996</v>
      </c>
      <c r="CF16" s="36">
        <v>3545</v>
      </c>
      <c r="CG16" s="36">
        <v>2080</v>
      </c>
      <c r="CH16" s="36">
        <v>39582</v>
      </c>
      <c r="CI16" s="36">
        <v>3771</v>
      </c>
      <c r="CJ16" s="70">
        <v>2130</v>
      </c>
      <c r="CK16" s="70">
        <v>40626</v>
      </c>
      <c r="CL16" s="70">
        <v>3407</v>
      </c>
      <c r="CM16" s="36">
        <v>2210</v>
      </c>
      <c r="CN16" s="36">
        <v>43185</v>
      </c>
      <c r="CO16" s="36">
        <v>4183</v>
      </c>
      <c r="CP16" s="36">
        <v>2336</v>
      </c>
      <c r="CQ16" s="36">
        <v>47136</v>
      </c>
      <c r="CR16" s="36">
        <v>4847</v>
      </c>
      <c r="CS16" s="36">
        <v>2536</v>
      </c>
      <c r="CT16" s="36">
        <v>4818.0795293429064</v>
      </c>
      <c r="CU16" s="36">
        <v>-2588.2440000000001</v>
      </c>
      <c r="CV16" s="36">
        <v>3768.2504923701545</v>
      </c>
      <c r="CW16" s="36">
        <v>53726</v>
      </c>
      <c r="CX16" s="36">
        <v>4009.6001668424228</v>
      </c>
      <c r="CY16" s="36">
        <v>24481.0982</v>
      </c>
      <c r="CZ16" s="36">
        <v>3841.412240380912</v>
      </c>
      <c r="DA16" s="36">
        <v>20926</v>
      </c>
      <c r="DB16" s="36">
        <v>2860.3720653309178</v>
      </c>
      <c r="DC16" s="36">
        <v>-6148.1096520000001</v>
      </c>
      <c r="DD16" s="36">
        <v>4085.4529216765645</v>
      </c>
      <c r="DE16" s="36">
        <v>21173</v>
      </c>
      <c r="DF16" s="36">
        <v>4392.3958874688224</v>
      </c>
      <c r="DG16" s="36">
        <v>-4710</v>
      </c>
      <c r="DH16" s="36">
        <v>4377.763537866671</v>
      </c>
      <c r="DI16" s="36">
        <v>18457</v>
      </c>
      <c r="DJ16" s="36">
        <v>9714</v>
      </c>
      <c r="DK16" s="36">
        <v>-3632</v>
      </c>
      <c r="DL16" s="36">
        <v>5162</v>
      </c>
      <c r="DM16" s="36">
        <v>18318</v>
      </c>
      <c r="DN16" s="36">
        <v>4245</v>
      </c>
      <c r="DO16" s="69">
        <v>-4674</v>
      </c>
      <c r="DP16" s="36">
        <v>4150</v>
      </c>
      <c r="DQ16" s="36">
        <v>14701</v>
      </c>
      <c r="DR16" s="36">
        <v>1774</v>
      </c>
      <c r="DS16" s="36">
        <v>-7628</v>
      </c>
      <c r="DT16" s="36">
        <v>4057</v>
      </c>
      <c r="DU16" s="36">
        <v>19330</v>
      </c>
      <c r="DV16" s="36">
        <v>2156</v>
      </c>
      <c r="DW16" s="71">
        <v>-6243</v>
      </c>
      <c r="DX16" s="39">
        <v>4308</v>
      </c>
      <c r="DY16" s="71">
        <v>26762</v>
      </c>
      <c r="DZ16" s="70">
        <v>1209</v>
      </c>
      <c r="EA16" s="35">
        <v>-5655</v>
      </c>
      <c r="EB16" s="35">
        <v>4547</v>
      </c>
      <c r="EC16" s="38">
        <v>28941</v>
      </c>
      <c r="ED16" s="38">
        <v>3532</v>
      </c>
      <c r="EE16" s="38">
        <v>-5148</v>
      </c>
      <c r="EF16" s="38">
        <v>4833</v>
      </c>
      <c r="EG16" s="73">
        <v>30737</v>
      </c>
      <c r="EH16" s="73">
        <v>6518</v>
      </c>
      <c r="EI16" s="73">
        <v>-7352</v>
      </c>
      <c r="EJ16" s="73">
        <v>4920</v>
      </c>
      <c r="EK16" s="73">
        <v>31726</v>
      </c>
      <c r="EL16" s="73">
        <v>63650.384393505927</v>
      </c>
      <c r="EM16" s="73">
        <v>2318.8069421248524</v>
      </c>
      <c r="EN16" s="73">
        <v>66156.889061561829</v>
      </c>
      <c r="EO16" s="73">
        <v>24304.837252952959</v>
      </c>
      <c r="EP16" s="73">
        <v>67053.162521675215</v>
      </c>
      <c r="EQ16" s="73">
        <v>-401.63276839008836</v>
      </c>
      <c r="ER16" s="73">
        <v>69471.704904191749</v>
      </c>
      <c r="ES16" s="73">
        <v>422.8244471242387</v>
      </c>
      <c r="ET16" s="73">
        <v>71142</v>
      </c>
      <c r="EU16" s="73">
        <v>2788</v>
      </c>
      <c r="EV16" s="73">
        <v>75638</v>
      </c>
      <c r="EW16" s="73">
        <v>561</v>
      </c>
      <c r="EX16" s="73">
        <v>80330</v>
      </c>
      <c r="EY16" s="73">
        <v>-360</v>
      </c>
      <c r="EZ16" s="73">
        <v>82095</v>
      </c>
      <c r="FA16" s="73">
        <v>-1798</v>
      </c>
      <c r="FB16" s="73">
        <v>88108</v>
      </c>
      <c r="FC16" s="73">
        <v>-3028</v>
      </c>
      <c r="FD16" s="73">
        <v>93623</v>
      </c>
      <c r="FE16" s="73">
        <v>-1074</v>
      </c>
      <c r="FF16" s="73">
        <v>100541</v>
      </c>
      <c r="FG16" s="73">
        <v>1810</v>
      </c>
      <c r="FH16" s="73">
        <v>4651</v>
      </c>
      <c r="FI16" s="73">
        <v>6460</v>
      </c>
      <c r="FJ16" s="79">
        <v>17807</v>
      </c>
      <c r="FK16" s="80">
        <v>53519</v>
      </c>
      <c r="FL16" s="80">
        <v>30202</v>
      </c>
      <c r="FM16" s="80">
        <v>27952</v>
      </c>
      <c r="FN16" s="76">
        <v>80</v>
      </c>
      <c r="FO16" s="80">
        <v>47393</v>
      </c>
      <c r="FP16" s="80">
        <v>3472</v>
      </c>
      <c r="FQ16" s="80">
        <v>2654</v>
      </c>
      <c r="FR16" s="80">
        <v>5623</v>
      </c>
      <c r="FS16" s="81">
        <v>-3949</v>
      </c>
      <c r="FT16" s="76">
        <v>5029</v>
      </c>
      <c r="FU16" s="76">
        <v>34130</v>
      </c>
      <c r="FV16" s="76">
        <v>3949</v>
      </c>
      <c r="FW16" s="80">
        <v>105324</v>
      </c>
      <c r="FX16" s="80">
        <v>793</v>
      </c>
      <c r="FY16" s="73">
        <v>17904</v>
      </c>
      <c r="FZ16" s="73">
        <v>52722</v>
      </c>
      <c r="GA16" s="73">
        <v>30500</v>
      </c>
      <c r="GB16" s="73">
        <v>19092</v>
      </c>
      <c r="GC16" s="73">
        <v>55</v>
      </c>
      <c r="GD16" s="73">
        <v>45643</v>
      </c>
      <c r="GE16" s="73">
        <v>3850</v>
      </c>
      <c r="GF16" s="73">
        <v>3229</v>
      </c>
      <c r="GG16" s="73">
        <v>5122</v>
      </c>
      <c r="GH16" s="73">
        <v>-1956</v>
      </c>
      <c r="GI16" s="73">
        <v>4422</v>
      </c>
      <c r="GJ16" s="73">
        <v>36036</v>
      </c>
      <c r="GK16" s="73">
        <v>1956</v>
      </c>
      <c r="GL16" s="73">
        <v>96518</v>
      </c>
      <c r="GM16" s="73">
        <v>799</v>
      </c>
      <c r="GN16" s="73">
        <v>8052</v>
      </c>
      <c r="GO16" s="77">
        <v>19.5</v>
      </c>
      <c r="GP16" s="78">
        <v>17833</v>
      </c>
      <c r="GQ16" s="73">
        <v>54557</v>
      </c>
      <c r="GR16" s="65">
        <v>33873</v>
      </c>
      <c r="GS16" s="65">
        <v>20340</v>
      </c>
      <c r="GT16" s="65">
        <v>43</v>
      </c>
      <c r="GU16" s="65">
        <v>46927</v>
      </c>
      <c r="GV16" s="65">
        <v>4383</v>
      </c>
      <c r="GW16" s="65">
        <v>3247</v>
      </c>
      <c r="GX16" s="65">
        <v>4981</v>
      </c>
      <c r="GY16" s="65">
        <v>-5772</v>
      </c>
      <c r="GZ16" s="65">
        <v>4501</v>
      </c>
      <c r="HA16" s="65">
        <v>34424</v>
      </c>
      <c r="HB16" s="65">
        <v>5772</v>
      </c>
      <c r="HC16" s="65">
        <v>103100</v>
      </c>
      <c r="HD16" s="65">
        <v>612</v>
      </c>
      <c r="HE16" s="78">
        <v>17727</v>
      </c>
      <c r="HF16" s="73">
        <v>53332</v>
      </c>
      <c r="HG16" s="65">
        <v>36469</v>
      </c>
      <c r="HH16" s="65">
        <v>21783</v>
      </c>
      <c r="HI16" s="65">
        <v>37</v>
      </c>
      <c r="HJ16" s="65">
        <v>47252</v>
      </c>
      <c r="HK16" s="65">
        <v>2842</v>
      </c>
      <c r="HL16" s="65">
        <v>3238</v>
      </c>
      <c r="HM16" s="65">
        <v>3182</v>
      </c>
      <c r="HN16" s="65">
        <v>-5797</v>
      </c>
      <c r="HO16" s="65">
        <v>4587</v>
      </c>
      <c r="HP16" s="65">
        <v>35394</v>
      </c>
      <c r="HQ16" s="65">
        <v>5797</v>
      </c>
      <c r="HR16" s="65">
        <v>107752</v>
      </c>
      <c r="HS16" s="65">
        <v>-1280</v>
      </c>
      <c r="HT16" s="65">
        <v>7383</v>
      </c>
      <c r="HU16" s="77">
        <v>19.5</v>
      </c>
      <c r="HV16" s="180">
        <v>130</v>
      </c>
      <c r="HW16" s="30" t="s">
        <v>752</v>
      </c>
    </row>
    <row r="17" spans="1:231" ht="15" x14ac:dyDescent="0.25">
      <c r="A17" s="27">
        <v>69</v>
      </c>
      <c r="B17" s="27" t="s">
        <v>146</v>
      </c>
      <c r="C17" s="27">
        <v>17</v>
      </c>
      <c r="D17" s="27" t="s">
        <v>117</v>
      </c>
      <c r="E17" s="27">
        <v>3</v>
      </c>
      <c r="F17" s="27" t="s">
        <v>743</v>
      </c>
      <c r="G17" s="29" t="s">
        <v>132</v>
      </c>
      <c r="H17" s="27" t="s">
        <v>99</v>
      </c>
      <c r="I17" s="31" t="s">
        <v>117</v>
      </c>
      <c r="J17" s="69">
        <v>8429</v>
      </c>
      <c r="K17" s="69">
        <v>8300</v>
      </c>
      <c r="L17" s="36">
        <v>8236</v>
      </c>
      <c r="M17" s="36">
        <v>8179</v>
      </c>
      <c r="N17" s="36">
        <v>8153</v>
      </c>
      <c r="O17" s="36">
        <v>8083</v>
      </c>
      <c r="P17" s="36">
        <v>8013</v>
      </c>
      <c r="Q17" s="36">
        <v>7882</v>
      </c>
      <c r="R17" s="69">
        <v>7848</v>
      </c>
      <c r="S17" s="69">
        <v>7850</v>
      </c>
      <c r="T17" s="71">
        <v>7771</v>
      </c>
      <c r="U17" s="36">
        <v>13107</v>
      </c>
      <c r="V17" s="36">
        <v>10439</v>
      </c>
      <c r="W17" s="36">
        <v>4871</v>
      </c>
      <c r="X17" s="36">
        <v>272.80081672057088</v>
      </c>
      <c r="Y17" s="36">
        <v>13467</v>
      </c>
      <c r="Z17" s="36">
        <v>10818</v>
      </c>
      <c r="AA17" s="36">
        <v>5553</v>
      </c>
      <c r="AB17" s="36">
        <v>949.25265694876828</v>
      </c>
      <c r="AC17" s="36">
        <v>13035</v>
      </c>
      <c r="AD17" s="36">
        <v>11447</v>
      </c>
      <c r="AE17" s="36">
        <v>5950</v>
      </c>
      <c r="AF17" s="36">
        <v>723.712647563882</v>
      </c>
      <c r="AG17" s="36">
        <v>14755</v>
      </c>
      <c r="AH17" s="36">
        <v>14032</v>
      </c>
      <c r="AI17" s="36">
        <v>5689</v>
      </c>
      <c r="AJ17" s="36">
        <v>451.24820669623409</v>
      </c>
      <c r="AK17" s="36">
        <v>15049</v>
      </c>
      <c r="AL17" s="36">
        <v>14345</v>
      </c>
      <c r="AM17" s="36">
        <v>5727</v>
      </c>
      <c r="AN17" s="36">
        <v>584</v>
      </c>
      <c r="AO17" s="36">
        <v>14219</v>
      </c>
      <c r="AP17" s="36">
        <v>15225</v>
      </c>
      <c r="AQ17" s="36">
        <v>6642</v>
      </c>
      <c r="AR17" s="36">
        <v>746</v>
      </c>
      <c r="AS17" s="36">
        <v>15065</v>
      </c>
      <c r="AT17" s="36">
        <v>15657</v>
      </c>
      <c r="AU17" s="36">
        <v>5005</v>
      </c>
      <c r="AV17" s="36">
        <v>436</v>
      </c>
      <c r="AW17" s="36">
        <v>15551</v>
      </c>
      <c r="AX17" s="69">
        <v>16616</v>
      </c>
      <c r="AY17" s="36">
        <v>5791</v>
      </c>
      <c r="AZ17" s="36">
        <v>2310</v>
      </c>
      <c r="BA17" s="36">
        <v>16758</v>
      </c>
      <c r="BB17" s="36">
        <v>16884</v>
      </c>
      <c r="BC17" s="36">
        <v>6398</v>
      </c>
      <c r="BD17" s="36">
        <v>1553</v>
      </c>
      <c r="BE17" s="70">
        <v>18111</v>
      </c>
      <c r="BF17" s="70">
        <v>17328</v>
      </c>
      <c r="BG17" s="70">
        <v>6668</v>
      </c>
      <c r="BH17" s="70">
        <v>740</v>
      </c>
      <c r="BI17" s="36">
        <v>19006</v>
      </c>
      <c r="BJ17" s="36">
        <v>19769</v>
      </c>
      <c r="BK17" s="36">
        <v>7020</v>
      </c>
      <c r="BL17" s="36">
        <v>0</v>
      </c>
      <c r="BM17" s="36">
        <v>10492.571980227827</v>
      </c>
      <c r="BN17" s="36">
        <v>2202.4208970134869</v>
      </c>
      <c r="BO17" s="36">
        <v>406.17384240454913</v>
      </c>
      <c r="BP17" s="36">
        <v>11210.061674512634</v>
      </c>
      <c r="BQ17" s="36">
        <v>1658.6693307634218</v>
      </c>
      <c r="BR17" s="36">
        <v>593.19881662974944</v>
      </c>
      <c r="BS17" s="36">
        <v>10322.365798648778</v>
      </c>
      <c r="BT17" s="36">
        <v>2079.1391469171995</v>
      </c>
      <c r="BU17" s="36">
        <v>628.51828118666674</v>
      </c>
      <c r="BV17" s="36">
        <v>12596</v>
      </c>
      <c r="BW17" s="36">
        <v>1499</v>
      </c>
      <c r="BX17" s="36">
        <v>655</v>
      </c>
      <c r="BY17" s="36">
        <v>13535</v>
      </c>
      <c r="BZ17" s="36">
        <v>848</v>
      </c>
      <c r="CA17" s="36">
        <v>661</v>
      </c>
      <c r="CB17" s="36">
        <v>13040</v>
      </c>
      <c r="CC17" s="36">
        <v>548</v>
      </c>
      <c r="CD17" s="36">
        <v>631</v>
      </c>
      <c r="CE17" s="36">
        <v>13730</v>
      </c>
      <c r="CF17" s="36">
        <v>689</v>
      </c>
      <c r="CG17" s="36">
        <v>646</v>
      </c>
      <c r="CH17" s="36">
        <v>13920</v>
      </c>
      <c r="CI17" s="36">
        <v>924</v>
      </c>
      <c r="CJ17" s="70">
        <v>707</v>
      </c>
      <c r="CK17" s="70">
        <v>14931</v>
      </c>
      <c r="CL17" s="70">
        <v>1128</v>
      </c>
      <c r="CM17" s="36">
        <v>699</v>
      </c>
      <c r="CN17" s="36">
        <v>15893</v>
      </c>
      <c r="CO17" s="36">
        <v>1348</v>
      </c>
      <c r="CP17" s="36">
        <v>870</v>
      </c>
      <c r="CQ17" s="36">
        <v>16860</v>
      </c>
      <c r="CR17" s="36">
        <v>1234</v>
      </c>
      <c r="CS17" s="36">
        <v>912</v>
      </c>
      <c r="CT17" s="36">
        <v>-657.11022868512362</v>
      </c>
      <c r="CU17" s="36">
        <v>-1425.5608649999999</v>
      </c>
      <c r="CV17" s="36">
        <v>807.13385908879138</v>
      </c>
      <c r="CW17" s="36">
        <v>10058</v>
      </c>
      <c r="CX17" s="36">
        <v>-1886.5639711187691</v>
      </c>
      <c r="CY17" s="36">
        <v>10836.01173</v>
      </c>
      <c r="CZ17" s="36">
        <v>893.24607743708509</v>
      </c>
      <c r="DA17" s="36">
        <v>10877</v>
      </c>
      <c r="DB17" s="36">
        <v>-103.60376270029079</v>
      </c>
      <c r="DC17" s="36">
        <v>-1240.722334</v>
      </c>
      <c r="DD17" s="36">
        <v>1006.1001760927589</v>
      </c>
      <c r="DE17" s="36">
        <v>11692</v>
      </c>
      <c r="DF17" s="36">
        <v>1910.7830325292268</v>
      </c>
      <c r="DG17" s="36">
        <v>-1598</v>
      </c>
      <c r="DH17" s="36">
        <v>975.48997347676402</v>
      </c>
      <c r="DI17" s="36">
        <v>11647</v>
      </c>
      <c r="DJ17" s="36">
        <v>1845</v>
      </c>
      <c r="DK17" s="36">
        <v>-2757</v>
      </c>
      <c r="DL17" s="36">
        <v>1052</v>
      </c>
      <c r="DM17" s="36">
        <v>13103</v>
      </c>
      <c r="DN17" s="36">
        <v>1098</v>
      </c>
      <c r="DO17" s="69">
        <v>-3950</v>
      </c>
      <c r="DP17" s="36">
        <v>1122</v>
      </c>
      <c r="DQ17" s="36">
        <v>15678</v>
      </c>
      <c r="DR17" s="36">
        <v>-194</v>
      </c>
      <c r="DS17" s="36">
        <v>-5509</v>
      </c>
      <c r="DT17" s="36">
        <v>1208</v>
      </c>
      <c r="DU17" s="36">
        <v>21955</v>
      </c>
      <c r="DV17" s="36">
        <v>175</v>
      </c>
      <c r="DW17" s="71">
        <v>-2741</v>
      </c>
      <c r="DX17" s="39">
        <v>2125</v>
      </c>
      <c r="DY17" s="71">
        <v>24449</v>
      </c>
      <c r="DZ17" s="70">
        <v>611</v>
      </c>
      <c r="EA17" s="35">
        <v>-3733</v>
      </c>
      <c r="EB17" s="35">
        <v>1521</v>
      </c>
      <c r="EC17" s="38">
        <v>28317</v>
      </c>
      <c r="ED17" s="38">
        <v>-739</v>
      </c>
      <c r="EE17" s="38">
        <v>-2749</v>
      </c>
      <c r="EF17" s="38">
        <v>1573</v>
      </c>
      <c r="EG17" s="73">
        <v>32518</v>
      </c>
      <c r="EH17" s="73">
        <v>-2460</v>
      </c>
      <c r="EI17" s="73">
        <v>-2614</v>
      </c>
      <c r="EJ17" s="73">
        <v>1680</v>
      </c>
      <c r="EK17" s="73">
        <v>34537</v>
      </c>
      <c r="EL17" s="73">
        <v>27061.1009918042</v>
      </c>
      <c r="EM17" s="73">
        <v>-1393.1005948806958</v>
      </c>
      <c r="EN17" s="73">
        <v>30536.031740425482</v>
      </c>
      <c r="EO17" s="73">
        <v>3169.5014741671753</v>
      </c>
      <c r="EP17" s="73">
        <v>29034.113557124187</v>
      </c>
      <c r="EQ17" s="73">
        <v>-2463.1121830288289</v>
      </c>
      <c r="ER17" s="73">
        <v>30729.952419635603</v>
      </c>
      <c r="ES17" s="73">
        <v>2228.3218376885598</v>
      </c>
      <c r="ET17" s="73">
        <v>32718</v>
      </c>
      <c r="EU17" s="73">
        <v>803</v>
      </c>
      <c r="EV17" s="73">
        <v>35104</v>
      </c>
      <c r="EW17" s="73">
        <v>-14</v>
      </c>
      <c r="EX17" s="73">
        <v>35608</v>
      </c>
      <c r="EY17" s="73">
        <v>-1361</v>
      </c>
      <c r="EZ17" s="73">
        <v>37554</v>
      </c>
      <c r="FA17" s="73">
        <v>740</v>
      </c>
      <c r="FB17" s="73">
        <v>40148</v>
      </c>
      <c r="FC17" s="73">
        <v>0</v>
      </c>
      <c r="FD17" s="73">
        <v>42135</v>
      </c>
      <c r="FE17" s="73">
        <v>-2227</v>
      </c>
      <c r="FF17" s="73">
        <v>45362</v>
      </c>
      <c r="FG17" s="73">
        <v>-4055</v>
      </c>
      <c r="FH17" s="73">
        <v>-2194</v>
      </c>
      <c r="FI17" s="73">
        <v>-4055</v>
      </c>
      <c r="FJ17" s="79">
        <v>7714</v>
      </c>
      <c r="FK17" s="80">
        <v>19569</v>
      </c>
      <c r="FL17" s="80">
        <v>21196</v>
      </c>
      <c r="FM17" s="80">
        <v>6979</v>
      </c>
      <c r="FN17" s="76">
        <v>1098</v>
      </c>
      <c r="FO17" s="80">
        <v>17583</v>
      </c>
      <c r="FP17" s="80">
        <v>898</v>
      </c>
      <c r="FQ17" s="80">
        <v>1088</v>
      </c>
      <c r="FR17" s="80">
        <v>2414</v>
      </c>
      <c r="FS17" s="81">
        <v>-1548</v>
      </c>
      <c r="FT17" s="76">
        <v>1648</v>
      </c>
      <c r="FU17" s="76">
        <v>34031</v>
      </c>
      <c r="FV17" s="76">
        <v>1548</v>
      </c>
      <c r="FW17" s="80">
        <v>45387</v>
      </c>
      <c r="FX17" s="80">
        <v>851</v>
      </c>
      <c r="FY17" s="73">
        <v>7639</v>
      </c>
      <c r="FZ17" s="73">
        <v>20134</v>
      </c>
      <c r="GA17" s="73">
        <v>21546</v>
      </c>
      <c r="GB17" s="73">
        <v>5061</v>
      </c>
      <c r="GC17" s="73">
        <v>1097</v>
      </c>
      <c r="GD17" s="73">
        <v>17321</v>
      </c>
      <c r="GE17" s="73">
        <v>1143</v>
      </c>
      <c r="GF17" s="73">
        <v>1670</v>
      </c>
      <c r="GG17" s="73">
        <v>3281</v>
      </c>
      <c r="GH17" s="73">
        <v>-359</v>
      </c>
      <c r="GI17" s="73">
        <v>1400</v>
      </c>
      <c r="GJ17" s="73">
        <v>33806</v>
      </c>
      <c r="GK17" s="73">
        <v>359</v>
      </c>
      <c r="GL17" s="73">
        <v>43610</v>
      </c>
      <c r="GM17" s="73">
        <v>1966</v>
      </c>
      <c r="GN17" s="73">
        <v>-1238</v>
      </c>
      <c r="GO17" s="77">
        <v>21</v>
      </c>
      <c r="GP17" s="78">
        <v>7609</v>
      </c>
      <c r="GQ17" s="73">
        <v>20828</v>
      </c>
      <c r="GR17" s="65">
        <v>23032</v>
      </c>
      <c r="GS17" s="65">
        <v>5481</v>
      </c>
      <c r="GT17" s="65">
        <v>300</v>
      </c>
      <c r="GU17" s="65">
        <v>17733</v>
      </c>
      <c r="GV17" s="65">
        <v>1422</v>
      </c>
      <c r="GW17" s="65">
        <v>1673</v>
      </c>
      <c r="GX17" s="65">
        <v>3939</v>
      </c>
      <c r="GY17" s="65">
        <v>-185</v>
      </c>
      <c r="GZ17" s="65">
        <v>1360</v>
      </c>
      <c r="HA17" s="65">
        <v>29812</v>
      </c>
      <c r="HB17" s="65">
        <v>185</v>
      </c>
      <c r="HC17" s="65">
        <v>44876</v>
      </c>
      <c r="HD17" s="65">
        <v>2664</v>
      </c>
      <c r="HE17" s="78">
        <v>7641</v>
      </c>
      <c r="HF17" s="73">
        <v>20946</v>
      </c>
      <c r="HG17" s="65">
        <v>22506</v>
      </c>
      <c r="HH17" s="65">
        <v>5173</v>
      </c>
      <c r="HI17" s="65">
        <v>988</v>
      </c>
      <c r="HJ17" s="65">
        <v>18234</v>
      </c>
      <c r="HK17" s="65">
        <v>1054</v>
      </c>
      <c r="HL17" s="65">
        <v>1658</v>
      </c>
      <c r="HM17" s="65">
        <v>1378</v>
      </c>
      <c r="HN17" s="65">
        <v>-917</v>
      </c>
      <c r="HO17" s="65">
        <v>1356</v>
      </c>
      <c r="HP17" s="65">
        <v>28372</v>
      </c>
      <c r="HQ17" s="65">
        <v>917</v>
      </c>
      <c r="HR17" s="65">
        <v>47560</v>
      </c>
      <c r="HS17" s="65">
        <v>107</v>
      </c>
      <c r="HT17" s="65">
        <v>1534</v>
      </c>
      <c r="HU17" s="77">
        <v>21</v>
      </c>
      <c r="HV17" s="180">
        <v>240</v>
      </c>
      <c r="HW17" s="30" t="s">
        <v>757</v>
      </c>
    </row>
    <row r="18" spans="1:231" ht="15" x14ac:dyDescent="0.25">
      <c r="A18" s="27">
        <v>71</v>
      </c>
      <c r="B18" s="27" t="s">
        <v>147</v>
      </c>
      <c r="C18" s="27">
        <v>17</v>
      </c>
      <c r="D18" s="27" t="s">
        <v>117</v>
      </c>
      <c r="E18" s="27">
        <v>3</v>
      </c>
      <c r="F18" s="27" t="s">
        <v>743</v>
      </c>
      <c r="G18" s="29" t="s">
        <v>132</v>
      </c>
      <c r="H18" s="27" t="s">
        <v>99</v>
      </c>
      <c r="I18" s="31" t="s">
        <v>117</v>
      </c>
      <c r="J18" s="69">
        <v>8166</v>
      </c>
      <c r="K18" s="69">
        <v>8075</v>
      </c>
      <c r="L18" s="36">
        <v>7983</v>
      </c>
      <c r="M18" s="36">
        <v>7894</v>
      </c>
      <c r="N18" s="36">
        <v>7851</v>
      </c>
      <c r="O18" s="36">
        <v>7818</v>
      </c>
      <c r="P18" s="36">
        <v>7753</v>
      </c>
      <c r="Q18" s="36">
        <v>7680</v>
      </c>
      <c r="R18" s="69">
        <v>7529</v>
      </c>
      <c r="S18" s="69">
        <v>7515</v>
      </c>
      <c r="T18" s="71">
        <v>7493</v>
      </c>
      <c r="U18" s="36">
        <v>12862</v>
      </c>
      <c r="V18" s="36">
        <v>11376</v>
      </c>
      <c r="W18" s="36">
        <v>5306</v>
      </c>
      <c r="X18" s="36">
        <v>370.51800199470881</v>
      </c>
      <c r="Y18" s="36">
        <v>13415</v>
      </c>
      <c r="Z18" s="36">
        <v>11256</v>
      </c>
      <c r="AA18" s="36">
        <v>7109</v>
      </c>
      <c r="AB18" s="36">
        <v>1589.7122809142022</v>
      </c>
      <c r="AC18" s="36">
        <v>12092</v>
      </c>
      <c r="AD18" s="36">
        <v>11961</v>
      </c>
      <c r="AE18" s="36">
        <v>7000</v>
      </c>
      <c r="AF18" s="36">
        <v>332.67571854086884</v>
      </c>
      <c r="AG18" s="36">
        <v>13521</v>
      </c>
      <c r="AH18" s="36">
        <v>13716</v>
      </c>
      <c r="AI18" s="36">
        <v>7614</v>
      </c>
      <c r="AJ18" s="36">
        <v>559.72941926390865</v>
      </c>
      <c r="AK18" s="36">
        <v>14305</v>
      </c>
      <c r="AL18" s="36">
        <v>14707</v>
      </c>
      <c r="AM18" s="36">
        <v>8666</v>
      </c>
      <c r="AN18" s="36">
        <v>464</v>
      </c>
      <c r="AO18" s="36">
        <v>13854</v>
      </c>
      <c r="AP18" s="36">
        <v>15042</v>
      </c>
      <c r="AQ18" s="36">
        <v>8636</v>
      </c>
      <c r="AR18" s="36">
        <v>364</v>
      </c>
      <c r="AS18" s="36">
        <v>14416</v>
      </c>
      <c r="AT18" s="36">
        <v>15866</v>
      </c>
      <c r="AU18" s="36">
        <v>10634</v>
      </c>
      <c r="AV18" s="36">
        <v>983</v>
      </c>
      <c r="AW18" s="36">
        <v>14864</v>
      </c>
      <c r="AX18" s="69">
        <v>15485</v>
      </c>
      <c r="AY18" s="36">
        <v>19301</v>
      </c>
      <c r="AZ18" s="36">
        <v>38</v>
      </c>
      <c r="BA18" s="36">
        <v>15738</v>
      </c>
      <c r="BB18" s="36">
        <v>16084</v>
      </c>
      <c r="BC18" s="36">
        <v>21666</v>
      </c>
      <c r="BD18" s="36">
        <v>422</v>
      </c>
      <c r="BE18" s="70">
        <v>17154</v>
      </c>
      <c r="BF18" s="70">
        <v>16256</v>
      </c>
      <c r="BG18" s="70">
        <v>22261</v>
      </c>
      <c r="BH18" s="70">
        <v>270</v>
      </c>
      <c r="BI18" s="36">
        <v>18451</v>
      </c>
      <c r="BJ18" s="36">
        <v>17645</v>
      </c>
      <c r="BK18" s="36">
        <v>23935</v>
      </c>
      <c r="BL18" s="36">
        <v>0</v>
      </c>
      <c r="BM18" s="36">
        <v>10523.518558696745</v>
      </c>
      <c r="BN18" s="36">
        <v>1945.7661212332212</v>
      </c>
      <c r="BO18" s="36">
        <v>393.05518414055126</v>
      </c>
      <c r="BP18" s="36">
        <v>10761.840850492707</v>
      </c>
      <c r="BQ18" s="36">
        <v>2249.1771405697868</v>
      </c>
      <c r="BR18" s="36">
        <v>404.32377521347246</v>
      </c>
      <c r="BS18" s="36">
        <v>10294.78297870909</v>
      </c>
      <c r="BT18" s="36">
        <v>1405.2101255859247</v>
      </c>
      <c r="BU18" s="36">
        <v>392.04605658178218</v>
      </c>
      <c r="BV18" s="36">
        <v>11702</v>
      </c>
      <c r="BW18" s="36">
        <v>1383</v>
      </c>
      <c r="BX18" s="36">
        <v>436</v>
      </c>
      <c r="BY18" s="36">
        <v>12717</v>
      </c>
      <c r="BZ18" s="36">
        <v>1142</v>
      </c>
      <c r="CA18" s="36">
        <v>446</v>
      </c>
      <c r="CB18" s="36">
        <v>12833</v>
      </c>
      <c r="CC18" s="36">
        <v>579</v>
      </c>
      <c r="CD18" s="36">
        <v>442</v>
      </c>
      <c r="CE18" s="36">
        <v>13130</v>
      </c>
      <c r="CF18" s="36">
        <v>731</v>
      </c>
      <c r="CG18" s="36">
        <v>555</v>
      </c>
      <c r="CH18" s="36">
        <v>13330</v>
      </c>
      <c r="CI18" s="36">
        <v>948</v>
      </c>
      <c r="CJ18" s="70">
        <v>586</v>
      </c>
      <c r="CK18" s="70">
        <v>13790</v>
      </c>
      <c r="CL18" s="70">
        <v>1289</v>
      </c>
      <c r="CM18" s="36">
        <v>659</v>
      </c>
      <c r="CN18" s="36">
        <v>14836</v>
      </c>
      <c r="CO18" s="36">
        <v>1596</v>
      </c>
      <c r="CP18" s="36">
        <v>722</v>
      </c>
      <c r="CQ18" s="36">
        <v>16133</v>
      </c>
      <c r="CR18" s="36">
        <v>1523</v>
      </c>
      <c r="CS18" s="36">
        <v>795</v>
      </c>
      <c r="CT18" s="36">
        <v>1347.0171030302417</v>
      </c>
      <c r="CU18" s="36">
        <v>-1811.552156</v>
      </c>
      <c r="CV18" s="36">
        <v>1209.1030033318027</v>
      </c>
      <c r="CW18" s="36">
        <v>7736</v>
      </c>
      <c r="CX18" s="36">
        <v>1756.7228918904827</v>
      </c>
      <c r="CY18" s="36">
        <v>8868.7175499999994</v>
      </c>
      <c r="CZ18" s="36">
        <v>1321.4525382080922</v>
      </c>
      <c r="DA18" s="36">
        <v>6122</v>
      </c>
      <c r="DB18" s="36">
        <v>-319.0524964974864</v>
      </c>
      <c r="DC18" s="36">
        <v>-856.58110950000003</v>
      </c>
      <c r="DD18" s="36">
        <v>1429.9337507757668</v>
      </c>
      <c r="DE18" s="36">
        <v>3254</v>
      </c>
      <c r="DF18" s="36">
        <v>975.32178555030248</v>
      </c>
      <c r="DG18" s="36">
        <v>-1257</v>
      </c>
      <c r="DH18" s="36">
        <v>1422.8698578643832</v>
      </c>
      <c r="DI18" s="36">
        <v>3292</v>
      </c>
      <c r="DJ18" s="36">
        <v>2776</v>
      </c>
      <c r="DK18" s="36">
        <v>-3801</v>
      </c>
      <c r="DL18" s="36">
        <v>1809</v>
      </c>
      <c r="DM18" s="36">
        <v>5863</v>
      </c>
      <c r="DN18" s="36">
        <v>570</v>
      </c>
      <c r="DO18" s="69">
        <v>-2742</v>
      </c>
      <c r="DP18" s="36">
        <v>1685</v>
      </c>
      <c r="DQ18" s="36">
        <v>7098</v>
      </c>
      <c r="DR18" s="36">
        <v>1055</v>
      </c>
      <c r="DS18" s="36">
        <v>-2494</v>
      </c>
      <c r="DT18" s="36">
        <v>1739</v>
      </c>
      <c r="DU18" s="36">
        <v>8169</v>
      </c>
      <c r="DV18" s="36">
        <v>-576</v>
      </c>
      <c r="DW18" s="71">
        <v>-1689</v>
      </c>
      <c r="DX18" s="39">
        <v>1826</v>
      </c>
      <c r="DY18" s="71">
        <v>9017</v>
      </c>
      <c r="DZ18" s="70">
        <v>-159</v>
      </c>
      <c r="EA18" s="35">
        <v>-1937</v>
      </c>
      <c r="EB18" s="35">
        <v>1913</v>
      </c>
      <c r="EC18" s="38">
        <v>10220</v>
      </c>
      <c r="ED18" s="38">
        <v>541</v>
      </c>
      <c r="EE18" s="38">
        <v>-1661</v>
      </c>
      <c r="EF18" s="38">
        <v>1588</v>
      </c>
      <c r="EG18" s="73">
        <v>11698</v>
      </c>
      <c r="EH18" s="73">
        <v>728</v>
      </c>
      <c r="EI18" s="73">
        <v>-2673</v>
      </c>
      <c r="EJ18" s="73">
        <v>1590</v>
      </c>
      <c r="EK18" s="73">
        <v>13716</v>
      </c>
      <c r="EL18" s="73">
        <v>26786.786483745476</v>
      </c>
      <c r="EM18" s="73">
        <v>204.85289443012044</v>
      </c>
      <c r="EN18" s="73">
        <v>29780.363386833913</v>
      </c>
      <c r="EO18" s="73">
        <v>5505.7999606440253</v>
      </c>
      <c r="EP18" s="73">
        <v>30089.997359449553</v>
      </c>
      <c r="EQ18" s="73">
        <v>-1748.9862472732532</v>
      </c>
      <c r="ER18" s="73">
        <v>32559.332495757455</v>
      </c>
      <c r="ES18" s="73">
        <v>-447.54807231408085</v>
      </c>
      <c r="ET18" s="73">
        <v>34907</v>
      </c>
      <c r="EU18" s="73">
        <v>820</v>
      </c>
      <c r="EV18" s="73">
        <v>37098</v>
      </c>
      <c r="EW18" s="73">
        <v>-1115</v>
      </c>
      <c r="EX18" s="73">
        <v>40509</v>
      </c>
      <c r="EY18" s="73">
        <v>-684</v>
      </c>
      <c r="EZ18" s="73">
        <v>49909</v>
      </c>
      <c r="FA18" s="73">
        <v>-2402</v>
      </c>
      <c r="FB18" s="73">
        <v>53829</v>
      </c>
      <c r="FC18" s="73">
        <v>-140</v>
      </c>
      <c r="FD18" s="73">
        <v>52982</v>
      </c>
      <c r="FE18" s="73">
        <v>-1125</v>
      </c>
      <c r="FF18" s="73">
        <v>58377</v>
      </c>
      <c r="FG18" s="73">
        <v>-862</v>
      </c>
      <c r="FH18" s="73">
        <v>2823</v>
      </c>
      <c r="FI18" s="73">
        <v>2402</v>
      </c>
      <c r="FJ18" s="79">
        <v>7396</v>
      </c>
      <c r="FK18" s="80">
        <v>18201</v>
      </c>
      <c r="FL18" s="80">
        <v>18751</v>
      </c>
      <c r="FM18" s="80">
        <v>28896</v>
      </c>
      <c r="FN18" s="76">
        <v>46</v>
      </c>
      <c r="FO18" s="80">
        <v>16529</v>
      </c>
      <c r="FP18" s="80">
        <v>973</v>
      </c>
      <c r="FQ18" s="80">
        <v>699</v>
      </c>
      <c r="FR18" s="80">
        <v>2260</v>
      </c>
      <c r="FS18" s="81">
        <v>-2563</v>
      </c>
      <c r="FT18" s="76">
        <v>1571</v>
      </c>
      <c r="FU18" s="76">
        <v>15077</v>
      </c>
      <c r="FV18" s="76">
        <v>2563</v>
      </c>
      <c r="FW18" s="80">
        <v>63284</v>
      </c>
      <c r="FX18" s="80">
        <v>689</v>
      </c>
      <c r="FY18" s="73">
        <v>7418</v>
      </c>
      <c r="FZ18" s="73">
        <v>18258</v>
      </c>
      <c r="GA18" s="73">
        <v>19865</v>
      </c>
      <c r="GB18" s="73">
        <v>30407</v>
      </c>
      <c r="GC18" s="73">
        <v>562</v>
      </c>
      <c r="GD18" s="73">
        <v>16223</v>
      </c>
      <c r="GE18" s="73">
        <v>1193</v>
      </c>
      <c r="GF18" s="73">
        <v>842</v>
      </c>
      <c r="GG18" s="73">
        <v>2327</v>
      </c>
      <c r="GH18" s="73">
        <v>-4210</v>
      </c>
      <c r="GI18" s="73">
        <v>1767</v>
      </c>
      <c r="GJ18" s="73">
        <v>13023</v>
      </c>
      <c r="GK18" s="73">
        <v>4210</v>
      </c>
      <c r="GL18" s="73">
        <v>66185</v>
      </c>
      <c r="GM18" s="73">
        <v>560</v>
      </c>
      <c r="GN18" s="73">
        <v>3699</v>
      </c>
      <c r="GO18" s="77">
        <v>20.75</v>
      </c>
      <c r="GP18" s="78">
        <v>7384</v>
      </c>
      <c r="GQ18" s="73">
        <v>19364</v>
      </c>
      <c r="GR18" s="65">
        <v>20922</v>
      </c>
      <c r="GS18" s="65">
        <v>32592</v>
      </c>
      <c r="GT18" s="65">
        <v>75</v>
      </c>
      <c r="GU18" s="65">
        <v>17096</v>
      </c>
      <c r="GV18" s="65">
        <v>1407</v>
      </c>
      <c r="GW18" s="65">
        <v>861</v>
      </c>
      <c r="GX18" s="65">
        <v>1366</v>
      </c>
      <c r="GY18" s="65">
        <v>-3576</v>
      </c>
      <c r="GZ18" s="65">
        <v>2045</v>
      </c>
      <c r="HA18" s="65">
        <v>15501</v>
      </c>
      <c r="HB18" s="65">
        <v>3576</v>
      </c>
      <c r="HC18" s="65">
        <v>71113</v>
      </c>
      <c r="HD18" s="65">
        <v>-679</v>
      </c>
      <c r="HE18" s="78">
        <v>7283</v>
      </c>
      <c r="HF18" s="73">
        <v>19384</v>
      </c>
      <c r="HG18" s="65">
        <v>21377</v>
      </c>
      <c r="HH18" s="65">
        <v>33438</v>
      </c>
      <c r="HI18" s="65">
        <v>712</v>
      </c>
      <c r="HJ18" s="65">
        <v>17575</v>
      </c>
      <c r="HK18" s="65">
        <v>909</v>
      </c>
      <c r="HL18" s="65">
        <v>900</v>
      </c>
      <c r="HM18" s="65">
        <v>739</v>
      </c>
      <c r="HN18" s="65">
        <v>-2944</v>
      </c>
      <c r="HO18" s="65">
        <v>1969</v>
      </c>
      <c r="HP18" s="65">
        <v>16783</v>
      </c>
      <c r="HQ18" s="65">
        <v>2944</v>
      </c>
      <c r="HR18" s="65">
        <v>73699</v>
      </c>
      <c r="HS18" s="65">
        <v>-1230</v>
      </c>
      <c r="HT18" s="65">
        <v>1791</v>
      </c>
      <c r="HU18" s="77">
        <v>20.75</v>
      </c>
      <c r="HV18" s="180">
        <v>340</v>
      </c>
      <c r="HW18" s="30" t="s">
        <v>761</v>
      </c>
    </row>
    <row r="19" spans="1:231" ht="15" x14ac:dyDescent="0.25">
      <c r="A19" s="27">
        <v>72</v>
      </c>
      <c r="B19" s="27" t="s">
        <v>148</v>
      </c>
      <c r="C19" s="27">
        <v>17</v>
      </c>
      <c r="D19" s="27" t="s">
        <v>117</v>
      </c>
      <c r="E19" s="27">
        <v>1</v>
      </c>
      <c r="F19" s="27" t="s">
        <v>103</v>
      </c>
      <c r="G19" s="29" t="s">
        <v>130</v>
      </c>
      <c r="H19" s="27" t="s">
        <v>98</v>
      </c>
      <c r="I19" s="31" t="s">
        <v>117</v>
      </c>
      <c r="J19" s="69">
        <v>974</v>
      </c>
      <c r="K19" s="69">
        <v>976</v>
      </c>
      <c r="L19" s="36">
        <v>966</v>
      </c>
      <c r="M19" s="36">
        <v>972</v>
      </c>
      <c r="N19" s="36">
        <v>968</v>
      </c>
      <c r="O19" s="36">
        <v>979</v>
      </c>
      <c r="P19" s="36">
        <v>986</v>
      </c>
      <c r="Q19" s="36">
        <v>964</v>
      </c>
      <c r="R19" s="69">
        <v>998</v>
      </c>
      <c r="S19" s="69">
        <v>987</v>
      </c>
      <c r="T19" s="71">
        <v>1028</v>
      </c>
      <c r="U19" s="36">
        <v>1908</v>
      </c>
      <c r="V19" s="36">
        <v>1177</v>
      </c>
      <c r="W19" s="36">
        <v>716</v>
      </c>
      <c r="X19" s="36">
        <v>70.975304966757648</v>
      </c>
      <c r="Y19" s="36">
        <v>1745</v>
      </c>
      <c r="Z19" s="36">
        <v>1104</v>
      </c>
      <c r="AA19" s="36">
        <v>634</v>
      </c>
      <c r="AB19" s="36">
        <v>246.73168811903668</v>
      </c>
      <c r="AC19" s="36">
        <v>1774</v>
      </c>
      <c r="AD19" s="36">
        <v>1239</v>
      </c>
      <c r="AE19" s="36">
        <v>649</v>
      </c>
      <c r="AF19" s="36">
        <v>235.79947289903845</v>
      </c>
      <c r="AG19" s="36">
        <v>1883</v>
      </c>
      <c r="AH19" s="36">
        <v>1522</v>
      </c>
      <c r="AI19" s="36">
        <v>644</v>
      </c>
      <c r="AJ19" s="36">
        <v>214.10323038550354</v>
      </c>
      <c r="AK19" s="36">
        <v>2061</v>
      </c>
      <c r="AL19" s="36">
        <v>1608</v>
      </c>
      <c r="AM19" s="36">
        <v>643</v>
      </c>
      <c r="AN19" s="36">
        <v>175</v>
      </c>
      <c r="AO19" s="36">
        <v>2005</v>
      </c>
      <c r="AP19" s="36">
        <v>1791</v>
      </c>
      <c r="AQ19" s="36">
        <v>825</v>
      </c>
      <c r="AR19" s="36">
        <v>173</v>
      </c>
      <c r="AS19" s="36">
        <v>2196</v>
      </c>
      <c r="AT19" s="36">
        <v>1964</v>
      </c>
      <c r="AU19" s="36">
        <v>814</v>
      </c>
      <c r="AV19" s="36">
        <v>409</v>
      </c>
      <c r="AW19" s="36">
        <v>2105</v>
      </c>
      <c r="AX19" s="69">
        <v>1939</v>
      </c>
      <c r="AY19" s="36">
        <v>910</v>
      </c>
      <c r="AZ19" s="36">
        <v>250</v>
      </c>
      <c r="BA19" s="36">
        <v>2155</v>
      </c>
      <c r="BB19" s="36">
        <v>2251</v>
      </c>
      <c r="BC19" s="36">
        <v>902</v>
      </c>
      <c r="BD19" s="36">
        <v>61</v>
      </c>
      <c r="BE19" s="70">
        <v>2585</v>
      </c>
      <c r="BF19" s="70">
        <v>2162</v>
      </c>
      <c r="BG19" s="70">
        <v>1097</v>
      </c>
      <c r="BH19" s="70">
        <v>385</v>
      </c>
      <c r="BI19" s="36">
        <v>2661</v>
      </c>
      <c r="BJ19" s="36">
        <v>2417</v>
      </c>
      <c r="BK19" s="36">
        <v>1014</v>
      </c>
      <c r="BL19" s="36">
        <v>256</v>
      </c>
      <c r="BM19" s="36">
        <v>1471.812544464683</v>
      </c>
      <c r="BN19" s="36">
        <v>372.53625711224691</v>
      </c>
      <c r="BO19" s="36">
        <v>63.40684827598966</v>
      </c>
      <c r="BP19" s="36">
        <v>1403.6964342477711</v>
      </c>
      <c r="BQ19" s="36">
        <v>277.17370280857017</v>
      </c>
      <c r="BR19" s="36">
        <v>64.584163761220239</v>
      </c>
      <c r="BS19" s="36">
        <v>1425.8972405406905</v>
      </c>
      <c r="BT19" s="36">
        <v>282.21934060241551</v>
      </c>
      <c r="BU19" s="36">
        <v>66.266043025835344</v>
      </c>
      <c r="BV19" s="36">
        <v>1684</v>
      </c>
      <c r="BW19" s="36">
        <v>132</v>
      </c>
      <c r="BX19" s="36">
        <v>68</v>
      </c>
      <c r="BY19" s="36">
        <v>1890</v>
      </c>
      <c r="BZ19" s="36">
        <v>83</v>
      </c>
      <c r="CA19" s="36">
        <v>88</v>
      </c>
      <c r="CB19" s="36">
        <v>1872</v>
      </c>
      <c r="CC19" s="36">
        <v>39</v>
      </c>
      <c r="CD19" s="36">
        <v>94</v>
      </c>
      <c r="CE19" s="36">
        <v>2049</v>
      </c>
      <c r="CF19" s="36">
        <v>52</v>
      </c>
      <c r="CG19" s="36">
        <v>95</v>
      </c>
      <c r="CH19" s="36">
        <v>1934</v>
      </c>
      <c r="CI19" s="36">
        <v>67</v>
      </c>
      <c r="CJ19" s="70">
        <v>104</v>
      </c>
      <c r="CK19" s="70">
        <v>1957</v>
      </c>
      <c r="CL19" s="70">
        <v>90</v>
      </c>
      <c r="CM19" s="36">
        <v>108</v>
      </c>
      <c r="CN19" s="36">
        <v>2345</v>
      </c>
      <c r="CO19" s="36">
        <v>108</v>
      </c>
      <c r="CP19" s="36">
        <v>132</v>
      </c>
      <c r="CQ19" s="36">
        <v>2419</v>
      </c>
      <c r="CR19" s="36">
        <v>93</v>
      </c>
      <c r="CS19" s="36">
        <v>149</v>
      </c>
      <c r="CT19" s="36">
        <v>86.280406274755151</v>
      </c>
      <c r="CU19" s="36">
        <v>-80.898392630000004</v>
      </c>
      <c r="CV19" s="36">
        <v>90.653292362754442</v>
      </c>
      <c r="CW19" s="36">
        <v>735</v>
      </c>
      <c r="CX19" s="36">
        <v>-2.1864430439996432</v>
      </c>
      <c r="CY19" s="36">
        <v>2190.9841179999999</v>
      </c>
      <c r="CZ19" s="36">
        <v>89.644164803985376</v>
      </c>
      <c r="DA19" s="36">
        <v>736</v>
      </c>
      <c r="DB19" s="36">
        <v>-58.529398408605836</v>
      </c>
      <c r="DC19" s="36">
        <v>-118.90886400000001</v>
      </c>
      <c r="DD19" s="36">
        <v>101.08094380336811</v>
      </c>
      <c r="DE19" s="36">
        <v>896</v>
      </c>
      <c r="DF19" s="36">
        <v>86.953157980601205</v>
      </c>
      <c r="DG19" s="36">
        <v>-293</v>
      </c>
      <c r="DH19" s="36">
        <v>102.59463514152172</v>
      </c>
      <c r="DI19" s="36">
        <v>725</v>
      </c>
      <c r="DJ19" s="36">
        <v>279</v>
      </c>
      <c r="DK19" s="36">
        <v>-979</v>
      </c>
      <c r="DL19" s="36">
        <v>108</v>
      </c>
      <c r="DM19" s="36">
        <v>1221</v>
      </c>
      <c r="DN19" s="36">
        <v>64</v>
      </c>
      <c r="DO19" s="69">
        <v>-90</v>
      </c>
      <c r="DP19" s="36">
        <v>136</v>
      </c>
      <c r="DQ19" s="36">
        <v>1192</v>
      </c>
      <c r="DR19" s="36">
        <v>172</v>
      </c>
      <c r="DS19" s="36">
        <v>-548</v>
      </c>
      <c r="DT19" s="36">
        <v>121</v>
      </c>
      <c r="DU19" s="36">
        <v>1378</v>
      </c>
      <c r="DV19" s="36">
        <v>-368</v>
      </c>
      <c r="DW19" s="71">
        <v>-136</v>
      </c>
      <c r="DX19" s="39">
        <v>123</v>
      </c>
      <c r="DY19" s="71">
        <v>2023</v>
      </c>
      <c r="DZ19" s="70">
        <v>240</v>
      </c>
      <c r="EA19" s="35">
        <v>-187</v>
      </c>
      <c r="EB19" s="35">
        <v>130</v>
      </c>
      <c r="EC19" s="38">
        <v>2044</v>
      </c>
      <c r="ED19" s="38">
        <v>819</v>
      </c>
      <c r="EE19" s="38">
        <v>-307</v>
      </c>
      <c r="EF19" s="38">
        <v>125</v>
      </c>
      <c r="EG19" s="73">
        <v>1964</v>
      </c>
      <c r="EH19" s="73">
        <v>305</v>
      </c>
      <c r="EI19" s="73">
        <v>-443</v>
      </c>
      <c r="EJ19" s="73">
        <v>141</v>
      </c>
      <c r="EK19" s="73">
        <v>1666</v>
      </c>
      <c r="EL19" s="73">
        <v>3607.7992105258731</v>
      </c>
      <c r="EM19" s="73">
        <v>0</v>
      </c>
      <c r="EN19" s="73">
        <v>3552.1290068671128</v>
      </c>
      <c r="EO19" s="73">
        <v>0</v>
      </c>
      <c r="EP19" s="73">
        <v>3741.5086120627743</v>
      </c>
      <c r="EQ19" s="73">
        <v>-7.4002687643064853</v>
      </c>
      <c r="ER19" s="73">
        <v>3976.6353332559665</v>
      </c>
      <c r="ES19" s="73">
        <v>-7.4002687643064853</v>
      </c>
      <c r="ET19" s="73">
        <v>4168</v>
      </c>
      <c r="EU19" s="73">
        <v>175</v>
      </c>
      <c r="EV19" s="73">
        <v>4641</v>
      </c>
      <c r="EW19" s="73">
        <v>-14</v>
      </c>
      <c r="EX19" s="73">
        <v>4893</v>
      </c>
      <c r="EY19" s="73">
        <v>327</v>
      </c>
      <c r="EZ19" s="73">
        <v>5418</v>
      </c>
      <c r="FA19" s="73">
        <v>-345</v>
      </c>
      <c r="FB19" s="73">
        <v>5123</v>
      </c>
      <c r="FC19" s="73">
        <v>162</v>
      </c>
      <c r="FD19" s="73">
        <v>5056</v>
      </c>
      <c r="FE19" s="73">
        <v>531</v>
      </c>
      <c r="FF19" s="73">
        <v>5830</v>
      </c>
      <c r="FG19" s="73">
        <v>471</v>
      </c>
      <c r="FH19" s="73">
        <v>2347</v>
      </c>
      <c r="FI19" s="73">
        <v>2819</v>
      </c>
      <c r="FJ19" s="79">
        <v>1019</v>
      </c>
      <c r="FK19" s="80">
        <v>2610</v>
      </c>
      <c r="FL19" s="80">
        <v>2646</v>
      </c>
      <c r="FM19" s="80">
        <v>1202</v>
      </c>
      <c r="FN19" s="76">
        <v>624</v>
      </c>
      <c r="FO19" s="80">
        <v>2382</v>
      </c>
      <c r="FP19" s="80">
        <v>66</v>
      </c>
      <c r="FQ19" s="80">
        <v>162</v>
      </c>
      <c r="FR19" s="80">
        <v>775</v>
      </c>
      <c r="FS19" s="81">
        <v>-386</v>
      </c>
      <c r="FT19" s="76">
        <v>171</v>
      </c>
      <c r="FU19" s="76">
        <v>1566</v>
      </c>
      <c r="FV19" s="76">
        <v>386</v>
      </c>
      <c r="FW19" s="80">
        <v>6307</v>
      </c>
      <c r="FX19" s="80">
        <v>43</v>
      </c>
      <c r="FY19" s="73">
        <v>1004</v>
      </c>
      <c r="FZ19" s="73">
        <v>2913</v>
      </c>
      <c r="GA19" s="73">
        <v>3147</v>
      </c>
      <c r="GB19" s="73">
        <v>1170</v>
      </c>
      <c r="GC19" s="73">
        <v>611</v>
      </c>
      <c r="GD19" s="73">
        <v>2615</v>
      </c>
      <c r="GE19" s="73">
        <v>99</v>
      </c>
      <c r="GF19" s="73">
        <v>199</v>
      </c>
      <c r="GG19" s="73">
        <v>1854</v>
      </c>
      <c r="GH19" s="73">
        <v>-112</v>
      </c>
      <c r="GI19" s="73">
        <v>183</v>
      </c>
      <c r="GJ19" s="73">
        <v>1465</v>
      </c>
      <c r="GK19" s="73">
        <v>112</v>
      </c>
      <c r="GL19" s="73">
        <v>5987</v>
      </c>
      <c r="GM19" s="73">
        <v>127</v>
      </c>
      <c r="GN19" s="73">
        <v>2989</v>
      </c>
      <c r="GO19" s="77">
        <v>19.25</v>
      </c>
      <c r="GP19" s="78">
        <v>1004</v>
      </c>
      <c r="GQ19" s="73">
        <v>2787</v>
      </c>
      <c r="GR19" s="65">
        <v>3162</v>
      </c>
      <c r="GS19" s="65">
        <v>1169</v>
      </c>
      <c r="GT19" s="65">
        <v>98</v>
      </c>
      <c r="GU19" s="65">
        <v>2469</v>
      </c>
      <c r="GV19" s="65">
        <v>107</v>
      </c>
      <c r="GW19" s="65">
        <v>211</v>
      </c>
      <c r="GX19" s="65">
        <v>1016</v>
      </c>
      <c r="GY19" s="65">
        <v>-293</v>
      </c>
      <c r="GZ19" s="65">
        <v>178</v>
      </c>
      <c r="HA19" s="65">
        <v>1364</v>
      </c>
      <c r="HB19" s="65">
        <v>293</v>
      </c>
      <c r="HC19" s="65">
        <v>6200</v>
      </c>
      <c r="HD19" s="65">
        <v>113</v>
      </c>
      <c r="HE19" s="78">
        <v>986</v>
      </c>
      <c r="HF19" s="73">
        <v>3055</v>
      </c>
      <c r="HG19" s="65">
        <v>3198</v>
      </c>
      <c r="HH19" s="65">
        <v>1171</v>
      </c>
      <c r="HI19" s="65">
        <v>352</v>
      </c>
      <c r="HJ19" s="65">
        <v>2769</v>
      </c>
      <c r="HK19" s="65">
        <v>61</v>
      </c>
      <c r="HL19" s="65">
        <v>225</v>
      </c>
      <c r="HM19" s="65">
        <v>492</v>
      </c>
      <c r="HN19" s="65">
        <v>-1910</v>
      </c>
      <c r="HO19" s="65">
        <v>185</v>
      </c>
      <c r="HP19" s="65">
        <v>1264</v>
      </c>
      <c r="HQ19" s="65">
        <v>1910</v>
      </c>
      <c r="HR19" s="65">
        <v>7284</v>
      </c>
      <c r="HS19" s="65">
        <v>325</v>
      </c>
      <c r="HT19" s="65">
        <v>3320</v>
      </c>
      <c r="HU19" s="77">
        <v>19.25</v>
      </c>
      <c r="HV19" s="180">
        <v>330</v>
      </c>
      <c r="HW19" s="30" t="s">
        <v>760</v>
      </c>
    </row>
    <row r="20" spans="1:231" ht="15" x14ac:dyDescent="0.25">
      <c r="A20" s="27">
        <v>74</v>
      </c>
      <c r="B20" s="27" t="s">
        <v>149</v>
      </c>
      <c r="C20" s="27">
        <v>16</v>
      </c>
      <c r="D20" s="27" t="s">
        <v>110</v>
      </c>
      <c r="E20" s="27">
        <v>1</v>
      </c>
      <c r="F20" s="27" t="s">
        <v>103</v>
      </c>
      <c r="G20" s="29" t="s">
        <v>130</v>
      </c>
      <c r="H20" s="27" t="s">
        <v>98</v>
      </c>
      <c r="I20" s="31" t="s">
        <v>110</v>
      </c>
      <c r="J20" s="69">
        <v>1592</v>
      </c>
      <c r="K20" s="69">
        <v>1602</v>
      </c>
      <c r="L20" s="36">
        <v>1547</v>
      </c>
      <c r="M20" s="36">
        <v>1536</v>
      </c>
      <c r="N20" s="36">
        <v>1499</v>
      </c>
      <c r="O20" s="36">
        <v>1498</v>
      </c>
      <c r="P20" s="36">
        <v>1456</v>
      </c>
      <c r="Q20" s="36">
        <v>1441</v>
      </c>
      <c r="R20" s="69">
        <v>1405</v>
      </c>
      <c r="S20" s="69">
        <v>1379</v>
      </c>
      <c r="T20" s="71">
        <v>1351</v>
      </c>
      <c r="U20" s="36">
        <v>2459</v>
      </c>
      <c r="V20" s="36">
        <v>2364</v>
      </c>
      <c r="W20" s="36">
        <v>1352</v>
      </c>
      <c r="X20" s="36">
        <v>6.8957049849219523</v>
      </c>
      <c r="Y20" s="36">
        <v>2504</v>
      </c>
      <c r="Z20" s="36">
        <v>2175</v>
      </c>
      <c r="AA20" s="36">
        <v>1188</v>
      </c>
      <c r="AB20" s="36">
        <v>96.203493935984298</v>
      </c>
      <c r="AC20" s="36">
        <v>2408</v>
      </c>
      <c r="AD20" s="36">
        <v>2469</v>
      </c>
      <c r="AE20" s="36">
        <v>1482</v>
      </c>
      <c r="AF20" s="36">
        <v>18.332483984304702</v>
      </c>
      <c r="AG20" s="36">
        <v>2543</v>
      </c>
      <c r="AH20" s="36">
        <v>2676</v>
      </c>
      <c r="AI20" s="36">
        <v>1304</v>
      </c>
      <c r="AJ20" s="36">
        <v>46.924431482761577</v>
      </c>
      <c r="AK20" s="36">
        <v>2787</v>
      </c>
      <c r="AL20" s="36">
        <v>3089</v>
      </c>
      <c r="AM20" s="36">
        <v>1329</v>
      </c>
      <c r="AN20" s="36">
        <v>21</v>
      </c>
      <c r="AO20" s="36">
        <v>2531</v>
      </c>
      <c r="AP20" s="36">
        <v>3030</v>
      </c>
      <c r="AQ20" s="36">
        <v>1384</v>
      </c>
      <c r="AR20" s="36">
        <v>82</v>
      </c>
      <c r="AS20" s="36">
        <v>2744</v>
      </c>
      <c r="AT20" s="36">
        <v>3109</v>
      </c>
      <c r="AU20" s="36">
        <v>956</v>
      </c>
      <c r="AV20" s="36">
        <v>68</v>
      </c>
      <c r="AW20" s="36">
        <v>2578</v>
      </c>
      <c r="AX20" s="69">
        <v>2984</v>
      </c>
      <c r="AY20" s="36">
        <v>1046</v>
      </c>
      <c r="AZ20" s="36">
        <v>77</v>
      </c>
      <c r="BA20" s="36">
        <v>2624</v>
      </c>
      <c r="BB20" s="36">
        <v>3456</v>
      </c>
      <c r="BC20" s="36">
        <v>1154</v>
      </c>
      <c r="BD20" s="36">
        <v>58</v>
      </c>
      <c r="BE20" s="70">
        <v>3141</v>
      </c>
      <c r="BF20" s="70">
        <v>3391</v>
      </c>
      <c r="BG20" s="70">
        <v>1298</v>
      </c>
      <c r="BH20" s="70">
        <v>22</v>
      </c>
      <c r="BI20" s="36">
        <v>3166</v>
      </c>
      <c r="BJ20" s="36">
        <v>3589</v>
      </c>
      <c r="BK20" s="36">
        <v>1210</v>
      </c>
      <c r="BL20" s="36">
        <v>51</v>
      </c>
      <c r="BM20" s="36">
        <v>1951.652698659374</v>
      </c>
      <c r="BN20" s="36">
        <v>430.56109174146832</v>
      </c>
      <c r="BO20" s="36">
        <v>77.198258245833557</v>
      </c>
      <c r="BP20" s="36">
        <v>2086.7076036079675</v>
      </c>
      <c r="BQ20" s="36">
        <v>337.55316840825265</v>
      </c>
      <c r="BR20" s="36">
        <v>80.057452995679256</v>
      </c>
      <c r="BS20" s="36">
        <v>1945.5979333067598</v>
      </c>
      <c r="BT20" s="36">
        <v>358.24028336301848</v>
      </c>
      <c r="BU20" s="36">
        <v>103.94013855321381</v>
      </c>
      <c r="BV20" s="36">
        <v>2167</v>
      </c>
      <c r="BW20" s="36">
        <v>264</v>
      </c>
      <c r="BX20" s="36">
        <v>112</v>
      </c>
      <c r="BY20" s="36">
        <v>2485</v>
      </c>
      <c r="BZ20" s="36">
        <v>167</v>
      </c>
      <c r="CA20" s="36">
        <v>135</v>
      </c>
      <c r="CB20" s="36">
        <v>2320</v>
      </c>
      <c r="CC20" s="36">
        <v>95</v>
      </c>
      <c r="CD20" s="36">
        <v>116</v>
      </c>
      <c r="CE20" s="36">
        <v>2494</v>
      </c>
      <c r="CF20" s="36">
        <v>134</v>
      </c>
      <c r="CG20" s="36">
        <v>116</v>
      </c>
      <c r="CH20" s="36">
        <v>2292</v>
      </c>
      <c r="CI20" s="36">
        <v>158</v>
      </c>
      <c r="CJ20" s="70">
        <v>128</v>
      </c>
      <c r="CK20" s="70">
        <v>2340</v>
      </c>
      <c r="CL20" s="70">
        <v>156</v>
      </c>
      <c r="CM20" s="36">
        <v>128</v>
      </c>
      <c r="CN20" s="36">
        <v>2757</v>
      </c>
      <c r="CO20" s="36">
        <v>242</v>
      </c>
      <c r="CP20" s="36">
        <v>142</v>
      </c>
      <c r="CQ20" s="36">
        <v>2666</v>
      </c>
      <c r="CR20" s="36">
        <v>335</v>
      </c>
      <c r="CS20" s="36">
        <v>165</v>
      </c>
      <c r="CT20" s="36">
        <v>22.200806292919456</v>
      </c>
      <c r="CU20" s="36">
        <v>-140.94148240000001</v>
      </c>
      <c r="CV20" s="36">
        <v>144.80980468336099</v>
      </c>
      <c r="CW20" s="36">
        <v>2112</v>
      </c>
      <c r="CX20" s="36">
        <v>-270.44618575010975</v>
      </c>
      <c r="CY20" s="36">
        <v>-759.53667589999998</v>
      </c>
      <c r="CZ20" s="36">
        <v>154.39651649166711</v>
      </c>
      <c r="DA20" s="36">
        <v>3225</v>
      </c>
      <c r="DB20" s="36">
        <v>61.388593158451528</v>
      </c>
      <c r="DC20" s="36">
        <v>-35.487652480000001</v>
      </c>
      <c r="DD20" s="36">
        <v>176.26094693166357</v>
      </c>
      <c r="DE20" s="36">
        <v>3310</v>
      </c>
      <c r="DF20" s="36">
        <v>6.2229532790759077</v>
      </c>
      <c r="DG20" s="36">
        <v>-264</v>
      </c>
      <c r="DH20" s="36">
        <v>175.420007299356</v>
      </c>
      <c r="DI20" s="36">
        <v>3407</v>
      </c>
      <c r="DJ20" s="36">
        <v>283</v>
      </c>
      <c r="DK20" s="36">
        <v>-353</v>
      </c>
      <c r="DL20" s="36">
        <v>184</v>
      </c>
      <c r="DM20" s="36">
        <v>3179</v>
      </c>
      <c r="DN20" s="36">
        <v>98</v>
      </c>
      <c r="DO20" s="69">
        <v>-114</v>
      </c>
      <c r="DP20" s="36">
        <v>182</v>
      </c>
      <c r="DQ20" s="36">
        <v>3163</v>
      </c>
      <c r="DR20" s="36">
        <v>69</v>
      </c>
      <c r="DS20" s="36">
        <v>-523</v>
      </c>
      <c r="DT20" s="36">
        <v>187</v>
      </c>
      <c r="DU20" s="36">
        <v>3891</v>
      </c>
      <c r="DV20" s="36">
        <v>1</v>
      </c>
      <c r="DW20" s="71">
        <v>-50</v>
      </c>
      <c r="DX20" s="39">
        <v>177</v>
      </c>
      <c r="DY20" s="71">
        <v>4058</v>
      </c>
      <c r="DZ20" s="70">
        <v>180</v>
      </c>
      <c r="EA20" s="35">
        <v>-223</v>
      </c>
      <c r="EB20" s="35">
        <v>177</v>
      </c>
      <c r="EC20" s="38">
        <v>4201</v>
      </c>
      <c r="ED20" s="38">
        <v>500</v>
      </c>
      <c r="EE20" s="38">
        <v>-14</v>
      </c>
      <c r="EF20" s="38">
        <v>196</v>
      </c>
      <c r="EG20" s="73">
        <v>3691</v>
      </c>
      <c r="EH20" s="73">
        <v>352</v>
      </c>
      <c r="EI20" s="73">
        <v>488</v>
      </c>
      <c r="EJ20" s="73">
        <v>173</v>
      </c>
      <c r="EK20" s="73">
        <v>2879</v>
      </c>
      <c r="EL20" s="73">
        <v>5777.2552739529037</v>
      </c>
      <c r="EM20" s="73">
        <v>-122.60899839044154</v>
      </c>
      <c r="EN20" s="73">
        <v>5882.2045400648867</v>
      </c>
      <c r="EO20" s="73">
        <v>-424.84270224177686</v>
      </c>
      <c r="EP20" s="73">
        <v>5921.0559510774956</v>
      </c>
      <c r="EQ20" s="73">
        <v>-114.87235377321203</v>
      </c>
      <c r="ER20" s="73">
        <v>6045.5150166590147</v>
      </c>
      <c r="ES20" s="73">
        <v>-152.04188552120598</v>
      </c>
      <c r="ET20" s="73">
        <v>6786</v>
      </c>
      <c r="EU20" s="73">
        <v>99</v>
      </c>
      <c r="EV20" s="73">
        <v>6811</v>
      </c>
      <c r="EW20" s="73">
        <v>-84</v>
      </c>
      <c r="EX20" s="73">
        <v>6694</v>
      </c>
      <c r="EY20" s="73">
        <v>-184</v>
      </c>
      <c r="EZ20" s="73">
        <v>6555</v>
      </c>
      <c r="FA20" s="73">
        <v>-176</v>
      </c>
      <c r="FB20" s="73">
        <v>6974</v>
      </c>
      <c r="FC20" s="73">
        <v>3</v>
      </c>
      <c r="FD20" s="73">
        <v>7167</v>
      </c>
      <c r="FE20" s="73">
        <v>304</v>
      </c>
      <c r="FF20" s="73">
        <v>7528</v>
      </c>
      <c r="FG20" s="73">
        <v>179</v>
      </c>
      <c r="FH20" s="73">
        <v>-633</v>
      </c>
      <c r="FI20" s="73">
        <v>-454</v>
      </c>
      <c r="FJ20" s="79">
        <v>1323</v>
      </c>
      <c r="FK20" s="80">
        <v>3223</v>
      </c>
      <c r="FL20" s="80">
        <v>3672</v>
      </c>
      <c r="FM20" s="80">
        <v>722</v>
      </c>
      <c r="FN20" s="76">
        <v>29</v>
      </c>
      <c r="FO20" s="80">
        <v>2761</v>
      </c>
      <c r="FP20" s="80">
        <v>282</v>
      </c>
      <c r="FQ20" s="80">
        <v>180</v>
      </c>
      <c r="FR20" s="80">
        <v>385</v>
      </c>
      <c r="FS20" s="81">
        <v>-573</v>
      </c>
      <c r="FT20" s="76">
        <v>186</v>
      </c>
      <c r="FU20" s="76">
        <v>3680</v>
      </c>
      <c r="FV20" s="76">
        <v>573</v>
      </c>
      <c r="FW20" s="80">
        <v>7153</v>
      </c>
      <c r="FX20" s="80">
        <v>199</v>
      </c>
      <c r="FY20" s="73">
        <v>1289</v>
      </c>
      <c r="FZ20" s="73">
        <v>3446</v>
      </c>
      <c r="GA20" s="73">
        <v>3768</v>
      </c>
      <c r="GB20" s="73">
        <v>978</v>
      </c>
      <c r="GC20" s="73">
        <v>53</v>
      </c>
      <c r="GD20" s="73">
        <v>2900</v>
      </c>
      <c r="GE20" s="73">
        <v>367</v>
      </c>
      <c r="GF20" s="73">
        <v>179</v>
      </c>
      <c r="GG20" s="73">
        <v>484</v>
      </c>
      <c r="GH20" s="73">
        <v>-688</v>
      </c>
      <c r="GI20" s="73">
        <v>195</v>
      </c>
      <c r="GJ20" s="73">
        <v>3939</v>
      </c>
      <c r="GK20" s="73">
        <v>688</v>
      </c>
      <c r="GL20" s="73">
        <v>7663</v>
      </c>
      <c r="GM20" s="73">
        <v>289</v>
      </c>
      <c r="GN20" s="73">
        <v>35</v>
      </c>
      <c r="GO20" s="77">
        <v>20.5</v>
      </c>
      <c r="GP20" s="78">
        <v>1275</v>
      </c>
      <c r="GQ20" s="73">
        <v>3575</v>
      </c>
      <c r="GR20" s="65">
        <v>3573</v>
      </c>
      <c r="GS20" s="65">
        <v>1098</v>
      </c>
      <c r="GT20" s="65">
        <v>24</v>
      </c>
      <c r="GU20" s="65">
        <v>3010</v>
      </c>
      <c r="GV20" s="65">
        <v>388</v>
      </c>
      <c r="GW20" s="65">
        <v>177</v>
      </c>
      <c r="GX20" s="65">
        <v>60</v>
      </c>
      <c r="GY20" s="65">
        <v>-905</v>
      </c>
      <c r="GZ20" s="65">
        <v>204</v>
      </c>
      <c r="HA20" s="65">
        <v>4922</v>
      </c>
      <c r="HB20" s="65">
        <v>905</v>
      </c>
      <c r="HC20" s="65">
        <v>8075</v>
      </c>
      <c r="HD20" s="65">
        <v>-144</v>
      </c>
      <c r="HE20" s="78">
        <v>1248</v>
      </c>
      <c r="HF20" s="73">
        <v>3495</v>
      </c>
      <c r="HG20" s="65">
        <v>3806</v>
      </c>
      <c r="HH20" s="65">
        <v>1022</v>
      </c>
      <c r="HI20" s="65">
        <v>593</v>
      </c>
      <c r="HJ20" s="65">
        <v>3069</v>
      </c>
      <c r="HK20" s="65">
        <v>246</v>
      </c>
      <c r="HL20" s="65">
        <v>180</v>
      </c>
      <c r="HM20" s="65">
        <v>-136</v>
      </c>
      <c r="HN20" s="65">
        <v>1173</v>
      </c>
      <c r="HO20" s="65">
        <v>204</v>
      </c>
      <c r="HP20" s="65">
        <v>4916</v>
      </c>
      <c r="HQ20" s="65">
        <v>-1173</v>
      </c>
      <c r="HR20" s="65">
        <v>8260</v>
      </c>
      <c r="HS20" s="65">
        <v>253</v>
      </c>
      <c r="HT20" s="65">
        <v>144</v>
      </c>
      <c r="HU20" s="77">
        <v>21</v>
      </c>
      <c r="HV20" s="180">
        <v>340</v>
      </c>
      <c r="HW20" s="30" t="s">
        <v>761</v>
      </c>
    </row>
    <row r="21" spans="1:231" ht="15" x14ac:dyDescent="0.25">
      <c r="A21" s="27">
        <v>75</v>
      </c>
      <c r="B21" s="27" t="s">
        <v>150</v>
      </c>
      <c r="C21" s="27">
        <v>8</v>
      </c>
      <c r="D21" s="27" t="s">
        <v>112</v>
      </c>
      <c r="E21" s="27">
        <v>5</v>
      </c>
      <c r="F21" s="27" t="s">
        <v>101</v>
      </c>
      <c r="G21" s="29" t="s">
        <v>141</v>
      </c>
      <c r="H21" s="27" t="s">
        <v>97</v>
      </c>
      <c r="I21" s="31" t="s">
        <v>112</v>
      </c>
      <c r="J21" s="69">
        <v>22133</v>
      </c>
      <c r="K21" s="69">
        <v>21986</v>
      </c>
      <c r="L21" s="36">
        <v>21847</v>
      </c>
      <c r="M21" s="36">
        <v>21705</v>
      </c>
      <c r="N21" s="36">
        <v>21720</v>
      </c>
      <c r="O21" s="36">
        <v>21763</v>
      </c>
      <c r="P21" s="36">
        <v>21887</v>
      </c>
      <c r="Q21" s="36">
        <v>21957</v>
      </c>
      <c r="R21" s="69">
        <v>21826</v>
      </c>
      <c r="S21" s="69">
        <v>21737</v>
      </c>
      <c r="T21" s="71">
        <v>21570</v>
      </c>
      <c r="U21" s="36">
        <v>51176</v>
      </c>
      <c r="V21" s="36">
        <v>8440</v>
      </c>
      <c r="W21" s="36">
        <v>23399</v>
      </c>
      <c r="X21" s="36">
        <v>1114.749576586895</v>
      </c>
      <c r="Y21" s="36">
        <v>52570</v>
      </c>
      <c r="Z21" s="36">
        <v>8132</v>
      </c>
      <c r="AA21" s="36">
        <v>21930</v>
      </c>
      <c r="AB21" s="36">
        <v>1686.420338629571</v>
      </c>
      <c r="AC21" s="36">
        <v>54200</v>
      </c>
      <c r="AD21" s="36">
        <v>10429</v>
      </c>
      <c r="AE21" s="36">
        <v>22818</v>
      </c>
      <c r="AF21" s="36">
        <v>734.64486278388017</v>
      </c>
      <c r="AG21" s="36">
        <v>54796</v>
      </c>
      <c r="AH21" s="36">
        <v>10765</v>
      </c>
      <c r="AI21" s="36">
        <v>15549</v>
      </c>
      <c r="AJ21" s="36">
        <v>646.68257724450996</v>
      </c>
      <c r="AK21" s="36">
        <v>59248</v>
      </c>
      <c r="AL21" s="36">
        <v>13076</v>
      </c>
      <c r="AM21" s="36">
        <v>16727</v>
      </c>
      <c r="AN21" s="36">
        <v>721</v>
      </c>
      <c r="AO21" s="36">
        <v>55765</v>
      </c>
      <c r="AP21" s="36">
        <v>18190</v>
      </c>
      <c r="AQ21" s="36">
        <v>27963</v>
      </c>
      <c r="AR21" s="36">
        <v>813</v>
      </c>
      <c r="AS21" s="36">
        <v>55659</v>
      </c>
      <c r="AT21" s="36">
        <v>20092</v>
      </c>
      <c r="AU21" s="36">
        <v>23293</v>
      </c>
      <c r="AV21" s="36">
        <v>1149</v>
      </c>
      <c r="AW21" s="36">
        <v>57264</v>
      </c>
      <c r="AX21" s="69">
        <v>23575</v>
      </c>
      <c r="AY21" s="36">
        <v>23896</v>
      </c>
      <c r="AZ21" s="36">
        <v>1780</v>
      </c>
      <c r="BA21" s="36">
        <v>62160</v>
      </c>
      <c r="BB21" s="36">
        <v>19377</v>
      </c>
      <c r="BC21" s="36">
        <v>21968</v>
      </c>
      <c r="BD21" s="36">
        <v>1068</v>
      </c>
      <c r="BE21" s="70">
        <v>65249</v>
      </c>
      <c r="BF21" s="70">
        <v>21175</v>
      </c>
      <c r="BG21" s="70">
        <v>21850</v>
      </c>
      <c r="BH21" s="70">
        <v>1660</v>
      </c>
      <c r="BI21" s="36">
        <v>71751</v>
      </c>
      <c r="BJ21" s="36">
        <v>24290</v>
      </c>
      <c r="BK21" s="36">
        <v>23694</v>
      </c>
      <c r="BL21" s="36">
        <v>1281</v>
      </c>
      <c r="BM21" s="36">
        <v>42277.399074630026</v>
      </c>
      <c r="BN21" s="36">
        <v>7174.0560032157537</v>
      </c>
      <c r="BO21" s="36">
        <v>1724.2626220834109</v>
      </c>
      <c r="BP21" s="36">
        <v>42992.02957416499</v>
      </c>
      <c r="BQ21" s="36">
        <v>7507.5726613889292</v>
      </c>
      <c r="BR21" s="36">
        <v>2070.2251868147391</v>
      </c>
      <c r="BS21" s="36">
        <v>41286.435811918811</v>
      </c>
      <c r="BT21" s="36">
        <v>10737.78997700871</v>
      </c>
      <c r="BU21" s="36">
        <v>2176.3517684119524</v>
      </c>
      <c r="BV21" s="36">
        <v>46106</v>
      </c>
      <c r="BW21" s="36">
        <v>6548</v>
      </c>
      <c r="BX21" s="36">
        <v>2142</v>
      </c>
      <c r="BY21" s="36">
        <v>50597</v>
      </c>
      <c r="BZ21" s="36">
        <v>6371</v>
      </c>
      <c r="CA21" s="36">
        <v>2280</v>
      </c>
      <c r="CB21" s="36">
        <v>50406</v>
      </c>
      <c r="CC21" s="36">
        <v>3486</v>
      </c>
      <c r="CD21" s="36">
        <v>1873</v>
      </c>
      <c r="CE21" s="36">
        <v>49930</v>
      </c>
      <c r="CF21" s="36">
        <v>3365</v>
      </c>
      <c r="CG21" s="36">
        <v>2364</v>
      </c>
      <c r="CH21" s="36">
        <v>51548</v>
      </c>
      <c r="CI21" s="36">
        <v>3397</v>
      </c>
      <c r="CJ21" s="70">
        <v>2319</v>
      </c>
      <c r="CK21" s="70">
        <v>55648</v>
      </c>
      <c r="CL21" s="70">
        <v>3943</v>
      </c>
      <c r="CM21" s="36">
        <v>2569</v>
      </c>
      <c r="CN21" s="36">
        <v>57327</v>
      </c>
      <c r="CO21" s="36">
        <v>4858</v>
      </c>
      <c r="CP21" s="36">
        <v>3064</v>
      </c>
      <c r="CQ21" s="36">
        <v>63441</v>
      </c>
      <c r="CR21" s="36">
        <v>4963</v>
      </c>
      <c r="CS21" s="36">
        <v>3347</v>
      </c>
      <c r="CT21" s="36">
        <v>9045.6512488794469</v>
      </c>
      <c r="CU21" s="36">
        <v>-7785.0827399999998</v>
      </c>
      <c r="CV21" s="36">
        <v>5969.3258859719508</v>
      </c>
      <c r="CW21" s="36">
        <v>20780</v>
      </c>
      <c r="CX21" s="36">
        <v>6113.9675027288486</v>
      </c>
      <c r="CY21" s="36">
        <v>-6506.6863109999995</v>
      </c>
      <c r="CZ21" s="36">
        <v>6301.497040733434</v>
      </c>
      <c r="DA21" s="36">
        <v>20776</v>
      </c>
      <c r="DB21" s="36">
        <v>8558.4108259204513</v>
      </c>
      <c r="DC21" s="36">
        <v>-7679.9652859999997</v>
      </c>
      <c r="DD21" s="36">
        <v>6244.1449578100583</v>
      </c>
      <c r="DE21" s="36">
        <v>18146</v>
      </c>
      <c r="DF21" s="36">
        <v>940.33869684630827</v>
      </c>
      <c r="DG21" s="36">
        <v>-8242</v>
      </c>
      <c r="DH21" s="36">
        <v>6519.6367813540137</v>
      </c>
      <c r="DI21" s="36">
        <v>14881</v>
      </c>
      <c r="DJ21" s="36">
        <v>8440</v>
      </c>
      <c r="DK21" s="36">
        <v>-6635</v>
      </c>
      <c r="DL21" s="36">
        <v>6538</v>
      </c>
      <c r="DM21" s="36">
        <v>19881</v>
      </c>
      <c r="DN21" s="36">
        <v>7791</v>
      </c>
      <c r="DO21" s="69">
        <v>-9440</v>
      </c>
      <c r="DP21" s="36">
        <v>7063</v>
      </c>
      <c r="DQ21" s="36">
        <v>20692</v>
      </c>
      <c r="DR21" s="36">
        <v>-1649</v>
      </c>
      <c r="DS21" s="36">
        <v>-11730</v>
      </c>
      <c r="DT21" s="36">
        <v>6804</v>
      </c>
      <c r="DU21" s="36">
        <v>34707</v>
      </c>
      <c r="DV21" s="36">
        <v>604</v>
      </c>
      <c r="DW21" s="71">
        <v>-7504</v>
      </c>
      <c r="DX21" s="39">
        <v>7088</v>
      </c>
      <c r="DY21" s="71">
        <v>42338</v>
      </c>
      <c r="DZ21" s="70">
        <v>2410</v>
      </c>
      <c r="EA21" s="35">
        <v>-6116</v>
      </c>
      <c r="EB21" s="35">
        <v>6716</v>
      </c>
      <c r="EC21" s="38">
        <v>45757</v>
      </c>
      <c r="ED21" s="38">
        <v>4380</v>
      </c>
      <c r="EE21" s="38">
        <v>-12062</v>
      </c>
      <c r="EF21" s="38">
        <v>6546</v>
      </c>
      <c r="EG21" s="73">
        <v>54148</v>
      </c>
      <c r="EH21" s="73">
        <v>10312</v>
      </c>
      <c r="EI21" s="73">
        <v>-12280</v>
      </c>
      <c r="EJ21" s="73">
        <v>6884</v>
      </c>
      <c r="EK21" s="73">
        <v>59311</v>
      </c>
      <c r="EL21" s="73">
        <v>70578.381460308476</v>
      </c>
      <c r="EM21" s="73">
        <v>3373.5134289649882</v>
      </c>
      <c r="EN21" s="73">
        <v>73913.884417893176</v>
      </c>
      <c r="EO21" s="73">
        <v>979.52648371184023</v>
      </c>
      <c r="EP21" s="73">
        <v>75236.177895733563</v>
      </c>
      <c r="EQ21" s="73">
        <v>4132.8819169387107</v>
      </c>
      <c r="ER21" s="73">
        <v>38586.346840505699</v>
      </c>
      <c r="ES21" s="73">
        <v>247.0680639719597</v>
      </c>
      <c r="ET21" s="73">
        <v>40362</v>
      </c>
      <c r="EU21" s="73">
        <v>261</v>
      </c>
      <c r="EV21" s="73">
        <v>93891</v>
      </c>
      <c r="EW21" s="73">
        <v>1048</v>
      </c>
      <c r="EX21" s="73">
        <v>101052</v>
      </c>
      <c r="EY21" s="73">
        <v>-8437</v>
      </c>
      <c r="EZ21" s="73">
        <v>105326</v>
      </c>
      <c r="FA21" s="73">
        <v>-6469</v>
      </c>
      <c r="FB21" s="73">
        <v>101240</v>
      </c>
      <c r="FC21" s="73">
        <v>-4762</v>
      </c>
      <c r="FD21" s="73">
        <v>103657</v>
      </c>
      <c r="FE21" s="73">
        <v>-2166</v>
      </c>
      <c r="FF21" s="73">
        <v>108865</v>
      </c>
      <c r="FG21" s="73">
        <v>3428</v>
      </c>
      <c r="FH21" s="73">
        <v>-661</v>
      </c>
      <c r="FI21" s="73">
        <v>2767</v>
      </c>
      <c r="FJ21" s="79">
        <v>21483</v>
      </c>
      <c r="FK21" s="80">
        <v>71733</v>
      </c>
      <c r="FL21" s="80">
        <v>26852</v>
      </c>
      <c r="FM21" s="80">
        <v>24849</v>
      </c>
      <c r="FN21" s="76">
        <v>1457</v>
      </c>
      <c r="FO21" s="80">
        <v>64594</v>
      </c>
      <c r="FP21" s="80">
        <v>3585</v>
      </c>
      <c r="FQ21" s="80">
        <v>3554</v>
      </c>
      <c r="FR21" s="80">
        <v>8972</v>
      </c>
      <c r="FS21" s="81">
        <v>-15629</v>
      </c>
      <c r="FT21" s="76">
        <v>8171</v>
      </c>
      <c r="FU21" s="76">
        <v>67761</v>
      </c>
      <c r="FV21" s="76">
        <v>15629</v>
      </c>
      <c r="FW21" s="80">
        <v>114534</v>
      </c>
      <c r="FX21" s="80">
        <v>801</v>
      </c>
      <c r="FY21" s="73">
        <v>21400</v>
      </c>
      <c r="FZ21" s="73">
        <v>70091</v>
      </c>
      <c r="GA21" s="73">
        <v>29389</v>
      </c>
      <c r="GB21" s="73">
        <v>24307</v>
      </c>
      <c r="GC21" s="73">
        <v>2056</v>
      </c>
      <c r="GD21" s="73">
        <v>62314</v>
      </c>
      <c r="GE21" s="73">
        <v>4082</v>
      </c>
      <c r="GF21" s="73">
        <v>3695</v>
      </c>
      <c r="GG21" s="73">
        <v>7605</v>
      </c>
      <c r="GH21" s="73">
        <v>-11094</v>
      </c>
      <c r="GI21" s="73">
        <v>7411</v>
      </c>
      <c r="GJ21" s="73">
        <v>77119</v>
      </c>
      <c r="GK21" s="73">
        <v>11094</v>
      </c>
      <c r="GL21" s="73">
        <v>117015</v>
      </c>
      <c r="GM21" s="73">
        <v>194</v>
      </c>
      <c r="GN21" s="73">
        <v>3763</v>
      </c>
      <c r="GO21" s="77">
        <v>20</v>
      </c>
      <c r="GP21" s="78">
        <v>21403</v>
      </c>
      <c r="GQ21" s="73">
        <v>72858</v>
      </c>
      <c r="GR21" s="65">
        <v>31167</v>
      </c>
      <c r="GS21" s="65">
        <v>27468</v>
      </c>
      <c r="GT21" s="65">
        <v>2098</v>
      </c>
      <c r="GU21" s="65">
        <v>63805</v>
      </c>
      <c r="GV21" s="65">
        <v>4584</v>
      </c>
      <c r="GW21" s="65">
        <v>4469</v>
      </c>
      <c r="GX21" s="65">
        <v>6846</v>
      </c>
      <c r="GY21" s="65">
        <v>-21361</v>
      </c>
      <c r="GZ21" s="65">
        <v>8338</v>
      </c>
      <c r="HA21" s="65">
        <v>75122</v>
      </c>
      <c r="HB21" s="65">
        <v>21361</v>
      </c>
      <c r="HC21" s="65">
        <v>125325</v>
      </c>
      <c r="HD21" s="65">
        <v>-1492</v>
      </c>
      <c r="HE21" s="78">
        <v>21256</v>
      </c>
      <c r="HF21" s="73">
        <v>76128</v>
      </c>
      <c r="HG21" s="65">
        <v>33171</v>
      </c>
      <c r="HH21" s="65">
        <v>30248</v>
      </c>
      <c r="HI21" s="65">
        <v>1895</v>
      </c>
      <c r="HJ21" s="65">
        <v>68406</v>
      </c>
      <c r="HK21" s="65">
        <v>3113</v>
      </c>
      <c r="HL21" s="65">
        <v>4609</v>
      </c>
      <c r="HM21" s="65">
        <v>7307</v>
      </c>
      <c r="HN21" s="65">
        <v>-9039</v>
      </c>
      <c r="HO21" s="65">
        <v>9360</v>
      </c>
      <c r="HP21" s="65">
        <v>75725</v>
      </c>
      <c r="HQ21" s="65">
        <v>9039</v>
      </c>
      <c r="HR21" s="65">
        <v>132841</v>
      </c>
      <c r="HS21" s="65">
        <v>-2053</v>
      </c>
      <c r="HT21" s="65">
        <v>218</v>
      </c>
      <c r="HU21" s="77">
        <v>20.5</v>
      </c>
      <c r="HV21" s="180">
        <v>130</v>
      </c>
      <c r="HW21" s="30" t="s">
        <v>752</v>
      </c>
    </row>
    <row r="22" spans="1:231" ht="15" x14ac:dyDescent="0.25">
      <c r="A22" s="27">
        <v>77</v>
      </c>
      <c r="B22" s="27" t="s">
        <v>151</v>
      </c>
      <c r="C22" s="27">
        <v>13</v>
      </c>
      <c r="D22" s="27" t="s">
        <v>111</v>
      </c>
      <c r="E22" s="27">
        <v>2</v>
      </c>
      <c r="F22" s="27" t="s">
        <v>744</v>
      </c>
      <c r="G22" s="29" t="s">
        <v>130</v>
      </c>
      <c r="H22" s="27" t="s">
        <v>98</v>
      </c>
      <c r="I22" s="31" t="s">
        <v>111</v>
      </c>
      <c r="J22" s="69">
        <v>5879</v>
      </c>
      <c r="K22" s="69">
        <v>5832</v>
      </c>
      <c r="L22" s="36">
        <v>5745</v>
      </c>
      <c r="M22" s="36">
        <v>5706</v>
      </c>
      <c r="N22" s="36">
        <v>5621</v>
      </c>
      <c r="O22" s="36">
        <v>5590</v>
      </c>
      <c r="P22" s="36">
        <v>5600</v>
      </c>
      <c r="Q22" s="36">
        <v>5588</v>
      </c>
      <c r="R22" s="69">
        <v>5556</v>
      </c>
      <c r="S22" s="69">
        <v>5506</v>
      </c>
      <c r="T22" s="71">
        <v>5526</v>
      </c>
      <c r="U22" s="36">
        <v>11127</v>
      </c>
      <c r="V22" s="36">
        <v>6664</v>
      </c>
      <c r="W22" s="36">
        <v>4077</v>
      </c>
      <c r="X22" s="36">
        <v>282.05115267595397</v>
      </c>
      <c r="Y22" s="36">
        <v>10884</v>
      </c>
      <c r="Z22" s="36">
        <v>6558</v>
      </c>
      <c r="AA22" s="36">
        <v>3992</v>
      </c>
      <c r="AB22" s="36">
        <v>284.57397157287664</v>
      </c>
      <c r="AC22" s="36">
        <v>10451</v>
      </c>
      <c r="AD22" s="36">
        <v>6998</v>
      </c>
      <c r="AE22" s="36">
        <v>4244</v>
      </c>
      <c r="AF22" s="36">
        <v>223.0171904879636</v>
      </c>
      <c r="AG22" s="36">
        <v>10721</v>
      </c>
      <c r="AH22" s="36">
        <v>8532</v>
      </c>
      <c r="AI22" s="36">
        <v>4263</v>
      </c>
      <c r="AJ22" s="36">
        <v>311.82041565964153</v>
      </c>
      <c r="AK22" s="36">
        <v>10266</v>
      </c>
      <c r="AL22" s="36">
        <v>8462</v>
      </c>
      <c r="AM22" s="36">
        <v>4586</v>
      </c>
      <c r="AN22" s="36">
        <v>335</v>
      </c>
      <c r="AO22" s="36">
        <v>10118</v>
      </c>
      <c r="AP22" s="36">
        <v>10065</v>
      </c>
      <c r="AQ22" s="36">
        <v>4865</v>
      </c>
      <c r="AR22" s="36">
        <v>336</v>
      </c>
      <c r="AS22" s="36">
        <v>10364</v>
      </c>
      <c r="AT22" s="36">
        <v>10404</v>
      </c>
      <c r="AU22" s="36">
        <v>7251</v>
      </c>
      <c r="AV22" s="36">
        <v>298</v>
      </c>
      <c r="AW22" s="36">
        <v>10772</v>
      </c>
      <c r="AX22" s="69">
        <v>10726</v>
      </c>
      <c r="AY22" s="36">
        <v>7372</v>
      </c>
      <c r="AZ22" s="36">
        <v>263</v>
      </c>
      <c r="BA22" s="36">
        <v>11394</v>
      </c>
      <c r="BB22" s="36">
        <v>11257</v>
      </c>
      <c r="BC22" s="36">
        <v>8292</v>
      </c>
      <c r="BD22" s="36">
        <v>97</v>
      </c>
      <c r="BE22" s="70">
        <v>11656</v>
      </c>
      <c r="BF22" s="70">
        <v>11478</v>
      </c>
      <c r="BG22" s="70">
        <v>7834</v>
      </c>
      <c r="BH22" s="70">
        <v>250</v>
      </c>
      <c r="BI22" s="36">
        <v>13104</v>
      </c>
      <c r="BJ22" s="36">
        <v>12873</v>
      </c>
      <c r="BK22" s="36">
        <v>8119</v>
      </c>
      <c r="BL22" s="36">
        <v>142</v>
      </c>
      <c r="BM22" s="36">
        <v>7153.0325124080637</v>
      </c>
      <c r="BN22" s="36">
        <v>3692.7341133889363</v>
      </c>
      <c r="BO22" s="36">
        <v>281.04202511718495</v>
      </c>
      <c r="BP22" s="36">
        <v>7423.3105102317122</v>
      </c>
      <c r="BQ22" s="36">
        <v>3082.0437524071895</v>
      </c>
      <c r="BR22" s="36">
        <v>378.4228345383998</v>
      </c>
      <c r="BS22" s="36">
        <v>7272.7823160486596</v>
      </c>
      <c r="BT22" s="36">
        <v>2801.3381031429276</v>
      </c>
      <c r="BU22" s="36">
        <v>377.24551905316929</v>
      </c>
      <c r="BV22" s="36">
        <v>8286</v>
      </c>
      <c r="BW22" s="36">
        <v>2031</v>
      </c>
      <c r="BX22" s="36">
        <v>404</v>
      </c>
      <c r="BY22" s="36">
        <v>8804</v>
      </c>
      <c r="BZ22" s="36">
        <v>1038</v>
      </c>
      <c r="CA22" s="36">
        <v>424</v>
      </c>
      <c r="CB22" s="36">
        <v>9017</v>
      </c>
      <c r="CC22" s="36">
        <v>605</v>
      </c>
      <c r="CD22" s="36">
        <v>496</v>
      </c>
      <c r="CE22" s="36">
        <v>9009</v>
      </c>
      <c r="CF22" s="36">
        <v>852</v>
      </c>
      <c r="CG22" s="36">
        <v>503</v>
      </c>
      <c r="CH22" s="36">
        <v>9147</v>
      </c>
      <c r="CI22" s="36">
        <v>1101</v>
      </c>
      <c r="CJ22" s="70">
        <v>524</v>
      </c>
      <c r="CK22" s="70">
        <v>9565</v>
      </c>
      <c r="CL22" s="70">
        <v>1227</v>
      </c>
      <c r="CM22" s="36">
        <v>602</v>
      </c>
      <c r="CN22" s="36">
        <v>9828</v>
      </c>
      <c r="CO22" s="36">
        <v>1213</v>
      </c>
      <c r="CP22" s="36">
        <v>615</v>
      </c>
      <c r="CQ22" s="36">
        <v>11387</v>
      </c>
      <c r="CR22" s="36">
        <v>1060</v>
      </c>
      <c r="CS22" s="36">
        <v>657</v>
      </c>
      <c r="CT22" s="36">
        <v>200.14363248919813</v>
      </c>
      <c r="CU22" s="36">
        <v>-1819.7933640000001</v>
      </c>
      <c r="CV22" s="36">
        <v>1189.2568280093444</v>
      </c>
      <c r="CW22" s="36">
        <v>3032</v>
      </c>
      <c r="CX22" s="36">
        <v>60.379465599682462</v>
      </c>
      <c r="CY22" s="36">
        <v>92.166983700000003</v>
      </c>
      <c r="CZ22" s="36">
        <v>1163.6922631871948</v>
      </c>
      <c r="DA22" s="36">
        <v>2831</v>
      </c>
      <c r="DB22" s="36">
        <v>-573.68901716021412</v>
      </c>
      <c r="DC22" s="36">
        <v>-1021.741653</v>
      </c>
      <c r="DD22" s="36">
        <v>1103.9855492933584</v>
      </c>
      <c r="DE22" s="36">
        <v>4296</v>
      </c>
      <c r="DF22" s="36">
        <v>611.02673683466958</v>
      </c>
      <c r="DG22" s="36">
        <v>-535</v>
      </c>
      <c r="DH22" s="36">
        <v>1023.5917204447561</v>
      </c>
      <c r="DI22" s="36">
        <v>4839</v>
      </c>
      <c r="DJ22" s="36">
        <v>1656</v>
      </c>
      <c r="DK22" s="36">
        <v>-452</v>
      </c>
      <c r="DL22" s="36">
        <v>1001</v>
      </c>
      <c r="DM22" s="36">
        <v>4449</v>
      </c>
      <c r="DN22" s="36">
        <v>1907</v>
      </c>
      <c r="DO22" s="69">
        <v>968</v>
      </c>
      <c r="DP22" s="36">
        <v>840</v>
      </c>
      <c r="DQ22" s="36">
        <v>3695</v>
      </c>
      <c r="DR22" s="36">
        <v>834</v>
      </c>
      <c r="DS22" s="36">
        <v>-1808</v>
      </c>
      <c r="DT22" s="36">
        <v>803</v>
      </c>
      <c r="DU22" s="36">
        <v>3629</v>
      </c>
      <c r="DV22" s="36">
        <v>339</v>
      </c>
      <c r="DW22" s="71">
        <v>-2614</v>
      </c>
      <c r="DX22" s="39">
        <v>870</v>
      </c>
      <c r="DY22" s="71">
        <v>3598</v>
      </c>
      <c r="DZ22" s="70">
        <v>922</v>
      </c>
      <c r="EA22" s="35">
        <v>-328</v>
      </c>
      <c r="EB22" s="35">
        <v>974</v>
      </c>
      <c r="EC22" s="38">
        <v>3666</v>
      </c>
      <c r="ED22" s="38">
        <v>504</v>
      </c>
      <c r="EE22" s="38">
        <v>-462</v>
      </c>
      <c r="EF22" s="38">
        <v>972</v>
      </c>
      <c r="EG22" s="73">
        <v>2994</v>
      </c>
      <c r="EH22" s="73">
        <v>1549</v>
      </c>
      <c r="EI22" s="73">
        <v>-1600</v>
      </c>
      <c r="EJ22" s="73">
        <v>929</v>
      </c>
      <c r="EK22" s="73">
        <v>4001</v>
      </c>
      <c r="EL22" s="73">
        <v>20916.018722679972</v>
      </c>
      <c r="EM22" s="73">
        <v>-986.08581284383911</v>
      </c>
      <c r="EN22" s="73">
        <v>20628.249180504328</v>
      </c>
      <c r="EO22" s="73">
        <v>-320.73437576210154</v>
      </c>
      <c r="EP22" s="73">
        <v>21316.978739364215</v>
      </c>
      <c r="EQ22" s="73">
        <v>-1595.9352341932781</v>
      </c>
      <c r="ER22" s="73">
        <v>21896.049770171197</v>
      </c>
      <c r="ES22" s="73">
        <v>-462.51679776915535</v>
      </c>
      <c r="ET22" s="73">
        <v>21747</v>
      </c>
      <c r="EU22" s="73">
        <v>709</v>
      </c>
      <c r="EV22" s="73">
        <v>23328</v>
      </c>
      <c r="EW22" s="73">
        <v>1158</v>
      </c>
      <c r="EX22" s="73">
        <v>27396</v>
      </c>
      <c r="EY22" s="73">
        <v>66</v>
      </c>
      <c r="EZ22" s="73">
        <v>28697</v>
      </c>
      <c r="FA22" s="73">
        <v>-499</v>
      </c>
      <c r="FB22" s="73">
        <v>30115</v>
      </c>
      <c r="FC22" s="73">
        <v>-21</v>
      </c>
      <c r="FD22" s="73">
        <v>30556</v>
      </c>
      <c r="FE22" s="73">
        <v>-544</v>
      </c>
      <c r="FF22" s="73">
        <v>32689</v>
      </c>
      <c r="FG22" s="73">
        <v>597</v>
      </c>
      <c r="FH22" s="73">
        <v>-1349</v>
      </c>
      <c r="FI22" s="73">
        <v>-752</v>
      </c>
      <c r="FJ22" s="79">
        <v>5514</v>
      </c>
      <c r="FK22" s="80">
        <v>12955</v>
      </c>
      <c r="FL22" s="80">
        <v>14460</v>
      </c>
      <c r="FM22" s="80">
        <v>7943</v>
      </c>
      <c r="FN22" s="76">
        <v>202</v>
      </c>
      <c r="FO22" s="80">
        <v>11426</v>
      </c>
      <c r="FP22" s="80">
        <v>851</v>
      </c>
      <c r="FQ22" s="80">
        <v>678</v>
      </c>
      <c r="FR22" s="80">
        <v>1708</v>
      </c>
      <c r="FS22" s="81">
        <v>-1904</v>
      </c>
      <c r="FT22" s="76">
        <v>902</v>
      </c>
      <c r="FU22" s="76">
        <v>3353</v>
      </c>
      <c r="FV22" s="76">
        <v>1904</v>
      </c>
      <c r="FW22" s="80">
        <v>33841</v>
      </c>
      <c r="FX22" s="80">
        <v>832</v>
      </c>
      <c r="FY22" s="73">
        <v>5542</v>
      </c>
      <c r="FZ22" s="73">
        <v>12844</v>
      </c>
      <c r="GA22" s="73">
        <v>15657</v>
      </c>
      <c r="GB22" s="73">
        <v>8623</v>
      </c>
      <c r="GC22" s="73">
        <v>171</v>
      </c>
      <c r="GD22" s="73">
        <v>11132</v>
      </c>
      <c r="GE22" s="73">
        <v>894</v>
      </c>
      <c r="GF22" s="73">
        <v>818</v>
      </c>
      <c r="GG22" s="73">
        <v>1871</v>
      </c>
      <c r="GH22" s="73">
        <v>-2813</v>
      </c>
      <c r="GI22" s="73">
        <v>949</v>
      </c>
      <c r="GJ22" s="73">
        <v>2705</v>
      </c>
      <c r="GK22" s="73">
        <v>2813</v>
      </c>
      <c r="GL22" s="73">
        <v>35413</v>
      </c>
      <c r="GM22" s="73">
        <v>947</v>
      </c>
      <c r="GN22" s="73">
        <v>1027</v>
      </c>
      <c r="GO22" s="77">
        <v>20</v>
      </c>
      <c r="GP22" s="78">
        <v>5491</v>
      </c>
      <c r="GQ22" s="73">
        <v>13096</v>
      </c>
      <c r="GR22" s="65">
        <v>16043</v>
      </c>
      <c r="GS22" s="65">
        <v>8861</v>
      </c>
      <c r="GT22" s="65">
        <v>150</v>
      </c>
      <c r="GU22" s="65">
        <v>11404</v>
      </c>
      <c r="GV22" s="65">
        <v>856</v>
      </c>
      <c r="GW22" s="65">
        <v>836</v>
      </c>
      <c r="GX22" s="65">
        <v>-123</v>
      </c>
      <c r="GY22" s="65">
        <v>-1989</v>
      </c>
      <c r="GZ22" s="65">
        <v>1003</v>
      </c>
      <c r="HA22" s="65">
        <v>5420</v>
      </c>
      <c r="HB22" s="65">
        <v>1989</v>
      </c>
      <c r="HC22" s="65">
        <v>38164</v>
      </c>
      <c r="HD22" s="65">
        <v>-1104</v>
      </c>
      <c r="HE22" s="78">
        <v>5453</v>
      </c>
      <c r="HF22" s="73">
        <v>13784</v>
      </c>
      <c r="HG22" s="65">
        <v>17228</v>
      </c>
      <c r="HH22" s="65">
        <v>9449</v>
      </c>
      <c r="HI22" s="65">
        <v>150</v>
      </c>
      <c r="HJ22" s="65">
        <v>12147</v>
      </c>
      <c r="HK22" s="65">
        <v>621</v>
      </c>
      <c r="HL22" s="65">
        <v>1016</v>
      </c>
      <c r="HM22" s="65">
        <v>781</v>
      </c>
      <c r="HN22" s="65">
        <v>-1375</v>
      </c>
      <c r="HO22" s="65">
        <v>1121</v>
      </c>
      <c r="HP22" s="65">
        <v>4610</v>
      </c>
      <c r="HQ22" s="65">
        <v>1375</v>
      </c>
      <c r="HR22" s="65">
        <v>39672</v>
      </c>
      <c r="HS22" s="65">
        <v>-318</v>
      </c>
      <c r="HT22" s="65">
        <v>-395</v>
      </c>
      <c r="HU22" s="77">
        <v>20.5</v>
      </c>
      <c r="HV22" s="180">
        <v>340</v>
      </c>
      <c r="HW22" s="30" t="s">
        <v>761</v>
      </c>
    </row>
    <row r="23" spans="1:231" ht="15" x14ac:dyDescent="0.25">
      <c r="A23" s="27">
        <v>78</v>
      </c>
      <c r="B23" s="27" t="s">
        <v>152</v>
      </c>
      <c r="C23" s="27">
        <v>1</v>
      </c>
      <c r="D23" s="27" t="s">
        <v>121</v>
      </c>
      <c r="E23" s="27">
        <v>3</v>
      </c>
      <c r="F23" s="27" t="s">
        <v>743</v>
      </c>
      <c r="G23" s="29" t="s">
        <v>141</v>
      </c>
      <c r="H23" s="27" t="s">
        <v>97</v>
      </c>
      <c r="I23" s="31" t="s">
        <v>121</v>
      </c>
      <c r="J23" s="69">
        <v>10267</v>
      </c>
      <c r="K23" s="69">
        <v>10184</v>
      </c>
      <c r="L23" s="36">
        <v>10044</v>
      </c>
      <c r="M23" s="36">
        <v>10008</v>
      </c>
      <c r="N23" s="36">
        <v>9999</v>
      </c>
      <c r="O23" s="36">
        <v>9918</v>
      </c>
      <c r="P23" s="36">
        <v>9905</v>
      </c>
      <c r="Q23" s="36">
        <v>9827</v>
      </c>
      <c r="R23" s="69">
        <v>9725</v>
      </c>
      <c r="S23" s="69">
        <v>9708</v>
      </c>
      <c r="T23" s="71">
        <v>9657</v>
      </c>
      <c r="U23" s="36">
        <v>28678</v>
      </c>
      <c r="V23" s="36">
        <v>4293</v>
      </c>
      <c r="W23" s="36">
        <v>11572</v>
      </c>
      <c r="X23" s="36">
        <v>1946.7752487919902</v>
      </c>
      <c r="Y23" s="36">
        <v>29324</v>
      </c>
      <c r="Z23" s="36">
        <v>4034</v>
      </c>
      <c r="AA23" s="36">
        <v>12446</v>
      </c>
      <c r="AB23" s="36">
        <v>284.91034742579961</v>
      </c>
      <c r="AC23" s="36">
        <v>27669</v>
      </c>
      <c r="AD23" s="36">
        <v>3982</v>
      </c>
      <c r="AE23" s="36">
        <v>12726</v>
      </c>
      <c r="AF23" s="36">
        <v>445.52981719654269</v>
      </c>
      <c r="AG23" s="36">
        <v>28951</v>
      </c>
      <c r="AH23" s="36">
        <v>5790</v>
      </c>
      <c r="AI23" s="36">
        <v>13682</v>
      </c>
      <c r="AJ23" s="36">
        <v>141.9506099335153</v>
      </c>
      <c r="AK23" s="36">
        <v>29539</v>
      </c>
      <c r="AL23" s="36">
        <v>5537</v>
      </c>
      <c r="AM23" s="36">
        <v>16413</v>
      </c>
      <c r="AN23" s="36">
        <v>132</v>
      </c>
      <c r="AO23" s="36">
        <v>29129</v>
      </c>
      <c r="AP23" s="36">
        <v>7630</v>
      </c>
      <c r="AQ23" s="36">
        <v>18437</v>
      </c>
      <c r="AR23" s="36">
        <v>139</v>
      </c>
      <c r="AS23" s="36">
        <v>28753</v>
      </c>
      <c r="AT23" s="36">
        <v>6945</v>
      </c>
      <c r="AU23" s="36">
        <v>19782</v>
      </c>
      <c r="AV23" s="36">
        <v>224</v>
      </c>
      <c r="AW23" s="36">
        <v>29986</v>
      </c>
      <c r="AX23" s="69">
        <v>7632</v>
      </c>
      <c r="AY23" s="36">
        <v>20498</v>
      </c>
      <c r="AZ23" s="36">
        <v>156</v>
      </c>
      <c r="BA23" s="36">
        <v>31764</v>
      </c>
      <c r="BB23" s="36">
        <v>8196</v>
      </c>
      <c r="BC23" s="36">
        <v>22274</v>
      </c>
      <c r="BD23" s="36">
        <v>70</v>
      </c>
      <c r="BE23" s="70">
        <v>34458</v>
      </c>
      <c r="BF23" s="70">
        <v>8568</v>
      </c>
      <c r="BG23" s="70">
        <v>21643</v>
      </c>
      <c r="BH23" s="70">
        <v>209</v>
      </c>
      <c r="BI23" s="36">
        <v>36805</v>
      </c>
      <c r="BJ23" s="36">
        <v>9200</v>
      </c>
      <c r="BK23" s="36">
        <v>23305</v>
      </c>
      <c r="BL23" s="36">
        <v>353</v>
      </c>
      <c r="BM23" s="36">
        <v>22020.172459899793</v>
      </c>
      <c r="BN23" s="36">
        <v>5735.7128561169102</v>
      </c>
      <c r="BO23" s="36">
        <v>921.66983700908042</v>
      </c>
      <c r="BP23" s="36">
        <v>22377.403615704043</v>
      </c>
      <c r="BQ23" s="36">
        <v>5991.3585043384073</v>
      </c>
      <c r="BR23" s="36">
        <v>955.30742230138276</v>
      </c>
      <c r="BS23" s="36">
        <v>21518.636063191567</v>
      </c>
      <c r="BT23" s="36">
        <v>5169.2559197945411</v>
      </c>
      <c r="BU23" s="36">
        <v>981.04017504999388</v>
      </c>
      <c r="BV23" s="36">
        <v>23954</v>
      </c>
      <c r="BW23" s="36">
        <v>3953</v>
      </c>
      <c r="BX23" s="36">
        <v>1044</v>
      </c>
      <c r="BY23" s="36">
        <v>26240</v>
      </c>
      <c r="BZ23" s="36">
        <v>2220</v>
      </c>
      <c r="CA23" s="36">
        <v>1079</v>
      </c>
      <c r="CB23" s="36">
        <v>26554</v>
      </c>
      <c r="CC23" s="36">
        <v>1510</v>
      </c>
      <c r="CD23" s="36">
        <v>1065</v>
      </c>
      <c r="CE23" s="36">
        <v>25937</v>
      </c>
      <c r="CF23" s="36">
        <v>1746</v>
      </c>
      <c r="CG23" s="36">
        <v>1070</v>
      </c>
      <c r="CH23" s="36">
        <v>26854</v>
      </c>
      <c r="CI23" s="36">
        <v>2011</v>
      </c>
      <c r="CJ23" s="70">
        <v>1121</v>
      </c>
      <c r="CK23" s="70">
        <v>28004</v>
      </c>
      <c r="CL23" s="70">
        <v>2636</v>
      </c>
      <c r="CM23" s="36">
        <v>1119</v>
      </c>
      <c r="CN23" s="36">
        <v>29153</v>
      </c>
      <c r="CO23" s="36">
        <v>4135</v>
      </c>
      <c r="CP23" s="36">
        <v>1170</v>
      </c>
      <c r="CQ23" s="36">
        <v>31264</v>
      </c>
      <c r="CR23" s="36">
        <v>4299</v>
      </c>
      <c r="CS23" s="36">
        <v>1242</v>
      </c>
      <c r="CT23" s="36">
        <v>4074.8570823094892</v>
      </c>
      <c r="CU23" s="36">
        <v>-2249.6817040000001</v>
      </c>
      <c r="CV23" s="36">
        <v>2633.1501766814167</v>
      </c>
      <c r="CW23" s="36">
        <v>11672</v>
      </c>
      <c r="CX23" s="36">
        <v>2286.6830481707038</v>
      </c>
      <c r="CY23" s="36">
        <v>-7511.9455470000003</v>
      </c>
      <c r="CZ23" s="36">
        <v>2881.3955561386069</v>
      </c>
      <c r="DA23" s="36">
        <v>14992</v>
      </c>
      <c r="DB23" s="36">
        <v>-378.92739831778442</v>
      </c>
      <c r="DC23" s="36">
        <v>-7261.6819130000003</v>
      </c>
      <c r="DD23" s="36">
        <v>3184.1338237693267</v>
      </c>
      <c r="DE23" s="36">
        <v>20887</v>
      </c>
      <c r="DF23" s="36">
        <v>564.27049327836949</v>
      </c>
      <c r="DG23" s="36">
        <v>-5720</v>
      </c>
      <c r="DH23" s="36">
        <v>3537.1602814120383</v>
      </c>
      <c r="DI23" s="36">
        <v>25520</v>
      </c>
      <c r="DJ23" s="36">
        <v>3352</v>
      </c>
      <c r="DK23" s="36">
        <v>-3241</v>
      </c>
      <c r="DL23" s="36">
        <v>4196</v>
      </c>
      <c r="DM23" s="36">
        <v>29716</v>
      </c>
      <c r="DN23" s="36">
        <v>4587</v>
      </c>
      <c r="DO23" s="69">
        <v>-5218</v>
      </c>
      <c r="DP23" s="36">
        <v>3690</v>
      </c>
      <c r="DQ23" s="36">
        <v>32679</v>
      </c>
      <c r="DR23" s="36">
        <v>3521</v>
      </c>
      <c r="DS23" s="36">
        <v>-3083</v>
      </c>
      <c r="DT23" s="36">
        <v>4165</v>
      </c>
      <c r="DU23" s="36">
        <v>28980</v>
      </c>
      <c r="DV23" s="36">
        <v>5015</v>
      </c>
      <c r="DW23" s="71">
        <v>-5096</v>
      </c>
      <c r="DX23" s="39">
        <v>3918</v>
      </c>
      <c r="DY23" s="71">
        <v>26945</v>
      </c>
      <c r="DZ23" s="70">
        <v>4674</v>
      </c>
      <c r="EA23" s="35">
        <v>-7291</v>
      </c>
      <c r="EB23" s="35">
        <v>4288</v>
      </c>
      <c r="EC23" s="38">
        <v>29123</v>
      </c>
      <c r="ED23" s="38">
        <v>4148</v>
      </c>
      <c r="EE23" s="38">
        <v>-6918</v>
      </c>
      <c r="EF23" s="38">
        <v>5152</v>
      </c>
      <c r="EG23" s="73">
        <v>32653</v>
      </c>
      <c r="EH23" s="73">
        <v>3096</v>
      </c>
      <c r="EI23" s="73">
        <v>-13884</v>
      </c>
      <c r="EJ23" s="73">
        <v>5010</v>
      </c>
      <c r="EK23" s="73">
        <v>44382</v>
      </c>
      <c r="EL23" s="73">
        <v>38493.002541319569</v>
      </c>
      <c r="EM23" s="73">
        <v>1302.2791145914798</v>
      </c>
      <c r="EN23" s="73">
        <v>41629.20280604736</v>
      </c>
      <c r="EO23" s="73">
        <v>-568.81156729283032</v>
      </c>
      <c r="EP23" s="73">
        <v>42665.072245123811</v>
      </c>
      <c r="EQ23" s="73">
        <v>-3006.6955613524328</v>
      </c>
      <c r="ER23" s="73">
        <v>44907.017304855755</v>
      </c>
      <c r="ES23" s="73">
        <v>-2914.0240138721401</v>
      </c>
      <c r="ET23" s="73">
        <v>47081</v>
      </c>
      <c r="EU23" s="73">
        <v>-829</v>
      </c>
      <c r="EV23" s="73">
        <v>49658</v>
      </c>
      <c r="EW23" s="73">
        <v>912</v>
      </c>
      <c r="EX23" s="73">
        <v>51148</v>
      </c>
      <c r="EY23" s="73">
        <v>-629</v>
      </c>
      <c r="EZ23" s="73">
        <v>53045</v>
      </c>
      <c r="FA23" s="73">
        <v>1108</v>
      </c>
      <c r="FB23" s="73">
        <v>56658</v>
      </c>
      <c r="FC23" s="73">
        <v>396</v>
      </c>
      <c r="FD23" s="73">
        <v>59350</v>
      </c>
      <c r="FE23" s="73">
        <v>-994</v>
      </c>
      <c r="FF23" s="73">
        <v>64523</v>
      </c>
      <c r="FG23" s="73">
        <v>-2100</v>
      </c>
      <c r="FH23" s="73">
        <v>-3985</v>
      </c>
      <c r="FI23" s="73">
        <v>-6076</v>
      </c>
      <c r="FJ23" s="79">
        <v>9597</v>
      </c>
      <c r="FK23" s="80">
        <v>35231</v>
      </c>
      <c r="FL23" s="80">
        <v>10217</v>
      </c>
      <c r="FM23" s="80">
        <v>18385</v>
      </c>
      <c r="FN23" s="76">
        <v>0</v>
      </c>
      <c r="FO23" s="80">
        <v>31278</v>
      </c>
      <c r="FP23" s="80">
        <v>2456</v>
      </c>
      <c r="FQ23" s="80">
        <v>1497</v>
      </c>
      <c r="FR23" s="80">
        <v>41</v>
      </c>
      <c r="FS23" s="81">
        <v>-4134</v>
      </c>
      <c r="FT23" s="76">
        <v>5487</v>
      </c>
      <c r="FU23" s="76">
        <v>49108</v>
      </c>
      <c r="FV23" s="76">
        <v>4134</v>
      </c>
      <c r="FW23" s="80">
        <v>62271</v>
      </c>
      <c r="FX23" s="80">
        <v>-5436</v>
      </c>
      <c r="FY23" s="73">
        <v>9462</v>
      </c>
      <c r="FZ23" s="73">
        <v>36295</v>
      </c>
      <c r="GA23" s="73">
        <v>11558</v>
      </c>
      <c r="GB23" s="73">
        <v>21677</v>
      </c>
      <c r="GC23" s="73">
        <v>116</v>
      </c>
      <c r="GD23" s="73">
        <v>31381</v>
      </c>
      <c r="GE23" s="73">
        <v>2977</v>
      </c>
      <c r="GF23" s="73">
        <v>1937</v>
      </c>
      <c r="GG23" s="73">
        <v>5584</v>
      </c>
      <c r="GH23" s="73">
        <v>-6751</v>
      </c>
      <c r="GI23" s="73">
        <v>5791</v>
      </c>
      <c r="GJ23" s="73">
        <v>53423</v>
      </c>
      <c r="GK23" s="73">
        <v>6751</v>
      </c>
      <c r="GL23" s="73">
        <v>63259</v>
      </c>
      <c r="GM23" s="73">
        <v>-197</v>
      </c>
      <c r="GN23" s="73">
        <v>-11710</v>
      </c>
      <c r="GO23" s="77">
        <v>20.75</v>
      </c>
      <c r="GP23" s="78">
        <v>9417</v>
      </c>
      <c r="GQ23" s="73">
        <v>39376</v>
      </c>
      <c r="GR23" s="65">
        <v>12111</v>
      </c>
      <c r="GS23" s="65">
        <v>24670</v>
      </c>
      <c r="GT23" s="65">
        <v>270</v>
      </c>
      <c r="GU23" s="65">
        <v>33715</v>
      </c>
      <c r="GV23" s="65">
        <v>3728</v>
      </c>
      <c r="GW23" s="65">
        <v>1933</v>
      </c>
      <c r="GX23" s="65">
        <v>8568</v>
      </c>
      <c r="GY23" s="65">
        <v>-4462</v>
      </c>
      <c r="GZ23" s="65">
        <v>6233</v>
      </c>
      <c r="HA23" s="65">
        <v>49828</v>
      </c>
      <c r="HB23" s="65">
        <v>4462</v>
      </c>
      <c r="HC23" s="65">
        <v>66563</v>
      </c>
      <c r="HD23" s="65">
        <v>2345</v>
      </c>
      <c r="HE23" s="78">
        <v>9267</v>
      </c>
      <c r="HF23" s="73">
        <v>37701</v>
      </c>
      <c r="HG23" s="65">
        <v>12279</v>
      </c>
      <c r="HH23" s="65">
        <v>23792</v>
      </c>
      <c r="HI23" s="65">
        <v>0</v>
      </c>
      <c r="HJ23" s="65">
        <v>33387</v>
      </c>
      <c r="HK23" s="65">
        <v>2371</v>
      </c>
      <c r="HL23" s="65">
        <v>1943</v>
      </c>
      <c r="HM23" s="65">
        <v>1671</v>
      </c>
      <c r="HN23" s="65">
        <v>-4606</v>
      </c>
      <c r="HO23" s="65">
        <v>6027</v>
      </c>
      <c r="HP23" s="65">
        <v>50762</v>
      </c>
      <c r="HQ23" s="65">
        <v>4606</v>
      </c>
      <c r="HR23" s="65">
        <v>71200</v>
      </c>
      <c r="HS23" s="65">
        <v>-4346</v>
      </c>
      <c r="HT23" s="65">
        <v>-13710</v>
      </c>
      <c r="HU23" s="77">
        <v>20.75</v>
      </c>
      <c r="HV23" s="180">
        <v>140</v>
      </c>
      <c r="HW23" s="30" t="s">
        <v>753</v>
      </c>
    </row>
    <row r="24" spans="1:231" ht="15" x14ac:dyDescent="0.25">
      <c r="A24" s="27">
        <v>79</v>
      </c>
      <c r="B24" s="27" t="s">
        <v>153</v>
      </c>
      <c r="C24" s="27">
        <v>4</v>
      </c>
      <c r="D24" s="27" t="s">
        <v>120</v>
      </c>
      <c r="E24" s="27">
        <v>3</v>
      </c>
      <c r="F24" s="27" t="s">
        <v>743</v>
      </c>
      <c r="G24" s="29" t="s">
        <v>141</v>
      </c>
      <c r="H24" s="27" t="s">
        <v>97</v>
      </c>
      <c r="I24" s="31" t="s">
        <v>120</v>
      </c>
      <c r="J24" s="69">
        <v>8053</v>
      </c>
      <c r="K24" s="69">
        <v>8003</v>
      </c>
      <c r="L24" s="36">
        <v>7877</v>
      </c>
      <c r="M24" s="36">
        <v>7766</v>
      </c>
      <c r="N24" s="36">
        <v>7721</v>
      </c>
      <c r="O24" s="36">
        <v>7738</v>
      </c>
      <c r="P24" s="36">
        <v>7745</v>
      </c>
      <c r="Q24" s="36">
        <v>7673</v>
      </c>
      <c r="R24" s="69">
        <v>7700</v>
      </c>
      <c r="S24" s="69">
        <v>7646</v>
      </c>
      <c r="T24" s="71">
        <v>7580</v>
      </c>
      <c r="U24" s="36">
        <v>18002</v>
      </c>
      <c r="V24" s="36">
        <v>5653</v>
      </c>
      <c r="W24" s="36">
        <v>5339</v>
      </c>
      <c r="X24" s="36">
        <v>407.85572166916427</v>
      </c>
      <c r="Y24" s="36">
        <v>19138</v>
      </c>
      <c r="Z24" s="36">
        <v>5280</v>
      </c>
      <c r="AA24" s="36">
        <v>5421</v>
      </c>
      <c r="AB24" s="36">
        <v>533.99666651529753</v>
      </c>
      <c r="AC24" s="36">
        <v>17932</v>
      </c>
      <c r="AD24" s="36">
        <v>4598</v>
      </c>
      <c r="AE24" s="36">
        <v>5494</v>
      </c>
      <c r="AF24" s="36">
        <v>257.6639033390349</v>
      </c>
      <c r="AG24" s="36">
        <v>24260</v>
      </c>
      <c r="AH24" s="36">
        <v>6085</v>
      </c>
      <c r="AI24" s="36">
        <v>5942</v>
      </c>
      <c r="AJ24" s="36">
        <v>273.64175635287842</v>
      </c>
      <c r="AK24" s="36">
        <v>20167</v>
      </c>
      <c r="AL24" s="36">
        <v>5113</v>
      </c>
      <c r="AM24" s="36">
        <v>5424</v>
      </c>
      <c r="AN24" s="36">
        <v>204</v>
      </c>
      <c r="AO24" s="36">
        <v>20857</v>
      </c>
      <c r="AP24" s="36">
        <v>6112</v>
      </c>
      <c r="AQ24" s="36">
        <v>5641</v>
      </c>
      <c r="AR24" s="36">
        <v>151</v>
      </c>
      <c r="AS24" s="36">
        <v>20723</v>
      </c>
      <c r="AT24" s="36">
        <v>6846</v>
      </c>
      <c r="AU24" s="36">
        <v>5687</v>
      </c>
      <c r="AV24" s="36">
        <v>1265</v>
      </c>
      <c r="AW24" s="36">
        <v>21375</v>
      </c>
      <c r="AX24" s="69">
        <v>7501</v>
      </c>
      <c r="AY24" s="36">
        <v>4998</v>
      </c>
      <c r="AZ24" s="36">
        <v>201</v>
      </c>
      <c r="BA24" s="36">
        <v>23216</v>
      </c>
      <c r="BB24" s="36">
        <v>8679</v>
      </c>
      <c r="BC24" s="36">
        <v>5695</v>
      </c>
      <c r="BD24" s="36">
        <v>58</v>
      </c>
      <c r="BE24" s="70">
        <v>25112</v>
      </c>
      <c r="BF24" s="70">
        <v>9176</v>
      </c>
      <c r="BG24" s="70">
        <v>5924</v>
      </c>
      <c r="BH24" s="70">
        <v>216</v>
      </c>
      <c r="BI24" s="36">
        <v>28604</v>
      </c>
      <c r="BJ24" s="36">
        <v>10361</v>
      </c>
      <c r="BK24" s="36">
        <v>5725</v>
      </c>
      <c r="BL24" s="36">
        <v>180</v>
      </c>
      <c r="BM24" s="36">
        <v>15486.407892723013</v>
      </c>
      <c r="BN24" s="36">
        <v>1868.7360509138491</v>
      </c>
      <c r="BO24" s="36">
        <v>647.01895309743293</v>
      </c>
      <c r="BP24" s="36">
        <v>16268.986314548421</v>
      </c>
      <c r="BQ24" s="36">
        <v>1990.6722975984444</v>
      </c>
      <c r="BR24" s="36">
        <v>878.2773519820106</v>
      </c>
      <c r="BS24" s="36">
        <v>14811.301555906508</v>
      </c>
      <c r="BT24" s="36">
        <v>2377.6727163863816</v>
      </c>
      <c r="BU24" s="36">
        <v>743.39063495987875</v>
      </c>
      <c r="BV24" s="36">
        <v>17091</v>
      </c>
      <c r="BW24" s="36">
        <v>6359</v>
      </c>
      <c r="BX24" s="36">
        <v>810</v>
      </c>
      <c r="BY24" s="36">
        <v>18466</v>
      </c>
      <c r="BZ24" s="36">
        <v>804</v>
      </c>
      <c r="CA24" s="36">
        <v>897</v>
      </c>
      <c r="CB24" s="36">
        <v>18043</v>
      </c>
      <c r="CC24" s="36">
        <v>1805</v>
      </c>
      <c r="CD24" s="36">
        <v>1009</v>
      </c>
      <c r="CE24" s="36">
        <v>18104</v>
      </c>
      <c r="CF24" s="36">
        <v>1386</v>
      </c>
      <c r="CG24" s="36">
        <v>1233</v>
      </c>
      <c r="CH24" s="36">
        <v>18468</v>
      </c>
      <c r="CI24" s="36">
        <v>1763</v>
      </c>
      <c r="CJ24" s="70">
        <v>1144</v>
      </c>
      <c r="CK24" s="70">
        <v>18974</v>
      </c>
      <c r="CL24" s="70">
        <v>3060</v>
      </c>
      <c r="CM24" s="36">
        <v>1182</v>
      </c>
      <c r="CN24" s="36">
        <v>19677</v>
      </c>
      <c r="CO24" s="36">
        <v>4224</v>
      </c>
      <c r="CP24" s="36">
        <v>1211</v>
      </c>
      <c r="CQ24" s="36">
        <v>20706</v>
      </c>
      <c r="CR24" s="36">
        <v>6634</v>
      </c>
      <c r="CS24" s="36">
        <v>1264</v>
      </c>
      <c r="CT24" s="36">
        <v>-425.34726602116137</v>
      </c>
      <c r="CU24" s="36">
        <v>-1282.432939</v>
      </c>
      <c r="CV24" s="36">
        <v>1400.5008636450023</v>
      </c>
      <c r="CW24" s="36">
        <v>11554</v>
      </c>
      <c r="CX24" s="36">
        <v>1504.1046263452931</v>
      </c>
      <c r="CY24" s="36">
        <v>-500.86364499999996</v>
      </c>
      <c r="CZ24" s="36">
        <v>1391.0823397631577</v>
      </c>
      <c r="DA24" s="36">
        <v>10191</v>
      </c>
      <c r="DB24" s="36">
        <v>-1211.7940101551869</v>
      </c>
      <c r="DC24" s="36">
        <v>-1106.3401799999999</v>
      </c>
      <c r="DD24" s="36">
        <v>1403.360058394848</v>
      </c>
      <c r="DE24" s="36">
        <v>12344</v>
      </c>
      <c r="DF24" s="36">
        <v>5918.7013201070349</v>
      </c>
      <c r="DG24" s="36">
        <v>-862</v>
      </c>
      <c r="DH24" s="36">
        <v>1335.916699883782</v>
      </c>
      <c r="DI24" s="36">
        <v>12231</v>
      </c>
      <c r="DJ24" s="36">
        <v>2265</v>
      </c>
      <c r="DK24" s="36">
        <v>-178</v>
      </c>
      <c r="DL24" s="36">
        <v>1021</v>
      </c>
      <c r="DM24" s="36">
        <v>6980</v>
      </c>
      <c r="DN24" s="36">
        <v>1706</v>
      </c>
      <c r="DO24" s="69">
        <v>-1413</v>
      </c>
      <c r="DP24" s="36">
        <v>1092</v>
      </c>
      <c r="DQ24" s="36">
        <v>4305</v>
      </c>
      <c r="DR24" s="36">
        <v>751</v>
      </c>
      <c r="DS24" s="36">
        <v>199</v>
      </c>
      <c r="DT24" s="36">
        <v>1112</v>
      </c>
      <c r="DU24" s="36">
        <v>6835</v>
      </c>
      <c r="DV24" s="36">
        <v>946</v>
      </c>
      <c r="DW24" s="71">
        <v>-652</v>
      </c>
      <c r="DX24" s="39">
        <v>938</v>
      </c>
      <c r="DY24" s="71">
        <v>6406</v>
      </c>
      <c r="DZ24" s="70">
        <v>2573</v>
      </c>
      <c r="EA24" s="35">
        <v>-614</v>
      </c>
      <c r="EB24" s="35">
        <v>936</v>
      </c>
      <c r="EC24" s="38">
        <v>4855</v>
      </c>
      <c r="ED24" s="38">
        <v>2825</v>
      </c>
      <c r="EE24" s="38">
        <v>-835</v>
      </c>
      <c r="EF24" s="38">
        <v>901</v>
      </c>
      <c r="EG24" s="73">
        <v>1959</v>
      </c>
      <c r="EH24" s="73">
        <v>4758</v>
      </c>
      <c r="EI24" s="73">
        <v>-1687</v>
      </c>
      <c r="EJ24" s="73">
        <v>879</v>
      </c>
      <c r="EK24" s="73">
        <v>1043</v>
      </c>
      <c r="EL24" s="73">
        <v>27718.379408415785</v>
      </c>
      <c r="EM24" s="73">
        <v>-2185.4339164408743</v>
      </c>
      <c r="EN24" s="73">
        <v>27151.249720387572</v>
      </c>
      <c r="EO24" s="73">
        <v>761.05036723833746</v>
      </c>
      <c r="EP24" s="73">
        <v>27669.773097668411</v>
      </c>
      <c r="EQ24" s="73">
        <v>-2615.1540685500349</v>
      </c>
      <c r="ER24" s="73">
        <v>28649.972333086098</v>
      </c>
      <c r="ES24" s="73">
        <v>4525.6007252263389</v>
      </c>
      <c r="ET24" s="73">
        <v>28236</v>
      </c>
      <c r="EU24" s="73">
        <v>1244</v>
      </c>
      <c r="EV24" s="73">
        <v>30331</v>
      </c>
      <c r="EW24" s="73">
        <v>399</v>
      </c>
      <c r="EX24" s="73">
        <v>32507</v>
      </c>
      <c r="EY24" s="73">
        <v>615</v>
      </c>
      <c r="EZ24" s="73">
        <v>32985</v>
      </c>
      <c r="FA24" s="73">
        <v>9</v>
      </c>
      <c r="FB24" s="73">
        <v>35046</v>
      </c>
      <c r="FC24" s="73">
        <v>1785</v>
      </c>
      <c r="FD24" s="73">
        <v>37471</v>
      </c>
      <c r="FE24" s="73">
        <v>1924</v>
      </c>
      <c r="FF24" s="73">
        <v>40112</v>
      </c>
      <c r="FG24" s="73">
        <v>3879</v>
      </c>
      <c r="FH24" s="73">
        <v>4622</v>
      </c>
      <c r="FI24" s="73">
        <v>8501</v>
      </c>
      <c r="FJ24" s="79">
        <v>7548</v>
      </c>
      <c r="FK24" s="80">
        <v>30862</v>
      </c>
      <c r="FL24" s="80">
        <v>9228</v>
      </c>
      <c r="FM24" s="80">
        <v>5544</v>
      </c>
      <c r="FN24" s="76">
        <v>264</v>
      </c>
      <c r="FO24" s="80">
        <v>20993</v>
      </c>
      <c r="FP24" s="80">
        <v>8568</v>
      </c>
      <c r="FQ24" s="80">
        <v>1301</v>
      </c>
      <c r="FR24" s="80">
        <v>6408</v>
      </c>
      <c r="FS24" s="81">
        <v>-1948</v>
      </c>
      <c r="FT24" s="76">
        <v>1063</v>
      </c>
      <c r="FU24" s="76">
        <v>0</v>
      </c>
      <c r="FV24" s="76">
        <v>1948</v>
      </c>
      <c r="FW24" s="80">
        <v>39440</v>
      </c>
      <c r="FX24" s="80">
        <v>5395</v>
      </c>
      <c r="FY24" s="73">
        <v>7540</v>
      </c>
      <c r="FZ24" s="73">
        <v>29972</v>
      </c>
      <c r="GA24" s="73">
        <v>9343</v>
      </c>
      <c r="GB24" s="73">
        <v>5673</v>
      </c>
      <c r="GC24" s="73">
        <v>216</v>
      </c>
      <c r="GD24" s="73">
        <v>21146</v>
      </c>
      <c r="GE24" s="73">
        <v>7413</v>
      </c>
      <c r="GF24" s="73">
        <v>1413</v>
      </c>
      <c r="GG24" s="73">
        <v>4915</v>
      </c>
      <c r="GH24" s="73">
        <v>-1092</v>
      </c>
      <c r="GI24" s="73">
        <v>1132</v>
      </c>
      <c r="GJ24" s="73">
        <v>0</v>
      </c>
      <c r="GK24" s="73">
        <v>1092</v>
      </c>
      <c r="GL24" s="73">
        <v>40289</v>
      </c>
      <c r="GM24" s="73">
        <v>3783</v>
      </c>
      <c r="GN24" s="73">
        <v>17696</v>
      </c>
      <c r="GO24" s="77">
        <v>18.75</v>
      </c>
      <c r="GP24" s="78">
        <v>7504</v>
      </c>
      <c r="GQ24" s="73">
        <v>26250</v>
      </c>
      <c r="GR24" s="65">
        <v>8494</v>
      </c>
      <c r="GS24" s="65">
        <v>5920</v>
      </c>
      <c r="GT24" s="65">
        <v>390</v>
      </c>
      <c r="GU24" s="65">
        <v>21035</v>
      </c>
      <c r="GV24" s="65">
        <v>3764</v>
      </c>
      <c r="GW24" s="65">
        <v>1451</v>
      </c>
      <c r="GX24" s="65">
        <v>-1811</v>
      </c>
      <c r="GY24" s="65">
        <v>-2402</v>
      </c>
      <c r="GZ24" s="65">
        <v>1154</v>
      </c>
      <c r="HA24" s="65">
        <v>0</v>
      </c>
      <c r="HB24" s="65">
        <v>2402</v>
      </c>
      <c r="HC24" s="65">
        <v>42865</v>
      </c>
      <c r="HD24" s="65">
        <v>-2965</v>
      </c>
      <c r="HE24" s="78">
        <v>7486</v>
      </c>
      <c r="HF24" s="73">
        <v>24509</v>
      </c>
      <c r="HG24" s="65">
        <v>10848</v>
      </c>
      <c r="HH24" s="65">
        <v>6250</v>
      </c>
      <c r="HI24" s="65">
        <v>206</v>
      </c>
      <c r="HJ24" s="65">
        <v>21426</v>
      </c>
      <c r="HK24" s="65">
        <v>1607</v>
      </c>
      <c r="HL24" s="65">
        <v>1476</v>
      </c>
      <c r="HM24" s="65">
        <v>-4405</v>
      </c>
      <c r="HN24" s="65">
        <v>-9323</v>
      </c>
      <c r="HO24" s="65">
        <v>1241</v>
      </c>
      <c r="HP24" s="65">
        <v>5000</v>
      </c>
      <c r="HQ24" s="65">
        <v>9323</v>
      </c>
      <c r="HR24" s="65">
        <v>46218</v>
      </c>
      <c r="HS24" s="65">
        <v>-5646</v>
      </c>
      <c r="HT24" s="65">
        <v>9086</v>
      </c>
      <c r="HU24" s="77">
        <v>18.75</v>
      </c>
      <c r="HV24" s="180">
        <v>140</v>
      </c>
      <c r="HW24" s="30" t="s">
        <v>753</v>
      </c>
    </row>
    <row r="25" spans="1:231" ht="15" x14ac:dyDescent="0.25">
      <c r="A25" s="27">
        <v>81</v>
      </c>
      <c r="B25" s="27" t="s">
        <v>154</v>
      </c>
      <c r="C25" s="27">
        <v>7</v>
      </c>
      <c r="D25" s="27" t="s">
        <v>119</v>
      </c>
      <c r="E25" s="27">
        <v>2</v>
      </c>
      <c r="F25" s="27" t="s">
        <v>744</v>
      </c>
      <c r="G25" s="29" t="s">
        <v>130</v>
      </c>
      <c r="H25" s="27" t="s">
        <v>98</v>
      </c>
      <c r="I25" s="31" t="s">
        <v>119</v>
      </c>
      <c r="J25" s="69">
        <v>3925</v>
      </c>
      <c r="K25" s="69">
        <v>3894</v>
      </c>
      <c r="L25" s="36">
        <v>3837</v>
      </c>
      <c r="M25" s="36">
        <v>3818</v>
      </c>
      <c r="N25" s="36">
        <v>3783</v>
      </c>
      <c r="O25" s="36">
        <v>3740</v>
      </c>
      <c r="P25" s="36">
        <v>3692</v>
      </c>
      <c r="Q25" s="36">
        <v>3671</v>
      </c>
      <c r="R25" s="69">
        <v>3572</v>
      </c>
      <c r="S25" s="69">
        <v>3572</v>
      </c>
      <c r="T25" s="71">
        <v>3466</v>
      </c>
      <c r="U25" s="36">
        <v>7830</v>
      </c>
      <c r="V25" s="36">
        <v>3621</v>
      </c>
      <c r="W25" s="36">
        <v>4286</v>
      </c>
      <c r="X25" s="36">
        <v>52.811008908914467</v>
      </c>
      <c r="Y25" s="36">
        <v>7405</v>
      </c>
      <c r="Z25" s="36">
        <v>3771</v>
      </c>
      <c r="AA25" s="36">
        <v>3147</v>
      </c>
      <c r="AB25" s="36">
        <v>49.951814159068775</v>
      </c>
      <c r="AC25" s="36">
        <v>7874</v>
      </c>
      <c r="AD25" s="36">
        <v>3961</v>
      </c>
      <c r="AE25" s="36">
        <v>3168</v>
      </c>
      <c r="AF25" s="36">
        <v>39.692350644916601</v>
      </c>
      <c r="AG25" s="36">
        <v>7671</v>
      </c>
      <c r="AH25" s="36">
        <v>4198</v>
      </c>
      <c r="AI25" s="36">
        <v>3055</v>
      </c>
      <c r="AJ25" s="36">
        <v>49.110874526761222</v>
      </c>
      <c r="AK25" s="36">
        <v>7327</v>
      </c>
      <c r="AL25" s="36">
        <v>4693</v>
      </c>
      <c r="AM25" s="36">
        <v>3279</v>
      </c>
      <c r="AN25" s="36">
        <v>44</v>
      </c>
      <c r="AO25" s="36">
        <v>7081</v>
      </c>
      <c r="AP25" s="36">
        <v>6019</v>
      </c>
      <c r="AQ25" s="36">
        <v>3185</v>
      </c>
      <c r="AR25" s="36">
        <v>392</v>
      </c>
      <c r="AS25" s="36">
        <v>7134</v>
      </c>
      <c r="AT25" s="36">
        <v>5789</v>
      </c>
      <c r="AU25" s="36">
        <v>2827</v>
      </c>
      <c r="AV25" s="36">
        <v>68</v>
      </c>
      <c r="AW25" s="36">
        <v>7389</v>
      </c>
      <c r="AX25" s="69">
        <v>6227</v>
      </c>
      <c r="AY25" s="36">
        <v>2866</v>
      </c>
      <c r="AZ25" s="36">
        <v>67</v>
      </c>
      <c r="BA25" s="36">
        <v>7847</v>
      </c>
      <c r="BB25" s="36">
        <v>6564</v>
      </c>
      <c r="BC25" s="36">
        <v>3009</v>
      </c>
      <c r="BD25" s="36">
        <v>35</v>
      </c>
      <c r="BE25" s="70">
        <v>8535</v>
      </c>
      <c r="BF25" s="70">
        <v>6297</v>
      </c>
      <c r="BG25" s="70">
        <v>2474</v>
      </c>
      <c r="BH25" s="70">
        <v>107</v>
      </c>
      <c r="BI25" s="36">
        <v>9399</v>
      </c>
      <c r="BJ25" s="36">
        <v>7454</v>
      </c>
      <c r="BK25" s="36">
        <v>2651</v>
      </c>
      <c r="BL25" s="36">
        <v>54</v>
      </c>
      <c r="BM25" s="36">
        <v>4723.5579146715372</v>
      </c>
      <c r="BN25" s="36">
        <v>2638.5321903281852</v>
      </c>
      <c r="BO25" s="36">
        <v>461.50767021038627</v>
      </c>
      <c r="BP25" s="36">
        <v>4849.6988595176708</v>
      </c>
      <c r="BQ25" s="36">
        <v>2081.8301537405832</v>
      </c>
      <c r="BR25" s="36">
        <v>473.11263713623055</v>
      </c>
      <c r="BS25" s="36">
        <v>4900.1552374561243</v>
      </c>
      <c r="BT25" s="36">
        <v>2406.4328518112998</v>
      </c>
      <c r="BU25" s="36">
        <v>567.29787595467667</v>
      </c>
      <c r="BV25" s="36">
        <v>5547</v>
      </c>
      <c r="BW25" s="36">
        <v>1522</v>
      </c>
      <c r="BX25" s="36">
        <v>602</v>
      </c>
      <c r="BY25" s="36">
        <v>5941</v>
      </c>
      <c r="BZ25" s="36">
        <v>781</v>
      </c>
      <c r="CA25" s="36">
        <v>605</v>
      </c>
      <c r="CB25" s="36">
        <v>5952</v>
      </c>
      <c r="CC25" s="36">
        <v>500</v>
      </c>
      <c r="CD25" s="36">
        <v>621</v>
      </c>
      <c r="CE25" s="36">
        <v>5886</v>
      </c>
      <c r="CF25" s="36">
        <v>626</v>
      </c>
      <c r="CG25" s="36">
        <v>614</v>
      </c>
      <c r="CH25" s="36">
        <v>5710</v>
      </c>
      <c r="CI25" s="36">
        <v>950</v>
      </c>
      <c r="CJ25" s="70">
        <v>721</v>
      </c>
      <c r="CK25" s="70">
        <v>6104</v>
      </c>
      <c r="CL25" s="70">
        <v>1004</v>
      </c>
      <c r="CM25" s="36">
        <v>732</v>
      </c>
      <c r="CN25" s="36">
        <v>6631</v>
      </c>
      <c r="CO25" s="36">
        <v>1152</v>
      </c>
      <c r="CP25" s="36">
        <v>745</v>
      </c>
      <c r="CQ25" s="36">
        <v>7409</v>
      </c>
      <c r="CR25" s="36">
        <v>1154</v>
      </c>
      <c r="CS25" s="36">
        <v>830</v>
      </c>
      <c r="CT25" s="36">
        <v>50.624565864914821</v>
      </c>
      <c r="CU25" s="36">
        <v>-380.94565340000003</v>
      </c>
      <c r="CV25" s="36">
        <v>441.997870740851</v>
      </c>
      <c r="CW25" s="36">
        <v>3180</v>
      </c>
      <c r="CX25" s="36">
        <v>-238.32229179596112</v>
      </c>
      <c r="CY25" s="36">
        <v>-195.09799469999999</v>
      </c>
      <c r="CZ25" s="36">
        <v>520.20525654545361</v>
      </c>
      <c r="DA25" s="36">
        <v>3375</v>
      </c>
      <c r="DB25" s="36">
        <v>-30.273826763071988</v>
      </c>
      <c r="DC25" s="36">
        <v>-238.1541039</v>
      </c>
      <c r="DD25" s="36">
        <v>505.40471901684072</v>
      </c>
      <c r="DE25" s="36">
        <v>3218</v>
      </c>
      <c r="DF25" s="36">
        <v>-920.15614567092689</v>
      </c>
      <c r="DG25" s="36">
        <v>-102</v>
      </c>
      <c r="DH25" s="36">
        <v>455.78928071069487</v>
      </c>
      <c r="DI25" s="36">
        <v>4349</v>
      </c>
      <c r="DJ25" s="36">
        <v>-222</v>
      </c>
      <c r="DK25" s="36">
        <v>-1309</v>
      </c>
      <c r="DL25" s="36">
        <v>757</v>
      </c>
      <c r="DM25" s="36">
        <v>5037</v>
      </c>
      <c r="DN25" s="36">
        <v>828</v>
      </c>
      <c r="DO25" s="69">
        <v>-173</v>
      </c>
      <c r="DP25" s="36">
        <v>422</v>
      </c>
      <c r="DQ25" s="36">
        <v>5370</v>
      </c>
      <c r="DR25" s="36">
        <v>-808</v>
      </c>
      <c r="DS25" s="36">
        <v>-1278</v>
      </c>
      <c r="DT25" s="36">
        <v>432</v>
      </c>
      <c r="DU25" s="36">
        <v>6854</v>
      </c>
      <c r="DV25" s="36">
        <v>-505</v>
      </c>
      <c r="DW25" s="71">
        <v>-314</v>
      </c>
      <c r="DX25" s="39">
        <v>592</v>
      </c>
      <c r="DY25" s="71">
        <v>7379</v>
      </c>
      <c r="DZ25" s="70">
        <v>-504</v>
      </c>
      <c r="EA25" s="35">
        <v>-339</v>
      </c>
      <c r="EB25" s="35">
        <v>419</v>
      </c>
      <c r="EC25" s="38">
        <v>7969</v>
      </c>
      <c r="ED25" s="38">
        <v>-696</v>
      </c>
      <c r="EE25" s="38">
        <v>-44</v>
      </c>
      <c r="EF25" s="38">
        <v>433</v>
      </c>
      <c r="EG25" s="73">
        <v>7645</v>
      </c>
      <c r="EH25" s="73">
        <v>1000</v>
      </c>
      <c r="EI25" s="73">
        <v>-716</v>
      </c>
      <c r="EJ25" s="73">
        <v>343</v>
      </c>
      <c r="EK25" s="73">
        <v>9043</v>
      </c>
      <c r="EL25" s="73">
        <v>14946.861024634485</v>
      </c>
      <c r="EM25" s="73">
        <v>-391.37330487593618</v>
      </c>
      <c r="EN25" s="73">
        <v>13806.546883225441</v>
      </c>
      <c r="EO25" s="73">
        <v>-758.52754834141479</v>
      </c>
      <c r="EP25" s="73">
        <v>14297.655628493052</v>
      </c>
      <c r="EQ25" s="73">
        <v>-535.67854577991261</v>
      </c>
      <c r="ER25" s="73">
        <v>15122.953783639687</v>
      </c>
      <c r="ES25" s="73">
        <v>-1375.9454263816217</v>
      </c>
      <c r="ET25" s="73">
        <v>15388</v>
      </c>
      <c r="EU25" s="73">
        <v>-979</v>
      </c>
      <c r="EV25" s="73">
        <v>15349</v>
      </c>
      <c r="EW25" s="73">
        <v>747</v>
      </c>
      <c r="EX25" s="73">
        <v>16426</v>
      </c>
      <c r="EY25" s="73">
        <v>-1266</v>
      </c>
      <c r="EZ25" s="73">
        <v>16837</v>
      </c>
      <c r="FA25" s="73">
        <v>-1097</v>
      </c>
      <c r="FB25" s="73">
        <v>17720</v>
      </c>
      <c r="FC25" s="73">
        <v>-923</v>
      </c>
      <c r="FD25" s="73">
        <v>17688</v>
      </c>
      <c r="FE25" s="73">
        <v>-1072</v>
      </c>
      <c r="FF25" s="73">
        <v>18197</v>
      </c>
      <c r="FG25" s="73">
        <v>657</v>
      </c>
      <c r="FH25" s="73">
        <v>-3612</v>
      </c>
      <c r="FI25" s="73">
        <v>-3013</v>
      </c>
      <c r="FJ25" s="79">
        <v>3388</v>
      </c>
      <c r="FK25" s="80">
        <v>9133</v>
      </c>
      <c r="FL25" s="80">
        <v>7349</v>
      </c>
      <c r="FM25" s="80">
        <v>2484</v>
      </c>
      <c r="FN25" s="76">
        <v>44</v>
      </c>
      <c r="FO25" s="80">
        <v>7275</v>
      </c>
      <c r="FP25" s="80">
        <v>974</v>
      </c>
      <c r="FQ25" s="80">
        <v>884</v>
      </c>
      <c r="FR25" s="80">
        <v>657</v>
      </c>
      <c r="FS25" s="81">
        <v>-727</v>
      </c>
      <c r="FT25" s="76">
        <v>445</v>
      </c>
      <c r="FU25" s="76">
        <v>9307</v>
      </c>
      <c r="FV25" s="76">
        <v>727</v>
      </c>
      <c r="FW25" s="80">
        <v>18060</v>
      </c>
      <c r="FX25" s="80">
        <v>212</v>
      </c>
      <c r="FY25" s="73">
        <v>3355</v>
      </c>
      <c r="FZ25" s="73">
        <v>9427</v>
      </c>
      <c r="GA25" s="73">
        <v>8515</v>
      </c>
      <c r="GB25" s="73">
        <v>2580</v>
      </c>
      <c r="GC25" s="73">
        <v>46</v>
      </c>
      <c r="GD25" s="73">
        <v>7130</v>
      </c>
      <c r="GE25" s="73">
        <v>1173</v>
      </c>
      <c r="GF25" s="73">
        <v>1124</v>
      </c>
      <c r="GG25" s="73">
        <v>3083</v>
      </c>
      <c r="GH25" s="73">
        <v>-450</v>
      </c>
      <c r="GI25" s="73">
        <v>460</v>
      </c>
      <c r="GJ25" s="73">
        <v>8836</v>
      </c>
      <c r="GK25" s="73">
        <v>450</v>
      </c>
      <c r="GL25" s="73">
        <v>17224</v>
      </c>
      <c r="GM25" s="73">
        <v>2623</v>
      </c>
      <c r="GN25" s="73">
        <v>-185</v>
      </c>
      <c r="GO25" s="77">
        <v>20.5</v>
      </c>
      <c r="GP25" s="78">
        <v>3292</v>
      </c>
      <c r="GQ25" s="73">
        <v>9709</v>
      </c>
      <c r="GR25" s="65">
        <v>7757</v>
      </c>
      <c r="GS25" s="65">
        <v>2769</v>
      </c>
      <c r="GT25" s="65">
        <v>51</v>
      </c>
      <c r="GU25" s="65">
        <v>7380</v>
      </c>
      <c r="GV25" s="65">
        <v>1164</v>
      </c>
      <c r="GW25" s="65">
        <v>1165</v>
      </c>
      <c r="GX25" s="65">
        <v>1059</v>
      </c>
      <c r="GY25" s="65">
        <v>-580</v>
      </c>
      <c r="GZ25" s="65">
        <v>584</v>
      </c>
      <c r="HA25" s="65">
        <v>7292</v>
      </c>
      <c r="HB25" s="65">
        <v>580</v>
      </c>
      <c r="HC25" s="65">
        <v>18993</v>
      </c>
      <c r="HD25" s="65">
        <v>45</v>
      </c>
      <c r="HE25" s="78">
        <v>3205</v>
      </c>
      <c r="HF25" s="73">
        <v>9207</v>
      </c>
      <c r="HG25" s="65">
        <v>8297</v>
      </c>
      <c r="HH25" s="65">
        <v>2758</v>
      </c>
      <c r="HI25" s="65">
        <v>52</v>
      </c>
      <c r="HJ25" s="65">
        <v>7288</v>
      </c>
      <c r="HK25" s="65">
        <v>734</v>
      </c>
      <c r="HL25" s="65">
        <v>1185</v>
      </c>
      <c r="HM25" s="65">
        <v>-538</v>
      </c>
      <c r="HN25" s="65">
        <v>-357</v>
      </c>
      <c r="HO25" s="65">
        <v>542</v>
      </c>
      <c r="HP25" s="65">
        <v>7266</v>
      </c>
      <c r="HQ25" s="65">
        <v>357</v>
      </c>
      <c r="HR25" s="65">
        <v>20659</v>
      </c>
      <c r="HS25" s="65">
        <v>-1080</v>
      </c>
      <c r="HT25" s="65">
        <v>-1221</v>
      </c>
      <c r="HU25" s="77">
        <v>20.5</v>
      </c>
      <c r="HV25" s="180">
        <v>340</v>
      </c>
      <c r="HW25" s="30" t="s">
        <v>761</v>
      </c>
    </row>
    <row r="26" spans="1:231" ht="15" x14ac:dyDescent="0.25">
      <c r="A26" s="27">
        <v>82</v>
      </c>
      <c r="B26" s="27" t="s">
        <v>155</v>
      </c>
      <c r="C26" s="27">
        <v>5</v>
      </c>
      <c r="D26" s="27" t="s">
        <v>109</v>
      </c>
      <c r="E26" s="27">
        <v>3</v>
      </c>
      <c r="F26" s="27" t="s">
        <v>743</v>
      </c>
      <c r="G26" s="29" t="s">
        <v>132</v>
      </c>
      <c r="H26" s="27" t="s">
        <v>99</v>
      </c>
      <c r="I26" s="31" t="s">
        <v>109</v>
      </c>
      <c r="J26" s="69">
        <v>9051</v>
      </c>
      <c r="K26" s="69">
        <v>9120</v>
      </c>
      <c r="L26" s="36">
        <v>9131</v>
      </c>
      <c r="M26" s="36">
        <v>9151</v>
      </c>
      <c r="N26" s="36">
        <v>9165</v>
      </c>
      <c r="O26" s="36">
        <v>9199</v>
      </c>
      <c r="P26" s="36">
        <v>9281</v>
      </c>
      <c r="Q26" s="36">
        <v>9332</v>
      </c>
      <c r="R26" s="69">
        <v>9445</v>
      </c>
      <c r="S26" s="69">
        <v>9444</v>
      </c>
      <c r="T26" s="71">
        <v>9596</v>
      </c>
      <c r="U26" s="36">
        <v>16807</v>
      </c>
      <c r="V26" s="36">
        <v>4734</v>
      </c>
      <c r="W26" s="36">
        <v>2803</v>
      </c>
      <c r="X26" s="36">
        <v>443.17518622608156</v>
      </c>
      <c r="Y26" s="36">
        <v>17960</v>
      </c>
      <c r="Z26" s="36">
        <v>4902</v>
      </c>
      <c r="AA26" s="36">
        <v>2982</v>
      </c>
      <c r="AB26" s="36">
        <v>467.56243556300063</v>
      </c>
      <c r="AC26" s="36">
        <v>17801</v>
      </c>
      <c r="AD26" s="36">
        <v>5401</v>
      </c>
      <c r="AE26" s="36">
        <v>3246</v>
      </c>
      <c r="AF26" s="36">
        <v>132.53208605167069</v>
      </c>
      <c r="AG26" s="36">
        <v>19651</v>
      </c>
      <c r="AH26" s="36">
        <v>6541</v>
      </c>
      <c r="AI26" s="36">
        <v>2664</v>
      </c>
      <c r="AJ26" s="36">
        <v>231.25839888457767</v>
      </c>
      <c r="AK26" s="36">
        <v>20659</v>
      </c>
      <c r="AL26" s="36">
        <v>7785</v>
      </c>
      <c r="AM26" s="36">
        <v>2526</v>
      </c>
      <c r="AN26" s="36">
        <v>323</v>
      </c>
      <c r="AO26" s="36">
        <v>20592</v>
      </c>
      <c r="AP26" s="36">
        <v>7627</v>
      </c>
      <c r="AQ26" s="36">
        <v>2786</v>
      </c>
      <c r="AR26" s="36">
        <v>319</v>
      </c>
      <c r="AS26" s="36">
        <v>21046</v>
      </c>
      <c r="AT26" s="36">
        <v>7695</v>
      </c>
      <c r="AU26" s="36">
        <v>3310</v>
      </c>
      <c r="AV26" s="36">
        <v>270</v>
      </c>
      <c r="AW26" s="36">
        <v>22118</v>
      </c>
      <c r="AX26" s="69">
        <v>7928</v>
      </c>
      <c r="AY26" s="36">
        <v>2961</v>
      </c>
      <c r="AZ26" s="36">
        <v>374</v>
      </c>
      <c r="BA26" s="36">
        <v>23144</v>
      </c>
      <c r="BB26" s="36">
        <v>8360</v>
      </c>
      <c r="BC26" s="36">
        <v>3259</v>
      </c>
      <c r="BD26" s="36">
        <v>181</v>
      </c>
      <c r="BE26" s="70">
        <v>24773</v>
      </c>
      <c r="BF26" s="70">
        <v>8576</v>
      </c>
      <c r="BG26" s="70">
        <v>3790</v>
      </c>
      <c r="BH26" s="70">
        <v>519</v>
      </c>
      <c r="BI26" s="36">
        <v>25922</v>
      </c>
      <c r="BJ26" s="36">
        <v>9380</v>
      </c>
      <c r="BK26" s="36">
        <v>4584</v>
      </c>
      <c r="BL26" s="36">
        <v>1381</v>
      </c>
      <c r="BM26" s="36">
        <v>14877.063035152958</v>
      </c>
      <c r="BN26" s="36">
        <v>1370.3952248083922</v>
      </c>
      <c r="BO26" s="36">
        <v>559.05666755806271</v>
      </c>
      <c r="BP26" s="36">
        <v>16043.109929310614</v>
      </c>
      <c r="BQ26" s="36">
        <v>1339.1122704865509</v>
      </c>
      <c r="BR26" s="36">
        <v>578.06190324821341</v>
      </c>
      <c r="BS26" s="36">
        <v>15765.43166272266</v>
      </c>
      <c r="BT26" s="36">
        <v>1350.5490494859337</v>
      </c>
      <c r="BU26" s="36">
        <v>659.80123550850772</v>
      </c>
      <c r="BV26" s="36">
        <v>18069</v>
      </c>
      <c r="BW26" s="36">
        <v>880</v>
      </c>
      <c r="BX26" s="36">
        <v>701</v>
      </c>
      <c r="BY26" s="36">
        <v>19246</v>
      </c>
      <c r="BZ26" s="36">
        <v>703</v>
      </c>
      <c r="CA26" s="36">
        <v>710</v>
      </c>
      <c r="CB26" s="36">
        <v>19496</v>
      </c>
      <c r="CC26" s="36">
        <v>380</v>
      </c>
      <c r="CD26" s="36">
        <v>716</v>
      </c>
      <c r="CE26" s="36">
        <v>19753</v>
      </c>
      <c r="CF26" s="36">
        <v>566</v>
      </c>
      <c r="CG26" s="36">
        <v>727</v>
      </c>
      <c r="CH26" s="36">
        <v>20554</v>
      </c>
      <c r="CI26" s="36">
        <v>795</v>
      </c>
      <c r="CJ26" s="70">
        <v>769</v>
      </c>
      <c r="CK26" s="70">
        <v>21477</v>
      </c>
      <c r="CL26" s="70">
        <v>870</v>
      </c>
      <c r="CM26" s="36">
        <v>797</v>
      </c>
      <c r="CN26" s="36">
        <v>22960</v>
      </c>
      <c r="CO26" s="36">
        <v>988</v>
      </c>
      <c r="CP26" s="36">
        <v>825</v>
      </c>
      <c r="CQ26" s="36">
        <v>24068</v>
      </c>
      <c r="CR26" s="36">
        <v>1007</v>
      </c>
      <c r="CS26" s="36">
        <v>847</v>
      </c>
      <c r="CT26" s="36">
        <v>426.02001772700743</v>
      </c>
      <c r="CU26" s="36">
        <v>-587.48042710000004</v>
      </c>
      <c r="CV26" s="36">
        <v>919.48339396508072</v>
      </c>
      <c r="CW26" s="36">
        <v>3492</v>
      </c>
      <c r="CX26" s="36">
        <v>1055.3792385459817</v>
      </c>
      <c r="CY26" s="36">
        <v>-2706.8164879999999</v>
      </c>
      <c r="CZ26" s="36">
        <v>854.56285435093753</v>
      </c>
      <c r="DA26" s="36">
        <v>3799</v>
      </c>
      <c r="DB26" s="36">
        <v>523.90539092760685</v>
      </c>
      <c r="DC26" s="36">
        <v>-412.06041979999998</v>
      </c>
      <c r="DD26" s="36">
        <v>903.16916509831435</v>
      </c>
      <c r="DE26" s="36">
        <v>3006</v>
      </c>
      <c r="DF26" s="36">
        <v>1693.4842315409546</v>
      </c>
      <c r="DG26" s="36">
        <v>5529</v>
      </c>
      <c r="DH26" s="36">
        <v>890.21869476077791</v>
      </c>
      <c r="DI26" s="36">
        <v>2754</v>
      </c>
      <c r="DJ26" s="36">
        <v>3883</v>
      </c>
      <c r="DK26" s="36">
        <v>-1011</v>
      </c>
      <c r="DL26" s="36">
        <v>696</v>
      </c>
      <c r="DM26" s="36">
        <v>1655</v>
      </c>
      <c r="DN26" s="36">
        <v>1853</v>
      </c>
      <c r="DO26" s="69">
        <v>-2848</v>
      </c>
      <c r="DP26" s="36">
        <v>690</v>
      </c>
      <c r="DQ26" s="36">
        <v>1455</v>
      </c>
      <c r="DR26" s="36">
        <v>883</v>
      </c>
      <c r="DS26" s="36">
        <v>349</v>
      </c>
      <c r="DT26" s="36">
        <v>957</v>
      </c>
      <c r="DU26" s="36">
        <v>841</v>
      </c>
      <c r="DV26" s="36">
        <v>59</v>
      </c>
      <c r="DW26" s="71">
        <v>-1806</v>
      </c>
      <c r="DX26" s="39">
        <v>922</v>
      </c>
      <c r="DY26" s="71">
        <v>1672</v>
      </c>
      <c r="DZ26" s="70">
        <v>-805</v>
      </c>
      <c r="EA26" s="35">
        <v>-3355</v>
      </c>
      <c r="EB26" s="35">
        <v>1076</v>
      </c>
      <c r="EC26" s="38">
        <v>4404</v>
      </c>
      <c r="ED26" s="38">
        <v>-28</v>
      </c>
      <c r="EE26" s="38">
        <v>-7390</v>
      </c>
      <c r="EF26" s="38">
        <v>1134</v>
      </c>
      <c r="EG26" s="73">
        <v>11819</v>
      </c>
      <c r="EH26" s="73">
        <v>-1663</v>
      </c>
      <c r="EI26" s="73">
        <v>-750</v>
      </c>
      <c r="EJ26" s="73">
        <v>1298</v>
      </c>
      <c r="EK26" s="73">
        <v>12831</v>
      </c>
      <c r="EL26" s="73">
        <v>22807.96470744551</v>
      </c>
      <c r="EM26" s="73">
        <v>-415.42417835993223</v>
      </c>
      <c r="EN26" s="73">
        <v>23755.199109276742</v>
      </c>
      <c r="EO26" s="73">
        <v>1258.5502537114871</v>
      </c>
      <c r="EP26" s="73">
        <v>24491.694039251699</v>
      </c>
      <c r="EQ26" s="73">
        <v>218.64430439996434</v>
      </c>
      <c r="ER26" s="73">
        <v>25707.860935494882</v>
      </c>
      <c r="ES26" s="73">
        <v>7822.084083871955</v>
      </c>
      <c r="ET26" s="73">
        <v>27313</v>
      </c>
      <c r="EU26" s="73">
        <v>3280</v>
      </c>
      <c r="EV26" s="73">
        <v>29409</v>
      </c>
      <c r="EW26" s="73">
        <v>1163</v>
      </c>
      <c r="EX26" s="73">
        <v>31389</v>
      </c>
      <c r="EY26" s="73">
        <v>-74</v>
      </c>
      <c r="EZ26" s="73">
        <v>33283</v>
      </c>
      <c r="FA26" s="73">
        <v>-863</v>
      </c>
      <c r="FB26" s="73">
        <v>35726</v>
      </c>
      <c r="FC26" s="73">
        <v>-1867</v>
      </c>
      <c r="FD26" s="73">
        <v>37356</v>
      </c>
      <c r="FE26" s="73">
        <v>-1163</v>
      </c>
      <c r="FF26" s="73">
        <v>41216</v>
      </c>
      <c r="FG26" s="73">
        <v>-1761</v>
      </c>
      <c r="FH26" s="73">
        <v>7977</v>
      </c>
      <c r="FI26" s="73">
        <v>6216</v>
      </c>
      <c r="FJ26" s="79">
        <v>9625</v>
      </c>
      <c r="FK26" s="80">
        <v>26965</v>
      </c>
      <c r="FL26" s="80">
        <v>10273</v>
      </c>
      <c r="FM26" s="80">
        <v>4185</v>
      </c>
      <c r="FN26" s="76">
        <v>198</v>
      </c>
      <c r="FO26" s="80">
        <v>25278</v>
      </c>
      <c r="FP26" s="80">
        <v>793</v>
      </c>
      <c r="FQ26" s="80">
        <v>894</v>
      </c>
      <c r="FR26" s="80">
        <v>-2319</v>
      </c>
      <c r="FS26" s="81">
        <v>-955</v>
      </c>
      <c r="FT26" s="76">
        <v>1569</v>
      </c>
      <c r="FU26" s="76">
        <v>19134</v>
      </c>
      <c r="FV26" s="76">
        <v>955</v>
      </c>
      <c r="FW26" s="80">
        <v>43535</v>
      </c>
      <c r="FX26" s="80">
        <v>-3690</v>
      </c>
      <c r="FY26" s="73">
        <v>9657</v>
      </c>
      <c r="FZ26" s="73">
        <v>30601</v>
      </c>
      <c r="GA26" s="73">
        <v>10610</v>
      </c>
      <c r="GB26" s="73">
        <v>5116</v>
      </c>
      <c r="GC26" s="73">
        <v>-5</v>
      </c>
      <c r="GD26" s="73">
        <v>28097</v>
      </c>
      <c r="GE26" s="73">
        <v>1460</v>
      </c>
      <c r="GF26" s="73">
        <v>1044</v>
      </c>
      <c r="GG26" s="73">
        <v>2174</v>
      </c>
      <c r="GH26" s="73">
        <v>-2020</v>
      </c>
      <c r="GI26" s="73">
        <v>1498</v>
      </c>
      <c r="GJ26" s="73">
        <v>19373</v>
      </c>
      <c r="GK26" s="73">
        <v>2020</v>
      </c>
      <c r="GL26" s="73">
        <v>44122</v>
      </c>
      <c r="GM26" s="73">
        <v>676</v>
      </c>
      <c r="GN26" s="73">
        <v>3202</v>
      </c>
      <c r="GO26" s="77">
        <v>19.25</v>
      </c>
      <c r="GP26" s="78">
        <v>9682</v>
      </c>
      <c r="GQ26" s="73">
        <v>31701</v>
      </c>
      <c r="GR26" s="65">
        <v>10560</v>
      </c>
      <c r="GS26" s="65">
        <v>4746</v>
      </c>
      <c r="GT26" s="65">
        <v>50</v>
      </c>
      <c r="GU26" s="65">
        <v>29224</v>
      </c>
      <c r="GV26" s="65">
        <v>1313</v>
      </c>
      <c r="GW26" s="65">
        <v>1164</v>
      </c>
      <c r="GX26" s="65">
        <v>1282</v>
      </c>
      <c r="GY26" s="65">
        <v>-6386</v>
      </c>
      <c r="GZ26" s="65">
        <v>1435</v>
      </c>
      <c r="HA26" s="65">
        <v>21077</v>
      </c>
      <c r="HB26" s="65">
        <v>6386</v>
      </c>
      <c r="HC26" s="65">
        <v>45590</v>
      </c>
      <c r="HD26" s="65">
        <v>-153</v>
      </c>
      <c r="HE26" s="78">
        <v>9720</v>
      </c>
      <c r="HF26" s="73">
        <v>32043</v>
      </c>
      <c r="HG26" s="65">
        <v>10265</v>
      </c>
      <c r="HH26" s="65">
        <v>5021</v>
      </c>
      <c r="HI26" s="65">
        <v>41</v>
      </c>
      <c r="HJ26" s="65">
        <v>29550</v>
      </c>
      <c r="HK26" s="65">
        <v>961</v>
      </c>
      <c r="HL26" s="65">
        <v>1532</v>
      </c>
      <c r="HM26" s="65">
        <v>-432</v>
      </c>
      <c r="HN26" s="65">
        <v>-3457</v>
      </c>
      <c r="HO26" s="65">
        <v>1374</v>
      </c>
      <c r="HP26" s="65">
        <v>24635</v>
      </c>
      <c r="HQ26" s="65">
        <v>3457</v>
      </c>
      <c r="HR26" s="65">
        <v>47603</v>
      </c>
      <c r="HS26" s="65">
        <v>-1806</v>
      </c>
      <c r="HT26" s="65">
        <v>1242</v>
      </c>
      <c r="HU26" s="77">
        <v>19.25</v>
      </c>
      <c r="HV26" s="180">
        <v>240</v>
      </c>
      <c r="HW26" s="30" t="s">
        <v>757</v>
      </c>
    </row>
    <row r="27" spans="1:231" ht="15" x14ac:dyDescent="0.25">
      <c r="A27" s="27">
        <v>86</v>
      </c>
      <c r="B27" s="27" t="s">
        <v>156</v>
      </c>
      <c r="C27" s="27">
        <v>5</v>
      </c>
      <c r="D27" s="27" t="s">
        <v>109</v>
      </c>
      <c r="E27" s="27">
        <v>3</v>
      </c>
      <c r="F27" s="27" t="s">
        <v>743</v>
      </c>
      <c r="G27" s="29" t="s">
        <v>130</v>
      </c>
      <c r="H27" s="27" t="s">
        <v>98</v>
      </c>
      <c r="I27" s="31" t="s">
        <v>109</v>
      </c>
      <c r="J27" s="69">
        <v>8115</v>
      </c>
      <c r="K27" s="69">
        <v>8097</v>
      </c>
      <c r="L27" s="36">
        <v>8107</v>
      </c>
      <c r="M27" s="36">
        <v>8173</v>
      </c>
      <c r="N27" s="36">
        <v>8171</v>
      </c>
      <c r="O27" s="36">
        <v>8290</v>
      </c>
      <c r="P27" s="36">
        <v>8343</v>
      </c>
      <c r="Q27" s="36">
        <v>8419</v>
      </c>
      <c r="R27" s="69">
        <v>8536</v>
      </c>
      <c r="S27" s="69">
        <v>8574</v>
      </c>
      <c r="T27" s="71">
        <v>8647</v>
      </c>
      <c r="U27" s="36">
        <v>15695</v>
      </c>
      <c r="V27" s="36">
        <v>5354</v>
      </c>
      <c r="W27" s="36">
        <v>2517</v>
      </c>
      <c r="X27" s="36">
        <v>250.09544664826689</v>
      </c>
      <c r="Y27" s="36">
        <v>15768</v>
      </c>
      <c r="Z27" s="36">
        <v>5873</v>
      </c>
      <c r="AA27" s="36">
        <v>2605</v>
      </c>
      <c r="AB27" s="36">
        <v>172.5608125495103</v>
      </c>
      <c r="AC27" s="36">
        <v>15625</v>
      </c>
      <c r="AD27" s="36">
        <v>6631</v>
      </c>
      <c r="AE27" s="36">
        <v>2966</v>
      </c>
      <c r="AF27" s="36">
        <v>99.399064538753024</v>
      </c>
      <c r="AG27" s="36">
        <v>17376</v>
      </c>
      <c r="AH27" s="36">
        <v>7607</v>
      </c>
      <c r="AI27" s="36">
        <v>3080</v>
      </c>
      <c r="AJ27" s="36">
        <v>197.45262566581394</v>
      </c>
      <c r="AK27" s="36">
        <v>18450</v>
      </c>
      <c r="AL27" s="36">
        <v>7628</v>
      </c>
      <c r="AM27" s="36">
        <v>3185</v>
      </c>
      <c r="AN27" s="36">
        <v>204</v>
      </c>
      <c r="AO27" s="36">
        <v>17694</v>
      </c>
      <c r="AP27" s="36">
        <v>7773</v>
      </c>
      <c r="AQ27" s="36">
        <v>3306</v>
      </c>
      <c r="AR27" s="36">
        <v>104</v>
      </c>
      <c r="AS27" s="36">
        <v>19003</v>
      </c>
      <c r="AT27" s="36">
        <v>8274</v>
      </c>
      <c r="AU27" s="36">
        <v>3838</v>
      </c>
      <c r="AV27" s="36">
        <v>110</v>
      </c>
      <c r="AW27" s="36">
        <v>19532</v>
      </c>
      <c r="AX27" s="69">
        <v>8424</v>
      </c>
      <c r="AY27" s="36">
        <v>3930</v>
      </c>
      <c r="AZ27" s="36">
        <v>51</v>
      </c>
      <c r="BA27" s="36">
        <v>21405</v>
      </c>
      <c r="BB27" s="36">
        <v>8667</v>
      </c>
      <c r="BC27" s="36">
        <v>5259</v>
      </c>
      <c r="BD27" s="36">
        <v>108</v>
      </c>
      <c r="BE27" s="70">
        <v>23139</v>
      </c>
      <c r="BF27" s="70">
        <v>9637</v>
      </c>
      <c r="BG27" s="70">
        <v>4726</v>
      </c>
      <c r="BH27" s="70">
        <v>70</v>
      </c>
      <c r="BI27" s="36">
        <v>25198</v>
      </c>
      <c r="BJ27" s="36">
        <v>11169</v>
      </c>
      <c r="BK27" s="36">
        <v>4875</v>
      </c>
      <c r="BL27" s="36">
        <v>62</v>
      </c>
      <c r="BM27" s="36">
        <v>13227.139476565535</v>
      </c>
      <c r="BN27" s="36">
        <v>2230.8446565854824</v>
      </c>
      <c r="BO27" s="36">
        <v>237.31316423719207</v>
      </c>
      <c r="BP27" s="36">
        <v>13350.421226661823</v>
      </c>
      <c r="BQ27" s="36">
        <v>2162.7285463685703</v>
      </c>
      <c r="BR27" s="36">
        <v>255.30927236857377</v>
      </c>
      <c r="BS27" s="36">
        <v>13134.972492864628</v>
      </c>
      <c r="BT27" s="36">
        <v>2107.5629064891946</v>
      </c>
      <c r="BU27" s="36">
        <v>382.79572062639909</v>
      </c>
      <c r="BV27" s="36">
        <v>15406</v>
      </c>
      <c r="BW27" s="36">
        <v>1553</v>
      </c>
      <c r="BX27" s="36">
        <v>417</v>
      </c>
      <c r="BY27" s="36">
        <v>16693</v>
      </c>
      <c r="BZ27" s="36">
        <v>1328</v>
      </c>
      <c r="CA27" s="36">
        <v>429</v>
      </c>
      <c r="CB27" s="36">
        <v>16573</v>
      </c>
      <c r="CC27" s="36">
        <v>669</v>
      </c>
      <c r="CD27" s="36">
        <v>452</v>
      </c>
      <c r="CE27" s="36">
        <v>17633</v>
      </c>
      <c r="CF27" s="36">
        <v>911</v>
      </c>
      <c r="CG27" s="36">
        <v>459</v>
      </c>
      <c r="CH27" s="36">
        <v>18006</v>
      </c>
      <c r="CI27" s="36">
        <v>1061</v>
      </c>
      <c r="CJ27" s="70">
        <v>465</v>
      </c>
      <c r="CK27" s="70">
        <v>19588</v>
      </c>
      <c r="CL27" s="70">
        <v>1056</v>
      </c>
      <c r="CM27" s="36">
        <v>761</v>
      </c>
      <c r="CN27" s="36">
        <v>21066</v>
      </c>
      <c r="CO27" s="36">
        <v>1246</v>
      </c>
      <c r="CP27" s="36">
        <v>827</v>
      </c>
      <c r="CQ27" s="36">
        <v>22994</v>
      </c>
      <c r="CR27" s="36">
        <v>1319</v>
      </c>
      <c r="CS27" s="36">
        <v>885</v>
      </c>
      <c r="CT27" s="36">
        <v>16.818792646151103</v>
      </c>
      <c r="CU27" s="36">
        <v>-1265.4459589999999</v>
      </c>
      <c r="CV27" s="36">
        <v>574.86633264544469</v>
      </c>
      <c r="CW27" s="36">
        <v>7096</v>
      </c>
      <c r="CX27" s="36">
        <v>414.24686287470166</v>
      </c>
      <c r="CY27" s="36">
        <v>-1797.2561820000001</v>
      </c>
      <c r="CZ27" s="36">
        <v>630.5365363042049</v>
      </c>
      <c r="DA27" s="36">
        <v>7493</v>
      </c>
      <c r="DB27" s="36">
        <v>118.57248815536528</v>
      </c>
      <c r="DC27" s="36">
        <v>-1455.666504</v>
      </c>
      <c r="DD27" s="36">
        <v>701.17546541803949</v>
      </c>
      <c r="DE27" s="36">
        <v>8417</v>
      </c>
      <c r="DF27" s="36">
        <v>1322.4616657668612</v>
      </c>
      <c r="DG27" s="36">
        <v>-1218</v>
      </c>
      <c r="DH27" s="36">
        <v>735.99036619557228</v>
      </c>
      <c r="DI27" s="36">
        <v>9211</v>
      </c>
      <c r="DJ27" s="36">
        <v>2157</v>
      </c>
      <c r="DK27" s="36">
        <v>-2345</v>
      </c>
      <c r="DL27" s="36">
        <v>800</v>
      </c>
      <c r="DM27" s="36">
        <v>10656</v>
      </c>
      <c r="DN27" s="36">
        <v>433</v>
      </c>
      <c r="DO27" s="69">
        <v>-2240</v>
      </c>
      <c r="DP27" s="36">
        <v>929</v>
      </c>
      <c r="DQ27" s="36">
        <v>11183</v>
      </c>
      <c r="DR27" s="36">
        <v>968</v>
      </c>
      <c r="DS27" s="36">
        <v>-1770</v>
      </c>
      <c r="DT27" s="36">
        <v>1035</v>
      </c>
      <c r="DU27" s="36">
        <v>10876</v>
      </c>
      <c r="DV27" s="36">
        <v>-673</v>
      </c>
      <c r="DW27" s="71">
        <v>-2036</v>
      </c>
      <c r="DX27" s="39">
        <v>1099</v>
      </c>
      <c r="DY27" s="71">
        <v>14382</v>
      </c>
      <c r="DZ27" s="70">
        <v>704</v>
      </c>
      <c r="EA27" s="35">
        <v>-2410</v>
      </c>
      <c r="EB27" s="35">
        <v>1235</v>
      </c>
      <c r="EC27" s="38">
        <v>16682</v>
      </c>
      <c r="ED27" s="38">
        <v>1328</v>
      </c>
      <c r="EE27" s="38">
        <v>-2561</v>
      </c>
      <c r="EF27" s="38">
        <v>1262</v>
      </c>
      <c r="EG27" s="73">
        <v>18038</v>
      </c>
      <c r="EH27" s="73">
        <v>2177</v>
      </c>
      <c r="EI27" s="73">
        <v>-3349</v>
      </c>
      <c r="EJ27" s="73">
        <v>1392</v>
      </c>
      <c r="EK27" s="73">
        <v>19953</v>
      </c>
      <c r="EL27" s="73">
        <v>22260.344818886831</v>
      </c>
      <c r="EM27" s="73">
        <v>-490.09961770884314</v>
      </c>
      <c r="EN27" s="73">
        <v>22388.167642997578</v>
      </c>
      <c r="EO27" s="73">
        <v>-111.00403146459728</v>
      </c>
      <c r="EP27" s="73">
        <v>23525.118025877393</v>
      </c>
      <c r="EQ27" s="73">
        <v>-579.74378251282849</v>
      </c>
      <c r="ER27" s="73">
        <v>25103.898091571595</v>
      </c>
      <c r="ES27" s="73">
        <v>522.39169958945331</v>
      </c>
      <c r="ET27" s="73">
        <v>26854</v>
      </c>
      <c r="EU27" s="73">
        <v>1357</v>
      </c>
      <c r="EV27" s="73">
        <v>28036</v>
      </c>
      <c r="EW27" s="73">
        <v>-496</v>
      </c>
      <c r="EX27" s="73">
        <v>29867</v>
      </c>
      <c r="EY27" s="73">
        <v>-67</v>
      </c>
      <c r="EZ27" s="73">
        <v>32161</v>
      </c>
      <c r="FA27" s="73">
        <v>-1772</v>
      </c>
      <c r="FB27" s="73">
        <v>34271</v>
      </c>
      <c r="FC27" s="73">
        <v>-531</v>
      </c>
      <c r="FD27" s="73">
        <v>35558</v>
      </c>
      <c r="FE27" s="73">
        <v>66</v>
      </c>
      <c r="FF27" s="73">
        <v>38416</v>
      </c>
      <c r="FG27" s="73">
        <v>785</v>
      </c>
      <c r="FH27" s="73">
        <v>-135</v>
      </c>
      <c r="FI27" s="73">
        <v>650</v>
      </c>
      <c r="FJ27" s="79">
        <v>8665</v>
      </c>
      <c r="FK27" s="80">
        <v>26410</v>
      </c>
      <c r="FL27" s="80">
        <v>11892</v>
      </c>
      <c r="FM27" s="80">
        <v>4989</v>
      </c>
      <c r="FN27" s="76">
        <v>0</v>
      </c>
      <c r="FO27" s="80">
        <v>24499</v>
      </c>
      <c r="FP27" s="80">
        <v>966</v>
      </c>
      <c r="FQ27" s="80">
        <v>945</v>
      </c>
      <c r="FR27" s="80">
        <v>3534</v>
      </c>
      <c r="FS27" s="81">
        <v>-4139</v>
      </c>
      <c r="FT27" s="76">
        <v>1491</v>
      </c>
      <c r="FU27" s="76">
        <v>23336</v>
      </c>
      <c r="FV27" s="76">
        <v>4139</v>
      </c>
      <c r="FW27" s="80">
        <v>39046</v>
      </c>
      <c r="FX27" s="80">
        <v>1966</v>
      </c>
      <c r="FY27" s="73">
        <v>8815</v>
      </c>
      <c r="FZ27" s="73">
        <v>26573</v>
      </c>
      <c r="GA27" s="73">
        <v>12784</v>
      </c>
      <c r="GB27" s="73">
        <v>5278</v>
      </c>
      <c r="GC27" s="73">
        <v>1057</v>
      </c>
      <c r="GD27" s="73">
        <v>24284</v>
      </c>
      <c r="GE27" s="73">
        <v>1134</v>
      </c>
      <c r="GF27" s="73">
        <v>1155</v>
      </c>
      <c r="GG27" s="73">
        <v>2901</v>
      </c>
      <c r="GH27" s="73">
        <v>-2437</v>
      </c>
      <c r="GI27" s="73">
        <v>1558</v>
      </c>
      <c r="GJ27" s="73">
        <v>20610</v>
      </c>
      <c r="GK27" s="73">
        <v>2437</v>
      </c>
      <c r="GL27" s="73">
        <v>41215</v>
      </c>
      <c r="GM27" s="73">
        <v>2353</v>
      </c>
      <c r="GN27" s="73">
        <v>4983</v>
      </c>
      <c r="GO27" s="77">
        <v>20</v>
      </c>
      <c r="GP27" s="78">
        <v>8807</v>
      </c>
      <c r="GQ27" s="73">
        <v>27789</v>
      </c>
      <c r="GR27" s="65">
        <v>13198</v>
      </c>
      <c r="GS27" s="65">
        <v>5438</v>
      </c>
      <c r="GT27" s="65">
        <v>70</v>
      </c>
      <c r="GU27" s="65">
        <v>25269</v>
      </c>
      <c r="GV27" s="65">
        <v>1363</v>
      </c>
      <c r="GW27" s="65">
        <v>1157</v>
      </c>
      <c r="GX27" s="65">
        <v>2254</v>
      </c>
      <c r="GY27" s="65">
        <v>-2826</v>
      </c>
      <c r="GZ27" s="65">
        <v>1613</v>
      </c>
      <c r="HA27" s="65">
        <v>22645</v>
      </c>
      <c r="HB27" s="65">
        <v>2826</v>
      </c>
      <c r="HC27" s="65">
        <v>43701</v>
      </c>
      <c r="HD27" s="65">
        <v>641</v>
      </c>
      <c r="HE27" s="78">
        <v>8866</v>
      </c>
      <c r="HF27" s="73">
        <v>28008</v>
      </c>
      <c r="HG27" s="65">
        <v>13563</v>
      </c>
      <c r="HH27" s="65">
        <v>5972</v>
      </c>
      <c r="HI27" s="65">
        <v>24</v>
      </c>
      <c r="HJ27" s="65">
        <v>25812</v>
      </c>
      <c r="HK27" s="65">
        <v>1028</v>
      </c>
      <c r="HL27" s="65">
        <v>1168</v>
      </c>
      <c r="HM27" s="65">
        <v>689</v>
      </c>
      <c r="HN27" s="65">
        <v>-4871</v>
      </c>
      <c r="HO27" s="65">
        <v>1924</v>
      </c>
      <c r="HP27" s="65">
        <v>23337</v>
      </c>
      <c r="HQ27" s="65">
        <v>4871</v>
      </c>
      <c r="HR27" s="65">
        <v>46327</v>
      </c>
      <c r="HS27" s="65">
        <v>-1235</v>
      </c>
      <c r="HT27" s="65">
        <v>4231</v>
      </c>
      <c r="HU27" s="77">
        <v>20</v>
      </c>
      <c r="HV27" s="180">
        <v>340</v>
      </c>
      <c r="HW27" s="30" t="s">
        <v>761</v>
      </c>
    </row>
    <row r="28" spans="1:231" ht="15" x14ac:dyDescent="0.25">
      <c r="A28" s="27">
        <v>111</v>
      </c>
      <c r="B28" s="27" t="s">
        <v>157</v>
      </c>
      <c r="C28" s="27">
        <v>7</v>
      </c>
      <c r="D28" s="27" t="s">
        <v>119</v>
      </c>
      <c r="E28" s="27">
        <v>4</v>
      </c>
      <c r="F28" s="27" t="s">
        <v>100</v>
      </c>
      <c r="G28" s="29" t="s">
        <v>141</v>
      </c>
      <c r="H28" s="27" t="s">
        <v>97</v>
      </c>
      <c r="I28" s="31" t="s">
        <v>119</v>
      </c>
      <c r="J28" s="69">
        <v>21567</v>
      </c>
      <c r="K28" s="69">
        <v>21351</v>
      </c>
      <c r="L28" s="36">
        <v>21178</v>
      </c>
      <c r="M28" s="36">
        <v>20958</v>
      </c>
      <c r="N28" s="36">
        <v>20940</v>
      </c>
      <c r="O28" s="36">
        <v>20887</v>
      </c>
      <c r="P28" s="36">
        <v>20910</v>
      </c>
      <c r="Q28" s="36">
        <v>20729</v>
      </c>
      <c r="R28" s="69">
        <v>20604</v>
      </c>
      <c r="S28" s="69">
        <v>20612</v>
      </c>
      <c r="T28" s="71">
        <v>20545</v>
      </c>
      <c r="U28" s="36">
        <v>46624</v>
      </c>
      <c r="V28" s="36">
        <v>8604</v>
      </c>
      <c r="W28" s="36">
        <v>13076</v>
      </c>
      <c r="X28" s="36">
        <v>595.55344760021057</v>
      </c>
      <c r="Y28" s="36">
        <v>48953</v>
      </c>
      <c r="Z28" s="36">
        <v>8704</v>
      </c>
      <c r="AA28" s="36">
        <v>12584</v>
      </c>
      <c r="AB28" s="36">
        <v>1937.0203490572226</v>
      </c>
      <c r="AC28" s="36">
        <v>48473</v>
      </c>
      <c r="AD28" s="36">
        <v>9486</v>
      </c>
      <c r="AE28" s="36">
        <v>12392</v>
      </c>
      <c r="AF28" s="36">
        <v>5150.9234358102367</v>
      </c>
      <c r="AG28" s="36">
        <v>56090</v>
      </c>
      <c r="AH28" s="36">
        <v>9977</v>
      </c>
      <c r="AI28" s="36">
        <v>12753</v>
      </c>
      <c r="AJ28" s="36">
        <v>3979.6627159322738</v>
      </c>
      <c r="AK28" s="36">
        <v>54102</v>
      </c>
      <c r="AL28" s="36">
        <v>10821</v>
      </c>
      <c r="AM28" s="36">
        <v>13760</v>
      </c>
      <c r="AN28" s="36">
        <v>3814</v>
      </c>
      <c r="AO28" s="36">
        <v>53919</v>
      </c>
      <c r="AP28" s="36">
        <v>12624</v>
      </c>
      <c r="AQ28" s="36">
        <v>13832</v>
      </c>
      <c r="AR28" s="36">
        <v>5717</v>
      </c>
      <c r="AS28" s="36">
        <v>53618</v>
      </c>
      <c r="AT28" s="36">
        <v>14792</v>
      </c>
      <c r="AU28" s="36">
        <v>14688</v>
      </c>
      <c r="AV28" s="36">
        <v>4352</v>
      </c>
      <c r="AW28" s="36">
        <v>55397</v>
      </c>
      <c r="AX28" s="69">
        <v>16624</v>
      </c>
      <c r="AY28" s="36">
        <v>14059</v>
      </c>
      <c r="AZ28" s="36">
        <v>6354</v>
      </c>
      <c r="BA28" s="36">
        <v>56394</v>
      </c>
      <c r="BB28" s="36">
        <v>19518</v>
      </c>
      <c r="BC28" s="36">
        <v>17331</v>
      </c>
      <c r="BD28" s="36">
        <v>6411</v>
      </c>
      <c r="BE28" s="70">
        <v>59910</v>
      </c>
      <c r="BF28" s="70">
        <v>21121</v>
      </c>
      <c r="BG28" s="70">
        <v>16334</v>
      </c>
      <c r="BH28" s="70">
        <v>4273</v>
      </c>
      <c r="BI28" s="36">
        <v>64619</v>
      </c>
      <c r="BJ28" s="36">
        <v>24136</v>
      </c>
      <c r="BK28" s="36">
        <v>18242</v>
      </c>
      <c r="BL28" s="36">
        <v>0</v>
      </c>
      <c r="BM28" s="36">
        <v>38521.426300891566</v>
      </c>
      <c r="BN28" s="36">
        <v>5933.3336697091863</v>
      </c>
      <c r="BO28" s="36">
        <v>2135.9866660611901</v>
      </c>
      <c r="BP28" s="36">
        <v>39031.876657702247</v>
      </c>
      <c r="BQ28" s="36">
        <v>7751.2769668316587</v>
      </c>
      <c r="BR28" s="36">
        <v>2170.1288151328768</v>
      </c>
      <c r="BS28" s="36">
        <v>36458.937758694054</v>
      </c>
      <c r="BT28" s="36">
        <v>9815.7837641467067</v>
      </c>
      <c r="BU28" s="36">
        <v>2197.8798229990261</v>
      </c>
      <c r="BV28" s="36">
        <v>42487</v>
      </c>
      <c r="BW28" s="36">
        <v>11335</v>
      </c>
      <c r="BX28" s="36">
        <v>2268</v>
      </c>
      <c r="BY28" s="36">
        <v>45789</v>
      </c>
      <c r="BZ28" s="36">
        <v>5882</v>
      </c>
      <c r="CA28" s="36">
        <v>2431</v>
      </c>
      <c r="CB28" s="36">
        <v>46766</v>
      </c>
      <c r="CC28" s="36">
        <v>4649</v>
      </c>
      <c r="CD28" s="36">
        <v>2504</v>
      </c>
      <c r="CE28" s="36">
        <v>47172</v>
      </c>
      <c r="CF28" s="36">
        <v>3973</v>
      </c>
      <c r="CG28" s="36">
        <v>2473</v>
      </c>
      <c r="CH28" s="36">
        <v>48859</v>
      </c>
      <c r="CI28" s="36">
        <v>3622</v>
      </c>
      <c r="CJ28" s="70">
        <v>2916</v>
      </c>
      <c r="CK28" s="70">
        <v>49575</v>
      </c>
      <c r="CL28" s="70">
        <v>3883</v>
      </c>
      <c r="CM28" s="36">
        <v>2936</v>
      </c>
      <c r="CN28" s="36">
        <v>52563</v>
      </c>
      <c r="CO28" s="36">
        <v>4294</v>
      </c>
      <c r="CP28" s="36">
        <v>3053</v>
      </c>
      <c r="CQ28" s="36">
        <v>56834</v>
      </c>
      <c r="CR28" s="36">
        <v>4382</v>
      </c>
      <c r="CS28" s="36">
        <v>3403</v>
      </c>
      <c r="CT28" s="36">
        <v>1579.7891932529731</v>
      </c>
      <c r="CU28" s="36">
        <v>-4194.6068859999996</v>
      </c>
      <c r="CV28" s="36">
        <v>2789.7331362170835</v>
      </c>
      <c r="CW28" s="36">
        <v>10510</v>
      </c>
      <c r="CX28" s="36">
        <v>1863.3540372670805</v>
      </c>
      <c r="CY28" s="36">
        <v>48363.279190000001</v>
      </c>
      <c r="CZ28" s="36">
        <v>2946.3160957527498</v>
      </c>
      <c r="DA28" s="36">
        <v>12357</v>
      </c>
      <c r="DB28" s="36">
        <v>127.31826033136385</v>
      </c>
      <c r="DC28" s="36">
        <v>-6327.3979810000001</v>
      </c>
      <c r="DD28" s="36">
        <v>3122.5770426844138</v>
      </c>
      <c r="DE28" s="36">
        <v>12772</v>
      </c>
      <c r="DF28" s="36">
        <v>1932.9838388221463</v>
      </c>
      <c r="DG28" s="36">
        <v>-5520</v>
      </c>
      <c r="DH28" s="36">
        <v>3177.2381187844048</v>
      </c>
      <c r="DI28" s="36">
        <v>16326</v>
      </c>
      <c r="DJ28" s="36">
        <v>1142</v>
      </c>
      <c r="DK28" s="36">
        <v>-4407</v>
      </c>
      <c r="DL28" s="36">
        <v>3374</v>
      </c>
      <c r="DM28" s="36">
        <v>18229</v>
      </c>
      <c r="DN28" s="36">
        <v>1755</v>
      </c>
      <c r="DO28" s="69">
        <v>-6281</v>
      </c>
      <c r="DP28" s="36">
        <v>3632</v>
      </c>
      <c r="DQ28" s="36">
        <v>25046</v>
      </c>
      <c r="DR28" s="36">
        <v>-205</v>
      </c>
      <c r="DS28" s="36">
        <v>-6531</v>
      </c>
      <c r="DT28" s="36">
        <v>3925</v>
      </c>
      <c r="DU28" s="36">
        <v>34903</v>
      </c>
      <c r="DV28" s="36">
        <v>2274</v>
      </c>
      <c r="DW28" s="71">
        <v>-4321</v>
      </c>
      <c r="DX28" s="39">
        <v>4406</v>
      </c>
      <c r="DY28" s="71">
        <v>35009</v>
      </c>
      <c r="DZ28" s="70">
        <v>7541</v>
      </c>
      <c r="EA28" s="35">
        <v>-5411</v>
      </c>
      <c r="EB28" s="35">
        <v>4451</v>
      </c>
      <c r="EC28" s="38">
        <v>37409</v>
      </c>
      <c r="ED28" s="38">
        <v>635</v>
      </c>
      <c r="EE28" s="38">
        <v>-7919</v>
      </c>
      <c r="EF28" s="38">
        <v>4628</v>
      </c>
      <c r="EG28" s="73">
        <v>46916</v>
      </c>
      <c r="EH28" s="73">
        <v>-3005</v>
      </c>
      <c r="EI28" s="73">
        <v>-9460</v>
      </c>
      <c r="EJ28" s="73">
        <v>4571</v>
      </c>
      <c r="EK28" s="73">
        <v>50879</v>
      </c>
      <c r="EL28" s="73">
        <v>63606.487344699468</v>
      </c>
      <c r="EM28" s="73">
        <v>15.809665087382037</v>
      </c>
      <c r="EN28" s="73">
        <v>66484.182766455924</v>
      </c>
      <c r="EO28" s="73">
        <v>9.5867118083061289</v>
      </c>
      <c r="EP28" s="73">
        <v>67833.554500456623</v>
      </c>
      <c r="EQ28" s="73">
        <v>-2709.1711194420195</v>
      </c>
      <c r="ER28" s="73">
        <v>73509.224266826786</v>
      </c>
      <c r="ES28" s="73">
        <v>-662.32405440543039</v>
      </c>
      <c r="ET28" s="73">
        <v>77372</v>
      </c>
      <c r="EU28" s="73">
        <v>-2023</v>
      </c>
      <c r="EV28" s="73">
        <v>81532</v>
      </c>
      <c r="EW28" s="73">
        <v>-1572</v>
      </c>
      <c r="EX28" s="73">
        <v>84709</v>
      </c>
      <c r="EY28" s="73">
        <v>-4565</v>
      </c>
      <c r="EZ28" s="73">
        <v>88118</v>
      </c>
      <c r="FA28" s="73">
        <v>-2027</v>
      </c>
      <c r="FB28" s="73">
        <v>92113</v>
      </c>
      <c r="FC28" s="73">
        <v>13965</v>
      </c>
      <c r="FD28" s="73">
        <v>98043</v>
      </c>
      <c r="FE28" s="73">
        <v>-3911</v>
      </c>
      <c r="FF28" s="73">
        <v>106039</v>
      </c>
      <c r="FG28" s="73">
        <v>3484</v>
      </c>
      <c r="FH28" s="73">
        <v>-3477</v>
      </c>
      <c r="FI28" s="73">
        <v>7</v>
      </c>
      <c r="FJ28" s="79">
        <v>20374</v>
      </c>
      <c r="FK28" s="80">
        <v>67183</v>
      </c>
      <c r="FL28" s="80">
        <v>27279</v>
      </c>
      <c r="FM28" s="80">
        <v>18207</v>
      </c>
      <c r="FN28" s="76">
        <v>6423</v>
      </c>
      <c r="FO28" s="80">
        <v>58514</v>
      </c>
      <c r="FP28" s="80">
        <v>3715</v>
      </c>
      <c r="FQ28" s="80">
        <v>4954</v>
      </c>
      <c r="FR28" s="80">
        <v>10620</v>
      </c>
      <c r="FS28" s="81">
        <v>-4702</v>
      </c>
      <c r="FT28" s="76">
        <v>5373</v>
      </c>
      <c r="FU28" s="76">
        <v>59525</v>
      </c>
      <c r="FV28" s="76">
        <v>4702</v>
      </c>
      <c r="FW28" s="80">
        <v>107025</v>
      </c>
      <c r="FX28" s="80">
        <v>5371</v>
      </c>
      <c r="FY28" s="73">
        <v>20258</v>
      </c>
      <c r="FZ28" s="73">
        <v>68357</v>
      </c>
      <c r="GA28" s="73">
        <v>29427</v>
      </c>
      <c r="GB28" s="73">
        <v>18756</v>
      </c>
      <c r="GC28" s="73">
        <v>2104</v>
      </c>
      <c r="GD28" s="73">
        <v>59225</v>
      </c>
      <c r="GE28" s="73">
        <v>4038</v>
      </c>
      <c r="GF28" s="73">
        <v>5094</v>
      </c>
      <c r="GG28" s="73">
        <v>8251</v>
      </c>
      <c r="GH28" s="73">
        <v>-3430</v>
      </c>
      <c r="GI28" s="73">
        <v>5250</v>
      </c>
      <c r="GJ28" s="73">
        <v>53442</v>
      </c>
      <c r="GK28" s="73">
        <v>3430</v>
      </c>
      <c r="GL28" s="73">
        <v>109288</v>
      </c>
      <c r="GM28" s="73">
        <v>2834</v>
      </c>
      <c r="GN28" s="73">
        <v>8212</v>
      </c>
      <c r="GO28" s="77">
        <v>21</v>
      </c>
      <c r="GP28" s="78">
        <v>20164</v>
      </c>
      <c r="GQ28" s="73">
        <v>69128</v>
      </c>
      <c r="GR28" s="65">
        <v>32633</v>
      </c>
      <c r="GS28" s="65">
        <v>19675</v>
      </c>
      <c r="GT28" s="65">
        <v>0</v>
      </c>
      <c r="GU28" s="65">
        <v>60062</v>
      </c>
      <c r="GV28" s="65">
        <v>3799</v>
      </c>
      <c r="GW28" s="65">
        <v>5267</v>
      </c>
      <c r="GX28" s="65">
        <v>6855</v>
      </c>
      <c r="GY28" s="65">
        <v>-3685</v>
      </c>
      <c r="GZ28" s="65">
        <v>5405</v>
      </c>
      <c r="HA28" s="65">
        <v>47680</v>
      </c>
      <c r="HB28" s="65">
        <v>3685</v>
      </c>
      <c r="HC28" s="65">
        <v>112985</v>
      </c>
      <c r="HD28" s="65">
        <v>1738</v>
      </c>
      <c r="HE28" s="78">
        <v>20051</v>
      </c>
      <c r="HF28" s="73">
        <v>67998</v>
      </c>
      <c r="HG28" s="65">
        <v>34860</v>
      </c>
      <c r="HH28" s="65">
        <v>22613</v>
      </c>
      <c r="HI28" s="65">
        <v>2147</v>
      </c>
      <c r="HJ28" s="65">
        <v>60099</v>
      </c>
      <c r="HK28" s="65">
        <v>2631</v>
      </c>
      <c r="HL28" s="65">
        <v>5268</v>
      </c>
      <c r="HM28" s="65">
        <v>5105</v>
      </c>
      <c r="HN28" s="65">
        <v>-2127</v>
      </c>
      <c r="HO28" s="65">
        <v>4867</v>
      </c>
      <c r="HP28" s="65">
        <v>44702</v>
      </c>
      <c r="HQ28" s="65">
        <v>2127</v>
      </c>
      <c r="HR28" s="65">
        <v>121454</v>
      </c>
      <c r="HS28" s="65">
        <v>521</v>
      </c>
      <c r="HT28" s="65">
        <v>10471</v>
      </c>
      <c r="HU28" s="77">
        <v>20.5</v>
      </c>
      <c r="HV28" s="180">
        <v>140</v>
      </c>
      <c r="HW28" s="30" t="s">
        <v>753</v>
      </c>
    </row>
    <row r="29" spans="1:231" ht="15" x14ac:dyDescent="0.25">
      <c r="A29" s="27">
        <v>90</v>
      </c>
      <c r="B29" s="27" t="s">
        <v>158</v>
      </c>
      <c r="C29" s="27">
        <v>10</v>
      </c>
      <c r="D29" s="27" t="s">
        <v>107</v>
      </c>
      <c r="E29" s="27">
        <v>2</v>
      </c>
      <c r="F29" s="27" t="s">
        <v>744</v>
      </c>
      <c r="G29" s="29" t="s">
        <v>130</v>
      </c>
      <c r="H29" s="27" t="s">
        <v>98</v>
      </c>
      <c r="I29" s="31" t="s">
        <v>107</v>
      </c>
      <c r="J29" s="69">
        <v>4777</v>
      </c>
      <c r="K29" s="36">
        <v>4687</v>
      </c>
      <c r="L29" s="36">
        <v>4578</v>
      </c>
      <c r="M29" s="36">
        <v>4529</v>
      </c>
      <c r="N29" s="36">
        <v>4514</v>
      </c>
      <c r="O29" s="36">
        <v>4451</v>
      </c>
      <c r="P29" s="36">
        <v>4403</v>
      </c>
      <c r="Q29" s="36">
        <v>4311</v>
      </c>
      <c r="R29" s="69">
        <v>4239</v>
      </c>
      <c r="S29" s="69">
        <v>4152</v>
      </c>
      <c r="T29" s="71">
        <v>4065</v>
      </c>
      <c r="U29" s="36">
        <v>10665</v>
      </c>
      <c r="V29" s="36">
        <v>5351</v>
      </c>
      <c r="W29" s="36">
        <v>3417</v>
      </c>
      <c r="X29" s="36">
        <v>551.15183501437161</v>
      </c>
      <c r="Y29" s="36">
        <v>9907</v>
      </c>
      <c r="Z29" s="36">
        <v>5219</v>
      </c>
      <c r="AA29" s="36">
        <v>3690</v>
      </c>
      <c r="AB29" s="36">
        <v>439.47505184392833</v>
      </c>
      <c r="AC29" s="36">
        <v>10892</v>
      </c>
      <c r="AD29" s="36">
        <v>5042</v>
      </c>
      <c r="AE29" s="36">
        <v>3322</v>
      </c>
      <c r="AF29" s="36">
        <v>535.51035785345107</v>
      </c>
      <c r="AG29" s="36">
        <v>10026</v>
      </c>
      <c r="AH29" s="36">
        <v>5650</v>
      </c>
      <c r="AI29" s="36">
        <v>4014</v>
      </c>
      <c r="AJ29" s="36">
        <v>380.10471380301493</v>
      </c>
      <c r="AK29" s="36">
        <v>8960</v>
      </c>
      <c r="AL29" s="36">
        <v>5794</v>
      </c>
      <c r="AM29" s="36">
        <v>3835</v>
      </c>
      <c r="AN29" s="36">
        <v>399</v>
      </c>
      <c r="AO29" s="36">
        <v>8590</v>
      </c>
      <c r="AP29" s="36">
        <v>8774</v>
      </c>
      <c r="AQ29" s="36">
        <v>4498</v>
      </c>
      <c r="AR29" s="36">
        <v>405</v>
      </c>
      <c r="AS29" s="36">
        <v>9272</v>
      </c>
      <c r="AT29" s="36">
        <v>8976</v>
      </c>
      <c r="AU29" s="36">
        <v>3890</v>
      </c>
      <c r="AV29" s="36">
        <v>292</v>
      </c>
      <c r="AW29" s="36">
        <v>9662</v>
      </c>
      <c r="AX29" s="69">
        <v>8931</v>
      </c>
      <c r="AY29" s="36">
        <v>4247</v>
      </c>
      <c r="AZ29" s="36">
        <v>270</v>
      </c>
      <c r="BA29" s="36">
        <v>9916</v>
      </c>
      <c r="BB29" s="36">
        <v>9323</v>
      </c>
      <c r="BC29" s="36">
        <v>4731</v>
      </c>
      <c r="BD29" s="36">
        <v>335</v>
      </c>
      <c r="BE29" s="70">
        <v>10341</v>
      </c>
      <c r="BF29" s="70">
        <v>9738</v>
      </c>
      <c r="BG29" s="70">
        <v>4928</v>
      </c>
      <c r="BH29" s="70">
        <v>303</v>
      </c>
      <c r="BI29" s="36">
        <v>11156</v>
      </c>
      <c r="BJ29" s="36">
        <v>10561</v>
      </c>
      <c r="BK29" s="36">
        <v>4879</v>
      </c>
      <c r="BL29" s="36">
        <v>251</v>
      </c>
      <c r="BM29" s="36">
        <v>5945.4432004144146</v>
      </c>
      <c r="BN29" s="36">
        <v>4394.41414258636</v>
      </c>
      <c r="BO29" s="36">
        <v>325.44363770302385</v>
      </c>
      <c r="BP29" s="36">
        <v>6117.835825037464</v>
      </c>
      <c r="BQ29" s="36">
        <v>3434.733834196978</v>
      </c>
      <c r="BR29" s="36">
        <v>354.03558520148073</v>
      </c>
      <c r="BS29" s="36">
        <v>5955.1981001491813</v>
      </c>
      <c r="BT29" s="36">
        <v>4563.274820753717</v>
      </c>
      <c r="BU29" s="36">
        <v>373.545384671016</v>
      </c>
      <c r="BV29" s="36">
        <v>6575</v>
      </c>
      <c r="BW29" s="36">
        <v>3052</v>
      </c>
      <c r="BX29" s="36">
        <v>399</v>
      </c>
      <c r="BY29" s="36">
        <v>7352</v>
      </c>
      <c r="BZ29" s="36">
        <v>1161</v>
      </c>
      <c r="CA29" s="36">
        <v>447</v>
      </c>
      <c r="CB29" s="36">
        <v>7291</v>
      </c>
      <c r="CC29" s="36">
        <v>830</v>
      </c>
      <c r="CD29" s="36">
        <v>469</v>
      </c>
      <c r="CE29" s="36">
        <v>7522</v>
      </c>
      <c r="CF29" s="36">
        <v>1237</v>
      </c>
      <c r="CG29" s="36">
        <v>513</v>
      </c>
      <c r="CH29" s="36">
        <v>7525</v>
      </c>
      <c r="CI29" s="36">
        <v>1598</v>
      </c>
      <c r="CJ29" s="70">
        <v>539</v>
      </c>
      <c r="CK29" s="70">
        <v>7573</v>
      </c>
      <c r="CL29" s="70">
        <v>1728</v>
      </c>
      <c r="CM29" s="36">
        <v>615</v>
      </c>
      <c r="CN29" s="36">
        <v>7822</v>
      </c>
      <c r="CO29" s="36">
        <v>2073</v>
      </c>
      <c r="CP29" s="36">
        <v>446</v>
      </c>
      <c r="CQ29" s="36">
        <v>8489</v>
      </c>
      <c r="CR29" s="36">
        <v>2089</v>
      </c>
      <c r="CS29" s="36">
        <v>578</v>
      </c>
      <c r="CT29" s="36">
        <v>1917.1741737347641</v>
      </c>
      <c r="CU29" s="36">
        <v>-2426.4472150000001</v>
      </c>
      <c r="CV29" s="36">
        <v>661.48311477312291</v>
      </c>
      <c r="CW29" s="36">
        <v>675</v>
      </c>
      <c r="CX29" s="36">
        <v>1100.6217907641283</v>
      </c>
      <c r="CY29" s="36">
        <v>-1519.914291</v>
      </c>
      <c r="CZ29" s="36">
        <v>861.29037140939795</v>
      </c>
      <c r="DA29" s="36">
        <v>931</v>
      </c>
      <c r="DB29" s="36">
        <v>988.44044381430035</v>
      </c>
      <c r="DC29" s="36">
        <v>-3215.080402</v>
      </c>
      <c r="DD29" s="36">
        <v>868.01788846785826</v>
      </c>
      <c r="DE29" s="36">
        <v>1310</v>
      </c>
      <c r="DF29" s="36">
        <v>-17.827920204920169</v>
      </c>
      <c r="DG29" s="36">
        <v>-2162</v>
      </c>
      <c r="DH29" s="36">
        <v>891.39601024600847</v>
      </c>
      <c r="DI29" s="36">
        <v>1028</v>
      </c>
      <c r="DJ29" s="36">
        <v>-1776</v>
      </c>
      <c r="DK29" s="36">
        <v>-2142</v>
      </c>
      <c r="DL29" s="36">
        <v>965</v>
      </c>
      <c r="DM29" s="36">
        <v>2648</v>
      </c>
      <c r="DN29" s="36">
        <v>247</v>
      </c>
      <c r="DO29" s="69">
        <v>-1559</v>
      </c>
      <c r="DP29" s="36">
        <v>924</v>
      </c>
      <c r="DQ29" s="36">
        <v>3210</v>
      </c>
      <c r="DR29" s="36">
        <v>1039</v>
      </c>
      <c r="DS29" s="36">
        <v>-965</v>
      </c>
      <c r="DT29" s="36">
        <v>1062</v>
      </c>
      <c r="DU29" s="36">
        <v>2790</v>
      </c>
      <c r="DV29" s="36">
        <v>841</v>
      </c>
      <c r="DW29" s="71">
        <v>-1089</v>
      </c>
      <c r="DX29" s="39">
        <v>1068</v>
      </c>
      <c r="DY29" s="71">
        <v>2922</v>
      </c>
      <c r="DZ29" s="70">
        <v>1197</v>
      </c>
      <c r="EA29" s="35">
        <v>-641</v>
      </c>
      <c r="EB29" s="35">
        <v>997</v>
      </c>
      <c r="EC29" s="38">
        <v>1956</v>
      </c>
      <c r="ED29" s="38">
        <v>1319</v>
      </c>
      <c r="EE29" s="38">
        <v>-1127</v>
      </c>
      <c r="EF29" s="38">
        <v>985</v>
      </c>
      <c r="EG29" s="73">
        <v>1788</v>
      </c>
      <c r="EH29" s="73">
        <v>654</v>
      </c>
      <c r="EI29" s="73">
        <v>-1803</v>
      </c>
      <c r="EJ29" s="73">
        <v>1006</v>
      </c>
      <c r="EK29" s="73">
        <v>2927</v>
      </c>
      <c r="EL29" s="73">
        <v>17308.051324227639</v>
      </c>
      <c r="EM29" s="73">
        <v>1255.6910589616414</v>
      </c>
      <c r="EN29" s="73">
        <v>17295.773605595947</v>
      </c>
      <c r="EO29" s="73">
        <v>52.47463305599144</v>
      </c>
      <c r="EP29" s="73">
        <v>17989.044238470298</v>
      </c>
      <c r="EQ29" s="73">
        <v>64.415975834758726</v>
      </c>
      <c r="ER29" s="73">
        <v>19241.87610268209</v>
      </c>
      <c r="ES29" s="73">
        <v>-676.11546437527431</v>
      </c>
      <c r="ET29" s="73">
        <v>20691</v>
      </c>
      <c r="EU29" s="73">
        <v>-2597</v>
      </c>
      <c r="EV29" s="73">
        <v>21925</v>
      </c>
      <c r="EW29" s="73">
        <v>-541</v>
      </c>
      <c r="EX29" s="73">
        <v>21262</v>
      </c>
      <c r="EY29" s="73">
        <v>195</v>
      </c>
      <c r="EZ29" s="73">
        <v>22136</v>
      </c>
      <c r="FA29" s="73">
        <v>-29</v>
      </c>
      <c r="FB29" s="73">
        <v>23049</v>
      </c>
      <c r="FC29" s="73">
        <v>334</v>
      </c>
      <c r="FD29" s="73">
        <v>23868</v>
      </c>
      <c r="FE29" s="73">
        <v>455</v>
      </c>
      <c r="FF29" s="73">
        <v>26144</v>
      </c>
      <c r="FG29" s="73">
        <v>-242</v>
      </c>
      <c r="FH29" s="73">
        <v>3766</v>
      </c>
      <c r="FI29" s="73">
        <v>3524</v>
      </c>
      <c r="FJ29" s="79">
        <v>3975</v>
      </c>
      <c r="FK29" s="80">
        <v>10885</v>
      </c>
      <c r="FL29" s="80">
        <v>10959</v>
      </c>
      <c r="FM29" s="80">
        <v>4580</v>
      </c>
      <c r="FN29" s="76">
        <v>272</v>
      </c>
      <c r="FO29" s="80">
        <v>8624</v>
      </c>
      <c r="FP29" s="80">
        <v>1632</v>
      </c>
      <c r="FQ29" s="80">
        <v>629</v>
      </c>
      <c r="FR29" s="80">
        <v>1044</v>
      </c>
      <c r="FS29" s="81">
        <v>-985</v>
      </c>
      <c r="FT29" s="76">
        <v>986</v>
      </c>
      <c r="FU29" s="76">
        <v>2697</v>
      </c>
      <c r="FV29" s="76">
        <v>985</v>
      </c>
      <c r="FW29" s="80">
        <v>25624</v>
      </c>
      <c r="FX29" s="80">
        <v>143</v>
      </c>
      <c r="FY29" s="73">
        <v>3912</v>
      </c>
      <c r="FZ29" s="73">
        <v>10854</v>
      </c>
      <c r="GA29" s="73">
        <v>11652</v>
      </c>
      <c r="GB29" s="73">
        <v>5034</v>
      </c>
      <c r="GC29" s="73">
        <v>255</v>
      </c>
      <c r="GD29" s="73">
        <v>8083</v>
      </c>
      <c r="GE29" s="73">
        <v>2087</v>
      </c>
      <c r="GF29" s="73">
        <v>684</v>
      </c>
      <c r="GG29" s="73">
        <v>2393</v>
      </c>
      <c r="GH29" s="73">
        <v>-2183</v>
      </c>
      <c r="GI29" s="73">
        <v>905</v>
      </c>
      <c r="GJ29" s="73">
        <v>3168</v>
      </c>
      <c r="GK29" s="73">
        <v>2183</v>
      </c>
      <c r="GL29" s="73">
        <v>25401</v>
      </c>
      <c r="GM29" s="73">
        <v>1570</v>
      </c>
      <c r="GN29" s="73">
        <v>5238</v>
      </c>
      <c r="GO29" s="77">
        <v>20.5</v>
      </c>
      <c r="GP29" s="78">
        <v>3827</v>
      </c>
      <c r="GQ29" s="73">
        <v>10933</v>
      </c>
      <c r="GR29" s="65">
        <v>11850</v>
      </c>
      <c r="GS29" s="65">
        <v>4869</v>
      </c>
      <c r="GT29" s="65">
        <v>260</v>
      </c>
      <c r="GU29" s="65">
        <v>8150</v>
      </c>
      <c r="GV29" s="65">
        <v>2088</v>
      </c>
      <c r="GW29" s="65">
        <v>695</v>
      </c>
      <c r="GX29" s="65">
        <v>830</v>
      </c>
      <c r="GY29" s="65">
        <v>-4482</v>
      </c>
      <c r="GZ29" s="65">
        <v>971</v>
      </c>
      <c r="HA29" s="65">
        <v>7440</v>
      </c>
      <c r="HB29" s="65">
        <v>4482</v>
      </c>
      <c r="HC29" s="65">
        <v>27062</v>
      </c>
      <c r="HD29" s="65">
        <v>-53</v>
      </c>
      <c r="HE29" s="78">
        <v>3742</v>
      </c>
      <c r="HF29" s="73">
        <v>10615</v>
      </c>
      <c r="HG29" s="65">
        <v>12137</v>
      </c>
      <c r="HH29" s="65">
        <v>5343</v>
      </c>
      <c r="HI29" s="65">
        <v>295</v>
      </c>
      <c r="HJ29" s="65">
        <v>8639</v>
      </c>
      <c r="HK29" s="65">
        <v>1263</v>
      </c>
      <c r="HL29" s="65">
        <v>713</v>
      </c>
      <c r="HM29" s="65">
        <v>-203</v>
      </c>
      <c r="HN29" s="65">
        <v>-2631</v>
      </c>
      <c r="HO29" s="65">
        <v>1267</v>
      </c>
      <c r="HP29" s="65">
        <v>11976</v>
      </c>
      <c r="HQ29" s="65">
        <v>2631</v>
      </c>
      <c r="HR29" s="65">
        <v>28562</v>
      </c>
      <c r="HS29" s="65">
        <v>-1371</v>
      </c>
      <c r="HT29" s="65">
        <v>2314</v>
      </c>
      <c r="HU29" s="77">
        <v>20.5</v>
      </c>
      <c r="HV29" s="180">
        <v>340</v>
      </c>
      <c r="HW29" s="30" t="s">
        <v>761</v>
      </c>
    </row>
    <row r="30" spans="1:231" ht="15" x14ac:dyDescent="0.25">
      <c r="A30" s="27">
        <v>91</v>
      </c>
      <c r="B30" s="27" t="s">
        <v>159</v>
      </c>
      <c r="C30" s="27">
        <v>1</v>
      </c>
      <c r="D30" s="27" t="s">
        <v>121</v>
      </c>
      <c r="E30" s="27">
        <v>7</v>
      </c>
      <c r="F30" s="27" t="s">
        <v>104</v>
      </c>
      <c r="G30" s="29" t="s">
        <v>141</v>
      </c>
      <c r="H30" s="27" t="s">
        <v>97</v>
      </c>
      <c r="I30" s="31" t="s">
        <v>121</v>
      </c>
      <c r="J30" s="69">
        <v>546317</v>
      </c>
      <c r="K30" s="69">
        <v>551123</v>
      </c>
      <c r="L30" s="36">
        <v>555474</v>
      </c>
      <c r="M30" s="36">
        <v>559718</v>
      </c>
      <c r="N30" s="36">
        <v>559716</v>
      </c>
      <c r="O30" s="36">
        <v>559330</v>
      </c>
      <c r="P30" s="36">
        <v>559046</v>
      </c>
      <c r="Q30" s="36">
        <v>560905</v>
      </c>
      <c r="R30" s="69">
        <v>564521</v>
      </c>
      <c r="S30" s="69">
        <v>568531</v>
      </c>
      <c r="T30" s="71">
        <v>574564</v>
      </c>
      <c r="U30" s="36">
        <v>1850028</v>
      </c>
      <c r="V30" s="36">
        <v>52920</v>
      </c>
      <c r="W30" s="36">
        <v>1076133</v>
      </c>
      <c r="X30" s="36">
        <v>64547.498793251623</v>
      </c>
      <c r="Y30" s="36">
        <v>1838653</v>
      </c>
      <c r="Z30" s="36">
        <v>15042</v>
      </c>
      <c r="AA30" s="36">
        <v>1101924</v>
      </c>
      <c r="AB30" s="36">
        <v>57590.573403097682</v>
      </c>
      <c r="AC30" s="36">
        <v>2163130</v>
      </c>
      <c r="AD30" s="36">
        <v>-12734</v>
      </c>
      <c r="AE30" s="36">
        <v>1136190</v>
      </c>
      <c r="AF30" s="36">
        <v>61928.140026540052</v>
      </c>
      <c r="AG30" s="36">
        <v>2279329</v>
      </c>
      <c r="AH30" s="36">
        <v>-51951</v>
      </c>
      <c r="AI30" s="36">
        <v>1204248</v>
      </c>
      <c r="AJ30" s="36">
        <v>79379.487464112899</v>
      </c>
      <c r="AK30" s="36">
        <v>1990531</v>
      </c>
      <c r="AL30" s="36">
        <v>-118588</v>
      </c>
      <c r="AM30" s="36">
        <v>1307536</v>
      </c>
      <c r="AN30" s="36">
        <v>56366</v>
      </c>
      <c r="AO30" s="36">
        <v>1984394</v>
      </c>
      <c r="AP30" s="36">
        <v>7756</v>
      </c>
      <c r="AQ30" s="36">
        <v>1402553</v>
      </c>
      <c r="AR30" s="36">
        <v>172109</v>
      </c>
      <c r="AS30" s="36">
        <v>1927809</v>
      </c>
      <c r="AT30" s="36">
        <v>68022</v>
      </c>
      <c r="AU30" s="36">
        <v>1421970</v>
      </c>
      <c r="AV30" s="36">
        <v>165219</v>
      </c>
      <c r="AW30" s="36">
        <v>1982931</v>
      </c>
      <c r="AX30" s="69">
        <v>132598</v>
      </c>
      <c r="AY30" s="36">
        <v>1287765</v>
      </c>
      <c r="AZ30" s="36">
        <v>141156</v>
      </c>
      <c r="BA30" s="36">
        <v>2093709</v>
      </c>
      <c r="BB30" s="36">
        <v>173958</v>
      </c>
      <c r="BC30" s="36">
        <v>1586224</v>
      </c>
      <c r="BD30" s="36">
        <v>277830</v>
      </c>
      <c r="BE30" s="70">
        <v>2262334</v>
      </c>
      <c r="BF30" s="70">
        <v>181474</v>
      </c>
      <c r="BG30" s="70">
        <v>1580179</v>
      </c>
      <c r="BH30" s="70">
        <v>211756</v>
      </c>
      <c r="BI30" s="36">
        <v>2412743</v>
      </c>
      <c r="BJ30" s="36">
        <v>179826</v>
      </c>
      <c r="BK30" s="36">
        <v>1717802</v>
      </c>
      <c r="BL30" s="36">
        <v>112577</v>
      </c>
      <c r="BM30" s="36">
        <v>1163350.5053206249</v>
      </c>
      <c r="BN30" s="36">
        <v>593612.72711677116</v>
      </c>
      <c r="BO30" s="36">
        <v>92120.563833204666</v>
      </c>
      <c r="BP30" s="36">
        <v>1205085.6665203432</v>
      </c>
      <c r="BQ30" s="36">
        <v>538198.33729415899</v>
      </c>
      <c r="BR30" s="36">
        <v>94428.606748035978</v>
      </c>
      <c r="BS30" s="36">
        <v>1347214.3874679811</v>
      </c>
      <c r="BT30" s="36">
        <v>712874.7857706286</v>
      </c>
      <c r="BU30" s="36">
        <v>102136.3230419141</v>
      </c>
      <c r="BV30" s="36">
        <v>1498093</v>
      </c>
      <c r="BW30" s="36">
        <v>671648</v>
      </c>
      <c r="BX30" s="36">
        <v>108735</v>
      </c>
      <c r="BY30" s="36">
        <v>1600528</v>
      </c>
      <c r="BZ30" s="36">
        <v>277003</v>
      </c>
      <c r="CA30" s="36">
        <v>112171</v>
      </c>
      <c r="CB30" s="36">
        <v>1642981</v>
      </c>
      <c r="CC30" s="36">
        <v>226752</v>
      </c>
      <c r="CD30" s="36">
        <v>113859</v>
      </c>
      <c r="CE30" s="36">
        <v>1600484</v>
      </c>
      <c r="CF30" s="36">
        <v>211328</v>
      </c>
      <c r="CG30" s="36">
        <v>115227</v>
      </c>
      <c r="CH30" s="36">
        <v>1646157</v>
      </c>
      <c r="CI30" s="36">
        <v>216178</v>
      </c>
      <c r="CJ30" s="70">
        <v>119854</v>
      </c>
      <c r="CK30" s="70">
        <v>1747909</v>
      </c>
      <c r="CL30" s="70">
        <v>222672</v>
      </c>
      <c r="CM30" s="36">
        <v>122412</v>
      </c>
      <c r="CN30" s="36">
        <v>1861375</v>
      </c>
      <c r="CO30" s="36">
        <v>261898</v>
      </c>
      <c r="CP30" s="36">
        <v>138396</v>
      </c>
      <c r="CQ30" s="36">
        <v>1975053</v>
      </c>
      <c r="CR30" s="36">
        <v>288092</v>
      </c>
      <c r="CS30" s="36">
        <v>148963</v>
      </c>
      <c r="CT30" s="36">
        <v>446000.91157856141</v>
      </c>
      <c r="CU30" s="36">
        <v>-503159.74660000001</v>
      </c>
      <c r="CV30" s="36">
        <v>221302.51457768853</v>
      </c>
      <c r="CW30" s="36">
        <v>430864</v>
      </c>
      <c r="CX30" s="36">
        <v>350713.87365386588</v>
      </c>
      <c r="CY30" s="36">
        <v>-312797.41930000001</v>
      </c>
      <c r="CZ30" s="36">
        <v>244623.45246084162</v>
      </c>
      <c r="DA30" s="36">
        <v>334989</v>
      </c>
      <c r="DB30" s="36">
        <v>506016.92306916055</v>
      </c>
      <c r="DC30" s="36">
        <v>-407626.31329999998</v>
      </c>
      <c r="DD30" s="36">
        <v>258869.97895969037</v>
      </c>
      <c r="DE30" s="36">
        <v>224554</v>
      </c>
      <c r="DF30" s="36">
        <v>412943.23825669847</v>
      </c>
      <c r="DG30" s="36">
        <v>-494784</v>
      </c>
      <c r="DH30" s="36">
        <v>251563.55905834946</v>
      </c>
      <c r="DI30" s="36">
        <v>203737</v>
      </c>
      <c r="DJ30" s="36">
        <v>98658</v>
      </c>
      <c r="DK30" s="36">
        <v>-449247</v>
      </c>
      <c r="DL30" s="36">
        <v>286844</v>
      </c>
      <c r="DM30" s="36">
        <v>540213</v>
      </c>
      <c r="DN30" s="36">
        <v>338100</v>
      </c>
      <c r="DO30" s="69">
        <v>-344829</v>
      </c>
      <c r="DP30" s="36">
        <v>294701</v>
      </c>
      <c r="DQ30" s="36">
        <v>682907</v>
      </c>
      <c r="DR30" s="36">
        <v>380924</v>
      </c>
      <c r="DS30" s="36">
        <v>-371274</v>
      </c>
      <c r="DT30" s="36">
        <v>305661</v>
      </c>
      <c r="DU30" s="36">
        <v>796311</v>
      </c>
      <c r="DV30" s="36">
        <v>329306</v>
      </c>
      <c r="DW30" s="71">
        <v>-305547</v>
      </c>
      <c r="DX30" s="39">
        <v>297209</v>
      </c>
      <c r="DY30" s="71">
        <v>739409</v>
      </c>
      <c r="DZ30" s="70">
        <v>470697</v>
      </c>
      <c r="EA30" s="35">
        <v>-52943</v>
      </c>
      <c r="EB30" s="35">
        <v>296346</v>
      </c>
      <c r="EC30" s="38">
        <v>680449</v>
      </c>
      <c r="ED30" s="38">
        <v>544754</v>
      </c>
      <c r="EE30" s="38">
        <v>-515130</v>
      </c>
      <c r="EF30" s="38">
        <v>294247</v>
      </c>
      <c r="EG30" s="73">
        <v>717668</v>
      </c>
      <c r="EH30" s="73">
        <v>539753</v>
      </c>
      <c r="EI30" s="73">
        <v>-630686</v>
      </c>
      <c r="EJ30" s="73">
        <v>297704</v>
      </c>
      <c r="EK30" s="73">
        <v>658826</v>
      </c>
      <c r="EL30" s="73">
        <v>2437766.5988869322</v>
      </c>
      <c r="EM30" s="73">
        <v>59274.807298683256</v>
      </c>
      <c r="EN30" s="73">
        <v>2532177.3777147634</v>
      </c>
      <c r="EO30" s="73">
        <v>104635.09106535278</v>
      </c>
      <c r="EP30" s="73">
        <v>2729209.1971885706</v>
      </c>
      <c r="EQ30" s="73">
        <v>149490.30648885839</v>
      </c>
      <c r="ER30" s="73">
        <v>2978503.3965551746</v>
      </c>
      <c r="ES30" s="73">
        <v>35247.48012439179</v>
      </c>
      <c r="ET30" s="73">
        <v>3104152</v>
      </c>
      <c r="EU30" s="73">
        <v>-153941</v>
      </c>
      <c r="EV30" s="73">
        <v>3085956</v>
      </c>
      <c r="EW30" s="73">
        <v>101451</v>
      </c>
      <c r="EX30" s="73">
        <v>3067326</v>
      </c>
      <c r="EY30" s="73">
        <v>175322</v>
      </c>
      <c r="EZ30" s="73">
        <v>3198446</v>
      </c>
      <c r="FA30" s="73">
        <v>124141</v>
      </c>
      <c r="FB30" s="73">
        <v>3418405</v>
      </c>
      <c r="FC30" s="73">
        <v>287664</v>
      </c>
      <c r="FD30" s="73">
        <v>3538332</v>
      </c>
      <c r="FE30" s="73">
        <v>257795</v>
      </c>
      <c r="FF30" s="73">
        <v>3834509</v>
      </c>
      <c r="FG30" s="73">
        <v>292309</v>
      </c>
      <c r="FH30" s="73">
        <v>1299571</v>
      </c>
      <c r="FI30" s="73">
        <v>1591595</v>
      </c>
      <c r="FJ30" s="79">
        <v>583350</v>
      </c>
      <c r="FK30" s="80">
        <v>2403574</v>
      </c>
      <c r="FL30" s="80">
        <v>160926</v>
      </c>
      <c r="FM30" s="80">
        <v>1771182</v>
      </c>
      <c r="FN30" s="76">
        <v>78041</v>
      </c>
      <c r="FO30" s="80">
        <v>2028024</v>
      </c>
      <c r="FP30" s="80">
        <v>219295</v>
      </c>
      <c r="FQ30" s="80">
        <v>155679</v>
      </c>
      <c r="FR30" s="80">
        <v>315306</v>
      </c>
      <c r="FS30" s="81">
        <v>-574996</v>
      </c>
      <c r="FT30" s="76">
        <v>333520</v>
      </c>
      <c r="FU30" s="76">
        <v>890107</v>
      </c>
      <c r="FV30" s="76">
        <v>574996</v>
      </c>
      <c r="FW30" s="80">
        <v>4063896</v>
      </c>
      <c r="FX30" s="80">
        <v>22129</v>
      </c>
      <c r="FY30" s="73">
        <v>588549</v>
      </c>
      <c r="FZ30" s="73">
        <v>2506468</v>
      </c>
      <c r="GA30" s="73">
        <v>250053</v>
      </c>
      <c r="GB30" s="73">
        <v>1780680</v>
      </c>
      <c r="GC30" s="73">
        <v>663735</v>
      </c>
      <c r="GD30" s="73">
        <v>2064235</v>
      </c>
      <c r="GE30" s="73">
        <v>257147</v>
      </c>
      <c r="GF30" s="73">
        <v>184548</v>
      </c>
      <c r="GG30" s="73">
        <v>388031</v>
      </c>
      <c r="GH30" s="73">
        <v>183397</v>
      </c>
      <c r="GI30" s="73">
        <v>338728</v>
      </c>
      <c r="GJ30" s="73">
        <v>1170785</v>
      </c>
      <c r="GK30" s="73">
        <v>-183397</v>
      </c>
      <c r="GL30" s="73">
        <v>4214233</v>
      </c>
      <c r="GM30" s="73">
        <v>694642</v>
      </c>
      <c r="GN30" s="73">
        <v>2308112</v>
      </c>
      <c r="GO30" s="77">
        <v>17.5</v>
      </c>
      <c r="GP30" s="78">
        <v>595384</v>
      </c>
      <c r="GQ30" s="73">
        <v>2739985</v>
      </c>
      <c r="GR30" s="65">
        <v>259795</v>
      </c>
      <c r="GS30" s="65">
        <v>1852258</v>
      </c>
      <c r="GT30" s="65">
        <v>111243</v>
      </c>
      <c r="GU30" s="65">
        <v>2218061</v>
      </c>
      <c r="GV30" s="65">
        <v>334903</v>
      </c>
      <c r="GW30" s="65">
        <v>186509</v>
      </c>
      <c r="GX30" s="65">
        <v>574323</v>
      </c>
      <c r="GY30" s="65">
        <v>-623122</v>
      </c>
      <c r="GZ30" s="65">
        <v>361812</v>
      </c>
      <c r="HA30" s="65">
        <v>1285848</v>
      </c>
      <c r="HB30" s="65">
        <v>623122</v>
      </c>
      <c r="HC30" s="65">
        <v>4346466</v>
      </c>
      <c r="HD30" s="65">
        <v>280236</v>
      </c>
      <c r="HE30" s="78">
        <v>603968</v>
      </c>
      <c r="HF30" s="73">
        <v>2759030</v>
      </c>
      <c r="HG30" s="65">
        <v>297258</v>
      </c>
      <c r="HH30" s="65">
        <v>1878884</v>
      </c>
      <c r="HI30" s="65">
        <v>172186</v>
      </c>
      <c r="HJ30" s="65">
        <v>2306394</v>
      </c>
      <c r="HK30" s="65">
        <v>263398</v>
      </c>
      <c r="HL30" s="65">
        <v>188746</v>
      </c>
      <c r="HM30" s="65">
        <v>439136</v>
      </c>
      <c r="HN30" s="65">
        <v>-519084</v>
      </c>
      <c r="HO30" s="65">
        <v>396529</v>
      </c>
      <c r="HP30" s="65">
        <v>1208652</v>
      </c>
      <c r="HQ30" s="65">
        <v>519084</v>
      </c>
      <c r="HR30" s="65">
        <v>4564027</v>
      </c>
      <c r="HS30" s="65">
        <v>138861</v>
      </c>
      <c r="HT30" s="65">
        <v>2724095</v>
      </c>
      <c r="HU30" s="77">
        <v>18.5</v>
      </c>
      <c r="HV30" s="180">
        <v>110</v>
      </c>
      <c r="HW30" s="30" t="s">
        <v>750</v>
      </c>
    </row>
    <row r="31" spans="1:231" ht="15" x14ac:dyDescent="0.25">
      <c r="A31" s="27">
        <v>97</v>
      </c>
      <c r="B31" s="27" t="s">
        <v>160</v>
      </c>
      <c r="C31" s="27">
        <v>10</v>
      </c>
      <c r="D31" s="27" t="s">
        <v>107</v>
      </c>
      <c r="E31" s="27">
        <v>2</v>
      </c>
      <c r="F31" s="27" t="s">
        <v>744</v>
      </c>
      <c r="G31" s="29" t="s">
        <v>130</v>
      </c>
      <c r="H31" s="27" t="s">
        <v>98</v>
      </c>
      <c r="I31" s="31" t="s">
        <v>107</v>
      </c>
      <c r="J31" s="69">
        <v>2673</v>
      </c>
      <c r="K31" s="69">
        <v>2683</v>
      </c>
      <c r="L31" s="36">
        <v>2666</v>
      </c>
      <c r="M31" s="36">
        <v>2644</v>
      </c>
      <c r="N31" s="36">
        <v>2613</v>
      </c>
      <c r="O31" s="36">
        <v>2610</v>
      </c>
      <c r="P31" s="36">
        <v>2579</v>
      </c>
      <c r="Q31" s="36">
        <v>2579</v>
      </c>
      <c r="R31" s="69">
        <v>2569</v>
      </c>
      <c r="S31" s="69">
        <v>2515</v>
      </c>
      <c r="T31" s="71">
        <v>2489</v>
      </c>
      <c r="U31" s="36">
        <v>4796</v>
      </c>
      <c r="V31" s="36">
        <v>2924</v>
      </c>
      <c r="W31" s="36">
        <v>1445</v>
      </c>
      <c r="X31" s="36">
        <v>214.10323038550354</v>
      </c>
      <c r="Y31" s="36">
        <v>5023</v>
      </c>
      <c r="Z31" s="36">
        <v>2613</v>
      </c>
      <c r="AA31" s="36">
        <v>1536</v>
      </c>
      <c r="AB31" s="36">
        <v>303.07464348364289</v>
      </c>
      <c r="AC31" s="36">
        <v>5284</v>
      </c>
      <c r="AD31" s="36">
        <v>2511</v>
      </c>
      <c r="AE31" s="36">
        <v>1705</v>
      </c>
      <c r="AF31" s="36">
        <v>254.97289651565072</v>
      </c>
      <c r="AG31" s="36">
        <v>5221</v>
      </c>
      <c r="AH31" s="36">
        <v>3141</v>
      </c>
      <c r="AI31" s="36">
        <v>1629</v>
      </c>
      <c r="AJ31" s="36">
        <v>283.73303194056911</v>
      </c>
      <c r="AK31" s="36">
        <v>4833</v>
      </c>
      <c r="AL31" s="36">
        <v>3618</v>
      </c>
      <c r="AM31" s="36">
        <v>1723</v>
      </c>
      <c r="AN31" s="36">
        <v>290</v>
      </c>
      <c r="AO31" s="36">
        <v>4719</v>
      </c>
      <c r="AP31" s="36">
        <v>4778</v>
      </c>
      <c r="AQ31" s="36">
        <v>1468</v>
      </c>
      <c r="AR31" s="36">
        <v>163</v>
      </c>
      <c r="AS31" s="36">
        <v>5182</v>
      </c>
      <c r="AT31" s="36">
        <v>4573</v>
      </c>
      <c r="AU31" s="36">
        <v>1675</v>
      </c>
      <c r="AV31" s="36">
        <v>193</v>
      </c>
      <c r="AW31" s="36">
        <v>5429</v>
      </c>
      <c r="AX31" s="69">
        <v>4758</v>
      </c>
      <c r="AY31" s="36">
        <v>1385</v>
      </c>
      <c r="AZ31" s="36">
        <v>202</v>
      </c>
      <c r="BA31" s="36">
        <v>5768</v>
      </c>
      <c r="BB31" s="36">
        <v>4979</v>
      </c>
      <c r="BC31" s="36">
        <v>1777</v>
      </c>
      <c r="BD31" s="36">
        <v>192</v>
      </c>
      <c r="BE31" s="70">
        <v>6022</v>
      </c>
      <c r="BF31" s="70">
        <v>5031</v>
      </c>
      <c r="BG31" s="70">
        <v>1999</v>
      </c>
      <c r="BH31" s="70">
        <v>262</v>
      </c>
      <c r="BI31" s="36">
        <v>6355</v>
      </c>
      <c r="BJ31" s="36">
        <v>5658</v>
      </c>
      <c r="BK31" s="36">
        <v>1970</v>
      </c>
      <c r="BL31" s="36">
        <v>113</v>
      </c>
      <c r="BM31" s="36">
        <v>2943.625088929366</v>
      </c>
      <c r="BN31" s="36">
        <v>1384.0184468517743</v>
      </c>
      <c r="BO31" s="36">
        <v>468.40337519530823</v>
      </c>
      <c r="BP31" s="36">
        <v>3037.8103277478122</v>
      </c>
      <c r="BQ31" s="36">
        <v>1518.9051638739061</v>
      </c>
      <c r="BR31" s="36">
        <v>466.38512007777007</v>
      </c>
      <c r="BS31" s="36">
        <v>2867.9405220216859</v>
      </c>
      <c r="BT31" s="36">
        <v>1925.0790062784554</v>
      </c>
      <c r="BU31" s="36">
        <v>490.77236941468919</v>
      </c>
      <c r="BV31" s="36">
        <v>3365</v>
      </c>
      <c r="BW31" s="36">
        <v>1332</v>
      </c>
      <c r="BX31" s="36">
        <v>524</v>
      </c>
      <c r="BY31" s="36">
        <v>3707</v>
      </c>
      <c r="BZ31" s="36">
        <v>561</v>
      </c>
      <c r="CA31" s="36">
        <v>565</v>
      </c>
      <c r="CB31" s="36">
        <v>3794</v>
      </c>
      <c r="CC31" s="36">
        <v>305</v>
      </c>
      <c r="CD31" s="36">
        <v>620</v>
      </c>
      <c r="CE31" s="36">
        <v>4100</v>
      </c>
      <c r="CF31" s="36">
        <v>456</v>
      </c>
      <c r="CG31" s="36">
        <v>626</v>
      </c>
      <c r="CH31" s="36">
        <v>4121</v>
      </c>
      <c r="CI31" s="36">
        <v>637</v>
      </c>
      <c r="CJ31" s="70">
        <v>671</v>
      </c>
      <c r="CK31" s="70">
        <v>4312</v>
      </c>
      <c r="CL31" s="70">
        <v>769</v>
      </c>
      <c r="CM31" s="36">
        <v>687</v>
      </c>
      <c r="CN31" s="36">
        <v>4441</v>
      </c>
      <c r="CO31" s="36">
        <v>869</v>
      </c>
      <c r="CP31" s="36">
        <v>712</v>
      </c>
      <c r="CQ31" s="36">
        <v>4758</v>
      </c>
      <c r="CR31" s="36">
        <v>790</v>
      </c>
      <c r="CS31" s="36">
        <v>807</v>
      </c>
      <c r="CT31" s="36">
        <v>501.87277256114891</v>
      </c>
      <c r="CU31" s="36">
        <v>-474.96270429999998</v>
      </c>
      <c r="CV31" s="36">
        <v>410.21035263962534</v>
      </c>
      <c r="CW31" s="36">
        <v>136</v>
      </c>
      <c r="CX31" s="36">
        <v>437.79317257931319</v>
      </c>
      <c r="CY31" s="36">
        <v>-623.97720719999995</v>
      </c>
      <c r="CZ31" s="36">
        <v>425.51545394762292</v>
      </c>
      <c r="DA31" s="36">
        <v>102</v>
      </c>
      <c r="DB31" s="36">
        <v>-52.13825720306842</v>
      </c>
      <c r="DC31" s="36">
        <v>-869.69976769999994</v>
      </c>
      <c r="DD31" s="36">
        <v>440.65236732915889</v>
      </c>
      <c r="DE31" s="36">
        <v>72</v>
      </c>
      <c r="DF31" s="36">
        <v>-337.88954426117567</v>
      </c>
      <c r="DG31" s="36">
        <v>-1533</v>
      </c>
      <c r="DH31" s="36">
        <v>497.49988647314973</v>
      </c>
      <c r="DI31" s="36">
        <v>1235</v>
      </c>
      <c r="DJ31" s="36">
        <v>-158</v>
      </c>
      <c r="DK31" s="36">
        <v>-478</v>
      </c>
      <c r="DL31" s="36">
        <v>504</v>
      </c>
      <c r="DM31" s="36">
        <v>1774</v>
      </c>
      <c r="DN31" s="36">
        <v>611</v>
      </c>
      <c r="DO31" s="69">
        <v>-169</v>
      </c>
      <c r="DP31" s="36">
        <v>543</v>
      </c>
      <c r="DQ31" s="36">
        <v>1667</v>
      </c>
      <c r="DR31" s="36">
        <v>931</v>
      </c>
      <c r="DS31" s="36">
        <v>-202</v>
      </c>
      <c r="DT31" s="36">
        <v>488</v>
      </c>
      <c r="DU31" s="36">
        <v>1463</v>
      </c>
      <c r="DV31" s="36">
        <v>511</v>
      </c>
      <c r="DW31" s="71">
        <v>-567</v>
      </c>
      <c r="DX31" s="39">
        <v>479</v>
      </c>
      <c r="DY31" s="71">
        <v>1257</v>
      </c>
      <c r="DZ31" s="70">
        <v>598</v>
      </c>
      <c r="EA31" s="35">
        <v>-152</v>
      </c>
      <c r="EB31" s="35">
        <v>493</v>
      </c>
      <c r="EC31" s="38">
        <v>1059</v>
      </c>
      <c r="ED31" s="38">
        <v>436</v>
      </c>
      <c r="EE31" s="38">
        <v>-578</v>
      </c>
      <c r="EF31" s="38">
        <v>508</v>
      </c>
      <c r="EG31" s="73">
        <v>1111</v>
      </c>
      <c r="EH31" s="73">
        <v>942</v>
      </c>
      <c r="EI31" s="73">
        <v>-1736</v>
      </c>
      <c r="EJ31" s="73">
        <v>550</v>
      </c>
      <c r="EK31" s="73">
        <v>1290</v>
      </c>
      <c r="EL31" s="73">
        <v>8454.8070632201598</v>
      </c>
      <c r="EM31" s="73">
        <v>9.7548997347676405</v>
      </c>
      <c r="EN31" s="73">
        <v>8627.5360636961304</v>
      </c>
      <c r="EO31" s="73">
        <v>6.55932913199893</v>
      </c>
      <c r="EP31" s="73">
        <v>9259.2499154855668</v>
      </c>
      <c r="EQ31" s="73">
        <v>1.3455034116920883</v>
      </c>
      <c r="ER31" s="73">
        <v>9962.780011874067</v>
      </c>
      <c r="ES31" s="73">
        <v>-396.41894266978147</v>
      </c>
      <c r="ET31" s="73">
        <v>10390</v>
      </c>
      <c r="EU31" s="73">
        <v>-236</v>
      </c>
      <c r="EV31" s="73">
        <v>10470</v>
      </c>
      <c r="EW31" s="73">
        <v>68</v>
      </c>
      <c r="EX31" s="73">
        <v>10656</v>
      </c>
      <c r="EY31" s="73">
        <v>443</v>
      </c>
      <c r="EZ31" s="73">
        <v>11232</v>
      </c>
      <c r="FA31" s="73">
        <v>100</v>
      </c>
      <c r="FB31" s="73">
        <v>12118</v>
      </c>
      <c r="FC31" s="73">
        <v>105</v>
      </c>
      <c r="FD31" s="73">
        <v>12832</v>
      </c>
      <c r="FE31" s="73">
        <v>9</v>
      </c>
      <c r="FF31" s="73">
        <v>13143</v>
      </c>
      <c r="FG31" s="73">
        <v>392</v>
      </c>
      <c r="FH31" s="73">
        <v>131</v>
      </c>
      <c r="FI31" s="73">
        <v>523</v>
      </c>
      <c r="FJ31" s="79">
        <v>2436</v>
      </c>
      <c r="FK31" s="80">
        <v>6218</v>
      </c>
      <c r="FL31" s="80">
        <v>6174</v>
      </c>
      <c r="FM31" s="80">
        <v>2039</v>
      </c>
      <c r="FN31" s="76">
        <v>242</v>
      </c>
      <c r="FO31" s="80">
        <v>4704</v>
      </c>
      <c r="FP31" s="80">
        <v>634</v>
      </c>
      <c r="FQ31" s="80">
        <v>880</v>
      </c>
      <c r="FR31" s="80">
        <v>968</v>
      </c>
      <c r="FS31" s="81">
        <v>-391</v>
      </c>
      <c r="FT31" s="76">
        <v>591</v>
      </c>
      <c r="FU31" s="76">
        <v>1387</v>
      </c>
      <c r="FV31" s="76">
        <v>391</v>
      </c>
      <c r="FW31" s="80">
        <v>13688</v>
      </c>
      <c r="FX31" s="80">
        <v>377</v>
      </c>
      <c r="FY31" s="73">
        <v>2439</v>
      </c>
      <c r="FZ31" s="73">
        <v>6490</v>
      </c>
      <c r="GA31" s="73">
        <v>6724</v>
      </c>
      <c r="GB31" s="73">
        <v>2174</v>
      </c>
      <c r="GC31" s="73">
        <v>258</v>
      </c>
      <c r="GD31" s="73">
        <v>4730</v>
      </c>
      <c r="GE31" s="73">
        <v>801</v>
      </c>
      <c r="GF31" s="73">
        <v>959</v>
      </c>
      <c r="GG31" s="73">
        <v>1115</v>
      </c>
      <c r="GH31" s="73">
        <v>-381</v>
      </c>
      <c r="GI31" s="73">
        <v>556</v>
      </c>
      <c r="GJ31" s="73">
        <v>1584</v>
      </c>
      <c r="GK31" s="73">
        <v>381</v>
      </c>
      <c r="GL31" s="73">
        <v>14531</v>
      </c>
      <c r="GM31" s="73">
        <v>559</v>
      </c>
      <c r="GN31" s="73">
        <v>1503</v>
      </c>
      <c r="GO31" s="77">
        <v>19.5</v>
      </c>
      <c r="GP31" s="78">
        <v>2389</v>
      </c>
      <c r="GQ31" s="73">
        <v>6871</v>
      </c>
      <c r="GR31" s="65">
        <v>6436</v>
      </c>
      <c r="GS31" s="65">
        <v>2474</v>
      </c>
      <c r="GT31" s="65">
        <v>262</v>
      </c>
      <c r="GU31" s="65">
        <v>5156</v>
      </c>
      <c r="GV31" s="65">
        <v>763</v>
      </c>
      <c r="GW31" s="65">
        <v>952</v>
      </c>
      <c r="GX31" s="65">
        <v>1077</v>
      </c>
      <c r="GY31" s="65">
        <v>-1091</v>
      </c>
      <c r="GZ31" s="65">
        <v>590</v>
      </c>
      <c r="HA31" s="65">
        <v>1283</v>
      </c>
      <c r="HB31" s="65">
        <v>1091</v>
      </c>
      <c r="HC31" s="65">
        <v>14966</v>
      </c>
      <c r="HD31" s="65">
        <v>437</v>
      </c>
      <c r="HE31" s="78">
        <v>2377</v>
      </c>
      <c r="HF31" s="73">
        <v>6439</v>
      </c>
      <c r="HG31" s="65">
        <v>7045</v>
      </c>
      <c r="HH31" s="65">
        <v>2984</v>
      </c>
      <c r="HI31" s="65">
        <v>186</v>
      </c>
      <c r="HJ31" s="65">
        <v>4975</v>
      </c>
      <c r="HK31" s="65">
        <v>484</v>
      </c>
      <c r="HL31" s="65">
        <v>980</v>
      </c>
      <c r="HM31" s="65">
        <v>772</v>
      </c>
      <c r="HN31" s="65">
        <v>-94</v>
      </c>
      <c r="HO31" s="65">
        <v>610</v>
      </c>
      <c r="HP31" s="65">
        <v>1100</v>
      </c>
      <c r="HQ31" s="65">
        <v>94</v>
      </c>
      <c r="HR31" s="65">
        <v>15882</v>
      </c>
      <c r="HS31" s="65">
        <v>162</v>
      </c>
      <c r="HT31" s="65">
        <v>2102</v>
      </c>
      <c r="HU31" s="77">
        <v>19.5</v>
      </c>
      <c r="HV31" s="180">
        <v>340</v>
      </c>
      <c r="HW31" s="30" t="s">
        <v>761</v>
      </c>
    </row>
    <row r="32" spans="1:231" ht="15" x14ac:dyDescent="0.25">
      <c r="A32" s="27">
        <v>98</v>
      </c>
      <c r="B32" s="27" t="s">
        <v>161</v>
      </c>
      <c r="C32" s="27">
        <v>7</v>
      </c>
      <c r="D32" s="27" t="s">
        <v>119</v>
      </c>
      <c r="E32" s="27">
        <v>5</v>
      </c>
      <c r="F32" s="27" t="s">
        <v>101</v>
      </c>
      <c r="G32" s="29" t="s">
        <v>141</v>
      </c>
      <c r="H32" s="27" t="s">
        <v>97</v>
      </c>
      <c r="I32" s="31" t="s">
        <v>119</v>
      </c>
      <c r="J32" s="82">
        <v>22464</v>
      </c>
      <c r="K32" s="82">
        <v>22384</v>
      </c>
      <c r="L32" s="82">
        <v>22592</v>
      </c>
      <c r="M32" s="82">
        <v>22616</v>
      </c>
      <c r="N32" s="82">
        <v>22719</v>
      </c>
      <c r="O32" s="82">
        <v>22932</v>
      </c>
      <c r="P32" s="82">
        <v>23165</v>
      </c>
      <c r="Q32" s="82">
        <v>23390</v>
      </c>
      <c r="R32" s="82">
        <v>23441</v>
      </c>
      <c r="S32" s="82">
        <v>23659</v>
      </c>
      <c r="T32" s="82">
        <v>23883</v>
      </c>
      <c r="U32" s="82">
        <v>44276</v>
      </c>
      <c r="V32" s="82">
        <v>8234</v>
      </c>
      <c r="W32" s="82">
        <v>8237</v>
      </c>
      <c r="X32" s="82">
        <v>344.11249754025158</v>
      </c>
      <c r="Y32" s="82">
        <v>46146</v>
      </c>
      <c r="Z32" s="82">
        <v>9170</v>
      </c>
      <c r="AA32" s="82">
        <v>8707</v>
      </c>
      <c r="AB32" s="82">
        <v>920.6607094503114</v>
      </c>
      <c r="AC32" s="82">
        <v>46608</v>
      </c>
      <c r="AD32" s="82">
        <v>9318</v>
      </c>
      <c r="AE32" s="82">
        <v>8425</v>
      </c>
      <c r="AF32" s="82">
        <v>208.3848408858122</v>
      </c>
      <c r="AG32" s="82">
        <v>50852</v>
      </c>
      <c r="AH32" s="82">
        <v>11567</v>
      </c>
      <c r="AI32" s="82">
        <v>8905</v>
      </c>
      <c r="AJ32" s="82">
        <v>269.43705819134067</v>
      </c>
      <c r="AK32" s="82">
        <v>54627</v>
      </c>
      <c r="AL32" s="82">
        <v>13605</v>
      </c>
      <c r="AM32" s="82">
        <v>9346</v>
      </c>
      <c r="AN32" s="82">
        <v>161</v>
      </c>
      <c r="AO32" s="82">
        <v>51669</v>
      </c>
      <c r="AP32" s="82">
        <v>13949</v>
      </c>
      <c r="AQ32" s="82">
        <v>9522</v>
      </c>
      <c r="AR32" s="82">
        <v>518</v>
      </c>
      <c r="AS32" s="82">
        <v>55288</v>
      </c>
      <c r="AT32" s="82">
        <v>14944</v>
      </c>
      <c r="AU32" s="82">
        <v>11037</v>
      </c>
      <c r="AV32" s="82">
        <v>1042</v>
      </c>
      <c r="AW32" s="82">
        <v>57510</v>
      </c>
      <c r="AX32" s="82">
        <v>16955</v>
      </c>
      <c r="AY32" s="82">
        <v>11410</v>
      </c>
      <c r="AZ32" s="82">
        <v>837</v>
      </c>
      <c r="BA32" s="82">
        <v>62025</v>
      </c>
      <c r="BB32" s="82">
        <v>18360</v>
      </c>
      <c r="BC32" s="82">
        <v>12489</v>
      </c>
      <c r="BD32" s="82">
        <v>535</v>
      </c>
      <c r="BE32" s="82">
        <v>65053</v>
      </c>
      <c r="BF32" s="82">
        <v>19772</v>
      </c>
      <c r="BG32" s="82">
        <v>49142</v>
      </c>
      <c r="BH32" s="82">
        <v>756</v>
      </c>
      <c r="BI32" s="82">
        <v>70834</v>
      </c>
      <c r="BJ32" s="82">
        <v>23353</v>
      </c>
      <c r="BK32" s="82">
        <v>55176</v>
      </c>
      <c r="BL32" s="82">
        <v>2816</v>
      </c>
      <c r="BM32" s="82">
        <v>38184.209508336229</v>
      </c>
      <c r="BN32" s="82">
        <v>5101.644373357014</v>
      </c>
      <c r="BO32" s="82">
        <v>990.96326271122302</v>
      </c>
      <c r="BP32" s="82">
        <v>39660.226750962451</v>
      </c>
      <c r="BQ32" s="82">
        <v>5010.6547051413363</v>
      </c>
      <c r="BR32" s="82">
        <v>1475.8490546997591</v>
      </c>
      <c r="BS32" s="82">
        <v>38904.558397370885</v>
      </c>
      <c r="BT32" s="82">
        <v>6297.460530498357</v>
      </c>
      <c r="BU32" s="82">
        <v>1406.8920048505397</v>
      </c>
      <c r="BV32" s="82">
        <v>45325</v>
      </c>
      <c r="BW32" s="82">
        <v>3959</v>
      </c>
      <c r="BX32" s="82">
        <v>1569</v>
      </c>
      <c r="BY32" s="82">
        <v>49514</v>
      </c>
      <c r="BZ32" s="82">
        <v>3442</v>
      </c>
      <c r="CA32" s="82">
        <v>1671</v>
      </c>
      <c r="CB32" s="82">
        <v>48094</v>
      </c>
      <c r="CC32" s="82">
        <v>1859</v>
      </c>
      <c r="CD32" s="82">
        <v>1716</v>
      </c>
      <c r="CE32" s="82">
        <v>51264</v>
      </c>
      <c r="CF32" s="82">
        <v>2333</v>
      </c>
      <c r="CG32" s="82">
        <v>1691</v>
      </c>
      <c r="CH32" s="82">
        <v>53003</v>
      </c>
      <c r="CI32" s="82">
        <v>2656</v>
      </c>
      <c r="CJ32" s="82">
        <v>1851</v>
      </c>
      <c r="CK32" s="82">
        <v>56875</v>
      </c>
      <c r="CL32" s="82">
        <v>2773</v>
      </c>
      <c r="CM32" s="82">
        <v>2377</v>
      </c>
      <c r="CN32" s="82">
        <v>59373</v>
      </c>
      <c r="CO32" s="82">
        <v>3264</v>
      </c>
      <c r="CP32" s="82">
        <v>2416</v>
      </c>
      <c r="CQ32" s="82">
        <v>64970</v>
      </c>
      <c r="CR32" s="82">
        <v>3323</v>
      </c>
      <c r="CS32" s="82">
        <v>2541</v>
      </c>
      <c r="CT32" s="82">
        <v>-1004.081920975221</v>
      </c>
      <c r="CU32" s="82">
        <v>-5442.3931128000004</v>
      </c>
      <c r="CV32" s="82">
        <v>3959.4801647568929</v>
      </c>
      <c r="CW32" s="82">
        <v>10410</v>
      </c>
      <c r="CX32" s="82">
        <v>3605.444579555412</v>
      </c>
      <c r="CY32" s="82">
        <v>-4156.2600383999998</v>
      </c>
      <c r="CZ32" s="82">
        <v>4139.6094339971714</v>
      </c>
      <c r="DA32" s="82">
        <v>7952</v>
      </c>
      <c r="DB32" s="82">
        <v>122.44081046398003</v>
      </c>
      <c r="DC32" s="82">
        <v>-6287.8738182999996</v>
      </c>
      <c r="DD32" s="82">
        <v>4565.461263797717</v>
      </c>
      <c r="DE32" s="82">
        <v>10536</v>
      </c>
      <c r="DF32" s="82">
        <v>3157.3919434619465</v>
      </c>
      <c r="DG32" s="82">
        <v>-6593</v>
      </c>
      <c r="DH32" s="82">
        <v>4338.7439389276005</v>
      </c>
      <c r="DI32" s="82">
        <v>11954</v>
      </c>
      <c r="DJ32" s="82">
        <v>9905</v>
      </c>
      <c r="DK32" s="82">
        <v>-5312</v>
      </c>
      <c r="DL32" s="82">
        <v>4646</v>
      </c>
      <c r="DM32" s="82">
        <v>10129</v>
      </c>
      <c r="DN32" s="82">
        <v>2293</v>
      </c>
      <c r="DO32" s="82">
        <v>-5184</v>
      </c>
      <c r="DP32" s="82">
        <v>4806</v>
      </c>
      <c r="DQ32" s="82">
        <v>12244</v>
      </c>
      <c r="DR32" s="82">
        <v>4844</v>
      </c>
      <c r="DS32" s="82">
        <v>-5814</v>
      </c>
      <c r="DT32" s="82">
        <v>4907</v>
      </c>
      <c r="DU32" s="82">
        <v>15519</v>
      </c>
      <c r="DV32" s="82">
        <v>4721</v>
      </c>
      <c r="DW32" s="82">
        <v>-9533</v>
      </c>
      <c r="DX32" s="82">
        <v>5062</v>
      </c>
      <c r="DY32" s="82">
        <v>20219</v>
      </c>
      <c r="DZ32" s="82">
        <v>5906</v>
      </c>
      <c r="EA32" s="82">
        <v>-4641</v>
      </c>
      <c r="EB32" s="82">
        <v>4296</v>
      </c>
      <c r="EC32" s="82">
        <v>20269</v>
      </c>
      <c r="ED32" s="82">
        <v>3269</v>
      </c>
      <c r="EE32" s="82">
        <v>-8991</v>
      </c>
      <c r="EF32" s="82">
        <v>4558</v>
      </c>
      <c r="EG32" s="82">
        <v>23945</v>
      </c>
      <c r="EH32" s="82">
        <v>8313</v>
      </c>
      <c r="EI32" s="82">
        <v>-8446</v>
      </c>
      <c r="EJ32" s="82">
        <v>4943</v>
      </c>
      <c r="EK32" s="82">
        <v>26288</v>
      </c>
      <c r="EL32" s="82">
        <v>58267.193431252337</v>
      </c>
      <c r="EM32" s="82">
        <v>-3517.3141060895805</v>
      </c>
      <c r="EN32" s="82">
        <v>57565.177026201993</v>
      </c>
      <c r="EO32" s="82">
        <v>-213.59866660611897</v>
      </c>
      <c r="EP32" s="82">
        <v>59963.705045469607</v>
      </c>
      <c r="EQ32" s="82">
        <v>-541.90149905898852</v>
      </c>
      <c r="ER32" s="82">
        <v>63657.280098490846</v>
      </c>
      <c r="ES32" s="82">
        <v>-1181.3519954656535</v>
      </c>
      <c r="ET32" s="82">
        <v>66999</v>
      </c>
      <c r="EU32" s="82">
        <v>5249</v>
      </c>
      <c r="EV32" s="82">
        <v>72925</v>
      </c>
      <c r="EW32" s="82">
        <v>-2493</v>
      </c>
      <c r="EX32" s="82">
        <v>76670</v>
      </c>
      <c r="EY32" s="82">
        <v>-68</v>
      </c>
      <c r="EZ32" s="82">
        <v>81610</v>
      </c>
      <c r="FA32" s="82">
        <v>-335</v>
      </c>
      <c r="FB32" s="82">
        <v>87072</v>
      </c>
      <c r="FC32" s="82">
        <v>1566</v>
      </c>
      <c r="FD32" s="82">
        <v>130684</v>
      </c>
      <c r="FE32" s="82">
        <v>-1283</v>
      </c>
      <c r="FF32" s="82">
        <v>140612</v>
      </c>
      <c r="FG32" s="82">
        <v>5940</v>
      </c>
      <c r="FH32" s="82">
        <v>5488</v>
      </c>
      <c r="FI32" s="82">
        <v>11428</v>
      </c>
      <c r="FJ32" s="82">
        <v>23971</v>
      </c>
      <c r="FK32" s="82">
        <v>72521</v>
      </c>
      <c r="FL32" s="82">
        <v>25411</v>
      </c>
      <c r="FM32" s="82">
        <v>63616</v>
      </c>
      <c r="FN32" s="82">
        <v>541</v>
      </c>
      <c r="FO32" s="82">
        <v>67240</v>
      </c>
      <c r="FP32" s="82">
        <v>2603</v>
      </c>
      <c r="FQ32" s="82">
        <v>2678</v>
      </c>
      <c r="FR32" s="82">
        <v>9374</v>
      </c>
      <c r="FS32" s="82">
        <v>-5330</v>
      </c>
      <c r="FT32" s="82">
        <v>5219</v>
      </c>
      <c r="FU32" s="82">
        <v>25720</v>
      </c>
      <c r="FV32" s="82">
        <v>5330</v>
      </c>
      <c r="FW32" s="82">
        <v>152196</v>
      </c>
      <c r="FX32" s="82">
        <v>4217</v>
      </c>
      <c r="FY32" s="82">
        <v>24106</v>
      </c>
      <c r="FZ32" s="82">
        <v>75494</v>
      </c>
      <c r="GA32" s="82">
        <v>28901</v>
      </c>
      <c r="GB32" s="82">
        <v>67404</v>
      </c>
      <c r="GC32" s="82">
        <v>705</v>
      </c>
      <c r="GD32" s="82">
        <v>68672</v>
      </c>
      <c r="GE32" s="82">
        <v>3399</v>
      </c>
      <c r="GF32" s="82">
        <v>3423</v>
      </c>
      <c r="GG32" s="82">
        <v>10164</v>
      </c>
      <c r="GH32" s="82">
        <v>-11437</v>
      </c>
      <c r="GI32" s="82">
        <v>5220</v>
      </c>
      <c r="GJ32" s="82">
        <v>29121</v>
      </c>
      <c r="GK32" s="82">
        <v>11437</v>
      </c>
      <c r="GL32" s="82">
        <v>162071</v>
      </c>
      <c r="GM32" s="82">
        <v>4809</v>
      </c>
      <c r="GN32" s="82">
        <v>20829</v>
      </c>
      <c r="GO32" s="83">
        <v>19.75</v>
      </c>
      <c r="GP32" s="82">
        <v>24150</v>
      </c>
      <c r="GQ32" s="82">
        <v>78807</v>
      </c>
      <c r="GR32" s="82">
        <v>31139</v>
      </c>
      <c r="GS32" s="82">
        <v>71705</v>
      </c>
      <c r="GT32" s="82">
        <v>520</v>
      </c>
      <c r="GU32" s="82">
        <v>71382</v>
      </c>
      <c r="GV32" s="82">
        <v>3851</v>
      </c>
      <c r="GW32" s="82">
        <v>3574</v>
      </c>
      <c r="GX32" s="82">
        <v>7015</v>
      </c>
      <c r="GY32" s="82">
        <v>-16949</v>
      </c>
      <c r="GZ32" s="82">
        <v>5653</v>
      </c>
      <c r="HA32" s="82">
        <v>34820</v>
      </c>
      <c r="HB32" s="82">
        <v>16949</v>
      </c>
      <c r="HC32" s="82">
        <v>174743</v>
      </c>
      <c r="HD32" s="82">
        <v>1368</v>
      </c>
      <c r="HE32" s="82">
        <v>24150</v>
      </c>
      <c r="HF32" s="82">
        <v>80461</v>
      </c>
      <c r="HG32" s="82">
        <v>31071</v>
      </c>
      <c r="HH32" s="82">
        <v>76330</v>
      </c>
      <c r="HI32" s="82">
        <v>525</v>
      </c>
      <c r="HJ32" s="82">
        <v>74452</v>
      </c>
      <c r="HK32" s="82">
        <v>2313</v>
      </c>
      <c r="HL32" s="82">
        <v>3696</v>
      </c>
      <c r="HM32" s="82">
        <v>1648</v>
      </c>
      <c r="HN32" s="82">
        <v>-8632</v>
      </c>
      <c r="HO32" s="82">
        <v>6509</v>
      </c>
      <c r="HP32" s="82">
        <v>45984</v>
      </c>
      <c r="HQ32" s="82">
        <v>8632</v>
      </c>
      <c r="HR32" s="82">
        <v>186072</v>
      </c>
      <c r="HS32" s="82">
        <v>-4855</v>
      </c>
      <c r="HT32" s="82">
        <v>17780</v>
      </c>
      <c r="HU32" s="83">
        <v>19.75</v>
      </c>
      <c r="HV32" s="180">
        <v>130</v>
      </c>
      <c r="HW32" s="30" t="s">
        <v>752</v>
      </c>
    </row>
    <row r="33" spans="1:231" ht="15" x14ac:dyDescent="0.25">
      <c r="A33" s="27">
        <v>99</v>
      </c>
      <c r="B33" s="27" t="s">
        <v>162</v>
      </c>
      <c r="C33" s="27">
        <v>4</v>
      </c>
      <c r="D33" s="27" t="s">
        <v>120</v>
      </c>
      <c r="E33" s="27">
        <v>1</v>
      </c>
      <c r="F33" s="27" t="s">
        <v>103</v>
      </c>
      <c r="G33" s="29" t="s">
        <v>130</v>
      </c>
      <c r="H33" s="27" t="s">
        <v>98</v>
      </c>
      <c r="I33" s="31" t="s">
        <v>120</v>
      </c>
      <c r="J33" s="69">
        <v>2227</v>
      </c>
      <c r="K33" s="69">
        <v>2201</v>
      </c>
      <c r="L33" s="36">
        <v>2170</v>
      </c>
      <c r="M33" s="36">
        <v>2144</v>
      </c>
      <c r="N33" s="36">
        <v>2104</v>
      </c>
      <c r="O33" s="36">
        <v>2083</v>
      </c>
      <c r="P33" s="36">
        <v>2023</v>
      </c>
      <c r="Q33" s="36">
        <v>2011</v>
      </c>
      <c r="R33" s="69">
        <v>1985</v>
      </c>
      <c r="S33" s="69">
        <v>1932</v>
      </c>
      <c r="T33" s="71">
        <v>1918</v>
      </c>
      <c r="U33" s="36">
        <v>3894</v>
      </c>
      <c r="V33" s="36">
        <v>2935</v>
      </c>
      <c r="W33" s="36">
        <v>1479</v>
      </c>
      <c r="X33" s="36">
        <v>78.711949583987163</v>
      </c>
      <c r="Y33" s="36">
        <v>3756</v>
      </c>
      <c r="Z33" s="36">
        <v>3196</v>
      </c>
      <c r="AA33" s="36">
        <v>1427</v>
      </c>
      <c r="AB33" s="36">
        <v>57.352082923375264</v>
      </c>
      <c r="AC33" s="36">
        <v>3812</v>
      </c>
      <c r="AD33" s="36">
        <v>3162</v>
      </c>
      <c r="AE33" s="36">
        <v>1568</v>
      </c>
      <c r="AF33" s="36">
        <v>56.679331217529217</v>
      </c>
      <c r="AG33" s="36">
        <v>4302</v>
      </c>
      <c r="AH33" s="36">
        <v>3653</v>
      </c>
      <c r="AI33" s="36">
        <v>1627</v>
      </c>
      <c r="AJ33" s="36">
        <v>53.988324394145039</v>
      </c>
      <c r="AK33" s="36">
        <v>4153</v>
      </c>
      <c r="AL33" s="36">
        <v>3624</v>
      </c>
      <c r="AM33" s="36">
        <v>1889</v>
      </c>
      <c r="AN33" s="36">
        <v>19</v>
      </c>
      <c r="AO33" s="36">
        <v>4047</v>
      </c>
      <c r="AP33" s="36">
        <v>3859</v>
      </c>
      <c r="AQ33" s="36">
        <v>1888</v>
      </c>
      <c r="AR33" s="36">
        <v>19</v>
      </c>
      <c r="AS33" s="36">
        <v>4147</v>
      </c>
      <c r="AT33" s="36">
        <v>3947</v>
      </c>
      <c r="AU33" s="36">
        <v>3288</v>
      </c>
      <c r="AV33" s="36">
        <v>16</v>
      </c>
      <c r="AW33" s="36">
        <v>4223</v>
      </c>
      <c r="AX33" s="69">
        <v>4029</v>
      </c>
      <c r="AY33" s="36">
        <v>4207</v>
      </c>
      <c r="AZ33" s="36">
        <v>17</v>
      </c>
      <c r="BA33" s="36">
        <v>4362</v>
      </c>
      <c r="BB33" s="36">
        <v>4092</v>
      </c>
      <c r="BC33" s="36">
        <v>4094</v>
      </c>
      <c r="BD33" s="36">
        <v>0</v>
      </c>
      <c r="BE33" s="70">
        <v>4771</v>
      </c>
      <c r="BF33" s="70">
        <v>4175</v>
      </c>
      <c r="BG33" s="70">
        <v>3675</v>
      </c>
      <c r="BH33" s="70">
        <v>70</v>
      </c>
      <c r="BI33" s="36">
        <v>5135</v>
      </c>
      <c r="BJ33" s="36">
        <v>4169</v>
      </c>
      <c r="BK33" s="36">
        <v>3854</v>
      </c>
      <c r="BL33" s="36">
        <v>0</v>
      </c>
      <c r="BM33" s="36">
        <v>2796.6288412020053</v>
      </c>
      <c r="BN33" s="36">
        <v>982.0493026087629</v>
      </c>
      <c r="BO33" s="36">
        <v>115.20872962613505</v>
      </c>
      <c r="BP33" s="36">
        <v>2803.5245461869272</v>
      </c>
      <c r="BQ33" s="36">
        <v>833.70755146971021</v>
      </c>
      <c r="BR33" s="36">
        <v>118.74067608182679</v>
      </c>
      <c r="BS33" s="36">
        <v>2730.0264223232471</v>
      </c>
      <c r="BT33" s="36">
        <v>952.11185169861392</v>
      </c>
      <c r="BU33" s="36">
        <v>129.8410792282865</v>
      </c>
      <c r="BV33" s="36">
        <v>3410</v>
      </c>
      <c r="BW33" s="36">
        <v>747</v>
      </c>
      <c r="BX33" s="36">
        <v>145</v>
      </c>
      <c r="BY33" s="36">
        <v>3505</v>
      </c>
      <c r="BZ33" s="36">
        <v>499</v>
      </c>
      <c r="CA33" s="36">
        <v>149</v>
      </c>
      <c r="CB33" s="36">
        <v>3588</v>
      </c>
      <c r="CC33" s="36">
        <v>284</v>
      </c>
      <c r="CD33" s="36">
        <v>175</v>
      </c>
      <c r="CE33" s="36">
        <v>3636</v>
      </c>
      <c r="CF33" s="36">
        <v>334</v>
      </c>
      <c r="CG33" s="36">
        <v>177</v>
      </c>
      <c r="CH33" s="36">
        <v>3627</v>
      </c>
      <c r="CI33" s="36">
        <v>403</v>
      </c>
      <c r="CJ33" s="70">
        <v>193</v>
      </c>
      <c r="CK33" s="70">
        <v>3713</v>
      </c>
      <c r="CL33" s="70">
        <v>449</v>
      </c>
      <c r="CM33" s="36">
        <v>200</v>
      </c>
      <c r="CN33" s="36">
        <v>4002</v>
      </c>
      <c r="CO33" s="36">
        <v>541</v>
      </c>
      <c r="CP33" s="36">
        <v>228</v>
      </c>
      <c r="CQ33" s="36">
        <v>4302</v>
      </c>
      <c r="CR33" s="36">
        <v>595</v>
      </c>
      <c r="CS33" s="36">
        <v>238</v>
      </c>
      <c r="CT33" s="36">
        <v>643.99157042112574</v>
      </c>
      <c r="CU33" s="36">
        <v>-323.76175840000002</v>
      </c>
      <c r="CV33" s="36">
        <v>397.93263400793512</v>
      </c>
      <c r="CW33" s="36">
        <v>1499</v>
      </c>
      <c r="CX33" s="36">
        <v>306.77477786579612</v>
      </c>
      <c r="CY33" s="36">
        <v>-518.35518939999997</v>
      </c>
      <c r="CZ33" s="36">
        <v>354.20377312794221</v>
      </c>
      <c r="DA33" s="36">
        <v>1225</v>
      </c>
      <c r="DB33" s="36">
        <v>-25.228188969226654</v>
      </c>
      <c r="DC33" s="36">
        <v>-751.8000313</v>
      </c>
      <c r="DD33" s="36">
        <v>419.62887652147003</v>
      </c>
      <c r="DE33" s="36">
        <v>1215</v>
      </c>
      <c r="DF33" s="36">
        <v>234.7903453402694</v>
      </c>
      <c r="DG33" s="36">
        <v>-591</v>
      </c>
      <c r="DH33" s="36">
        <v>364.63142456855587</v>
      </c>
      <c r="DI33" s="36">
        <v>1685</v>
      </c>
      <c r="DJ33" s="36">
        <v>740</v>
      </c>
      <c r="DK33" s="36">
        <v>-673</v>
      </c>
      <c r="DL33" s="36">
        <v>392</v>
      </c>
      <c r="DM33" s="36">
        <v>1927</v>
      </c>
      <c r="DN33" s="36">
        <v>227</v>
      </c>
      <c r="DO33" s="69">
        <v>-458</v>
      </c>
      <c r="DP33" s="36">
        <v>415</v>
      </c>
      <c r="DQ33" s="36">
        <v>1822</v>
      </c>
      <c r="DR33" s="36">
        <v>-560</v>
      </c>
      <c r="DS33" s="36">
        <v>-622</v>
      </c>
      <c r="DT33" s="36">
        <v>399</v>
      </c>
      <c r="DU33" s="36">
        <v>2561</v>
      </c>
      <c r="DV33" s="36">
        <v>-369</v>
      </c>
      <c r="DW33" s="71">
        <v>-1488</v>
      </c>
      <c r="DX33" s="39">
        <v>406</v>
      </c>
      <c r="DY33" s="71">
        <v>4157</v>
      </c>
      <c r="DZ33" s="70">
        <v>-109</v>
      </c>
      <c r="EA33" s="35">
        <v>-340</v>
      </c>
      <c r="EB33" s="35">
        <v>457</v>
      </c>
      <c r="EC33" s="38">
        <v>4151</v>
      </c>
      <c r="ED33" s="38">
        <v>498</v>
      </c>
      <c r="EE33" s="38">
        <v>-162</v>
      </c>
      <c r="EF33" s="38">
        <v>476</v>
      </c>
      <c r="EG33" s="73">
        <v>3858</v>
      </c>
      <c r="EH33" s="73">
        <v>212</v>
      </c>
      <c r="EI33" s="73">
        <v>-353</v>
      </c>
      <c r="EJ33" s="73">
        <v>286</v>
      </c>
      <c r="EK33" s="73">
        <v>3571</v>
      </c>
      <c r="EL33" s="73">
        <v>7318.8658078991139</v>
      </c>
      <c r="EM33" s="73">
        <v>7.4002687643064853</v>
      </c>
      <c r="EN33" s="73">
        <v>7688.3746823350539</v>
      </c>
      <c r="EO33" s="73">
        <v>-30.94657846891803</v>
      </c>
      <c r="EP33" s="73">
        <v>8202.6933614543541</v>
      </c>
      <c r="EQ33" s="73">
        <v>-428.71102455039158</v>
      </c>
      <c r="ER33" s="73">
        <v>8954.3252048108479</v>
      </c>
      <c r="ES33" s="73">
        <v>-129.8410792282865</v>
      </c>
      <c r="ET33" s="73">
        <v>8816</v>
      </c>
      <c r="EU33" s="73">
        <v>340</v>
      </c>
      <c r="EV33" s="73">
        <v>9513</v>
      </c>
      <c r="EW33" s="73">
        <v>-188</v>
      </c>
      <c r="EX33" s="73">
        <v>11897</v>
      </c>
      <c r="EY33" s="73">
        <v>-959</v>
      </c>
      <c r="EZ33" s="73">
        <v>12779</v>
      </c>
      <c r="FA33" s="73">
        <v>-772</v>
      </c>
      <c r="FB33" s="73">
        <v>12535</v>
      </c>
      <c r="FC33" s="73">
        <v>-557</v>
      </c>
      <c r="FD33" s="73">
        <v>11944</v>
      </c>
      <c r="FE33" s="73">
        <v>31</v>
      </c>
      <c r="FF33" s="73">
        <v>12751</v>
      </c>
      <c r="FG33" s="73">
        <v>-68</v>
      </c>
      <c r="FH33" s="73">
        <v>-1580</v>
      </c>
      <c r="FI33" s="73">
        <v>-1684</v>
      </c>
      <c r="FJ33" s="79">
        <v>1889</v>
      </c>
      <c r="FK33" s="80">
        <v>4692</v>
      </c>
      <c r="FL33" s="80">
        <v>4479</v>
      </c>
      <c r="FM33" s="80">
        <v>3848</v>
      </c>
      <c r="FN33" s="76">
        <v>234</v>
      </c>
      <c r="FO33" s="80">
        <v>3987</v>
      </c>
      <c r="FP33" s="80">
        <v>460</v>
      </c>
      <c r="FQ33" s="80">
        <v>245</v>
      </c>
      <c r="FR33" s="80">
        <v>-136</v>
      </c>
      <c r="FS33" s="81">
        <v>-139</v>
      </c>
      <c r="FT33" s="76">
        <v>285</v>
      </c>
      <c r="FU33" s="76">
        <v>3953</v>
      </c>
      <c r="FV33" s="76">
        <v>139</v>
      </c>
      <c r="FW33" s="80">
        <v>13025</v>
      </c>
      <c r="FX33" s="80">
        <v>-182</v>
      </c>
      <c r="FY33" s="73">
        <v>1878</v>
      </c>
      <c r="FZ33" s="73">
        <v>4830</v>
      </c>
      <c r="GA33" s="73">
        <v>5112</v>
      </c>
      <c r="GB33" s="73">
        <v>4296</v>
      </c>
      <c r="GC33" s="73">
        <v>16</v>
      </c>
      <c r="GD33" s="73">
        <v>4037</v>
      </c>
      <c r="GE33" s="73">
        <v>547</v>
      </c>
      <c r="GF33" s="73">
        <v>246</v>
      </c>
      <c r="GG33" s="73">
        <v>700</v>
      </c>
      <c r="GH33" s="73">
        <v>-284</v>
      </c>
      <c r="GI33" s="73">
        <v>319</v>
      </c>
      <c r="GJ33" s="73">
        <v>3946</v>
      </c>
      <c r="GK33" s="73">
        <v>284</v>
      </c>
      <c r="GL33" s="73">
        <v>13487</v>
      </c>
      <c r="GM33" s="73">
        <v>386</v>
      </c>
      <c r="GN33" s="73">
        <v>-1430</v>
      </c>
      <c r="GO33" s="77">
        <v>20.25</v>
      </c>
      <c r="GP33" s="78">
        <v>1848</v>
      </c>
      <c r="GQ33" s="73">
        <v>5033</v>
      </c>
      <c r="GR33" s="65">
        <v>4940</v>
      </c>
      <c r="GS33" s="65">
        <v>8251</v>
      </c>
      <c r="GT33" s="65">
        <v>14</v>
      </c>
      <c r="GU33" s="65">
        <v>4140</v>
      </c>
      <c r="GV33" s="65">
        <v>626</v>
      </c>
      <c r="GW33" s="65">
        <v>267</v>
      </c>
      <c r="GX33" s="65">
        <v>83</v>
      </c>
      <c r="GY33" s="65">
        <v>-453</v>
      </c>
      <c r="GZ33" s="65">
        <v>312</v>
      </c>
      <c r="HA33" s="65">
        <v>3651</v>
      </c>
      <c r="HB33" s="65">
        <v>453</v>
      </c>
      <c r="HC33" s="65">
        <v>18071</v>
      </c>
      <c r="HD33" s="65">
        <v>-224</v>
      </c>
      <c r="HE33" s="78">
        <v>1832</v>
      </c>
      <c r="HF33" s="73">
        <v>5067</v>
      </c>
      <c r="HG33" s="65">
        <v>4969</v>
      </c>
      <c r="HH33" s="65">
        <v>8929</v>
      </c>
      <c r="HI33" s="65">
        <v>15</v>
      </c>
      <c r="HJ33" s="65">
        <v>4272</v>
      </c>
      <c r="HK33" s="65">
        <v>511</v>
      </c>
      <c r="HL33" s="65">
        <v>284</v>
      </c>
      <c r="HM33" s="65">
        <v>315</v>
      </c>
      <c r="HN33" s="65">
        <v>-494</v>
      </c>
      <c r="HO33" s="65">
        <v>363</v>
      </c>
      <c r="HP33" s="65">
        <v>3994</v>
      </c>
      <c r="HQ33" s="65">
        <v>494</v>
      </c>
      <c r="HR33" s="65">
        <v>18569</v>
      </c>
      <c r="HS33" s="65">
        <v>-43</v>
      </c>
      <c r="HT33" s="65">
        <v>-1697</v>
      </c>
      <c r="HU33" s="77">
        <v>20.75</v>
      </c>
      <c r="HV33" s="180">
        <v>340</v>
      </c>
      <c r="HW33" s="30" t="s">
        <v>761</v>
      </c>
    </row>
    <row r="34" spans="1:231" ht="15" x14ac:dyDescent="0.25">
      <c r="A34" s="27">
        <v>102</v>
      </c>
      <c r="B34" s="27" t="s">
        <v>163</v>
      </c>
      <c r="C34" s="27">
        <v>4</v>
      </c>
      <c r="D34" s="27" t="s">
        <v>120</v>
      </c>
      <c r="E34" s="27">
        <v>4</v>
      </c>
      <c r="F34" s="27" t="s">
        <v>100</v>
      </c>
      <c r="G34" s="29" t="s">
        <v>132</v>
      </c>
      <c r="H34" s="27" t="s">
        <v>99</v>
      </c>
      <c r="I34" s="31" t="s">
        <v>120</v>
      </c>
      <c r="J34" s="69">
        <v>11087</v>
      </c>
      <c r="K34" s="69">
        <v>11039</v>
      </c>
      <c r="L34" s="36">
        <v>10983</v>
      </c>
      <c r="M34" s="36">
        <v>10955</v>
      </c>
      <c r="N34" s="36">
        <v>10895</v>
      </c>
      <c r="O34" s="36">
        <v>10852</v>
      </c>
      <c r="P34" s="36">
        <v>10851</v>
      </c>
      <c r="Q34" s="36">
        <v>10768</v>
      </c>
      <c r="R34" s="69">
        <v>10741</v>
      </c>
      <c r="S34" s="69">
        <v>10699</v>
      </c>
      <c r="T34" s="71">
        <v>10703</v>
      </c>
      <c r="U34" s="36">
        <v>21194</v>
      </c>
      <c r="V34" s="36">
        <v>11034</v>
      </c>
      <c r="W34" s="36">
        <v>8078</v>
      </c>
      <c r="X34" s="36">
        <v>333.18028232025335</v>
      </c>
      <c r="Y34" s="36">
        <v>21058</v>
      </c>
      <c r="Z34" s="36">
        <v>11712</v>
      </c>
      <c r="AA34" s="36">
        <v>8004</v>
      </c>
      <c r="AB34" s="36">
        <v>393.39155999347435</v>
      </c>
      <c r="AC34" s="36">
        <v>20524</v>
      </c>
      <c r="AD34" s="36">
        <v>12712</v>
      </c>
      <c r="AE34" s="36">
        <v>8788</v>
      </c>
      <c r="AF34" s="36">
        <v>349.99907496640446</v>
      </c>
      <c r="AG34" s="36">
        <v>21432</v>
      </c>
      <c r="AH34" s="36">
        <v>15355</v>
      </c>
      <c r="AI34" s="36">
        <v>8556</v>
      </c>
      <c r="AJ34" s="36">
        <v>433.08391063839088</v>
      </c>
      <c r="AK34" s="36">
        <v>21926</v>
      </c>
      <c r="AL34" s="36">
        <v>17154</v>
      </c>
      <c r="AM34" s="36">
        <v>9132</v>
      </c>
      <c r="AN34" s="36">
        <v>213</v>
      </c>
      <c r="AO34" s="36">
        <v>21007</v>
      </c>
      <c r="AP34" s="36">
        <v>18794</v>
      </c>
      <c r="AQ34" s="36">
        <v>9129</v>
      </c>
      <c r="AR34" s="36">
        <v>605</v>
      </c>
      <c r="AS34" s="36">
        <v>21732</v>
      </c>
      <c r="AT34" s="36">
        <v>19435</v>
      </c>
      <c r="AU34" s="36">
        <v>10212</v>
      </c>
      <c r="AV34" s="36">
        <v>407</v>
      </c>
      <c r="AW34" s="36">
        <v>22833</v>
      </c>
      <c r="AX34" s="69">
        <v>20082</v>
      </c>
      <c r="AY34" s="36">
        <v>10397</v>
      </c>
      <c r="AZ34" s="36">
        <v>274</v>
      </c>
      <c r="BA34" s="36">
        <v>24545</v>
      </c>
      <c r="BB34" s="36">
        <v>20551</v>
      </c>
      <c r="BC34" s="36">
        <v>11611</v>
      </c>
      <c r="BD34" s="36">
        <v>177</v>
      </c>
      <c r="BE34" s="70">
        <v>26338</v>
      </c>
      <c r="BF34" s="70">
        <v>21305</v>
      </c>
      <c r="BG34" s="70">
        <v>11261</v>
      </c>
      <c r="BH34" s="70">
        <v>1396</v>
      </c>
      <c r="BI34" s="36">
        <v>27947</v>
      </c>
      <c r="BJ34" s="36">
        <v>24235</v>
      </c>
      <c r="BK34" s="36">
        <v>12126</v>
      </c>
      <c r="BL34" s="36">
        <v>300</v>
      </c>
      <c r="BM34" s="36">
        <v>17096.807288591979</v>
      </c>
      <c r="BN34" s="36">
        <v>3573.6570614541865</v>
      </c>
      <c r="BO34" s="36">
        <v>523.56901507468388</v>
      </c>
      <c r="BP34" s="36">
        <v>17360.021393504245</v>
      </c>
      <c r="BQ34" s="36">
        <v>3130.3136873016433</v>
      </c>
      <c r="BR34" s="36">
        <v>567.97062766052272</v>
      </c>
      <c r="BS34" s="36">
        <v>16389.577057821327</v>
      </c>
      <c r="BT34" s="36">
        <v>3431.5382635942096</v>
      </c>
      <c r="BU34" s="36">
        <v>702.68915675619314</v>
      </c>
      <c r="BV34" s="36">
        <v>18316</v>
      </c>
      <c r="BW34" s="36">
        <v>2380</v>
      </c>
      <c r="BX34" s="36">
        <v>735</v>
      </c>
      <c r="BY34" s="36">
        <v>19640</v>
      </c>
      <c r="BZ34" s="36">
        <v>1525</v>
      </c>
      <c r="CA34" s="36">
        <v>761</v>
      </c>
      <c r="CB34" s="36">
        <v>19340</v>
      </c>
      <c r="CC34" s="36">
        <v>969</v>
      </c>
      <c r="CD34" s="36">
        <v>698</v>
      </c>
      <c r="CE34" s="36">
        <v>19842</v>
      </c>
      <c r="CF34" s="36">
        <v>1087</v>
      </c>
      <c r="CG34" s="36">
        <v>803</v>
      </c>
      <c r="CH34" s="36">
        <v>20717</v>
      </c>
      <c r="CI34" s="36">
        <v>1291</v>
      </c>
      <c r="CJ34" s="70">
        <v>825</v>
      </c>
      <c r="CK34" s="70">
        <v>21986</v>
      </c>
      <c r="CL34" s="70">
        <v>1431</v>
      </c>
      <c r="CM34" s="36">
        <v>1128</v>
      </c>
      <c r="CN34" s="36">
        <v>23509</v>
      </c>
      <c r="CO34" s="36">
        <v>1684</v>
      </c>
      <c r="CP34" s="36">
        <v>1145</v>
      </c>
      <c r="CQ34" s="36">
        <v>25122</v>
      </c>
      <c r="CR34" s="36">
        <v>1597</v>
      </c>
      <c r="CS34" s="36">
        <v>1228</v>
      </c>
      <c r="CT34" s="36">
        <v>1385.8685140428511</v>
      </c>
      <c r="CU34" s="36">
        <v>-2471.85795547</v>
      </c>
      <c r="CV34" s="36">
        <v>1979.5718944519849</v>
      </c>
      <c r="CW34" s="36">
        <v>5653</v>
      </c>
      <c r="CX34" s="36">
        <v>1114.749576586895</v>
      </c>
      <c r="CY34" s="36">
        <v>-2971.7124730100004</v>
      </c>
      <c r="CZ34" s="36">
        <v>1840.4804792683153</v>
      </c>
      <c r="DA34" s="36">
        <v>9599</v>
      </c>
      <c r="DB34" s="36">
        <v>1266.6232741816395</v>
      </c>
      <c r="DC34" s="36">
        <v>-3609.3129015999998</v>
      </c>
      <c r="DD34" s="36">
        <v>1860.6630304436965</v>
      </c>
      <c r="DE34" s="36">
        <v>11350</v>
      </c>
      <c r="DF34" s="36">
        <v>1782.6238325655556</v>
      </c>
      <c r="DG34" s="36">
        <v>-2273</v>
      </c>
      <c r="DH34" s="36">
        <v>1866.7177957963113</v>
      </c>
      <c r="DI34" s="36">
        <v>13666</v>
      </c>
      <c r="DJ34" s="36">
        <v>2809</v>
      </c>
      <c r="DK34" s="36">
        <v>-1986</v>
      </c>
      <c r="DL34" s="36">
        <v>2155</v>
      </c>
      <c r="DM34" s="36">
        <v>13509</v>
      </c>
      <c r="DN34" s="36">
        <v>2084</v>
      </c>
      <c r="DO34" s="69">
        <v>-1855</v>
      </c>
      <c r="DP34" s="36">
        <v>2228</v>
      </c>
      <c r="DQ34" s="36">
        <v>13211</v>
      </c>
      <c r="DR34" s="36">
        <v>2116</v>
      </c>
      <c r="DS34" s="36">
        <v>-1716</v>
      </c>
      <c r="DT34" s="36">
        <v>2195</v>
      </c>
      <c r="DU34" s="36">
        <v>12754</v>
      </c>
      <c r="DV34" s="36">
        <v>379</v>
      </c>
      <c r="DW34" s="71">
        <v>-1797</v>
      </c>
      <c r="DX34" s="39">
        <v>2147</v>
      </c>
      <c r="DY34" s="71">
        <v>13530</v>
      </c>
      <c r="DZ34" s="70">
        <v>1493</v>
      </c>
      <c r="EA34" s="35">
        <v>-2120</v>
      </c>
      <c r="EB34" s="35">
        <v>2309</v>
      </c>
      <c r="EC34" s="38">
        <v>13506</v>
      </c>
      <c r="ED34" s="38">
        <v>3563</v>
      </c>
      <c r="EE34" s="38">
        <v>-2823</v>
      </c>
      <c r="EF34" s="38">
        <v>2307</v>
      </c>
      <c r="EG34" s="73">
        <v>12907</v>
      </c>
      <c r="EH34" s="73">
        <v>3408</v>
      </c>
      <c r="EI34" s="73">
        <v>-3364</v>
      </c>
      <c r="EJ34" s="73">
        <v>2337</v>
      </c>
      <c r="EK34" s="73">
        <v>11871</v>
      </c>
      <c r="EL34" s="73">
        <v>37083.25134171918</v>
      </c>
      <c r="EM34" s="73">
        <v>-721.5262045198823</v>
      </c>
      <c r="EN34" s="73">
        <v>37919.649900012279</v>
      </c>
      <c r="EO34" s="73">
        <v>-736.49492997495679</v>
      </c>
      <c r="EP34" s="73">
        <v>38902.371954326889</v>
      </c>
      <c r="EQ34" s="73">
        <v>-587.14405127713496</v>
      </c>
      <c r="ER34" s="73">
        <v>41563.273138874451</v>
      </c>
      <c r="ES34" s="73">
        <v>-678.13371949281247</v>
      </c>
      <c r="ET34" s="73">
        <v>45039</v>
      </c>
      <c r="EU34" s="73">
        <v>775</v>
      </c>
      <c r="EV34" s="73">
        <v>46687</v>
      </c>
      <c r="EW34" s="73">
        <v>-464</v>
      </c>
      <c r="EX34" s="73">
        <v>49023</v>
      </c>
      <c r="EY34" s="73">
        <v>54</v>
      </c>
      <c r="EZ34" s="73">
        <v>52819</v>
      </c>
      <c r="FA34" s="73">
        <v>-2419</v>
      </c>
      <c r="FB34" s="73">
        <v>54961</v>
      </c>
      <c r="FC34" s="73">
        <v>-812</v>
      </c>
      <c r="FD34" s="73">
        <v>54900</v>
      </c>
      <c r="FE34" s="73">
        <v>797</v>
      </c>
      <c r="FF34" s="73">
        <v>60695</v>
      </c>
      <c r="FG34" s="73">
        <v>1081</v>
      </c>
      <c r="FH34" s="73">
        <v>-3582</v>
      </c>
      <c r="FI34" s="73">
        <v>-2501</v>
      </c>
      <c r="FJ34" s="79">
        <v>10700</v>
      </c>
      <c r="FK34" s="80">
        <v>28712</v>
      </c>
      <c r="FL34" s="80">
        <v>22196</v>
      </c>
      <c r="FM34" s="80">
        <v>15012</v>
      </c>
      <c r="FN34" s="76">
        <v>323</v>
      </c>
      <c r="FO34" s="80">
        <v>26135</v>
      </c>
      <c r="FP34" s="80">
        <v>1365</v>
      </c>
      <c r="FQ34" s="80">
        <v>1212</v>
      </c>
      <c r="FR34" s="80">
        <v>6976</v>
      </c>
      <c r="FS34" s="81">
        <v>-2049</v>
      </c>
      <c r="FT34" s="76">
        <v>2279</v>
      </c>
      <c r="FU34" s="76">
        <v>11839</v>
      </c>
      <c r="FV34" s="76">
        <v>2049</v>
      </c>
      <c r="FW34" s="80">
        <v>58787</v>
      </c>
      <c r="FX34" s="80">
        <v>4886</v>
      </c>
      <c r="FY34" s="73">
        <v>10663</v>
      </c>
      <c r="FZ34" s="73">
        <v>28411</v>
      </c>
      <c r="GA34" s="73">
        <v>23195</v>
      </c>
      <c r="GB34" s="73">
        <v>15123</v>
      </c>
      <c r="GC34" s="73">
        <v>90</v>
      </c>
      <c r="GD34" s="73">
        <v>25369</v>
      </c>
      <c r="GE34" s="73">
        <v>1635</v>
      </c>
      <c r="GF34" s="73">
        <v>1407</v>
      </c>
      <c r="GG34" s="73">
        <v>5259</v>
      </c>
      <c r="GH34" s="73">
        <v>-2130</v>
      </c>
      <c r="GI34" s="73">
        <v>2242</v>
      </c>
      <c r="GJ34" s="73">
        <v>10953</v>
      </c>
      <c r="GK34" s="73">
        <v>2130</v>
      </c>
      <c r="GL34" s="73">
        <v>61336</v>
      </c>
      <c r="GM34" s="73">
        <v>3436</v>
      </c>
      <c r="GN34" s="73">
        <v>6116</v>
      </c>
      <c r="GO34" s="77">
        <v>19.75</v>
      </c>
      <c r="GP34" s="78">
        <v>10638</v>
      </c>
      <c r="GQ34" s="73">
        <v>29452</v>
      </c>
      <c r="GR34" s="65">
        <v>24336</v>
      </c>
      <c r="GS34" s="65">
        <v>17037</v>
      </c>
      <c r="GT34" s="65">
        <v>124</v>
      </c>
      <c r="GU34" s="65">
        <v>25880</v>
      </c>
      <c r="GV34" s="65">
        <v>2142</v>
      </c>
      <c r="GW34" s="65">
        <v>1430</v>
      </c>
      <c r="GX34" s="65">
        <v>5233</v>
      </c>
      <c r="GY34" s="65">
        <v>-4139</v>
      </c>
      <c r="GZ34" s="65">
        <v>2482</v>
      </c>
      <c r="HA34" s="65">
        <v>10678</v>
      </c>
      <c r="HB34" s="65">
        <v>4139</v>
      </c>
      <c r="HC34" s="65">
        <v>65509</v>
      </c>
      <c r="HD34" s="65">
        <v>2771</v>
      </c>
      <c r="HE34" s="78">
        <v>10623</v>
      </c>
      <c r="HF34" s="73">
        <v>29589</v>
      </c>
      <c r="HG34" s="65">
        <v>25045</v>
      </c>
      <c r="HH34" s="65">
        <v>16845</v>
      </c>
      <c r="HI34" s="65">
        <v>919</v>
      </c>
      <c r="HJ34" s="65">
        <v>26480</v>
      </c>
      <c r="HK34" s="65">
        <v>1582</v>
      </c>
      <c r="HL34" s="65">
        <v>1527</v>
      </c>
      <c r="HM34" s="65">
        <v>1490</v>
      </c>
      <c r="HN34" s="65">
        <v>-7492</v>
      </c>
      <c r="HO34" s="65">
        <v>2541</v>
      </c>
      <c r="HP34" s="65">
        <v>12244</v>
      </c>
      <c r="HQ34" s="65">
        <v>7492</v>
      </c>
      <c r="HR34" s="65">
        <v>69818</v>
      </c>
      <c r="HS34" s="65">
        <v>-190</v>
      </c>
      <c r="HT34" s="65">
        <v>8696</v>
      </c>
      <c r="HU34" s="77">
        <v>19.75</v>
      </c>
      <c r="HV34" s="180">
        <v>240</v>
      </c>
      <c r="HW34" s="30" t="s">
        <v>757</v>
      </c>
    </row>
    <row r="35" spans="1:231" ht="15" x14ac:dyDescent="0.25">
      <c r="A35" s="27">
        <v>103</v>
      </c>
      <c r="B35" s="27" t="s">
        <v>164</v>
      </c>
      <c r="C35" s="27">
        <v>5</v>
      </c>
      <c r="D35" s="27" t="s">
        <v>109</v>
      </c>
      <c r="E35" s="27">
        <v>2</v>
      </c>
      <c r="F35" s="27" t="s">
        <v>744</v>
      </c>
      <c r="G35" s="29" t="s">
        <v>130</v>
      </c>
      <c r="H35" s="27" t="s">
        <v>98</v>
      </c>
      <c r="I35" s="31" t="s">
        <v>109</v>
      </c>
      <c r="J35" s="69">
        <v>2593</v>
      </c>
      <c r="K35" s="69">
        <v>2590</v>
      </c>
      <c r="L35" s="36">
        <v>2586</v>
      </c>
      <c r="M35" s="36">
        <v>2626</v>
      </c>
      <c r="N35" s="36">
        <v>2610</v>
      </c>
      <c r="O35" s="36">
        <v>2584</v>
      </c>
      <c r="P35" s="36">
        <v>2595</v>
      </c>
      <c r="Q35" s="36">
        <v>2600</v>
      </c>
      <c r="R35" s="69">
        <v>2582</v>
      </c>
      <c r="S35" s="69">
        <v>2566</v>
      </c>
      <c r="T35" s="71">
        <v>2537</v>
      </c>
      <c r="U35" s="36">
        <v>4560</v>
      </c>
      <c r="V35" s="36">
        <v>1912</v>
      </c>
      <c r="W35" s="36">
        <v>1020</v>
      </c>
      <c r="X35" s="36">
        <v>146.65987187443761</v>
      </c>
      <c r="Y35" s="36">
        <v>4286</v>
      </c>
      <c r="Z35" s="36">
        <v>2183</v>
      </c>
      <c r="AA35" s="36">
        <v>991</v>
      </c>
      <c r="AB35" s="36">
        <v>131.69114641936312</v>
      </c>
      <c r="AC35" s="36">
        <v>4778</v>
      </c>
      <c r="AD35" s="36">
        <v>2520</v>
      </c>
      <c r="AE35" s="36">
        <v>913</v>
      </c>
      <c r="AF35" s="36">
        <v>98.389936979983958</v>
      </c>
      <c r="AG35" s="36">
        <v>5031</v>
      </c>
      <c r="AH35" s="36">
        <v>2632</v>
      </c>
      <c r="AI35" s="36">
        <v>874</v>
      </c>
      <c r="AJ35" s="36">
        <v>52.13825720306842</v>
      </c>
      <c r="AK35" s="36">
        <v>5101</v>
      </c>
      <c r="AL35" s="36">
        <v>3067</v>
      </c>
      <c r="AM35" s="36">
        <v>1016</v>
      </c>
      <c r="AN35" s="36">
        <v>21</v>
      </c>
      <c r="AO35" s="36">
        <v>5128</v>
      </c>
      <c r="AP35" s="36">
        <v>3255</v>
      </c>
      <c r="AQ35" s="36">
        <v>1156</v>
      </c>
      <c r="AR35" s="36">
        <v>39</v>
      </c>
      <c r="AS35" s="36">
        <v>4914</v>
      </c>
      <c r="AT35" s="36">
        <v>3280</v>
      </c>
      <c r="AU35" s="36">
        <v>1362</v>
      </c>
      <c r="AV35" s="36">
        <v>60</v>
      </c>
      <c r="AW35" s="36">
        <v>5214</v>
      </c>
      <c r="AX35" s="69">
        <v>3660</v>
      </c>
      <c r="AY35" s="36">
        <v>1445</v>
      </c>
      <c r="AZ35" s="36">
        <v>45</v>
      </c>
      <c r="BA35" s="36">
        <v>5617</v>
      </c>
      <c r="BB35" s="36">
        <v>3677</v>
      </c>
      <c r="BC35" s="36">
        <v>1377</v>
      </c>
      <c r="BD35" s="36">
        <v>9</v>
      </c>
      <c r="BE35" s="70">
        <v>5963</v>
      </c>
      <c r="BF35" s="70">
        <v>4147</v>
      </c>
      <c r="BG35" s="70">
        <v>1450</v>
      </c>
      <c r="BH35" s="70">
        <v>51</v>
      </c>
      <c r="BI35" s="36">
        <v>6423</v>
      </c>
      <c r="BJ35" s="36">
        <v>4547</v>
      </c>
      <c r="BK35" s="36">
        <v>1619</v>
      </c>
      <c r="BL35" s="36">
        <v>35</v>
      </c>
      <c r="BM35" s="36">
        <v>3430.5291360354408</v>
      </c>
      <c r="BN35" s="36">
        <v>972.79896665337992</v>
      </c>
      <c r="BO35" s="36">
        <v>156.41477160920525</v>
      </c>
      <c r="BP35" s="36">
        <v>3394.0323559932926</v>
      </c>
      <c r="BQ35" s="36">
        <v>739.35412472480243</v>
      </c>
      <c r="BR35" s="36">
        <v>152.21007344766747</v>
      </c>
      <c r="BS35" s="36">
        <v>3755.3000220326185</v>
      </c>
      <c r="BT35" s="36">
        <v>842.9578874250933</v>
      </c>
      <c r="BU35" s="36">
        <v>179.96108131381678</v>
      </c>
      <c r="BV35" s="36">
        <v>4266</v>
      </c>
      <c r="BW35" s="36">
        <v>565</v>
      </c>
      <c r="BX35" s="36">
        <v>200</v>
      </c>
      <c r="BY35" s="36">
        <v>4655</v>
      </c>
      <c r="BZ35" s="36">
        <v>243</v>
      </c>
      <c r="CA35" s="36">
        <v>203</v>
      </c>
      <c r="CB35" s="36">
        <v>4751</v>
      </c>
      <c r="CC35" s="36">
        <v>174</v>
      </c>
      <c r="CD35" s="36">
        <v>203</v>
      </c>
      <c r="CE35" s="36">
        <v>4485</v>
      </c>
      <c r="CF35" s="36">
        <v>224</v>
      </c>
      <c r="CG35" s="36">
        <v>205</v>
      </c>
      <c r="CH35" s="36">
        <v>4705</v>
      </c>
      <c r="CI35" s="36">
        <v>295</v>
      </c>
      <c r="CJ35" s="70">
        <v>214</v>
      </c>
      <c r="CK35" s="70">
        <v>5075</v>
      </c>
      <c r="CL35" s="70">
        <v>321</v>
      </c>
      <c r="CM35" s="36">
        <v>221</v>
      </c>
      <c r="CN35" s="36">
        <v>5384</v>
      </c>
      <c r="CO35" s="36">
        <v>348</v>
      </c>
      <c r="CP35" s="36">
        <v>231</v>
      </c>
      <c r="CQ35" s="36">
        <v>5843</v>
      </c>
      <c r="CR35" s="36">
        <v>342</v>
      </c>
      <c r="CS35" s="36">
        <v>238</v>
      </c>
      <c r="CT35" s="36">
        <v>-209.56215637104273</v>
      </c>
      <c r="CU35" s="36">
        <v>-514.31867910000005</v>
      </c>
      <c r="CV35" s="36">
        <v>204.18014272427439</v>
      </c>
      <c r="CW35" s="36">
        <v>2415</v>
      </c>
      <c r="CX35" s="36">
        <v>-299.20632117502811</v>
      </c>
      <c r="CY35" s="36">
        <v>-466.21693219999997</v>
      </c>
      <c r="CZ35" s="36">
        <v>253.29101725103561</v>
      </c>
      <c r="DA35" s="36">
        <v>3737</v>
      </c>
      <c r="DB35" s="36">
        <v>183.99759154889307</v>
      </c>
      <c r="DC35" s="36">
        <v>-911.57856140000013</v>
      </c>
      <c r="DD35" s="36">
        <v>260.69128601534209</v>
      </c>
      <c r="DE35" s="36">
        <v>3375</v>
      </c>
      <c r="DF35" s="36">
        <v>-68.620673996296503</v>
      </c>
      <c r="DG35" s="36">
        <v>-236</v>
      </c>
      <c r="DH35" s="36">
        <v>274.31450805872447</v>
      </c>
      <c r="DI35" s="36">
        <v>3198</v>
      </c>
      <c r="DJ35" s="36">
        <v>663</v>
      </c>
      <c r="DK35" s="36">
        <v>-103</v>
      </c>
      <c r="DL35" s="36">
        <v>251</v>
      </c>
      <c r="DM35" s="36">
        <v>2875</v>
      </c>
      <c r="DN35" s="36">
        <v>319</v>
      </c>
      <c r="DO35" s="69">
        <v>-486</v>
      </c>
      <c r="DP35" s="36">
        <v>247</v>
      </c>
      <c r="DQ35" s="36">
        <v>3138</v>
      </c>
      <c r="DR35" s="36">
        <v>-364</v>
      </c>
      <c r="DS35" s="36">
        <v>-299</v>
      </c>
      <c r="DT35" s="36">
        <v>277</v>
      </c>
      <c r="DU35" s="36">
        <v>3836</v>
      </c>
      <c r="DV35" s="36">
        <v>-1</v>
      </c>
      <c r="DW35" s="71">
        <v>-261</v>
      </c>
      <c r="DX35" s="39">
        <v>248</v>
      </c>
      <c r="DY35" s="71">
        <v>4619</v>
      </c>
      <c r="DZ35" s="70">
        <v>-52</v>
      </c>
      <c r="EA35" s="35">
        <v>-235</v>
      </c>
      <c r="EB35" s="35">
        <v>229</v>
      </c>
      <c r="EC35" s="38">
        <v>4703</v>
      </c>
      <c r="ED35" s="38">
        <v>397</v>
      </c>
      <c r="EE35" s="38">
        <v>-213</v>
      </c>
      <c r="EF35" s="38">
        <v>239</v>
      </c>
      <c r="EG35" s="73">
        <v>4428</v>
      </c>
      <c r="EH35" s="73">
        <v>256</v>
      </c>
      <c r="EI35" s="73">
        <v>-503</v>
      </c>
      <c r="EJ35" s="73">
        <v>245</v>
      </c>
      <c r="EK35" s="73">
        <v>4892</v>
      </c>
      <c r="EL35" s="73">
        <v>7336.525540177573</v>
      </c>
      <c r="EM35" s="73">
        <v>-397.09169437562753</v>
      </c>
      <c r="EN35" s="73">
        <v>7370.4995013227981</v>
      </c>
      <c r="EO35" s="73">
        <v>-594.54432004144144</v>
      </c>
      <c r="EP35" s="73">
        <v>7542.7239380193851</v>
      </c>
      <c r="EQ35" s="73">
        <v>-163.64685244705024</v>
      </c>
      <c r="ER35" s="73">
        <v>8072.8522822260693</v>
      </c>
      <c r="ES35" s="73">
        <v>-321.57531539440907</v>
      </c>
      <c r="ET35" s="73">
        <v>8398</v>
      </c>
      <c r="EU35" s="73">
        <v>433</v>
      </c>
      <c r="EV35" s="73">
        <v>9136</v>
      </c>
      <c r="EW35" s="73">
        <v>93</v>
      </c>
      <c r="EX35" s="73">
        <v>9849</v>
      </c>
      <c r="EY35" s="73">
        <v>-620</v>
      </c>
      <c r="EZ35" s="73">
        <v>10171</v>
      </c>
      <c r="FA35" s="73">
        <v>-228</v>
      </c>
      <c r="FB35" s="73">
        <v>10594</v>
      </c>
      <c r="FC35" s="73">
        <v>-260</v>
      </c>
      <c r="FD35" s="73">
        <v>11033</v>
      </c>
      <c r="FE35" s="73">
        <v>179</v>
      </c>
      <c r="FF35" s="73">
        <v>12207</v>
      </c>
      <c r="FG35" s="73">
        <v>13</v>
      </c>
      <c r="FH35" s="73">
        <v>-576</v>
      </c>
      <c r="FI35" s="73">
        <v>-564</v>
      </c>
      <c r="FJ35" s="79">
        <v>2524</v>
      </c>
      <c r="FK35" s="80">
        <v>6310</v>
      </c>
      <c r="FL35" s="80">
        <v>5084</v>
      </c>
      <c r="FM35" s="80">
        <v>1976</v>
      </c>
      <c r="FN35" s="76">
        <v>0</v>
      </c>
      <c r="FO35" s="80">
        <v>5789</v>
      </c>
      <c r="FP35" s="80">
        <v>275</v>
      </c>
      <c r="FQ35" s="80">
        <v>246</v>
      </c>
      <c r="FR35" s="80">
        <v>201</v>
      </c>
      <c r="FS35" s="81">
        <v>-440</v>
      </c>
      <c r="FT35" s="76">
        <v>243</v>
      </c>
      <c r="FU35" s="76">
        <v>5195</v>
      </c>
      <c r="FV35" s="76">
        <v>440</v>
      </c>
      <c r="FW35" s="80">
        <v>13026</v>
      </c>
      <c r="FX35" s="80">
        <v>-40</v>
      </c>
      <c r="FY35" s="73">
        <v>2506</v>
      </c>
      <c r="FZ35" s="73">
        <v>6268</v>
      </c>
      <c r="GA35" s="73">
        <v>5805</v>
      </c>
      <c r="GB35" s="73">
        <v>1790</v>
      </c>
      <c r="GC35" s="73">
        <v>3</v>
      </c>
      <c r="GD35" s="73">
        <v>5575</v>
      </c>
      <c r="GE35" s="73">
        <v>373</v>
      </c>
      <c r="GF35" s="73">
        <v>320</v>
      </c>
      <c r="GG35" s="73">
        <v>656</v>
      </c>
      <c r="GH35" s="73">
        <v>-754</v>
      </c>
      <c r="GI35" s="73">
        <v>309</v>
      </c>
      <c r="GJ35" s="73">
        <v>4637</v>
      </c>
      <c r="GK35" s="73">
        <v>754</v>
      </c>
      <c r="GL35" s="73">
        <v>13129</v>
      </c>
      <c r="GM35" s="73">
        <v>347</v>
      </c>
      <c r="GN35" s="73">
        <v>-257</v>
      </c>
      <c r="GO35" s="77">
        <v>20.25</v>
      </c>
      <c r="GP35" s="78">
        <v>2503</v>
      </c>
      <c r="GQ35" s="73">
        <v>6382</v>
      </c>
      <c r="GR35" s="65">
        <v>5883</v>
      </c>
      <c r="GS35" s="65">
        <v>1987</v>
      </c>
      <c r="GT35" s="65">
        <v>44</v>
      </c>
      <c r="GU35" s="65">
        <v>5609</v>
      </c>
      <c r="GV35" s="65">
        <v>450</v>
      </c>
      <c r="GW35" s="65">
        <v>323</v>
      </c>
      <c r="GX35" s="65">
        <v>103</v>
      </c>
      <c r="GY35" s="65">
        <v>-256</v>
      </c>
      <c r="GZ35" s="65">
        <v>326</v>
      </c>
      <c r="HA35" s="65">
        <v>5330</v>
      </c>
      <c r="HB35" s="65">
        <v>256</v>
      </c>
      <c r="HC35" s="65">
        <v>14105</v>
      </c>
      <c r="HD35" s="65">
        <v>-221</v>
      </c>
      <c r="HE35" s="78">
        <v>2496</v>
      </c>
      <c r="HF35" s="73">
        <v>6658</v>
      </c>
      <c r="HG35" s="65">
        <v>6493</v>
      </c>
      <c r="HH35" s="65">
        <v>1921</v>
      </c>
      <c r="HI35" s="65">
        <v>0</v>
      </c>
      <c r="HJ35" s="65">
        <v>6064</v>
      </c>
      <c r="HK35" s="65">
        <v>263</v>
      </c>
      <c r="HL35" s="65">
        <v>331</v>
      </c>
      <c r="HM35" s="65">
        <v>141</v>
      </c>
      <c r="HN35" s="65">
        <v>-130</v>
      </c>
      <c r="HO35" s="65">
        <v>361</v>
      </c>
      <c r="HP35" s="65">
        <v>5976</v>
      </c>
      <c r="HQ35" s="65">
        <v>130</v>
      </c>
      <c r="HR35" s="65">
        <v>14871</v>
      </c>
      <c r="HS35" s="65">
        <v>-218</v>
      </c>
      <c r="HT35" s="65">
        <v>-696</v>
      </c>
      <c r="HU35" s="77">
        <v>21</v>
      </c>
      <c r="HV35" s="180">
        <v>340</v>
      </c>
      <c r="HW35" s="30" t="s">
        <v>761</v>
      </c>
    </row>
    <row r="36" spans="1:231" ht="15" x14ac:dyDescent="0.25">
      <c r="A36" s="27">
        <v>105</v>
      </c>
      <c r="B36" s="27" t="s">
        <v>165</v>
      </c>
      <c r="C36" s="27">
        <v>18</v>
      </c>
      <c r="D36" s="27" t="s">
        <v>108</v>
      </c>
      <c r="E36" s="27">
        <v>2</v>
      </c>
      <c r="F36" s="27" t="s">
        <v>744</v>
      </c>
      <c r="G36" s="29" t="s">
        <v>130</v>
      </c>
      <c r="H36" s="27" t="s">
        <v>98</v>
      </c>
      <c r="I36" s="31" t="s">
        <v>108</v>
      </c>
      <c r="J36" s="69">
        <v>3663</v>
      </c>
      <c r="K36" s="69">
        <v>3575</v>
      </c>
      <c r="L36" s="36">
        <v>3486</v>
      </c>
      <c r="M36" s="36">
        <v>3371</v>
      </c>
      <c r="N36" s="36">
        <v>3299</v>
      </c>
      <c r="O36" s="36">
        <v>3212</v>
      </c>
      <c r="P36" s="36">
        <v>3148</v>
      </c>
      <c r="Q36" s="36">
        <v>3096</v>
      </c>
      <c r="R36" s="69">
        <v>3015</v>
      </c>
      <c r="S36" s="69">
        <v>2967</v>
      </c>
      <c r="T36" s="71">
        <v>2877</v>
      </c>
      <c r="U36" s="36">
        <v>6546</v>
      </c>
      <c r="V36" s="36">
        <v>5496</v>
      </c>
      <c r="W36" s="36">
        <v>2582</v>
      </c>
      <c r="X36" s="36">
        <v>117.56336059659621</v>
      </c>
      <c r="Y36" s="36">
        <v>5922</v>
      </c>
      <c r="Z36" s="36">
        <v>5820</v>
      </c>
      <c r="AA36" s="36">
        <v>2682</v>
      </c>
      <c r="AB36" s="36">
        <v>101.41731965629116</v>
      </c>
      <c r="AC36" s="36">
        <v>6023</v>
      </c>
      <c r="AD36" s="36">
        <v>6299</v>
      </c>
      <c r="AE36" s="36">
        <v>2082</v>
      </c>
      <c r="AF36" s="36">
        <v>117.22698474367317</v>
      </c>
      <c r="AG36" s="36">
        <v>5953</v>
      </c>
      <c r="AH36" s="36">
        <v>6576</v>
      </c>
      <c r="AI36" s="36">
        <v>2137</v>
      </c>
      <c r="AJ36" s="36">
        <v>188.20228971043085</v>
      </c>
      <c r="AK36" s="36">
        <v>6172</v>
      </c>
      <c r="AL36" s="36">
        <v>7864</v>
      </c>
      <c r="AM36" s="36">
        <v>2324</v>
      </c>
      <c r="AN36" s="36">
        <v>108</v>
      </c>
      <c r="AO36" s="36">
        <v>5599</v>
      </c>
      <c r="AP36" s="36">
        <v>7771</v>
      </c>
      <c r="AQ36" s="36">
        <v>2190</v>
      </c>
      <c r="AR36" s="36">
        <v>116</v>
      </c>
      <c r="AS36" s="36">
        <v>5768</v>
      </c>
      <c r="AT36" s="36">
        <v>8196</v>
      </c>
      <c r="AU36" s="36">
        <v>1889</v>
      </c>
      <c r="AV36" s="36">
        <v>167</v>
      </c>
      <c r="AW36" s="36">
        <v>5943</v>
      </c>
      <c r="AX36" s="69">
        <v>7606</v>
      </c>
      <c r="AY36" s="36">
        <v>1999</v>
      </c>
      <c r="AZ36" s="36">
        <v>200</v>
      </c>
      <c r="BA36" s="36">
        <v>6292</v>
      </c>
      <c r="BB36" s="36">
        <v>8023</v>
      </c>
      <c r="BC36" s="36">
        <v>2055</v>
      </c>
      <c r="BD36" s="36">
        <v>19</v>
      </c>
      <c r="BE36" s="70">
        <v>6333</v>
      </c>
      <c r="BF36" s="70">
        <v>8277</v>
      </c>
      <c r="BG36" s="70">
        <v>2656</v>
      </c>
      <c r="BH36" s="70">
        <v>147</v>
      </c>
      <c r="BI36" s="36">
        <v>6906</v>
      </c>
      <c r="BJ36" s="36">
        <v>9047</v>
      </c>
      <c r="BK36" s="36">
        <v>2432</v>
      </c>
      <c r="BL36" s="36">
        <v>13</v>
      </c>
      <c r="BM36" s="36">
        <v>4885.3546999275104</v>
      </c>
      <c r="BN36" s="36">
        <v>1398.3144206010027</v>
      </c>
      <c r="BO36" s="36">
        <v>262.37316527995722</v>
      </c>
      <c r="BP36" s="36">
        <v>4504.7454223451114</v>
      </c>
      <c r="BQ36" s="36">
        <v>1133.2502484976612</v>
      </c>
      <c r="BR36" s="36">
        <v>283.90121986703059</v>
      </c>
      <c r="BS36" s="36">
        <v>4521.5642149912628</v>
      </c>
      <c r="BT36" s="36">
        <v>1156.1238064964268</v>
      </c>
      <c r="BU36" s="36">
        <v>345.62618887840517</v>
      </c>
      <c r="BV36" s="36">
        <v>4837</v>
      </c>
      <c r="BW36" s="36">
        <v>763</v>
      </c>
      <c r="BX36" s="36">
        <v>353</v>
      </c>
      <c r="BY36" s="36">
        <v>5219</v>
      </c>
      <c r="BZ36" s="36">
        <v>590</v>
      </c>
      <c r="CA36" s="36">
        <v>363</v>
      </c>
      <c r="CB36" s="36">
        <v>4963</v>
      </c>
      <c r="CC36" s="36">
        <v>286</v>
      </c>
      <c r="CD36" s="36">
        <v>350</v>
      </c>
      <c r="CE36" s="36">
        <v>5025</v>
      </c>
      <c r="CF36" s="36">
        <v>397</v>
      </c>
      <c r="CG36" s="36">
        <v>346</v>
      </c>
      <c r="CH36" s="36">
        <v>4993</v>
      </c>
      <c r="CI36" s="36">
        <v>593</v>
      </c>
      <c r="CJ36" s="70">
        <v>357</v>
      </c>
      <c r="CK36" s="70">
        <v>5158</v>
      </c>
      <c r="CL36" s="70">
        <v>646</v>
      </c>
      <c r="CM36" s="36">
        <v>488</v>
      </c>
      <c r="CN36" s="36">
        <v>5166</v>
      </c>
      <c r="CO36" s="36">
        <v>741</v>
      </c>
      <c r="CP36" s="36">
        <v>426</v>
      </c>
      <c r="CQ36" s="36">
        <v>5709</v>
      </c>
      <c r="CR36" s="36">
        <v>716</v>
      </c>
      <c r="CS36" s="36">
        <v>481</v>
      </c>
      <c r="CT36" s="36">
        <v>139.42779103659265</v>
      </c>
      <c r="CU36" s="36">
        <v>-1221.212534</v>
      </c>
      <c r="CV36" s="36">
        <v>699.99814993280893</v>
      </c>
      <c r="CW36" s="36">
        <v>3044</v>
      </c>
      <c r="CX36" s="36">
        <v>-56.67933121752921</v>
      </c>
      <c r="CY36" s="36">
        <v>-607.32660250000004</v>
      </c>
      <c r="CZ36" s="36">
        <v>761.55493101772197</v>
      </c>
      <c r="DA36" s="36">
        <v>3508</v>
      </c>
      <c r="DB36" s="36">
        <v>152.71463722705201</v>
      </c>
      <c r="DC36" s="36">
        <v>-590.17143399999998</v>
      </c>
      <c r="DD36" s="36">
        <v>776.52365647279646</v>
      </c>
      <c r="DE36" s="36">
        <v>3091</v>
      </c>
      <c r="DF36" s="36">
        <v>-471.5989457980769</v>
      </c>
      <c r="DG36" s="36">
        <v>-1185</v>
      </c>
      <c r="DH36" s="36">
        <v>785.77399242817955</v>
      </c>
      <c r="DI36" s="36">
        <v>4220</v>
      </c>
      <c r="DJ36" s="36">
        <v>1948</v>
      </c>
      <c r="DK36" s="36">
        <v>-110</v>
      </c>
      <c r="DL36" s="36">
        <v>747</v>
      </c>
      <c r="DM36" s="36">
        <v>4619</v>
      </c>
      <c r="DN36" s="36">
        <v>205</v>
      </c>
      <c r="DO36" s="69">
        <v>-522</v>
      </c>
      <c r="DP36" s="36">
        <v>651</v>
      </c>
      <c r="DQ36" s="36">
        <v>3540</v>
      </c>
      <c r="DR36" s="36">
        <v>425</v>
      </c>
      <c r="DS36" s="36">
        <v>-1481</v>
      </c>
      <c r="DT36" s="36">
        <v>683</v>
      </c>
      <c r="DU36" s="36">
        <v>4317</v>
      </c>
      <c r="DV36" s="36">
        <v>275</v>
      </c>
      <c r="DW36" s="71">
        <v>-835</v>
      </c>
      <c r="DX36" s="39">
        <v>593</v>
      </c>
      <c r="DY36" s="71">
        <v>4332</v>
      </c>
      <c r="DZ36" s="70">
        <v>158</v>
      </c>
      <c r="EA36" s="35">
        <v>-39</v>
      </c>
      <c r="EB36" s="35">
        <v>590</v>
      </c>
      <c r="EC36" s="38">
        <v>5127</v>
      </c>
      <c r="ED36" s="38">
        <v>258</v>
      </c>
      <c r="EE36" s="38">
        <v>-812</v>
      </c>
      <c r="EF36" s="38">
        <v>559</v>
      </c>
      <c r="EG36" s="73">
        <v>4951</v>
      </c>
      <c r="EH36" s="73">
        <v>177</v>
      </c>
      <c r="EI36" s="73">
        <v>-214</v>
      </c>
      <c r="EJ36" s="73">
        <v>598</v>
      </c>
      <c r="EK36" s="73">
        <v>4463</v>
      </c>
      <c r="EL36" s="73">
        <v>13940.424472688803</v>
      </c>
      <c r="EM36" s="73">
        <v>-465.71236837192401</v>
      </c>
      <c r="EN36" s="73">
        <v>13874.831181368814</v>
      </c>
      <c r="EO36" s="73">
        <v>-509.60941717837841</v>
      </c>
      <c r="EP36" s="73">
        <v>13621.203788264855</v>
      </c>
      <c r="EQ36" s="73">
        <v>-881.97748636416384</v>
      </c>
      <c r="ER36" s="73">
        <v>14497.79926098225</v>
      </c>
      <c r="ES36" s="73">
        <v>-1274.3599187988691</v>
      </c>
      <c r="ET36" s="73">
        <v>14271</v>
      </c>
      <c r="EU36" s="73">
        <v>1431</v>
      </c>
      <c r="EV36" s="73">
        <v>15254</v>
      </c>
      <c r="EW36" s="73">
        <v>-394</v>
      </c>
      <c r="EX36" s="73">
        <v>15364</v>
      </c>
      <c r="EY36" s="73">
        <v>-173</v>
      </c>
      <c r="EZ36" s="73">
        <v>15176</v>
      </c>
      <c r="FA36" s="73">
        <v>-165</v>
      </c>
      <c r="FB36" s="73">
        <v>16104</v>
      </c>
      <c r="FC36" s="73">
        <v>-354</v>
      </c>
      <c r="FD36" s="73">
        <v>16907</v>
      </c>
      <c r="FE36" s="73">
        <v>-223</v>
      </c>
      <c r="FF36" s="73">
        <v>18007</v>
      </c>
      <c r="FG36" s="73">
        <v>-333</v>
      </c>
      <c r="FH36" s="73">
        <v>-1719</v>
      </c>
      <c r="FI36" s="73">
        <v>-2052</v>
      </c>
      <c r="FJ36" s="79">
        <v>2791</v>
      </c>
      <c r="FK36" s="80">
        <v>6952</v>
      </c>
      <c r="FL36" s="80">
        <v>9510</v>
      </c>
      <c r="FM36" s="80">
        <v>2231</v>
      </c>
      <c r="FN36" s="76">
        <v>20</v>
      </c>
      <c r="FO36" s="80">
        <v>5817</v>
      </c>
      <c r="FP36" s="80">
        <v>632</v>
      </c>
      <c r="FQ36" s="80">
        <v>503</v>
      </c>
      <c r="FR36" s="80">
        <v>643</v>
      </c>
      <c r="FS36" s="81">
        <v>-75</v>
      </c>
      <c r="FT36" s="76">
        <v>527</v>
      </c>
      <c r="FU36" s="76">
        <v>4605</v>
      </c>
      <c r="FV36" s="76">
        <v>75</v>
      </c>
      <c r="FW36" s="80">
        <v>17907</v>
      </c>
      <c r="FX36" s="80">
        <v>194</v>
      </c>
      <c r="FY36" s="73">
        <v>2736</v>
      </c>
      <c r="FZ36" s="73">
        <v>7204</v>
      </c>
      <c r="GA36" s="73">
        <v>9997</v>
      </c>
      <c r="GB36" s="73">
        <v>2320</v>
      </c>
      <c r="GC36" s="73">
        <v>30</v>
      </c>
      <c r="GD36" s="73">
        <v>5758</v>
      </c>
      <c r="GE36" s="73">
        <v>859</v>
      </c>
      <c r="GF36" s="73">
        <v>587</v>
      </c>
      <c r="GG36" s="73">
        <v>1285</v>
      </c>
      <c r="GH36" s="73">
        <v>5</v>
      </c>
      <c r="GI36" s="73">
        <v>507</v>
      </c>
      <c r="GJ36" s="73">
        <v>3287</v>
      </c>
      <c r="GK36" s="73">
        <v>-5</v>
      </c>
      <c r="GL36" s="73">
        <v>18172</v>
      </c>
      <c r="GM36" s="73">
        <v>856</v>
      </c>
      <c r="GN36" s="73">
        <v>-1002</v>
      </c>
      <c r="GO36" s="77">
        <v>20.25</v>
      </c>
      <c r="GP36" s="78">
        <v>2672</v>
      </c>
      <c r="GQ36" s="73">
        <v>7092</v>
      </c>
      <c r="GR36" s="65">
        <v>9959</v>
      </c>
      <c r="GS36" s="65">
        <v>2300</v>
      </c>
      <c r="GT36" s="65">
        <v>22</v>
      </c>
      <c r="GU36" s="65">
        <v>5634</v>
      </c>
      <c r="GV36" s="65">
        <v>853</v>
      </c>
      <c r="GW36" s="65">
        <v>605</v>
      </c>
      <c r="GX36" s="65">
        <v>-59</v>
      </c>
      <c r="GY36" s="65">
        <v>-469</v>
      </c>
      <c r="GZ36" s="65">
        <v>462</v>
      </c>
      <c r="HA36" s="65">
        <v>3553</v>
      </c>
      <c r="HB36" s="65">
        <v>469</v>
      </c>
      <c r="HC36" s="65">
        <v>19352</v>
      </c>
      <c r="HD36" s="65">
        <v>-443</v>
      </c>
      <c r="HE36" s="78">
        <v>2603</v>
      </c>
      <c r="HF36" s="73">
        <v>6932</v>
      </c>
      <c r="HG36" s="65">
        <v>10531</v>
      </c>
      <c r="HH36" s="65">
        <v>2398</v>
      </c>
      <c r="HI36" s="65">
        <v>24</v>
      </c>
      <c r="HJ36" s="65">
        <v>5843</v>
      </c>
      <c r="HK36" s="65">
        <v>471</v>
      </c>
      <c r="HL36" s="65">
        <v>618</v>
      </c>
      <c r="HM36" s="65">
        <v>222</v>
      </c>
      <c r="HN36" s="65">
        <v>-2162</v>
      </c>
      <c r="HO36" s="65">
        <v>459</v>
      </c>
      <c r="HP36" s="65">
        <v>6180</v>
      </c>
      <c r="HQ36" s="65">
        <v>2162</v>
      </c>
      <c r="HR36" s="65">
        <v>19590</v>
      </c>
      <c r="HS36" s="65">
        <v>-159</v>
      </c>
      <c r="HT36" s="65">
        <v>-1604</v>
      </c>
      <c r="HU36" s="77">
        <v>20.25</v>
      </c>
      <c r="HV36" s="180">
        <v>340</v>
      </c>
      <c r="HW36" s="30" t="s">
        <v>761</v>
      </c>
    </row>
    <row r="37" spans="1:231" ht="15" x14ac:dyDescent="0.25">
      <c r="A37" s="27">
        <v>106</v>
      </c>
      <c r="B37" s="27" t="s">
        <v>166</v>
      </c>
      <c r="C37" s="27">
        <v>1</v>
      </c>
      <c r="D37" s="27" t="s">
        <v>121</v>
      </c>
      <c r="E37" s="27">
        <v>6</v>
      </c>
      <c r="F37" s="27" t="s">
        <v>102</v>
      </c>
      <c r="G37" s="29" t="s">
        <v>141</v>
      </c>
      <c r="H37" s="27" t="s">
        <v>97</v>
      </c>
      <c r="I37" s="31" t="s">
        <v>121</v>
      </c>
      <c r="J37" s="69">
        <v>42011</v>
      </c>
      <c r="K37" s="69">
        <v>42325</v>
      </c>
      <c r="L37" s="36">
        <v>42545</v>
      </c>
      <c r="M37" s="36">
        <v>42736</v>
      </c>
      <c r="N37" s="36">
        <v>42997</v>
      </c>
      <c r="O37" s="36">
        <v>43169</v>
      </c>
      <c r="P37" s="36">
        <v>43523</v>
      </c>
      <c r="Q37" s="36">
        <v>43848</v>
      </c>
      <c r="R37" s="69">
        <v>44310</v>
      </c>
      <c r="S37" s="69">
        <v>44652</v>
      </c>
      <c r="T37" s="71">
        <v>44987</v>
      </c>
      <c r="U37" s="36">
        <v>94096</v>
      </c>
      <c r="V37" s="36">
        <v>27140</v>
      </c>
      <c r="W37" s="36">
        <v>21551</v>
      </c>
      <c r="X37" s="36">
        <v>1912.2967238673807</v>
      </c>
      <c r="Y37" s="36">
        <v>99172</v>
      </c>
      <c r="Z37" s="36">
        <v>28258</v>
      </c>
      <c r="AA37" s="36">
        <v>26677</v>
      </c>
      <c r="AB37" s="36">
        <v>2522.4825210697422</v>
      </c>
      <c r="AC37" s="36">
        <v>102289</v>
      </c>
      <c r="AD37" s="36">
        <v>28199</v>
      </c>
      <c r="AE37" s="36">
        <v>24909</v>
      </c>
      <c r="AF37" s="36">
        <v>1873.9498766341555</v>
      </c>
      <c r="AG37" s="36">
        <v>114820</v>
      </c>
      <c r="AH37" s="36">
        <v>28704</v>
      </c>
      <c r="AI37" s="36">
        <v>28425</v>
      </c>
      <c r="AJ37" s="36">
        <v>712.94862027034526</v>
      </c>
      <c r="AK37" s="36">
        <v>121729</v>
      </c>
      <c r="AL37" s="36">
        <v>31529</v>
      </c>
      <c r="AM37" s="36">
        <v>28989</v>
      </c>
      <c r="AN37" s="36">
        <v>731</v>
      </c>
      <c r="AO37" s="36">
        <v>115927</v>
      </c>
      <c r="AP37" s="36">
        <v>33186</v>
      </c>
      <c r="AQ37" s="36">
        <v>34208</v>
      </c>
      <c r="AR37" s="36">
        <v>748</v>
      </c>
      <c r="AS37" s="36">
        <v>117700</v>
      </c>
      <c r="AT37" s="36">
        <v>38284</v>
      </c>
      <c r="AU37" s="36">
        <v>33477</v>
      </c>
      <c r="AV37" s="36">
        <v>850</v>
      </c>
      <c r="AW37" s="36">
        <v>121026</v>
      </c>
      <c r="AX37" s="69">
        <v>40613</v>
      </c>
      <c r="AY37" s="36">
        <v>36851</v>
      </c>
      <c r="AZ37" s="36">
        <v>799</v>
      </c>
      <c r="BA37" s="36">
        <v>127380</v>
      </c>
      <c r="BB37" s="36">
        <v>43638</v>
      </c>
      <c r="BC37" s="36">
        <v>46624</v>
      </c>
      <c r="BD37" s="36">
        <v>551</v>
      </c>
      <c r="BE37" s="70">
        <v>143707</v>
      </c>
      <c r="BF37" s="70">
        <v>46632</v>
      </c>
      <c r="BG37" s="70">
        <v>41864</v>
      </c>
      <c r="BH37" s="70">
        <v>947</v>
      </c>
      <c r="BI37" s="36">
        <v>157639</v>
      </c>
      <c r="BJ37" s="36">
        <v>54738</v>
      </c>
      <c r="BK37" s="36">
        <v>43639</v>
      </c>
      <c r="BL37" s="36">
        <v>6671</v>
      </c>
      <c r="BM37" s="36">
        <v>81035.129412200011</v>
      </c>
      <c r="BN37" s="36">
        <v>10376.017747190001</v>
      </c>
      <c r="BO37" s="36">
        <v>2626.759035475879</v>
      </c>
      <c r="BP37" s="36">
        <v>83779.619996198948</v>
      </c>
      <c r="BQ37" s="36">
        <v>11386.65899729722</v>
      </c>
      <c r="BR37" s="36">
        <v>3948.5479495368945</v>
      </c>
      <c r="BS37" s="36">
        <v>84952.226219488599</v>
      </c>
      <c r="BT37" s="36">
        <v>13205.611421978461</v>
      </c>
      <c r="BU37" s="36">
        <v>4077.0435253534888</v>
      </c>
      <c r="BV37" s="36">
        <v>97128</v>
      </c>
      <c r="BW37" s="36">
        <v>13305</v>
      </c>
      <c r="BX37" s="36">
        <v>4336</v>
      </c>
      <c r="BY37" s="36">
        <v>106070</v>
      </c>
      <c r="BZ37" s="36">
        <v>11121</v>
      </c>
      <c r="CA37" s="36">
        <v>4490</v>
      </c>
      <c r="CB37" s="36">
        <v>105385</v>
      </c>
      <c r="CC37" s="36">
        <v>6024</v>
      </c>
      <c r="CD37" s="36">
        <v>4473</v>
      </c>
      <c r="CE37" s="36">
        <v>106180</v>
      </c>
      <c r="CF37" s="36">
        <v>6783</v>
      </c>
      <c r="CG37" s="36">
        <v>4690</v>
      </c>
      <c r="CH37" s="36">
        <v>109860</v>
      </c>
      <c r="CI37" s="36">
        <v>6395</v>
      </c>
      <c r="CJ37" s="70">
        <v>4726</v>
      </c>
      <c r="CK37" s="70">
        <v>116054</v>
      </c>
      <c r="CL37" s="70">
        <v>6003</v>
      </c>
      <c r="CM37" s="36">
        <v>5280</v>
      </c>
      <c r="CN37" s="36">
        <v>126705</v>
      </c>
      <c r="CO37" s="36">
        <v>11534</v>
      </c>
      <c r="CP37" s="36">
        <v>5468</v>
      </c>
      <c r="CQ37" s="36">
        <v>136984</v>
      </c>
      <c r="CR37" s="36">
        <v>14632</v>
      </c>
      <c r="CS37" s="36">
        <v>6023</v>
      </c>
      <c r="CT37" s="36">
        <v>9520.1093894273708</v>
      </c>
      <c r="CU37" s="36">
        <v>-9430.8016000000007</v>
      </c>
      <c r="CV37" s="36">
        <v>8826.502380700098</v>
      </c>
      <c r="CW37" s="36">
        <v>41534</v>
      </c>
      <c r="CX37" s="36">
        <v>15041.719015158778</v>
      </c>
      <c r="CY37" s="36">
        <v>-7749.595088</v>
      </c>
      <c r="CZ37" s="36">
        <v>8261.3909477894213</v>
      </c>
      <c r="DA37" s="36">
        <v>29959</v>
      </c>
      <c r="DB37" s="36">
        <v>8739.0446589401126</v>
      </c>
      <c r="DC37" s="36">
        <v>-13541.650900000001</v>
      </c>
      <c r="DD37" s="36">
        <v>8769.8230494825693</v>
      </c>
      <c r="DE37" s="36">
        <v>28399</v>
      </c>
      <c r="DF37" s="36">
        <v>12139.972719918327</v>
      </c>
      <c r="DG37" s="36">
        <v>-8589</v>
      </c>
      <c r="DH37" s="36">
        <v>10200.765927817105</v>
      </c>
      <c r="DI37" s="36">
        <v>25556</v>
      </c>
      <c r="DJ37" s="36">
        <v>20354</v>
      </c>
      <c r="DK37" s="36">
        <v>-10967</v>
      </c>
      <c r="DL37" s="36">
        <v>9114</v>
      </c>
      <c r="DM37" s="36">
        <v>30122</v>
      </c>
      <c r="DN37" s="36">
        <v>10597</v>
      </c>
      <c r="DO37" s="69">
        <v>-6001</v>
      </c>
      <c r="DP37" s="36">
        <v>10091</v>
      </c>
      <c r="DQ37" s="36">
        <v>31669</v>
      </c>
      <c r="DR37" s="36">
        <v>6582</v>
      </c>
      <c r="DS37" s="36">
        <v>-17419</v>
      </c>
      <c r="DT37" s="36">
        <v>10578</v>
      </c>
      <c r="DU37" s="36">
        <v>49438</v>
      </c>
      <c r="DV37" s="36">
        <v>7482</v>
      </c>
      <c r="DW37" s="71">
        <v>-19817</v>
      </c>
      <c r="DX37" s="39">
        <v>9898</v>
      </c>
      <c r="DY37" s="71">
        <v>59851</v>
      </c>
      <c r="DZ37" s="70">
        <v>10899</v>
      </c>
      <c r="EA37" s="35">
        <v>-12105</v>
      </c>
      <c r="EB37" s="35">
        <v>11747</v>
      </c>
      <c r="EC37" s="38">
        <v>70724</v>
      </c>
      <c r="ED37" s="38">
        <v>14106</v>
      </c>
      <c r="EE37" s="38">
        <v>-14030</v>
      </c>
      <c r="EF37" s="38">
        <v>12669</v>
      </c>
      <c r="EG37" s="73">
        <v>72678</v>
      </c>
      <c r="EH37" s="73">
        <v>22199</v>
      </c>
      <c r="EI37" s="73">
        <v>-20178</v>
      </c>
      <c r="EJ37" s="73">
        <v>13220</v>
      </c>
      <c r="EK37" s="73">
        <v>68994</v>
      </c>
      <c r="EL37" s="73">
        <v>125994.62135011176</v>
      </c>
      <c r="EM37" s="73">
        <v>1493.6769749046794</v>
      </c>
      <c r="EN37" s="73">
        <v>133320.88742677518</v>
      </c>
      <c r="EO37" s="73">
        <v>4170.3878245396272</v>
      </c>
      <c r="EP37" s="73">
        <v>140128.29375030485</v>
      </c>
      <c r="EQ37" s="73">
        <v>919.81976981800381</v>
      </c>
      <c r="ER37" s="73">
        <v>151215.24186264764</v>
      </c>
      <c r="ES37" s="73">
        <v>1884.209340148308</v>
      </c>
      <c r="ET37" s="73">
        <v>161425</v>
      </c>
      <c r="EU37" s="73">
        <v>11169</v>
      </c>
      <c r="EV37" s="73">
        <v>172538</v>
      </c>
      <c r="EW37" s="73">
        <v>420</v>
      </c>
      <c r="EX37" s="73">
        <v>182488</v>
      </c>
      <c r="EY37" s="73">
        <v>-3926</v>
      </c>
      <c r="EZ37" s="73">
        <v>194258</v>
      </c>
      <c r="FA37" s="73">
        <v>-2357</v>
      </c>
      <c r="FB37" s="73">
        <v>205269</v>
      </c>
      <c r="FC37" s="73">
        <v>-802</v>
      </c>
      <c r="FD37" s="73">
        <v>216092</v>
      </c>
      <c r="FE37" s="73">
        <v>1234</v>
      </c>
      <c r="FF37" s="73">
        <v>231710</v>
      </c>
      <c r="FG37" s="73">
        <v>14705</v>
      </c>
      <c r="FH37" s="73">
        <v>14789</v>
      </c>
      <c r="FI37" s="73">
        <v>29732</v>
      </c>
      <c r="FJ37" s="79">
        <v>45270</v>
      </c>
      <c r="FK37" s="80">
        <v>154863</v>
      </c>
      <c r="FL37" s="80">
        <v>51172</v>
      </c>
      <c r="FM37" s="80">
        <v>43303</v>
      </c>
      <c r="FN37" s="76">
        <v>490</v>
      </c>
      <c r="FO37" s="80">
        <v>140180</v>
      </c>
      <c r="FP37" s="80">
        <v>8391</v>
      </c>
      <c r="FQ37" s="80">
        <v>6292</v>
      </c>
      <c r="FR37" s="80">
        <v>10510</v>
      </c>
      <c r="FS37" s="81">
        <v>-20177</v>
      </c>
      <c r="FT37" s="76">
        <v>15128</v>
      </c>
      <c r="FU37" s="76">
        <v>83084</v>
      </c>
      <c r="FV37" s="76">
        <v>20177</v>
      </c>
      <c r="FW37" s="80">
        <v>236818</v>
      </c>
      <c r="FX37" s="80">
        <v>-4603</v>
      </c>
      <c r="FY37" s="73">
        <v>45489</v>
      </c>
      <c r="FZ37" s="73">
        <v>161885</v>
      </c>
      <c r="GA37" s="73">
        <v>45178</v>
      </c>
      <c r="GB37" s="73">
        <v>51066</v>
      </c>
      <c r="GC37" s="73">
        <v>6641</v>
      </c>
      <c r="GD37" s="73">
        <v>145120</v>
      </c>
      <c r="GE37" s="73">
        <v>9872</v>
      </c>
      <c r="GF37" s="73">
        <v>6893</v>
      </c>
      <c r="GG37" s="73">
        <v>18786</v>
      </c>
      <c r="GH37" s="73">
        <v>-6554</v>
      </c>
      <c r="GI37" s="73">
        <v>15240</v>
      </c>
      <c r="GJ37" s="73">
        <v>71627</v>
      </c>
      <c r="GK37" s="73">
        <v>6554</v>
      </c>
      <c r="GL37" s="73">
        <v>238586</v>
      </c>
      <c r="GM37" s="73">
        <v>7119</v>
      </c>
      <c r="GN37" s="73">
        <v>32249</v>
      </c>
      <c r="GO37" s="77">
        <v>19.25</v>
      </c>
      <c r="GP37" s="78">
        <v>45527</v>
      </c>
      <c r="GQ37" s="73">
        <v>169463</v>
      </c>
      <c r="GR37" s="65">
        <v>47800</v>
      </c>
      <c r="GS37" s="65">
        <v>53283</v>
      </c>
      <c r="GT37" s="65">
        <v>806</v>
      </c>
      <c r="GU37" s="65">
        <v>148894</v>
      </c>
      <c r="GV37" s="65">
        <v>13604</v>
      </c>
      <c r="GW37" s="65">
        <v>6965</v>
      </c>
      <c r="GX37" s="65">
        <v>17601</v>
      </c>
      <c r="GY37" s="65">
        <v>-12137</v>
      </c>
      <c r="GZ37" s="65">
        <v>14281</v>
      </c>
      <c r="HA37" s="65">
        <v>80183</v>
      </c>
      <c r="HB37" s="65">
        <v>12137</v>
      </c>
      <c r="HC37" s="65">
        <v>251822</v>
      </c>
      <c r="HD37" s="65">
        <v>3219</v>
      </c>
      <c r="HE37" s="78">
        <v>45592</v>
      </c>
      <c r="HF37" s="73">
        <v>173340</v>
      </c>
      <c r="HG37" s="65">
        <v>50359</v>
      </c>
      <c r="HH37" s="65">
        <v>52877</v>
      </c>
      <c r="HI37" s="65">
        <v>708</v>
      </c>
      <c r="HJ37" s="65">
        <v>153534</v>
      </c>
      <c r="HK37" s="65">
        <v>11179</v>
      </c>
      <c r="HL37" s="65">
        <v>8627</v>
      </c>
      <c r="HM37" s="65">
        <v>10046</v>
      </c>
      <c r="HN37" s="65">
        <v>-22687</v>
      </c>
      <c r="HO37" s="65">
        <v>14258</v>
      </c>
      <c r="HP37" s="65">
        <v>95212</v>
      </c>
      <c r="HQ37" s="65">
        <v>22687</v>
      </c>
      <c r="HR37" s="65">
        <v>265264</v>
      </c>
      <c r="HS37" s="65">
        <v>-4212</v>
      </c>
      <c r="HT37" s="65">
        <v>31390</v>
      </c>
      <c r="HU37" s="77">
        <v>19.25</v>
      </c>
      <c r="HV37" s="180">
        <v>130</v>
      </c>
      <c r="HW37" s="30" t="s">
        <v>752</v>
      </c>
    </row>
    <row r="38" spans="1:231" ht="15" x14ac:dyDescent="0.25">
      <c r="A38" s="27">
        <v>108</v>
      </c>
      <c r="B38" s="27" t="s">
        <v>167</v>
      </c>
      <c r="C38" s="27">
        <v>6</v>
      </c>
      <c r="D38" s="27" t="s">
        <v>114</v>
      </c>
      <c r="E38" s="27">
        <v>4</v>
      </c>
      <c r="F38" s="27" t="s">
        <v>100</v>
      </c>
      <c r="G38" s="29" t="s">
        <v>132</v>
      </c>
      <c r="H38" s="27" t="s">
        <v>99</v>
      </c>
      <c r="I38" s="31" t="s">
        <v>114</v>
      </c>
      <c r="J38" s="69">
        <v>9881</v>
      </c>
      <c r="K38" s="69">
        <v>9904</v>
      </c>
      <c r="L38" s="36">
        <v>9897</v>
      </c>
      <c r="M38" s="36">
        <v>9915</v>
      </c>
      <c r="N38" s="36">
        <v>9939</v>
      </c>
      <c r="O38" s="36">
        <v>10009</v>
      </c>
      <c r="P38" s="36">
        <v>10089</v>
      </c>
      <c r="Q38" s="36">
        <v>10186</v>
      </c>
      <c r="R38" s="69">
        <v>10238</v>
      </c>
      <c r="S38" s="69">
        <v>10276</v>
      </c>
      <c r="T38" s="71">
        <v>10327</v>
      </c>
      <c r="U38" s="36">
        <v>16660</v>
      </c>
      <c r="V38" s="36">
        <v>7505</v>
      </c>
      <c r="W38" s="36">
        <v>8170</v>
      </c>
      <c r="X38" s="36">
        <v>754.65922603280001</v>
      </c>
      <c r="Y38" s="36">
        <v>19871</v>
      </c>
      <c r="Z38" s="36">
        <v>8111</v>
      </c>
      <c r="AA38" s="36">
        <v>7178</v>
      </c>
      <c r="AB38" s="36">
        <v>797.04258350110081</v>
      </c>
      <c r="AC38" s="36">
        <v>16694</v>
      </c>
      <c r="AD38" s="36">
        <v>8791</v>
      </c>
      <c r="AE38" s="36">
        <v>7000</v>
      </c>
      <c r="AF38" s="36">
        <v>634.0684827598966</v>
      </c>
      <c r="AG38" s="36">
        <v>22167</v>
      </c>
      <c r="AH38" s="36">
        <v>10056</v>
      </c>
      <c r="AI38" s="36">
        <v>7069</v>
      </c>
      <c r="AJ38" s="36">
        <v>633.227543127589</v>
      </c>
      <c r="AK38" s="36">
        <v>20267</v>
      </c>
      <c r="AL38" s="36">
        <v>10466</v>
      </c>
      <c r="AM38" s="36">
        <v>7395</v>
      </c>
      <c r="AN38" s="36">
        <v>530</v>
      </c>
      <c r="AO38" s="36">
        <v>21410</v>
      </c>
      <c r="AP38" s="36">
        <v>12124</v>
      </c>
      <c r="AQ38" s="36">
        <v>7486</v>
      </c>
      <c r="AR38" s="36">
        <v>2989</v>
      </c>
      <c r="AS38" s="36">
        <v>20998</v>
      </c>
      <c r="AT38" s="36">
        <v>12132</v>
      </c>
      <c r="AU38" s="36">
        <v>5452</v>
      </c>
      <c r="AV38" s="36">
        <v>1156</v>
      </c>
      <c r="AW38" s="36">
        <v>22079</v>
      </c>
      <c r="AX38" s="69">
        <v>13231</v>
      </c>
      <c r="AY38" s="36">
        <v>6037</v>
      </c>
      <c r="AZ38" s="36">
        <v>843</v>
      </c>
      <c r="BA38" s="36">
        <v>23924</v>
      </c>
      <c r="BB38" s="36">
        <v>14546</v>
      </c>
      <c r="BC38" s="36">
        <v>7546</v>
      </c>
      <c r="BD38" s="36">
        <v>430</v>
      </c>
      <c r="BE38" s="70">
        <v>25677</v>
      </c>
      <c r="BF38" s="70">
        <v>15067</v>
      </c>
      <c r="BG38" s="70">
        <v>7041</v>
      </c>
      <c r="BH38" s="70">
        <v>624</v>
      </c>
      <c r="BI38" s="36">
        <v>27840</v>
      </c>
      <c r="BJ38" s="36">
        <v>17014</v>
      </c>
      <c r="BK38" s="36">
        <v>7221</v>
      </c>
      <c r="BL38" s="36">
        <v>466</v>
      </c>
      <c r="BM38" s="36">
        <v>14334.488784388122</v>
      </c>
      <c r="BN38" s="36">
        <v>1845.5261170621604</v>
      </c>
      <c r="BO38" s="36">
        <v>479.84015419469097</v>
      </c>
      <c r="BP38" s="36">
        <v>15548.301049660849</v>
      </c>
      <c r="BQ38" s="36">
        <v>3710.2256577409335</v>
      </c>
      <c r="BR38" s="36">
        <v>612.0358643934386</v>
      </c>
      <c r="BS38" s="36">
        <v>15412.741580932869</v>
      </c>
      <c r="BT38" s="36">
        <v>645.84163761220236</v>
      </c>
      <c r="BU38" s="36">
        <v>635.24579824512716</v>
      </c>
      <c r="BV38" s="36">
        <v>17894</v>
      </c>
      <c r="BW38" s="36">
        <v>3597</v>
      </c>
      <c r="BX38" s="36">
        <v>676</v>
      </c>
      <c r="BY38" s="36">
        <v>19375</v>
      </c>
      <c r="BZ38" s="36">
        <v>170</v>
      </c>
      <c r="CA38" s="36">
        <v>722</v>
      </c>
      <c r="CB38" s="36">
        <v>19563</v>
      </c>
      <c r="CC38" s="36">
        <v>1021</v>
      </c>
      <c r="CD38" s="36">
        <v>826</v>
      </c>
      <c r="CE38" s="36">
        <v>19353</v>
      </c>
      <c r="CF38" s="36">
        <v>767</v>
      </c>
      <c r="CG38" s="36">
        <v>878</v>
      </c>
      <c r="CH38" s="36">
        <v>20313</v>
      </c>
      <c r="CI38" s="36">
        <v>859</v>
      </c>
      <c r="CJ38" s="70">
        <v>907</v>
      </c>
      <c r="CK38" s="70">
        <v>21900</v>
      </c>
      <c r="CL38" s="70">
        <v>1087</v>
      </c>
      <c r="CM38" s="36">
        <v>937</v>
      </c>
      <c r="CN38" s="36">
        <v>23240</v>
      </c>
      <c r="CO38" s="36">
        <v>1389</v>
      </c>
      <c r="CP38" s="36">
        <v>1048</v>
      </c>
      <c r="CQ38" s="36">
        <v>25359</v>
      </c>
      <c r="CR38" s="36">
        <v>1296</v>
      </c>
      <c r="CS38" s="36">
        <v>1185</v>
      </c>
      <c r="CT38" s="36">
        <v>345.9625647313282</v>
      </c>
      <c r="CU38" s="36">
        <v>-1313.7158939999999</v>
      </c>
      <c r="CV38" s="36">
        <v>1920.2015564110714</v>
      </c>
      <c r="CW38" s="36">
        <v>191</v>
      </c>
      <c r="CX38" s="36">
        <v>4560.7520018567948</v>
      </c>
      <c r="CY38" s="36">
        <v>-1038.22407</v>
      </c>
      <c r="CZ38" s="36">
        <v>1800.2835648440141</v>
      </c>
      <c r="DA38" s="36">
        <v>198</v>
      </c>
      <c r="DB38" s="36">
        <v>-448.72538779931142</v>
      </c>
      <c r="DC38" s="36">
        <v>-2204.7755280000001</v>
      </c>
      <c r="DD38" s="36">
        <v>1953.3345779239892</v>
      </c>
      <c r="DE38" s="36">
        <v>146</v>
      </c>
      <c r="DF38" s="36">
        <v>3628.9908892600233</v>
      </c>
      <c r="DG38" s="36">
        <v>-2126</v>
      </c>
      <c r="DH38" s="36">
        <v>2240.2631804673269</v>
      </c>
      <c r="DI38" s="36">
        <v>228</v>
      </c>
      <c r="DJ38" s="36">
        <v>2015</v>
      </c>
      <c r="DK38" s="36">
        <v>-2327</v>
      </c>
      <c r="DL38" s="36">
        <v>2180</v>
      </c>
      <c r="DM38" s="36">
        <v>177</v>
      </c>
      <c r="DN38" s="36">
        <v>2894</v>
      </c>
      <c r="DO38" s="69">
        <v>-1094</v>
      </c>
      <c r="DP38" s="36">
        <v>2287</v>
      </c>
      <c r="DQ38" s="36">
        <v>143</v>
      </c>
      <c r="DR38" s="36">
        <v>94</v>
      </c>
      <c r="DS38" s="36">
        <v>-4469</v>
      </c>
      <c r="DT38" s="36">
        <v>1666</v>
      </c>
      <c r="DU38" s="36">
        <v>113</v>
      </c>
      <c r="DV38" s="36">
        <v>782</v>
      </c>
      <c r="DW38" s="71">
        <v>-1833</v>
      </c>
      <c r="DX38" s="39">
        <v>1691</v>
      </c>
      <c r="DY38" s="71">
        <v>84</v>
      </c>
      <c r="DZ38" s="70">
        <v>2021</v>
      </c>
      <c r="EA38" s="35">
        <v>-1162</v>
      </c>
      <c r="EB38" s="35">
        <v>1748</v>
      </c>
      <c r="EC38" s="38">
        <v>54</v>
      </c>
      <c r="ED38" s="38">
        <v>1340</v>
      </c>
      <c r="EE38" s="38">
        <v>-2843</v>
      </c>
      <c r="EF38" s="38">
        <v>1554</v>
      </c>
      <c r="EG38" s="73">
        <v>25</v>
      </c>
      <c r="EH38" s="73">
        <v>231</v>
      </c>
      <c r="EI38" s="73">
        <v>-4484</v>
      </c>
      <c r="EJ38" s="73">
        <v>1502</v>
      </c>
      <c r="EK38" s="73">
        <v>8</v>
      </c>
      <c r="EL38" s="73">
        <v>31143.190154951535</v>
      </c>
      <c r="EM38" s="73">
        <v>-1856.4583322821588</v>
      </c>
      <c r="EN38" s="73">
        <v>29745.548486056377</v>
      </c>
      <c r="EO38" s="73">
        <v>2818.3250837155401</v>
      </c>
      <c r="EP38" s="73">
        <v>31988.839049200014</v>
      </c>
      <c r="EQ38" s="73">
        <v>-2266.5004969953225</v>
      </c>
      <c r="ER38" s="73">
        <v>34604.161305676513</v>
      </c>
      <c r="ES38" s="73">
        <v>1410.5921392326929</v>
      </c>
      <c r="ET38" s="73">
        <v>36813</v>
      </c>
      <c r="EU38" s="73">
        <v>-160</v>
      </c>
      <c r="EV38" s="73">
        <v>38548</v>
      </c>
      <c r="EW38" s="73">
        <v>3124</v>
      </c>
      <c r="EX38" s="73">
        <v>38915</v>
      </c>
      <c r="EY38" s="73">
        <v>-843</v>
      </c>
      <c r="EZ38" s="73">
        <v>41173</v>
      </c>
      <c r="FA38" s="73">
        <v>-607</v>
      </c>
      <c r="FB38" s="73">
        <v>44425</v>
      </c>
      <c r="FC38" s="73">
        <v>673</v>
      </c>
      <c r="FD38" s="73">
        <v>47004</v>
      </c>
      <c r="FE38" s="73">
        <v>-176</v>
      </c>
      <c r="FF38" s="73">
        <v>52310</v>
      </c>
      <c r="FG38" s="73">
        <v>-1233</v>
      </c>
      <c r="FH38" s="73">
        <v>2138</v>
      </c>
      <c r="FI38" s="73">
        <v>906</v>
      </c>
      <c r="FJ38" s="79">
        <v>10436</v>
      </c>
      <c r="FK38" s="80">
        <v>28750</v>
      </c>
      <c r="FL38" s="80">
        <v>18533</v>
      </c>
      <c r="FM38" s="80">
        <v>7351</v>
      </c>
      <c r="FN38" s="76">
        <v>394</v>
      </c>
      <c r="FO38" s="80">
        <v>26574</v>
      </c>
      <c r="FP38" s="80">
        <v>948</v>
      </c>
      <c r="FQ38" s="80">
        <v>1228</v>
      </c>
      <c r="FR38" s="80">
        <v>2453</v>
      </c>
      <c r="FS38" s="81">
        <v>-6654</v>
      </c>
      <c r="FT38" s="76">
        <v>1507</v>
      </c>
      <c r="FU38" s="76">
        <v>6573</v>
      </c>
      <c r="FV38" s="76">
        <v>6654</v>
      </c>
      <c r="FW38" s="80">
        <v>52575</v>
      </c>
      <c r="FX38" s="80">
        <v>984</v>
      </c>
      <c r="FY38" s="73">
        <v>10489</v>
      </c>
      <c r="FZ38" s="73">
        <v>29845</v>
      </c>
      <c r="GA38" s="73">
        <v>18952</v>
      </c>
      <c r="GB38" s="73">
        <v>8160</v>
      </c>
      <c r="GC38" s="73">
        <v>257</v>
      </c>
      <c r="GD38" s="73">
        <v>27013</v>
      </c>
      <c r="GE38" s="73">
        <v>1075</v>
      </c>
      <c r="GF38" s="73">
        <v>1757</v>
      </c>
      <c r="GG38" s="73">
        <v>4777</v>
      </c>
      <c r="GH38" s="73">
        <v>-3600</v>
      </c>
      <c r="GI38" s="73">
        <v>1541</v>
      </c>
      <c r="GJ38" s="73">
        <v>8172</v>
      </c>
      <c r="GK38" s="73">
        <v>3600</v>
      </c>
      <c r="GL38" s="73">
        <v>52437</v>
      </c>
      <c r="GM38" s="73">
        <v>3313</v>
      </c>
      <c r="GN38" s="73">
        <v>5203</v>
      </c>
      <c r="GO38" s="77">
        <v>20</v>
      </c>
      <c r="GP38" s="78">
        <v>10533</v>
      </c>
      <c r="GQ38" s="73">
        <v>30877</v>
      </c>
      <c r="GR38" s="65">
        <v>20429</v>
      </c>
      <c r="GS38" s="65">
        <v>9092</v>
      </c>
      <c r="GT38" s="65">
        <v>304</v>
      </c>
      <c r="GU38" s="65">
        <v>27786</v>
      </c>
      <c r="GV38" s="65">
        <v>1261</v>
      </c>
      <c r="GW38" s="65">
        <v>1830</v>
      </c>
      <c r="GX38" s="65">
        <v>2342</v>
      </c>
      <c r="GY38" s="65">
        <v>-5216</v>
      </c>
      <c r="GZ38" s="65">
        <v>1727</v>
      </c>
      <c r="HA38" s="65">
        <v>8468</v>
      </c>
      <c r="HB38" s="65">
        <v>5216</v>
      </c>
      <c r="HC38" s="65">
        <v>58216</v>
      </c>
      <c r="HD38" s="65">
        <v>692</v>
      </c>
      <c r="HE38" s="78">
        <v>10500</v>
      </c>
      <c r="HF38" s="73">
        <v>31964</v>
      </c>
      <c r="HG38" s="65">
        <v>21185</v>
      </c>
      <c r="HH38" s="65">
        <v>9936</v>
      </c>
      <c r="HI38" s="65">
        <v>450</v>
      </c>
      <c r="HJ38" s="65">
        <v>29179</v>
      </c>
      <c r="HK38" s="65">
        <v>785</v>
      </c>
      <c r="HL38" s="65">
        <v>2000</v>
      </c>
      <c r="HM38" s="65">
        <v>-421</v>
      </c>
      <c r="HN38" s="65">
        <v>-4393</v>
      </c>
      <c r="HO38" s="65">
        <v>2088</v>
      </c>
      <c r="HP38" s="65">
        <v>11514</v>
      </c>
      <c r="HQ38" s="65">
        <v>4393</v>
      </c>
      <c r="HR38" s="65">
        <v>63643</v>
      </c>
      <c r="HS38" s="65">
        <v>-2302</v>
      </c>
      <c r="HT38" s="65">
        <v>2781</v>
      </c>
      <c r="HU38" s="77">
        <v>20</v>
      </c>
      <c r="HV38" s="180">
        <v>230</v>
      </c>
      <c r="HW38" s="30" t="s">
        <v>756</v>
      </c>
    </row>
    <row r="39" spans="1:231" ht="15" x14ac:dyDescent="0.25">
      <c r="A39" s="27">
        <v>109</v>
      </c>
      <c r="B39" s="27" t="s">
        <v>168</v>
      </c>
      <c r="C39" s="27">
        <v>5</v>
      </c>
      <c r="D39" s="27" t="s">
        <v>109</v>
      </c>
      <c r="E39" s="27">
        <v>6</v>
      </c>
      <c r="F39" s="27" t="s">
        <v>102</v>
      </c>
      <c r="G39" s="29" t="s">
        <v>141</v>
      </c>
      <c r="H39" s="27" t="s">
        <v>97</v>
      </c>
      <c r="I39" s="31" t="s">
        <v>109</v>
      </c>
      <c r="J39" s="69">
        <v>62571</v>
      </c>
      <c r="K39" s="69">
        <v>62950</v>
      </c>
      <c r="L39" s="36">
        <v>63033</v>
      </c>
      <c r="M39" s="36">
        <v>63207</v>
      </c>
      <c r="N39" s="36">
        <v>63539</v>
      </c>
      <c r="O39" s="36">
        <v>63779</v>
      </c>
      <c r="P39" s="36">
        <v>64111</v>
      </c>
      <c r="Q39" s="36">
        <v>64271</v>
      </c>
      <c r="R39" s="69">
        <v>64905</v>
      </c>
      <c r="S39" s="69">
        <v>65421</v>
      </c>
      <c r="T39" s="71">
        <v>66106</v>
      </c>
      <c r="U39" s="36">
        <v>136559</v>
      </c>
      <c r="V39" s="36">
        <v>44902</v>
      </c>
      <c r="W39" s="36">
        <v>40658</v>
      </c>
      <c r="X39" s="36">
        <v>4865.5085246050521</v>
      </c>
      <c r="Y39" s="36">
        <v>136472</v>
      </c>
      <c r="Z39" s="36">
        <v>41437</v>
      </c>
      <c r="AA39" s="36">
        <v>42612</v>
      </c>
      <c r="AB39" s="36">
        <v>5126.8725623262408</v>
      </c>
      <c r="AC39" s="36">
        <v>138771</v>
      </c>
      <c r="AD39" s="36">
        <v>40178</v>
      </c>
      <c r="AE39" s="36">
        <v>42406</v>
      </c>
      <c r="AF39" s="36">
        <v>4370.5314570288256</v>
      </c>
      <c r="AG39" s="36">
        <v>147617</v>
      </c>
      <c r="AH39" s="36">
        <v>46223</v>
      </c>
      <c r="AI39" s="36">
        <v>47272</v>
      </c>
      <c r="AJ39" s="36">
        <v>6134.8228056100761</v>
      </c>
      <c r="AK39" s="36">
        <v>159458</v>
      </c>
      <c r="AL39" s="36">
        <v>51409</v>
      </c>
      <c r="AM39" s="36">
        <v>41890</v>
      </c>
      <c r="AN39" s="36">
        <v>6556</v>
      </c>
      <c r="AO39" s="36">
        <v>153229</v>
      </c>
      <c r="AP39" s="36">
        <v>57442</v>
      </c>
      <c r="AQ39" s="36">
        <v>43563</v>
      </c>
      <c r="AR39" s="36">
        <v>7192</v>
      </c>
      <c r="AS39" s="36">
        <v>158437</v>
      </c>
      <c r="AT39" s="36">
        <v>61016</v>
      </c>
      <c r="AU39" s="36">
        <v>49478</v>
      </c>
      <c r="AV39" s="36">
        <v>6851</v>
      </c>
      <c r="AW39" s="36">
        <v>165368</v>
      </c>
      <c r="AX39" s="69">
        <v>65214</v>
      </c>
      <c r="AY39" s="36">
        <v>50172</v>
      </c>
      <c r="AZ39" s="36">
        <v>14688</v>
      </c>
      <c r="BA39" s="36">
        <v>178130</v>
      </c>
      <c r="BB39" s="36">
        <v>68824</v>
      </c>
      <c r="BC39" s="36">
        <v>53571</v>
      </c>
      <c r="BD39" s="36">
        <v>6239</v>
      </c>
      <c r="BE39" s="70">
        <v>197010</v>
      </c>
      <c r="BF39" s="70">
        <v>71919</v>
      </c>
      <c r="BG39" s="70">
        <v>59200</v>
      </c>
      <c r="BH39" s="70">
        <v>10854</v>
      </c>
      <c r="BI39" s="36">
        <v>208949</v>
      </c>
      <c r="BJ39" s="36">
        <v>79705</v>
      </c>
      <c r="BK39" s="36">
        <v>62178</v>
      </c>
      <c r="BL39" s="36">
        <v>946</v>
      </c>
      <c r="BM39" s="36">
        <v>112034.35070210051</v>
      </c>
      <c r="BN39" s="36">
        <v>18600.743727010813</v>
      </c>
      <c r="BO39" s="36">
        <v>5879.3453453150405</v>
      </c>
      <c r="BP39" s="36">
        <v>112849.22120580653</v>
      </c>
      <c r="BQ39" s="36">
        <v>17501.467439658372</v>
      </c>
      <c r="BR39" s="36">
        <v>6076.2934072014705</v>
      </c>
      <c r="BS39" s="36">
        <v>109584.02080148274</v>
      </c>
      <c r="BT39" s="36">
        <v>22647.345237674766</v>
      </c>
      <c r="BU39" s="36">
        <v>6493.0630889730946</v>
      </c>
      <c r="BV39" s="36">
        <v>126976</v>
      </c>
      <c r="BW39" s="36">
        <v>13595</v>
      </c>
      <c r="BX39" s="36">
        <v>6997</v>
      </c>
      <c r="BY39" s="36">
        <v>138790</v>
      </c>
      <c r="BZ39" s="36">
        <v>13136</v>
      </c>
      <c r="CA39" s="36">
        <v>7487</v>
      </c>
      <c r="CB39" s="36">
        <v>138824</v>
      </c>
      <c r="CC39" s="36">
        <v>6619</v>
      </c>
      <c r="CD39" s="36">
        <v>7741</v>
      </c>
      <c r="CE39" s="36">
        <v>142184</v>
      </c>
      <c r="CF39" s="36">
        <v>8267</v>
      </c>
      <c r="CG39" s="36">
        <v>7940</v>
      </c>
      <c r="CH39" s="36">
        <v>146426</v>
      </c>
      <c r="CI39" s="36">
        <v>10577</v>
      </c>
      <c r="CJ39" s="70">
        <v>8321</v>
      </c>
      <c r="CK39" s="70">
        <v>156619</v>
      </c>
      <c r="CL39" s="70">
        <v>12673</v>
      </c>
      <c r="CM39" s="36">
        <v>8793</v>
      </c>
      <c r="CN39" s="36">
        <v>170138</v>
      </c>
      <c r="CO39" s="36">
        <v>17170</v>
      </c>
      <c r="CP39" s="36">
        <v>9658</v>
      </c>
      <c r="CQ39" s="36">
        <v>179567</v>
      </c>
      <c r="CR39" s="36">
        <v>18697</v>
      </c>
      <c r="CS39" s="36">
        <v>10643</v>
      </c>
      <c r="CT39" s="36">
        <v>9669.4602681251927</v>
      </c>
      <c r="CU39" s="36">
        <v>-18893.895280399996</v>
      </c>
      <c r="CV39" s="36">
        <v>12566.833677277642</v>
      </c>
      <c r="CW39" s="36">
        <v>37636</v>
      </c>
      <c r="CX39" s="36">
        <v>9971.1894081971441</v>
      </c>
      <c r="CY39" s="36">
        <v>-17934.046787900003</v>
      </c>
      <c r="CZ39" s="36">
        <v>11500.017659732279</v>
      </c>
      <c r="DA39" s="36">
        <v>41343</v>
      </c>
      <c r="DB39" s="36">
        <v>2194.011500690412</v>
      </c>
      <c r="DC39" s="36">
        <v>67400.638782600014</v>
      </c>
      <c r="DD39" s="36">
        <v>11308.956175272002</v>
      </c>
      <c r="DE39" s="36">
        <v>41140</v>
      </c>
      <c r="DF39" s="36">
        <v>8777.72788202626</v>
      </c>
      <c r="DG39" s="36">
        <v>43591</v>
      </c>
      <c r="DH39" s="36">
        <v>10781.18246203578</v>
      </c>
      <c r="DI39" s="36">
        <v>38951</v>
      </c>
      <c r="DJ39" s="36">
        <v>18024</v>
      </c>
      <c r="DK39" s="36">
        <v>-6796</v>
      </c>
      <c r="DL39" s="36">
        <v>9782</v>
      </c>
      <c r="DM39" s="36">
        <v>39208</v>
      </c>
      <c r="DN39" s="36">
        <v>10057</v>
      </c>
      <c r="DO39" s="69">
        <v>-15246</v>
      </c>
      <c r="DP39" s="36">
        <v>10158</v>
      </c>
      <c r="DQ39" s="36">
        <v>45191</v>
      </c>
      <c r="DR39" s="36">
        <v>7927</v>
      </c>
      <c r="DS39" s="36">
        <v>-17392</v>
      </c>
      <c r="DT39" s="36">
        <v>10452</v>
      </c>
      <c r="DU39" s="36">
        <v>55960</v>
      </c>
      <c r="DV39" s="36">
        <v>9510</v>
      </c>
      <c r="DW39" s="71">
        <v>-21128</v>
      </c>
      <c r="DX39" s="39">
        <v>11497</v>
      </c>
      <c r="DY39" s="71">
        <v>68879</v>
      </c>
      <c r="DZ39" s="70">
        <v>11196</v>
      </c>
      <c r="EA39" s="35">
        <v>-27833</v>
      </c>
      <c r="EB39" s="35">
        <v>11275</v>
      </c>
      <c r="EC39" s="38">
        <v>99651</v>
      </c>
      <c r="ED39" s="38">
        <v>17772</v>
      </c>
      <c r="EE39" s="38">
        <v>-24466</v>
      </c>
      <c r="EF39" s="38">
        <v>12611</v>
      </c>
      <c r="EG39" s="73">
        <v>109852</v>
      </c>
      <c r="EH39" s="73">
        <v>-1079</v>
      </c>
      <c r="EI39" s="73">
        <v>-28087</v>
      </c>
      <c r="EJ39" s="73">
        <v>13657</v>
      </c>
      <c r="EK39" s="73">
        <v>120966</v>
      </c>
      <c r="EL39" s="73">
        <v>206078.311662319</v>
      </c>
      <c r="EM39" s="73">
        <v>680.82472631619657</v>
      </c>
      <c r="EN39" s="73">
        <v>204294.67870219468</v>
      </c>
      <c r="EO39" s="73">
        <v>1594.9261066345086</v>
      </c>
      <c r="EP39" s="73">
        <v>208692.96116708964</v>
      </c>
      <c r="EQ39" s="73">
        <v>-2739.7813220580147</v>
      </c>
      <c r="ER39" s="73">
        <v>222117.72145724748</v>
      </c>
      <c r="ES39" s="73">
        <v>49224.233189196275</v>
      </c>
      <c r="ET39" s="73">
        <v>234040</v>
      </c>
      <c r="EU39" s="73">
        <v>2345</v>
      </c>
      <c r="EV39" s="73">
        <v>250051</v>
      </c>
      <c r="EW39" s="73">
        <v>1427</v>
      </c>
      <c r="EX39" s="73">
        <v>265756</v>
      </c>
      <c r="EY39" s="73">
        <v>-2675</v>
      </c>
      <c r="EZ39" s="73">
        <v>280774</v>
      </c>
      <c r="FA39" s="73">
        <v>756</v>
      </c>
      <c r="FB39" s="73">
        <v>295256</v>
      </c>
      <c r="FC39" s="73">
        <v>-514</v>
      </c>
      <c r="FD39" s="73">
        <v>315296</v>
      </c>
      <c r="FE39" s="73">
        <v>4506</v>
      </c>
      <c r="FF39" s="73">
        <v>344060</v>
      </c>
      <c r="FG39" s="73">
        <v>-6177</v>
      </c>
      <c r="FH39" s="73">
        <v>15554</v>
      </c>
      <c r="FI39" s="73">
        <v>9376</v>
      </c>
      <c r="FJ39" s="79">
        <v>66616</v>
      </c>
      <c r="FK39" s="80">
        <v>206295</v>
      </c>
      <c r="FL39" s="80">
        <v>80551</v>
      </c>
      <c r="FM39" s="80">
        <v>75552</v>
      </c>
      <c r="FN39" s="76">
        <v>8887</v>
      </c>
      <c r="FO39" s="80">
        <v>182580</v>
      </c>
      <c r="FP39" s="80">
        <v>12214</v>
      </c>
      <c r="FQ39" s="80">
        <v>11501</v>
      </c>
      <c r="FR39" s="80">
        <v>9684</v>
      </c>
      <c r="FS39" s="81">
        <v>-11109</v>
      </c>
      <c r="FT39" s="76">
        <v>16208</v>
      </c>
      <c r="FU39" s="76">
        <v>145752</v>
      </c>
      <c r="FV39" s="76">
        <v>11109</v>
      </c>
      <c r="FW39" s="80">
        <v>360113</v>
      </c>
      <c r="FX39" s="80">
        <v>-6516</v>
      </c>
      <c r="FY39" s="73">
        <v>66829</v>
      </c>
      <c r="FZ39" s="73">
        <v>220704</v>
      </c>
      <c r="GA39" s="73">
        <v>87257</v>
      </c>
      <c r="GB39" s="73">
        <v>78396</v>
      </c>
      <c r="GC39" s="73">
        <v>4658</v>
      </c>
      <c r="GD39" s="73">
        <v>192922</v>
      </c>
      <c r="GE39" s="73">
        <v>14783</v>
      </c>
      <c r="GF39" s="73">
        <v>12999</v>
      </c>
      <c r="GG39" s="73">
        <v>14381</v>
      </c>
      <c r="GH39" s="73">
        <v>-9849</v>
      </c>
      <c r="GI39" s="73">
        <v>19005</v>
      </c>
      <c r="GJ39" s="73">
        <v>157355</v>
      </c>
      <c r="GK39" s="73">
        <v>9849</v>
      </c>
      <c r="GL39" s="73">
        <v>375670</v>
      </c>
      <c r="GM39" s="73">
        <v>-4669</v>
      </c>
      <c r="GN39" s="73">
        <v>-4564</v>
      </c>
      <c r="GO39" s="77">
        <v>19</v>
      </c>
      <c r="GP39" s="78">
        <v>67270</v>
      </c>
      <c r="GQ39" s="73">
        <v>225385</v>
      </c>
      <c r="GR39" s="65">
        <v>91820</v>
      </c>
      <c r="GS39" s="65">
        <v>80288</v>
      </c>
      <c r="GT39" s="65">
        <v>1233</v>
      </c>
      <c r="GU39" s="65">
        <v>195019</v>
      </c>
      <c r="GV39" s="65">
        <v>17170</v>
      </c>
      <c r="GW39" s="65">
        <v>13196</v>
      </c>
      <c r="GX39" s="65">
        <v>4624</v>
      </c>
      <c r="GY39" s="65">
        <v>-47304</v>
      </c>
      <c r="GZ39" s="65">
        <v>14275</v>
      </c>
      <c r="HA39" s="65">
        <v>175552</v>
      </c>
      <c r="HB39" s="65">
        <v>47304</v>
      </c>
      <c r="HC39" s="65">
        <v>392531</v>
      </c>
      <c r="HD39" s="65">
        <v>-12210</v>
      </c>
      <c r="HE39" s="78">
        <v>67497</v>
      </c>
      <c r="HF39" s="73">
        <v>237372</v>
      </c>
      <c r="HG39" s="65">
        <v>97214</v>
      </c>
      <c r="HH39" s="65">
        <v>82958</v>
      </c>
      <c r="HI39" s="65">
        <v>5744</v>
      </c>
      <c r="HJ39" s="65">
        <v>208681</v>
      </c>
      <c r="HK39" s="65">
        <v>11090</v>
      </c>
      <c r="HL39" s="65">
        <v>17601</v>
      </c>
      <c r="HM39" s="65">
        <v>10611</v>
      </c>
      <c r="HN39" s="65">
        <v>-22656</v>
      </c>
      <c r="HO39" s="65">
        <v>14503</v>
      </c>
      <c r="HP39" s="65">
        <v>181586</v>
      </c>
      <c r="HQ39" s="65">
        <v>22656</v>
      </c>
      <c r="HR39" s="65">
        <v>410095</v>
      </c>
      <c r="HS39" s="65">
        <v>-3595</v>
      </c>
      <c r="HT39" s="65">
        <v>-20370</v>
      </c>
      <c r="HU39" s="77">
        <v>19.5</v>
      </c>
      <c r="HV39" s="180">
        <v>130</v>
      </c>
      <c r="HW39" s="30" t="s">
        <v>752</v>
      </c>
    </row>
    <row r="40" spans="1:231" ht="15" x14ac:dyDescent="0.25">
      <c r="A40" s="27">
        <v>139</v>
      </c>
      <c r="B40" s="27" t="s">
        <v>169</v>
      </c>
      <c r="C40" s="27">
        <v>17</v>
      </c>
      <c r="D40" s="27" t="s">
        <v>117</v>
      </c>
      <c r="E40" s="27">
        <v>3</v>
      </c>
      <c r="F40" s="27" t="s">
        <v>743</v>
      </c>
      <c r="G40" s="29" t="s">
        <v>132</v>
      </c>
      <c r="H40" s="27" t="s">
        <v>99</v>
      </c>
      <c r="I40" s="31" t="s">
        <v>117</v>
      </c>
      <c r="J40" s="69">
        <v>8489</v>
      </c>
      <c r="K40" s="69">
        <v>8479</v>
      </c>
      <c r="L40" s="36">
        <v>8439</v>
      </c>
      <c r="M40" s="36">
        <v>8464</v>
      </c>
      <c r="N40" s="36">
        <v>8481</v>
      </c>
      <c r="O40" s="36">
        <v>8512</v>
      </c>
      <c r="P40" s="36">
        <v>8660</v>
      </c>
      <c r="Q40" s="36">
        <v>8868</v>
      </c>
      <c r="R40" s="69">
        <v>8981</v>
      </c>
      <c r="S40" s="69">
        <v>9077</v>
      </c>
      <c r="T40" s="71">
        <v>9177</v>
      </c>
      <c r="U40" s="36">
        <v>14153</v>
      </c>
      <c r="V40" s="36">
        <v>12803</v>
      </c>
      <c r="W40" s="36">
        <v>5001</v>
      </c>
      <c r="X40" s="36">
        <v>710.9303651528071</v>
      </c>
      <c r="Y40" s="36">
        <v>13871</v>
      </c>
      <c r="Z40" s="36">
        <v>13111</v>
      </c>
      <c r="AA40" s="36">
        <v>4962</v>
      </c>
      <c r="AB40" s="36">
        <v>616.24056255497635</v>
      </c>
      <c r="AC40" s="36">
        <v>13515</v>
      </c>
      <c r="AD40" s="36">
        <v>14095</v>
      </c>
      <c r="AE40" s="36">
        <v>4961</v>
      </c>
      <c r="AF40" s="36">
        <v>505.90928279622517</v>
      </c>
      <c r="AG40" s="36">
        <v>15329</v>
      </c>
      <c r="AH40" s="36">
        <v>15509</v>
      </c>
      <c r="AI40" s="36">
        <v>4829</v>
      </c>
      <c r="AJ40" s="36">
        <v>547.61988855867992</v>
      </c>
      <c r="AK40" s="36">
        <v>16432</v>
      </c>
      <c r="AL40" s="36">
        <v>16066</v>
      </c>
      <c r="AM40" s="36">
        <v>5076</v>
      </c>
      <c r="AN40" s="36">
        <v>458</v>
      </c>
      <c r="AO40" s="36">
        <v>16226</v>
      </c>
      <c r="AP40" s="36">
        <v>16170</v>
      </c>
      <c r="AQ40" s="36">
        <v>5483</v>
      </c>
      <c r="AR40" s="36">
        <v>443</v>
      </c>
      <c r="AS40" s="36">
        <v>16484</v>
      </c>
      <c r="AT40" s="36">
        <v>15817</v>
      </c>
      <c r="AU40" s="36">
        <v>5910</v>
      </c>
      <c r="AV40" s="36">
        <v>502</v>
      </c>
      <c r="AW40" s="36">
        <v>17323</v>
      </c>
      <c r="AX40" s="69">
        <v>16189</v>
      </c>
      <c r="AY40" s="36">
        <v>6712</v>
      </c>
      <c r="AZ40" s="36">
        <v>464</v>
      </c>
      <c r="BA40" s="36">
        <v>19182</v>
      </c>
      <c r="BB40" s="36">
        <v>17698</v>
      </c>
      <c r="BC40" s="36">
        <v>6895</v>
      </c>
      <c r="BD40" s="36">
        <v>425</v>
      </c>
      <c r="BE40" s="70">
        <v>21406</v>
      </c>
      <c r="BF40" s="70">
        <v>18538</v>
      </c>
      <c r="BG40" s="70">
        <v>8275</v>
      </c>
      <c r="BH40" s="70">
        <v>497</v>
      </c>
      <c r="BI40" s="36">
        <v>23090</v>
      </c>
      <c r="BJ40" s="36">
        <v>20783</v>
      </c>
      <c r="BK40" s="36">
        <v>8178</v>
      </c>
      <c r="BL40" s="36">
        <v>548</v>
      </c>
      <c r="BM40" s="36">
        <v>12186.392587621704</v>
      </c>
      <c r="BN40" s="36">
        <v>1189.425015935806</v>
      </c>
      <c r="BO40" s="36">
        <v>777.02822025218097</v>
      </c>
      <c r="BP40" s="36">
        <v>11811.669887465459</v>
      </c>
      <c r="BQ40" s="36">
        <v>1128.540986556739</v>
      </c>
      <c r="BR40" s="36">
        <v>931.08836089092506</v>
      </c>
      <c r="BS40" s="36">
        <v>11531.46880198058</v>
      </c>
      <c r="BT40" s="36">
        <v>1280.7510600044066</v>
      </c>
      <c r="BU40" s="36">
        <v>703.3619084620392</v>
      </c>
      <c r="BV40" s="36">
        <v>13331</v>
      </c>
      <c r="BW40" s="36">
        <v>1001</v>
      </c>
      <c r="BX40" s="36">
        <v>997</v>
      </c>
      <c r="BY40" s="36">
        <v>14815</v>
      </c>
      <c r="BZ40" s="36">
        <v>561</v>
      </c>
      <c r="CA40" s="36">
        <v>1056</v>
      </c>
      <c r="CB40" s="36">
        <v>14830</v>
      </c>
      <c r="CC40" s="36">
        <v>360</v>
      </c>
      <c r="CD40" s="36">
        <v>1036</v>
      </c>
      <c r="CE40" s="36">
        <v>14923</v>
      </c>
      <c r="CF40" s="36">
        <v>440</v>
      </c>
      <c r="CG40" s="36">
        <v>1121</v>
      </c>
      <c r="CH40" s="36">
        <v>15498</v>
      </c>
      <c r="CI40" s="36">
        <v>636</v>
      </c>
      <c r="CJ40" s="70">
        <v>1189</v>
      </c>
      <c r="CK40" s="70">
        <v>16811</v>
      </c>
      <c r="CL40" s="70">
        <v>776</v>
      </c>
      <c r="CM40" s="36">
        <v>1595</v>
      </c>
      <c r="CN40" s="36">
        <v>18725</v>
      </c>
      <c r="CO40" s="36">
        <v>945</v>
      </c>
      <c r="CP40" s="36">
        <v>1736</v>
      </c>
      <c r="CQ40" s="36">
        <v>20105</v>
      </c>
      <c r="CR40" s="36">
        <v>1077</v>
      </c>
      <c r="CS40" s="36">
        <v>1908</v>
      </c>
      <c r="CT40" s="36">
        <v>1576.0890588708198</v>
      </c>
      <c r="CU40" s="36">
        <v>-2270.2006316000002</v>
      </c>
      <c r="CV40" s="36">
        <v>1051.5109162373667</v>
      </c>
      <c r="CW40" s="36">
        <v>12891</v>
      </c>
      <c r="CX40" s="36">
        <v>1220.371594404724</v>
      </c>
      <c r="CY40" s="36">
        <v>-3233.5810738</v>
      </c>
      <c r="CZ40" s="36">
        <v>1245.9361592268738</v>
      </c>
      <c r="DA40" s="36">
        <v>14090</v>
      </c>
      <c r="DB40" s="36">
        <v>129.16832752244048</v>
      </c>
      <c r="DC40" s="36">
        <v>-2760.1320608000001</v>
      </c>
      <c r="DD40" s="36">
        <v>1282.4329392690215</v>
      </c>
      <c r="DE40" s="36">
        <v>14043</v>
      </c>
      <c r="DF40" s="36">
        <v>1018.0415188715263</v>
      </c>
      <c r="DG40" s="36">
        <v>-2185</v>
      </c>
      <c r="DH40" s="36">
        <v>1162.3467597755027</v>
      </c>
      <c r="DI40" s="36">
        <v>14965</v>
      </c>
      <c r="DJ40" s="36">
        <v>2374</v>
      </c>
      <c r="DK40" s="36">
        <v>-3286</v>
      </c>
      <c r="DL40" s="36">
        <v>1328</v>
      </c>
      <c r="DM40" s="36">
        <v>16284</v>
      </c>
      <c r="DN40" s="36">
        <v>1767</v>
      </c>
      <c r="DO40" s="69">
        <v>-1926</v>
      </c>
      <c r="DP40" s="36">
        <v>1402</v>
      </c>
      <c r="DQ40" s="36">
        <v>16524</v>
      </c>
      <c r="DR40" s="36">
        <v>-259</v>
      </c>
      <c r="DS40" s="36">
        <v>-1529</v>
      </c>
      <c r="DT40" s="36">
        <v>1398</v>
      </c>
      <c r="DU40" s="36">
        <v>17560</v>
      </c>
      <c r="DV40" s="36">
        <v>-1265</v>
      </c>
      <c r="DW40" s="71">
        <v>-4161</v>
      </c>
      <c r="DX40" s="39">
        <v>1549</v>
      </c>
      <c r="DY40" s="71">
        <v>22542</v>
      </c>
      <c r="DZ40" s="70">
        <v>-309</v>
      </c>
      <c r="EA40" s="35">
        <v>-1860</v>
      </c>
      <c r="EB40" s="35">
        <v>1406</v>
      </c>
      <c r="EC40" s="38">
        <v>24062</v>
      </c>
      <c r="ED40" s="38">
        <v>2534</v>
      </c>
      <c r="EE40" s="38">
        <v>-2189</v>
      </c>
      <c r="EF40" s="38">
        <v>1712</v>
      </c>
      <c r="EG40" s="73">
        <v>23128</v>
      </c>
      <c r="EH40" s="73">
        <v>1927</v>
      </c>
      <c r="EI40" s="73">
        <v>-3913</v>
      </c>
      <c r="EJ40" s="73">
        <v>1648</v>
      </c>
      <c r="EK40" s="73">
        <v>25435</v>
      </c>
      <c r="EL40" s="73">
        <v>29047.064027461725</v>
      </c>
      <c r="EM40" s="73">
        <v>108.64940049413612</v>
      </c>
      <c r="EN40" s="73">
        <v>29172.195844749087</v>
      </c>
      <c r="EO40" s="73">
        <v>95.530742230138259</v>
      </c>
      <c r="EP40" s="73">
        <v>30868.371083113427</v>
      </c>
      <c r="EQ40" s="73">
        <v>-306.94296579225761</v>
      </c>
      <c r="ER40" s="73">
        <v>32869.13465629956</v>
      </c>
      <c r="ES40" s="73">
        <v>-73.834499716603347</v>
      </c>
      <c r="ET40" s="73">
        <v>34883</v>
      </c>
      <c r="EU40" s="73">
        <v>593</v>
      </c>
      <c r="EV40" s="73">
        <v>35961</v>
      </c>
      <c r="EW40" s="73">
        <v>-483</v>
      </c>
      <c r="EX40" s="73">
        <v>38368</v>
      </c>
      <c r="EY40" s="73">
        <v>-1407</v>
      </c>
      <c r="EZ40" s="73">
        <v>41320</v>
      </c>
      <c r="FA40" s="73">
        <v>-2809</v>
      </c>
      <c r="FB40" s="73">
        <v>43786</v>
      </c>
      <c r="FC40" s="73">
        <v>-1696</v>
      </c>
      <c r="FD40" s="73">
        <v>45286</v>
      </c>
      <c r="FE40" s="73">
        <v>848</v>
      </c>
      <c r="FF40" s="73">
        <v>49780</v>
      </c>
      <c r="FG40" s="73">
        <v>327</v>
      </c>
      <c r="FH40" s="73">
        <v>-3910</v>
      </c>
      <c r="FI40" s="73">
        <v>-3582</v>
      </c>
      <c r="FJ40" s="79">
        <v>9294</v>
      </c>
      <c r="FK40" s="80">
        <v>23932</v>
      </c>
      <c r="FL40" s="80">
        <v>22265</v>
      </c>
      <c r="FM40" s="80">
        <v>8118</v>
      </c>
      <c r="FN40" s="76">
        <v>431</v>
      </c>
      <c r="FO40" s="80">
        <v>21140</v>
      </c>
      <c r="FP40" s="80">
        <v>851</v>
      </c>
      <c r="FQ40" s="80">
        <v>1941</v>
      </c>
      <c r="FR40" s="80">
        <v>2018</v>
      </c>
      <c r="FS40" s="81">
        <v>-2249</v>
      </c>
      <c r="FT40" s="76">
        <v>1819</v>
      </c>
      <c r="FU40" s="76">
        <v>25062</v>
      </c>
      <c r="FV40" s="76">
        <v>2249</v>
      </c>
      <c r="FW40" s="80">
        <v>51854</v>
      </c>
      <c r="FX40" s="80">
        <v>268</v>
      </c>
      <c r="FY40" s="73">
        <v>9382</v>
      </c>
      <c r="FZ40" s="73">
        <v>25721</v>
      </c>
      <c r="GA40" s="73">
        <v>23088</v>
      </c>
      <c r="GB40" s="73">
        <v>7448</v>
      </c>
      <c r="GC40" s="73">
        <v>514</v>
      </c>
      <c r="GD40" s="73">
        <v>22133</v>
      </c>
      <c r="GE40" s="73">
        <v>1113</v>
      </c>
      <c r="GF40" s="73">
        <v>2475</v>
      </c>
      <c r="GG40" s="73">
        <v>3139</v>
      </c>
      <c r="GH40" s="73">
        <v>-355</v>
      </c>
      <c r="GI40" s="73">
        <v>1753</v>
      </c>
      <c r="GJ40" s="73">
        <v>24358</v>
      </c>
      <c r="GK40" s="73">
        <v>355</v>
      </c>
      <c r="GL40" s="73">
        <v>52906</v>
      </c>
      <c r="GM40" s="73">
        <v>1456</v>
      </c>
      <c r="GN40" s="73">
        <v>-1857</v>
      </c>
      <c r="GO40" s="77">
        <v>20.5</v>
      </c>
      <c r="GP40" s="78">
        <v>9499</v>
      </c>
      <c r="GQ40" s="73">
        <v>26472</v>
      </c>
      <c r="GR40" s="65">
        <v>24136</v>
      </c>
      <c r="GS40" s="65">
        <v>6398</v>
      </c>
      <c r="GT40" s="65">
        <v>653</v>
      </c>
      <c r="GU40" s="65">
        <v>22652</v>
      </c>
      <c r="GV40" s="65">
        <v>1316</v>
      </c>
      <c r="GW40" s="65">
        <v>2504</v>
      </c>
      <c r="GX40" s="65">
        <v>4391</v>
      </c>
      <c r="GY40" s="65">
        <v>-2866</v>
      </c>
      <c r="GZ40" s="65">
        <v>1756</v>
      </c>
      <c r="HA40" s="65">
        <v>22207</v>
      </c>
      <c r="HB40" s="65">
        <v>2866</v>
      </c>
      <c r="HC40" s="65">
        <v>52620</v>
      </c>
      <c r="HD40" s="65">
        <v>2705</v>
      </c>
      <c r="HE40" s="78">
        <v>9574</v>
      </c>
      <c r="HF40" s="73">
        <v>26609</v>
      </c>
      <c r="HG40" s="65">
        <v>25343</v>
      </c>
      <c r="HH40" s="65">
        <v>6808</v>
      </c>
      <c r="HI40" s="65">
        <v>80</v>
      </c>
      <c r="HJ40" s="65">
        <v>23146</v>
      </c>
      <c r="HK40" s="65">
        <v>879</v>
      </c>
      <c r="HL40" s="65">
        <v>2584</v>
      </c>
      <c r="HM40" s="65">
        <v>2487</v>
      </c>
      <c r="HN40" s="65">
        <v>-7076</v>
      </c>
      <c r="HO40" s="65">
        <v>1905</v>
      </c>
      <c r="HP40" s="65">
        <v>27112</v>
      </c>
      <c r="HQ40" s="65">
        <v>7076</v>
      </c>
      <c r="HR40" s="65">
        <v>55747</v>
      </c>
      <c r="HS40" s="65">
        <v>652</v>
      </c>
      <c r="HT40" s="65">
        <v>1419</v>
      </c>
      <c r="HU40" s="77">
        <v>20.5</v>
      </c>
      <c r="HV40" s="180">
        <v>210</v>
      </c>
      <c r="HW40" s="30" t="s">
        <v>754</v>
      </c>
    </row>
    <row r="41" spans="1:231" ht="15" x14ac:dyDescent="0.25">
      <c r="A41" s="27">
        <v>140</v>
      </c>
      <c r="B41" s="27" t="s">
        <v>170</v>
      </c>
      <c r="C41" s="27">
        <v>11</v>
      </c>
      <c r="D41" s="27" t="s">
        <v>118</v>
      </c>
      <c r="E41" s="27">
        <v>5</v>
      </c>
      <c r="F41" s="27" t="s">
        <v>101</v>
      </c>
      <c r="G41" s="29" t="s">
        <v>141</v>
      </c>
      <c r="H41" s="27" t="s">
        <v>97</v>
      </c>
      <c r="I41" s="31" t="s">
        <v>118</v>
      </c>
      <c r="J41" s="69">
        <v>23612</v>
      </c>
      <c r="K41" s="69">
        <v>23389</v>
      </c>
      <c r="L41" s="36">
        <v>23113</v>
      </c>
      <c r="M41" s="36">
        <v>22903</v>
      </c>
      <c r="N41" s="36">
        <v>22835</v>
      </c>
      <c r="O41" s="36">
        <v>22647</v>
      </c>
      <c r="P41" s="36">
        <v>22639</v>
      </c>
      <c r="Q41" s="36">
        <v>22482</v>
      </c>
      <c r="R41" s="69">
        <v>22319</v>
      </c>
      <c r="S41" s="69">
        <v>22298</v>
      </c>
      <c r="T41" s="71">
        <v>22289</v>
      </c>
      <c r="U41" s="36">
        <v>46394</v>
      </c>
      <c r="V41" s="36">
        <v>17706</v>
      </c>
      <c r="W41" s="36">
        <v>14665</v>
      </c>
      <c r="X41" s="36">
        <v>1983.4402167605995</v>
      </c>
      <c r="Y41" s="36">
        <v>48010</v>
      </c>
      <c r="Z41" s="36">
        <v>17943</v>
      </c>
      <c r="AA41" s="36">
        <v>14831</v>
      </c>
      <c r="AB41" s="36">
        <v>2181.2292182793367</v>
      </c>
      <c r="AC41" s="36">
        <v>47766</v>
      </c>
      <c r="AD41" s="36">
        <v>19168</v>
      </c>
      <c r="AE41" s="36">
        <v>14479</v>
      </c>
      <c r="AF41" s="36">
        <v>2074.0935091233541</v>
      </c>
      <c r="AG41" s="36">
        <v>50216</v>
      </c>
      <c r="AH41" s="36">
        <v>21984</v>
      </c>
      <c r="AI41" s="36">
        <v>14716</v>
      </c>
      <c r="AJ41" s="36">
        <v>2205.4482796897942</v>
      </c>
      <c r="AK41" s="36">
        <v>52954</v>
      </c>
      <c r="AL41" s="36">
        <v>24916</v>
      </c>
      <c r="AM41" s="36">
        <v>16264</v>
      </c>
      <c r="AN41" s="36">
        <v>2127</v>
      </c>
      <c r="AO41" s="36">
        <v>50088</v>
      </c>
      <c r="AP41" s="36">
        <v>25821</v>
      </c>
      <c r="AQ41" s="36">
        <v>16587</v>
      </c>
      <c r="AR41" s="36">
        <v>2254</v>
      </c>
      <c r="AS41" s="36">
        <v>50829</v>
      </c>
      <c r="AT41" s="36">
        <v>26599</v>
      </c>
      <c r="AU41" s="36">
        <v>15958</v>
      </c>
      <c r="AV41" s="36">
        <v>1774</v>
      </c>
      <c r="AW41" s="36">
        <v>51867</v>
      </c>
      <c r="AX41" s="69">
        <v>27516</v>
      </c>
      <c r="AY41" s="36">
        <v>16498</v>
      </c>
      <c r="AZ41" s="36">
        <v>1749</v>
      </c>
      <c r="BA41" s="36">
        <v>55223</v>
      </c>
      <c r="BB41" s="36">
        <v>30551</v>
      </c>
      <c r="BC41" s="36">
        <v>20240</v>
      </c>
      <c r="BD41" s="36">
        <v>513</v>
      </c>
      <c r="BE41" s="70">
        <v>58869</v>
      </c>
      <c r="BF41" s="70">
        <v>31458</v>
      </c>
      <c r="BG41" s="70">
        <v>20593</v>
      </c>
      <c r="BH41" s="70">
        <v>1685</v>
      </c>
      <c r="BI41" s="36">
        <v>62864</v>
      </c>
      <c r="BJ41" s="36">
        <v>34172</v>
      </c>
      <c r="BK41" s="36">
        <v>22513</v>
      </c>
      <c r="BL41" s="36">
        <v>1424</v>
      </c>
      <c r="BM41" s="36">
        <v>37995.334466919958</v>
      </c>
      <c r="BN41" s="36">
        <v>6300.1515373217417</v>
      </c>
      <c r="BO41" s="36">
        <v>2073.0843815645844</v>
      </c>
      <c r="BP41" s="36">
        <v>38934.664036207498</v>
      </c>
      <c r="BQ41" s="36">
        <v>6484.6536926500194</v>
      </c>
      <c r="BR41" s="36">
        <v>2566.71594572912</v>
      </c>
      <c r="BS41" s="36">
        <v>37352.520211984061</v>
      </c>
      <c r="BT41" s="36">
        <v>7750.0996513464279</v>
      </c>
      <c r="BU41" s="36">
        <v>2640.5504454457232</v>
      </c>
      <c r="BV41" s="36">
        <v>41857</v>
      </c>
      <c r="BW41" s="36">
        <v>5579</v>
      </c>
      <c r="BX41" s="36">
        <v>2758</v>
      </c>
      <c r="BY41" s="36">
        <v>45638</v>
      </c>
      <c r="BZ41" s="36">
        <v>4426</v>
      </c>
      <c r="CA41" s="36">
        <v>2866</v>
      </c>
      <c r="CB41" s="36">
        <v>44589</v>
      </c>
      <c r="CC41" s="36">
        <v>2562</v>
      </c>
      <c r="CD41" s="36">
        <v>2914</v>
      </c>
      <c r="CE41" s="36">
        <v>45097</v>
      </c>
      <c r="CF41" s="36">
        <v>2765</v>
      </c>
      <c r="CG41" s="36">
        <v>2946</v>
      </c>
      <c r="CH41" s="36">
        <v>45656</v>
      </c>
      <c r="CI41" s="36">
        <v>3127</v>
      </c>
      <c r="CJ41" s="70">
        <v>3064</v>
      </c>
      <c r="CK41" s="70">
        <v>48141</v>
      </c>
      <c r="CL41" s="70">
        <v>3714</v>
      </c>
      <c r="CM41" s="36">
        <v>3368</v>
      </c>
      <c r="CN41" s="36">
        <v>50902</v>
      </c>
      <c r="CO41" s="36">
        <v>4447</v>
      </c>
      <c r="CP41" s="36">
        <v>3520</v>
      </c>
      <c r="CQ41" s="36">
        <v>54753</v>
      </c>
      <c r="CR41" s="36">
        <v>4424</v>
      </c>
      <c r="CS41" s="36">
        <v>3687</v>
      </c>
      <c r="CT41" s="36">
        <v>2425.7744633543734</v>
      </c>
      <c r="CU41" s="36">
        <v>-7823.4295869999996</v>
      </c>
      <c r="CV41" s="36">
        <v>4187.5429930387018</v>
      </c>
      <c r="CW41" s="36">
        <v>11342</v>
      </c>
      <c r="CX41" s="36">
        <v>4867.022215943206</v>
      </c>
      <c r="CY41" s="36">
        <v>-217.46698889999996</v>
      </c>
      <c r="CZ41" s="36">
        <v>4597.4169698254036</v>
      </c>
      <c r="DA41" s="36">
        <v>11261</v>
      </c>
      <c r="DB41" s="36">
        <v>5171.9469266179258</v>
      </c>
      <c r="DC41" s="36">
        <v>-6530.0644329999996</v>
      </c>
      <c r="DD41" s="36">
        <v>4966.2530925554975</v>
      </c>
      <c r="DE41" s="36">
        <v>9252</v>
      </c>
      <c r="DF41" s="36">
        <v>4252.4635326528451</v>
      </c>
      <c r="DG41" s="36">
        <v>-6441</v>
      </c>
      <c r="DH41" s="36">
        <v>5185.7383365877695</v>
      </c>
      <c r="DI41" s="36">
        <v>9482</v>
      </c>
      <c r="DJ41" s="36">
        <v>9939</v>
      </c>
      <c r="DK41" s="36">
        <v>-4813</v>
      </c>
      <c r="DL41" s="36">
        <v>5384</v>
      </c>
      <c r="DM41" s="36">
        <v>9349</v>
      </c>
      <c r="DN41" s="36">
        <v>3669</v>
      </c>
      <c r="DO41" s="69">
        <v>-5707</v>
      </c>
      <c r="DP41" s="36">
        <v>5095</v>
      </c>
      <c r="DQ41" s="36">
        <v>11378</v>
      </c>
      <c r="DR41" s="36">
        <v>1661</v>
      </c>
      <c r="DS41" s="36">
        <v>-6482</v>
      </c>
      <c r="DT41" s="36">
        <v>5235</v>
      </c>
      <c r="DU41" s="36">
        <v>13464</v>
      </c>
      <c r="DV41" s="36">
        <v>1644</v>
      </c>
      <c r="DW41" s="71">
        <v>-4992</v>
      </c>
      <c r="DX41" s="39">
        <v>5311</v>
      </c>
      <c r="DY41" s="71">
        <v>16453</v>
      </c>
      <c r="DZ41" s="70">
        <v>3011</v>
      </c>
      <c r="EA41" s="35">
        <v>-3646</v>
      </c>
      <c r="EB41" s="35">
        <v>4972</v>
      </c>
      <c r="EC41" s="38">
        <v>16208</v>
      </c>
      <c r="ED41" s="38">
        <v>3984</v>
      </c>
      <c r="EE41" s="38">
        <v>-4604</v>
      </c>
      <c r="EF41" s="38">
        <v>4963</v>
      </c>
      <c r="EG41" s="73">
        <v>16052</v>
      </c>
      <c r="EH41" s="73">
        <v>4210</v>
      </c>
      <c r="EI41" s="73">
        <v>-5152</v>
      </c>
      <c r="EJ41" s="73">
        <v>4788</v>
      </c>
      <c r="EK41" s="73">
        <v>18672</v>
      </c>
      <c r="EL41" s="73">
        <v>73855.355019484574</v>
      </c>
      <c r="EM41" s="73">
        <v>-1770.3461139338651</v>
      </c>
      <c r="EN41" s="73">
        <v>73504.683192812314</v>
      </c>
      <c r="EO41" s="73">
        <v>1153.0964238201195</v>
      </c>
      <c r="EP41" s="73">
        <v>73907.661464614095</v>
      </c>
      <c r="EQ41" s="73">
        <v>1244.9270316681047</v>
      </c>
      <c r="ER41" s="73">
        <v>80249.187231845368</v>
      </c>
      <c r="ES41" s="73">
        <v>-61.556781084913034</v>
      </c>
      <c r="ET41" s="73">
        <v>85404</v>
      </c>
      <c r="EU41" s="73">
        <v>5272</v>
      </c>
      <c r="EV41" s="73">
        <v>89742</v>
      </c>
      <c r="EW41" s="73">
        <v>-502</v>
      </c>
      <c r="EX41" s="73">
        <v>92860</v>
      </c>
      <c r="EY41" s="73">
        <v>-2723</v>
      </c>
      <c r="EZ41" s="73">
        <v>95081</v>
      </c>
      <c r="FA41" s="73">
        <v>-2974</v>
      </c>
      <c r="FB41" s="73">
        <v>103516</v>
      </c>
      <c r="FC41" s="73">
        <v>-1377</v>
      </c>
      <c r="FD41" s="73">
        <v>107243</v>
      </c>
      <c r="FE41" s="73">
        <v>-255</v>
      </c>
      <c r="FF41" s="73">
        <v>116606</v>
      </c>
      <c r="FG41" s="73">
        <v>-34</v>
      </c>
      <c r="FH41" s="73">
        <v>-255</v>
      </c>
      <c r="FI41" s="73">
        <v>-289</v>
      </c>
      <c r="FJ41" s="79">
        <v>22169</v>
      </c>
      <c r="FK41" s="80">
        <v>64842</v>
      </c>
      <c r="FL41" s="80">
        <v>37283</v>
      </c>
      <c r="FM41" s="80">
        <v>22388</v>
      </c>
      <c r="FN41" s="76">
        <v>1559</v>
      </c>
      <c r="FO41" s="80">
        <v>57332</v>
      </c>
      <c r="FP41" s="80">
        <v>3620</v>
      </c>
      <c r="FQ41" s="80">
        <v>3890</v>
      </c>
      <c r="FR41" s="80">
        <v>3666</v>
      </c>
      <c r="FS41" s="81">
        <v>-8891</v>
      </c>
      <c r="FT41" s="76">
        <v>5000</v>
      </c>
      <c r="FU41" s="76">
        <v>21085</v>
      </c>
      <c r="FV41" s="76">
        <v>8891</v>
      </c>
      <c r="FW41" s="80">
        <v>122227</v>
      </c>
      <c r="FX41" s="80">
        <v>-854</v>
      </c>
      <c r="FY41" s="73">
        <v>22095</v>
      </c>
      <c r="FZ41" s="73">
        <v>64747</v>
      </c>
      <c r="GA41" s="73">
        <v>39248</v>
      </c>
      <c r="GB41" s="73">
        <v>17925</v>
      </c>
      <c r="GC41" s="73">
        <v>1458</v>
      </c>
      <c r="GD41" s="73">
        <v>55789</v>
      </c>
      <c r="GE41" s="73">
        <v>4643</v>
      </c>
      <c r="GF41" s="73">
        <v>4315</v>
      </c>
      <c r="GG41" s="73">
        <v>4029</v>
      </c>
      <c r="GH41" s="73">
        <v>-11792</v>
      </c>
      <c r="GI41" s="73">
        <v>5440</v>
      </c>
      <c r="GJ41" s="73">
        <v>30860</v>
      </c>
      <c r="GK41" s="73">
        <v>11792</v>
      </c>
      <c r="GL41" s="73">
        <v>118979</v>
      </c>
      <c r="GM41" s="73">
        <v>-725</v>
      </c>
      <c r="GN41" s="73">
        <v>-477</v>
      </c>
      <c r="GO41" s="77">
        <v>19.5</v>
      </c>
      <c r="GP41" s="78">
        <v>22147</v>
      </c>
      <c r="GQ41" s="73">
        <v>67304</v>
      </c>
      <c r="GR41" s="65">
        <v>42006</v>
      </c>
      <c r="GS41" s="65">
        <v>28639</v>
      </c>
      <c r="GT41" s="65">
        <v>294</v>
      </c>
      <c r="GU41" s="65">
        <v>57565</v>
      </c>
      <c r="GV41" s="65">
        <v>5583</v>
      </c>
      <c r="GW41" s="65">
        <v>4156</v>
      </c>
      <c r="GX41" s="65">
        <v>4622</v>
      </c>
      <c r="GY41" s="65">
        <v>-7903</v>
      </c>
      <c r="GZ41" s="65">
        <v>5417</v>
      </c>
      <c r="HA41" s="65">
        <v>34968</v>
      </c>
      <c r="HB41" s="65">
        <v>7903</v>
      </c>
      <c r="HC41" s="65">
        <v>133216</v>
      </c>
      <c r="HD41" s="65">
        <v>-275</v>
      </c>
      <c r="HE41" s="78">
        <v>22135</v>
      </c>
      <c r="HF41" s="73">
        <v>69148</v>
      </c>
      <c r="HG41" s="65">
        <v>43500</v>
      </c>
      <c r="HH41" s="65">
        <v>31069</v>
      </c>
      <c r="HI41" s="65">
        <v>1070</v>
      </c>
      <c r="HJ41" s="65">
        <v>60832</v>
      </c>
      <c r="HK41" s="65">
        <v>3985</v>
      </c>
      <c r="HL41" s="65">
        <v>4331</v>
      </c>
      <c r="HM41" s="65">
        <v>4704</v>
      </c>
      <c r="HN41" s="65">
        <v>-6303</v>
      </c>
      <c r="HO41" s="65">
        <v>5835</v>
      </c>
      <c r="HP41" s="65">
        <v>38679</v>
      </c>
      <c r="HQ41" s="65">
        <v>6303</v>
      </c>
      <c r="HR41" s="65">
        <v>139664</v>
      </c>
      <c r="HS41" s="65">
        <v>-514</v>
      </c>
      <c r="HT41" s="65">
        <v>-789</v>
      </c>
      <c r="HU41" s="77">
        <v>19.75</v>
      </c>
      <c r="HV41" s="180">
        <v>130</v>
      </c>
      <c r="HW41" s="30" t="s">
        <v>752</v>
      </c>
    </row>
    <row r="42" spans="1:231" ht="15" x14ac:dyDescent="0.25">
      <c r="A42" s="27">
        <v>142</v>
      </c>
      <c r="B42" s="27" t="s">
        <v>171</v>
      </c>
      <c r="C42" s="27">
        <v>8</v>
      </c>
      <c r="D42" s="27" t="s">
        <v>112</v>
      </c>
      <c r="E42" s="27">
        <v>3</v>
      </c>
      <c r="F42" s="27" t="s">
        <v>743</v>
      </c>
      <c r="G42" s="29" t="s">
        <v>130</v>
      </c>
      <c r="H42" s="27" t="s">
        <v>98</v>
      </c>
      <c r="I42" s="31" t="s">
        <v>112</v>
      </c>
      <c r="J42" s="69">
        <v>7587</v>
      </c>
      <c r="K42" s="69">
        <v>7511</v>
      </c>
      <c r="L42" s="36">
        <v>7534</v>
      </c>
      <c r="M42" s="36">
        <v>7415</v>
      </c>
      <c r="N42" s="36">
        <v>7376</v>
      </c>
      <c r="O42" s="36">
        <v>7321</v>
      </c>
      <c r="P42" s="36">
        <v>7336</v>
      </c>
      <c r="Q42" s="36">
        <v>7265</v>
      </c>
      <c r="R42" s="69">
        <v>7246</v>
      </c>
      <c r="S42" s="69">
        <v>7208</v>
      </c>
      <c r="T42" s="71">
        <v>7093</v>
      </c>
      <c r="U42" s="36">
        <v>14640</v>
      </c>
      <c r="V42" s="36">
        <v>4934</v>
      </c>
      <c r="W42" s="36">
        <v>4789</v>
      </c>
      <c r="X42" s="36">
        <v>458.48028753407908</v>
      </c>
      <c r="Y42" s="36">
        <v>14734</v>
      </c>
      <c r="Z42" s="36">
        <v>5084</v>
      </c>
      <c r="AA42" s="36">
        <v>4720</v>
      </c>
      <c r="AB42" s="36">
        <v>368.66793480363219</v>
      </c>
      <c r="AC42" s="36">
        <v>14236</v>
      </c>
      <c r="AD42" s="36">
        <v>5160</v>
      </c>
      <c r="AE42" s="36">
        <v>6823</v>
      </c>
      <c r="AF42" s="36">
        <v>277.84645451441622</v>
      </c>
      <c r="AG42" s="36">
        <v>15947</v>
      </c>
      <c r="AH42" s="36">
        <v>6513</v>
      </c>
      <c r="AI42" s="36">
        <v>5411</v>
      </c>
      <c r="AJ42" s="36">
        <v>361.60404189224869</v>
      </c>
      <c r="AK42" s="36">
        <v>15835</v>
      </c>
      <c r="AL42" s="36">
        <v>7452</v>
      </c>
      <c r="AM42" s="36">
        <v>5524</v>
      </c>
      <c r="AN42" s="36">
        <v>272</v>
      </c>
      <c r="AO42" s="36">
        <v>14918</v>
      </c>
      <c r="AP42" s="36">
        <v>8722</v>
      </c>
      <c r="AQ42" s="36">
        <v>5370</v>
      </c>
      <c r="AR42" s="36">
        <v>264</v>
      </c>
      <c r="AS42" s="36">
        <v>14933</v>
      </c>
      <c r="AT42" s="36">
        <v>9419</v>
      </c>
      <c r="AU42" s="36">
        <v>6750</v>
      </c>
      <c r="AV42" s="36">
        <v>197</v>
      </c>
      <c r="AW42" s="36">
        <v>16176</v>
      </c>
      <c r="AX42" s="69">
        <v>9874</v>
      </c>
      <c r="AY42" s="36">
        <v>6929</v>
      </c>
      <c r="AZ42" s="36">
        <v>234</v>
      </c>
      <c r="BA42" s="36">
        <v>17128</v>
      </c>
      <c r="BB42" s="36">
        <v>10406</v>
      </c>
      <c r="BC42" s="36">
        <v>7037</v>
      </c>
      <c r="BD42" s="36">
        <v>162</v>
      </c>
      <c r="BE42" s="70">
        <v>18083</v>
      </c>
      <c r="BF42" s="70">
        <v>11002</v>
      </c>
      <c r="BG42" s="70">
        <v>5789</v>
      </c>
      <c r="BH42" s="70">
        <v>195</v>
      </c>
      <c r="BI42" s="36">
        <v>19741</v>
      </c>
      <c r="BJ42" s="36">
        <v>11887</v>
      </c>
      <c r="BK42" s="36">
        <v>5511</v>
      </c>
      <c r="BL42" s="36">
        <v>362</v>
      </c>
      <c r="BM42" s="36">
        <v>11186.178988955098</v>
      </c>
      <c r="BN42" s="36">
        <v>2739.4449462050916</v>
      </c>
      <c r="BO42" s="36">
        <v>714.46231160849879</v>
      </c>
      <c r="BP42" s="36">
        <v>11278.345972656007</v>
      </c>
      <c r="BQ42" s="36">
        <v>2593.4578260365001</v>
      </c>
      <c r="BR42" s="36">
        <v>861.79493518878257</v>
      </c>
      <c r="BS42" s="36">
        <v>11123.108516532031</v>
      </c>
      <c r="BT42" s="36">
        <v>2202.5890849399484</v>
      </c>
      <c r="BU42" s="36">
        <v>910.40124593615917</v>
      </c>
      <c r="BV42" s="36">
        <v>13309</v>
      </c>
      <c r="BW42" s="36">
        <v>1677</v>
      </c>
      <c r="BX42" s="36">
        <v>961</v>
      </c>
      <c r="BY42" s="36">
        <v>13812</v>
      </c>
      <c r="BZ42" s="36">
        <v>1037</v>
      </c>
      <c r="CA42" s="36">
        <v>986</v>
      </c>
      <c r="CB42" s="36">
        <v>13327</v>
      </c>
      <c r="CC42" s="36">
        <v>605</v>
      </c>
      <c r="CD42" s="36">
        <v>986</v>
      </c>
      <c r="CE42" s="36">
        <v>13265</v>
      </c>
      <c r="CF42" s="36">
        <v>694</v>
      </c>
      <c r="CG42" s="36">
        <v>974</v>
      </c>
      <c r="CH42" s="36">
        <v>14344</v>
      </c>
      <c r="CI42" s="36">
        <v>848</v>
      </c>
      <c r="CJ42" s="70">
        <v>984</v>
      </c>
      <c r="CK42" s="70">
        <v>14773</v>
      </c>
      <c r="CL42" s="70">
        <v>977</v>
      </c>
      <c r="CM42" s="36">
        <v>1378</v>
      </c>
      <c r="CN42" s="36">
        <v>15512</v>
      </c>
      <c r="CO42" s="36">
        <v>1158</v>
      </c>
      <c r="CP42" s="36">
        <v>1413</v>
      </c>
      <c r="CQ42" s="36">
        <v>16998</v>
      </c>
      <c r="CR42" s="36">
        <v>1267</v>
      </c>
      <c r="CS42" s="36">
        <v>1476</v>
      </c>
      <c r="CT42" s="36">
        <v>959.34393253645896</v>
      </c>
      <c r="CU42" s="36">
        <v>-3567.4341079999999</v>
      </c>
      <c r="CV42" s="36">
        <v>1229.7901182865687</v>
      </c>
      <c r="CW42" s="36">
        <v>4998</v>
      </c>
      <c r="CX42" s="36">
        <v>368.16337102424762</v>
      </c>
      <c r="CY42" s="36">
        <v>-1619.9861080000001</v>
      </c>
      <c r="CZ42" s="36">
        <v>1390.9141518366962</v>
      </c>
      <c r="DA42" s="36">
        <v>5441</v>
      </c>
      <c r="DB42" s="36">
        <v>-226.54913694365536</v>
      </c>
      <c r="DC42" s="36">
        <v>-1105.8356160000001</v>
      </c>
      <c r="DD42" s="36">
        <v>1374.4317350434681</v>
      </c>
      <c r="DE42" s="36">
        <v>5370</v>
      </c>
      <c r="DF42" s="36">
        <v>1922.2198115286096</v>
      </c>
      <c r="DG42" s="36">
        <v>-208</v>
      </c>
      <c r="DH42" s="36">
        <v>1376.6181780874679</v>
      </c>
      <c r="DI42" s="36">
        <v>4879</v>
      </c>
      <c r="DJ42" s="36">
        <v>2632</v>
      </c>
      <c r="DK42" s="36">
        <v>-679</v>
      </c>
      <c r="DL42" s="36">
        <v>1426</v>
      </c>
      <c r="DM42" s="36">
        <v>3526</v>
      </c>
      <c r="DN42" s="36">
        <v>1452</v>
      </c>
      <c r="DO42" s="69">
        <v>-1729</v>
      </c>
      <c r="DP42" s="36">
        <v>1451</v>
      </c>
      <c r="DQ42" s="36">
        <v>2662</v>
      </c>
      <c r="DR42" s="36">
        <v>399</v>
      </c>
      <c r="DS42" s="36">
        <v>-3264</v>
      </c>
      <c r="DT42" s="36">
        <v>1394</v>
      </c>
      <c r="DU42" s="36">
        <v>3972</v>
      </c>
      <c r="DV42" s="36">
        <v>1367</v>
      </c>
      <c r="DW42" s="71">
        <v>-1357</v>
      </c>
      <c r="DX42" s="39">
        <v>1497</v>
      </c>
      <c r="DY42" s="71">
        <v>4508</v>
      </c>
      <c r="DZ42" s="70">
        <v>1740</v>
      </c>
      <c r="EA42" s="35">
        <v>-1624</v>
      </c>
      <c r="EB42" s="35">
        <v>1384</v>
      </c>
      <c r="EC42" s="38">
        <v>4633</v>
      </c>
      <c r="ED42" s="38">
        <v>2302</v>
      </c>
      <c r="EE42" s="38">
        <v>-866</v>
      </c>
      <c r="EF42" s="38">
        <v>1312</v>
      </c>
      <c r="EG42" s="73">
        <v>4787</v>
      </c>
      <c r="EH42" s="73">
        <v>1893</v>
      </c>
      <c r="EI42" s="73">
        <v>-966</v>
      </c>
      <c r="EJ42" s="73">
        <v>1296</v>
      </c>
      <c r="EK42" s="73">
        <v>4212</v>
      </c>
      <c r="EL42" s="73">
        <v>22557.869260797244</v>
      </c>
      <c r="EM42" s="73">
        <v>-217.46698891473375</v>
      </c>
      <c r="EN42" s="73">
        <v>23129.203646986996</v>
      </c>
      <c r="EO42" s="73">
        <v>-1012.3231293718349</v>
      </c>
      <c r="EP42" s="73">
        <v>25240.634875784806</v>
      </c>
      <c r="EQ42" s="73">
        <v>-1595.0942945609706</v>
      </c>
      <c r="ER42" s="73">
        <v>24761.467473295961</v>
      </c>
      <c r="ES42" s="73">
        <v>287.93773010210685</v>
      </c>
      <c r="ET42" s="73">
        <v>26230</v>
      </c>
      <c r="EU42" s="73">
        <v>1031</v>
      </c>
      <c r="EV42" s="73">
        <v>27712</v>
      </c>
      <c r="EW42" s="73">
        <v>1</v>
      </c>
      <c r="EX42" s="73">
        <v>30785</v>
      </c>
      <c r="EY42" s="73">
        <v>-960</v>
      </c>
      <c r="EZ42" s="73">
        <v>31698</v>
      </c>
      <c r="FA42" s="73">
        <v>-60</v>
      </c>
      <c r="FB42" s="73">
        <v>32993</v>
      </c>
      <c r="FC42" s="73">
        <v>426</v>
      </c>
      <c r="FD42" s="73">
        <v>32556</v>
      </c>
      <c r="FE42" s="73">
        <v>610</v>
      </c>
      <c r="FF42" s="73">
        <v>35356</v>
      </c>
      <c r="FG42" s="73">
        <v>667</v>
      </c>
      <c r="FH42" s="73">
        <v>1037</v>
      </c>
      <c r="FI42" s="73">
        <v>1704</v>
      </c>
      <c r="FJ42" s="79">
        <v>7044</v>
      </c>
      <c r="FK42" s="80">
        <v>19696</v>
      </c>
      <c r="FL42" s="80">
        <v>12798</v>
      </c>
      <c r="FM42" s="80">
        <v>6805</v>
      </c>
      <c r="FN42" s="76">
        <v>174</v>
      </c>
      <c r="FO42" s="80">
        <v>17090</v>
      </c>
      <c r="FP42" s="80">
        <v>1044</v>
      </c>
      <c r="FQ42" s="80">
        <v>1562</v>
      </c>
      <c r="FR42" s="80">
        <v>2454</v>
      </c>
      <c r="FS42" s="81">
        <v>-1409</v>
      </c>
      <c r="FT42" s="76">
        <v>1271</v>
      </c>
      <c r="FU42" s="76">
        <v>6468</v>
      </c>
      <c r="FV42" s="76">
        <v>1409</v>
      </c>
      <c r="FW42" s="80">
        <v>37019</v>
      </c>
      <c r="FX42" s="80">
        <v>1253</v>
      </c>
      <c r="FY42" s="73">
        <v>7005</v>
      </c>
      <c r="FZ42" s="73">
        <v>19815</v>
      </c>
      <c r="GA42" s="73">
        <v>13157</v>
      </c>
      <c r="GB42" s="73">
        <v>3471</v>
      </c>
      <c r="GC42" s="73">
        <v>119</v>
      </c>
      <c r="GD42" s="73">
        <v>16671</v>
      </c>
      <c r="GE42" s="73">
        <v>1354</v>
      </c>
      <c r="GF42" s="73">
        <v>1790</v>
      </c>
      <c r="GG42" s="73">
        <v>1351</v>
      </c>
      <c r="GH42" s="73">
        <v>-861</v>
      </c>
      <c r="GI42" s="73">
        <v>1302</v>
      </c>
      <c r="GJ42" s="73">
        <v>5971</v>
      </c>
      <c r="GK42" s="73">
        <v>861</v>
      </c>
      <c r="GL42" s="73">
        <v>35211</v>
      </c>
      <c r="GM42" s="73">
        <v>119</v>
      </c>
      <c r="GN42" s="73">
        <v>3076</v>
      </c>
      <c r="GO42" s="77">
        <v>18.5</v>
      </c>
      <c r="GP42" s="78">
        <v>7002</v>
      </c>
      <c r="GQ42" s="73">
        <v>19833</v>
      </c>
      <c r="GR42" s="65">
        <v>13636</v>
      </c>
      <c r="GS42" s="65">
        <v>3557</v>
      </c>
      <c r="GT42" s="65">
        <v>149</v>
      </c>
      <c r="GU42" s="65">
        <v>16438</v>
      </c>
      <c r="GV42" s="65">
        <v>1583</v>
      </c>
      <c r="GW42" s="65">
        <v>1812</v>
      </c>
      <c r="GX42" s="65">
        <v>62</v>
      </c>
      <c r="GY42" s="65">
        <v>-3854</v>
      </c>
      <c r="GZ42" s="65">
        <v>1476</v>
      </c>
      <c r="HA42" s="65">
        <v>8270</v>
      </c>
      <c r="HB42" s="65">
        <v>3854</v>
      </c>
      <c r="HC42" s="65">
        <v>37113</v>
      </c>
      <c r="HD42" s="65">
        <v>-1344</v>
      </c>
      <c r="HE42" s="78">
        <v>6955</v>
      </c>
      <c r="HF42" s="73">
        <v>20614</v>
      </c>
      <c r="HG42" s="65">
        <v>14686</v>
      </c>
      <c r="HH42" s="65">
        <v>4532</v>
      </c>
      <c r="HI42" s="65">
        <v>23</v>
      </c>
      <c r="HJ42" s="65">
        <v>17796</v>
      </c>
      <c r="HK42" s="65">
        <v>987</v>
      </c>
      <c r="HL42" s="65">
        <v>1831</v>
      </c>
      <c r="HM42" s="65">
        <v>305</v>
      </c>
      <c r="HN42" s="65">
        <v>-3673</v>
      </c>
      <c r="HO42" s="65">
        <v>1763</v>
      </c>
      <c r="HP42" s="65">
        <v>10499</v>
      </c>
      <c r="HQ42" s="65">
        <v>3673</v>
      </c>
      <c r="HR42" s="65">
        <v>39434</v>
      </c>
      <c r="HS42" s="65">
        <v>-4637</v>
      </c>
      <c r="HT42" s="65">
        <v>1067</v>
      </c>
      <c r="HU42" s="77">
        <v>19</v>
      </c>
      <c r="HV42" s="180">
        <v>330</v>
      </c>
      <c r="HW42" s="30" t="s">
        <v>760</v>
      </c>
    </row>
    <row r="43" spans="1:231" ht="15" x14ac:dyDescent="0.25">
      <c r="A43" s="27">
        <v>143</v>
      </c>
      <c r="B43" s="27" t="s">
        <v>172</v>
      </c>
      <c r="C43" s="27">
        <v>6</v>
      </c>
      <c r="D43" s="27" t="s">
        <v>114</v>
      </c>
      <c r="E43" s="27">
        <v>3</v>
      </c>
      <c r="F43" s="27" t="s">
        <v>743</v>
      </c>
      <c r="G43" s="29">
        <v>2</v>
      </c>
      <c r="H43" s="27" t="s">
        <v>99</v>
      </c>
      <c r="I43" s="31" t="s">
        <v>114</v>
      </c>
      <c r="J43" s="69">
        <v>7842</v>
      </c>
      <c r="K43" s="69">
        <v>7795</v>
      </c>
      <c r="L43" s="36">
        <v>7744</v>
      </c>
      <c r="M43" s="36">
        <v>7715</v>
      </c>
      <c r="N43" s="36">
        <v>7612</v>
      </c>
      <c r="O43" s="36">
        <v>7607</v>
      </c>
      <c r="P43" s="36">
        <v>7569</v>
      </c>
      <c r="Q43" s="36">
        <v>7547</v>
      </c>
      <c r="R43" s="69">
        <v>7511</v>
      </c>
      <c r="S43" s="69">
        <v>7483</v>
      </c>
      <c r="T43" s="71">
        <v>7453</v>
      </c>
      <c r="U43" s="36">
        <v>15108</v>
      </c>
      <c r="V43" s="36">
        <v>6458</v>
      </c>
      <c r="W43" s="36">
        <v>4506</v>
      </c>
      <c r="X43" s="36">
        <v>490.94055734115068</v>
      </c>
      <c r="Y43" s="36">
        <v>15474</v>
      </c>
      <c r="Z43" s="36">
        <v>6444</v>
      </c>
      <c r="AA43" s="36">
        <v>4546</v>
      </c>
      <c r="AB43" s="36">
        <v>490.09961770884314</v>
      </c>
      <c r="AC43" s="36">
        <v>15789</v>
      </c>
      <c r="AD43" s="36">
        <v>6575</v>
      </c>
      <c r="AE43" s="36">
        <v>4526</v>
      </c>
      <c r="AF43" s="36">
        <v>381.61840514116852</v>
      </c>
      <c r="AG43" s="36">
        <v>16114</v>
      </c>
      <c r="AH43" s="36">
        <v>8257</v>
      </c>
      <c r="AI43" s="36">
        <v>4816</v>
      </c>
      <c r="AJ43" s="36">
        <v>402.13733216947287</v>
      </c>
      <c r="AK43" s="36">
        <v>16861</v>
      </c>
      <c r="AL43" s="36">
        <v>9586</v>
      </c>
      <c r="AM43" s="36">
        <v>4587</v>
      </c>
      <c r="AN43" s="36">
        <v>237</v>
      </c>
      <c r="AO43" s="36">
        <v>16198</v>
      </c>
      <c r="AP43" s="36">
        <v>10385</v>
      </c>
      <c r="AQ43" s="36">
        <v>4635</v>
      </c>
      <c r="AR43" s="36">
        <v>205</v>
      </c>
      <c r="AS43" s="36">
        <v>16546</v>
      </c>
      <c r="AT43" s="36">
        <v>9885</v>
      </c>
      <c r="AU43" s="36">
        <v>4411</v>
      </c>
      <c r="AV43" s="36">
        <v>209</v>
      </c>
      <c r="AW43" s="36">
        <v>17503</v>
      </c>
      <c r="AX43" s="69">
        <v>10402</v>
      </c>
      <c r="AY43" s="36">
        <v>4853</v>
      </c>
      <c r="AZ43" s="36">
        <v>315</v>
      </c>
      <c r="BA43" s="36">
        <v>18644</v>
      </c>
      <c r="BB43" s="36">
        <v>11676</v>
      </c>
      <c r="BC43" s="36">
        <v>4772</v>
      </c>
      <c r="BD43" s="36">
        <v>108</v>
      </c>
      <c r="BE43" s="70">
        <v>19636</v>
      </c>
      <c r="BF43" s="70">
        <v>11494</v>
      </c>
      <c r="BG43" s="70">
        <v>5190</v>
      </c>
      <c r="BH43" s="70">
        <v>310</v>
      </c>
      <c r="BI43" s="36">
        <v>21088</v>
      </c>
      <c r="BJ43" s="36">
        <v>12957</v>
      </c>
      <c r="BK43" s="36">
        <v>6040</v>
      </c>
      <c r="BL43" s="36">
        <v>108</v>
      </c>
      <c r="BM43" s="36">
        <v>11278.850536435391</v>
      </c>
      <c r="BN43" s="36">
        <v>3047.7334154090413</v>
      </c>
      <c r="BO43" s="36">
        <v>765.08687747341367</v>
      </c>
      <c r="BP43" s="36">
        <v>11745.403844439623</v>
      </c>
      <c r="BQ43" s="36">
        <v>2781.9964915998539</v>
      </c>
      <c r="BR43" s="36">
        <v>930.75198503800209</v>
      </c>
      <c r="BS43" s="36">
        <v>11408.018863957832</v>
      </c>
      <c r="BT43" s="36">
        <v>3340.5485953785319</v>
      </c>
      <c r="BU43" s="36">
        <v>1024.7690359299868</v>
      </c>
      <c r="BV43" s="36">
        <v>13187</v>
      </c>
      <c r="BW43" s="36">
        <v>1788</v>
      </c>
      <c r="BX43" s="36">
        <v>1124</v>
      </c>
      <c r="BY43" s="36">
        <v>14218</v>
      </c>
      <c r="BZ43" s="36">
        <v>1437</v>
      </c>
      <c r="CA43" s="36">
        <v>1193</v>
      </c>
      <c r="CB43" s="36">
        <v>14125</v>
      </c>
      <c r="CC43" s="36">
        <v>838</v>
      </c>
      <c r="CD43" s="36">
        <v>1223</v>
      </c>
      <c r="CE43" s="36">
        <v>14317</v>
      </c>
      <c r="CF43" s="36">
        <v>953</v>
      </c>
      <c r="CG43" s="36">
        <v>1262</v>
      </c>
      <c r="CH43" s="36">
        <v>14739</v>
      </c>
      <c r="CI43" s="36">
        <v>1276</v>
      </c>
      <c r="CJ43" s="70">
        <v>1475</v>
      </c>
      <c r="CK43" s="70">
        <v>15651</v>
      </c>
      <c r="CL43" s="70">
        <v>1455</v>
      </c>
      <c r="CM43" s="36">
        <v>1526</v>
      </c>
      <c r="CN43" s="36">
        <v>16376</v>
      </c>
      <c r="CO43" s="36">
        <v>1645</v>
      </c>
      <c r="CP43" s="36">
        <v>1603</v>
      </c>
      <c r="CQ43" s="36">
        <v>17774</v>
      </c>
      <c r="CR43" s="36">
        <v>1648</v>
      </c>
      <c r="CS43" s="36">
        <v>1666</v>
      </c>
      <c r="CT43" s="36">
        <v>806.46110738294533</v>
      </c>
      <c r="CU43" s="36">
        <v>-1230.6310579999999</v>
      </c>
      <c r="CV43" s="36">
        <v>1231.9765613305683</v>
      </c>
      <c r="CW43" s="36">
        <v>5605</v>
      </c>
      <c r="CX43" s="36">
        <v>615.39962292266887</v>
      </c>
      <c r="CY43" s="36">
        <v>-1158.478437</v>
      </c>
      <c r="CZ43" s="36">
        <v>1247.7862264179503</v>
      </c>
      <c r="DA43" s="36">
        <v>8331</v>
      </c>
      <c r="DB43" s="36">
        <v>-1036.037627002908</v>
      </c>
      <c r="DC43" s="36">
        <v>-1167.5605849999999</v>
      </c>
      <c r="DD43" s="36">
        <v>1141.4914568942754</v>
      </c>
      <c r="DE43" s="36">
        <v>9091</v>
      </c>
      <c r="DF43" s="36">
        <v>-615.73599877559184</v>
      </c>
      <c r="DG43" s="36">
        <v>-1865</v>
      </c>
      <c r="DH43" s="36">
        <v>1017.2005792392187</v>
      </c>
      <c r="DI43" s="36">
        <v>10816</v>
      </c>
      <c r="DJ43" s="36">
        <v>2501</v>
      </c>
      <c r="DK43" s="36">
        <v>-784</v>
      </c>
      <c r="DL43" s="36">
        <v>1106</v>
      </c>
      <c r="DM43" s="36">
        <v>11090</v>
      </c>
      <c r="DN43" s="36">
        <v>1558</v>
      </c>
      <c r="DO43" s="69">
        <v>-955</v>
      </c>
      <c r="DP43" s="36">
        <v>966</v>
      </c>
      <c r="DQ43" s="36">
        <v>11599</v>
      </c>
      <c r="DR43" s="36">
        <v>400</v>
      </c>
      <c r="DS43" s="36">
        <v>-519</v>
      </c>
      <c r="DT43" s="36">
        <v>988</v>
      </c>
      <c r="DU43" s="36">
        <v>10485</v>
      </c>
      <c r="DV43" s="36">
        <v>-357</v>
      </c>
      <c r="DW43" s="71">
        <v>-476</v>
      </c>
      <c r="DX43" s="39">
        <v>923</v>
      </c>
      <c r="DY43" s="71">
        <v>10526</v>
      </c>
      <c r="DZ43" s="70">
        <v>1311</v>
      </c>
      <c r="EA43" s="35">
        <v>-957</v>
      </c>
      <c r="EB43" s="35">
        <v>908</v>
      </c>
      <c r="EC43" s="38">
        <v>9437</v>
      </c>
      <c r="ED43" s="38">
        <v>757</v>
      </c>
      <c r="EE43" s="38">
        <v>-1670</v>
      </c>
      <c r="EF43" s="38">
        <v>942</v>
      </c>
      <c r="EG43" s="73">
        <v>9701</v>
      </c>
      <c r="EH43" s="73">
        <v>2232</v>
      </c>
      <c r="EI43" s="73">
        <v>-3447</v>
      </c>
      <c r="EJ43" s="73">
        <v>1028</v>
      </c>
      <c r="EK43" s="73">
        <v>10946</v>
      </c>
      <c r="EL43" s="73">
        <v>24163.054830945905</v>
      </c>
      <c r="EM43" s="73">
        <v>-550.47908330852556</v>
      </c>
      <c r="EN43" s="73">
        <v>24800.655260161493</v>
      </c>
      <c r="EO43" s="73">
        <v>-629.35922081897422</v>
      </c>
      <c r="EP43" s="73">
        <v>26616.74849009289</v>
      </c>
      <c r="EQ43" s="73">
        <v>-2056.93834062428</v>
      </c>
      <c r="ER43" s="73">
        <v>28330.247084882762</v>
      </c>
      <c r="ES43" s="73">
        <v>-1534.2102651819037</v>
      </c>
      <c r="ET43" s="73">
        <v>28303</v>
      </c>
      <c r="EU43" s="73">
        <v>1373</v>
      </c>
      <c r="EV43" s="73">
        <v>29563</v>
      </c>
      <c r="EW43" s="73">
        <v>594</v>
      </c>
      <c r="EX43" s="73">
        <v>30394</v>
      </c>
      <c r="EY43" s="73">
        <v>-582</v>
      </c>
      <c r="EZ43" s="73">
        <v>33132</v>
      </c>
      <c r="FA43" s="73">
        <v>-1274</v>
      </c>
      <c r="FB43" s="73">
        <v>33645</v>
      </c>
      <c r="FC43" s="73">
        <v>405</v>
      </c>
      <c r="FD43" s="73">
        <v>35451</v>
      </c>
      <c r="FE43" s="73">
        <v>-183</v>
      </c>
      <c r="FF43" s="73">
        <v>37579</v>
      </c>
      <c r="FG43" s="73">
        <v>1208</v>
      </c>
      <c r="FH43" s="73">
        <v>-4606</v>
      </c>
      <c r="FI43" s="73">
        <v>-3398</v>
      </c>
      <c r="FJ43" s="79">
        <v>7424</v>
      </c>
      <c r="FK43" s="80">
        <v>21108</v>
      </c>
      <c r="FL43" s="80">
        <v>14050</v>
      </c>
      <c r="FM43" s="80">
        <v>6001</v>
      </c>
      <c r="FN43" s="76">
        <v>394</v>
      </c>
      <c r="FO43" s="80">
        <v>18058</v>
      </c>
      <c r="FP43" s="80">
        <v>1323</v>
      </c>
      <c r="FQ43" s="80">
        <v>1727</v>
      </c>
      <c r="FR43" s="80">
        <v>2415</v>
      </c>
      <c r="FS43" s="81">
        <v>-1147</v>
      </c>
      <c r="FT43" s="76">
        <v>1038</v>
      </c>
      <c r="FU43" s="76">
        <v>11201</v>
      </c>
      <c r="FV43" s="76">
        <v>1147</v>
      </c>
      <c r="FW43" s="80">
        <v>38700</v>
      </c>
      <c r="FX43" s="80">
        <v>1693</v>
      </c>
      <c r="FY43" s="73">
        <v>7428</v>
      </c>
      <c r="FZ43" s="73">
        <v>21034</v>
      </c>
      <c r="GA43" s="73">
        <v>14955</v>
      </c>
      <c r="GB43" s="73">
        <v>6293</v>
      </c>
      <c r="GC43" s="73">
        <v>103</v>
      </c>
      <c r="GD43" s="73">
        <v>17509</v>
      </c>
      <c r="GE43" s="73">
        <v>1641</v>
      </c>
      <c r="GF43" s="73">
        <v>1884</v>
      </c>
      <c r="GG43" s="73">
        <v>1580</v>
      </c>
      <c r="GH43" s="73">
        <v>-1024</v>
      </c>
      <c r="GI43" s="73">
        <v>1179</v>
      </c>
      <c r="GJ43" s="73">
        <v>10153</v>
      </c>
      <c r="GK43" s="73">
        <v>1024</v>
      </c>
      <c r="GL43" s="73">
        <v>40750</v>
      </c>
      <c r="GM43" s="73">
        <v>405</v>
      </c>
      <c r="GN43" s="73">
        <v>-1299</v>
      </c>
      <c r="GO43" s="77">
        <v>19.75</v>
      </c>
      <c r="GP43" s="78">
        <v>7375</v>
      </c>
      <c r="GQ43" s="73">
        <v>21482</v>
      </c>
      <c r="GR43" s="65">
        <v>15723</v>
      </c>
      <c r="GS43" s="65">
        <v>6227</v>
      </c>
      <c r="GT43" s="65">
        <v>119</v>
      </c>
      <c r="GU43" s="65">
        <v>17841</v>
      </c>
      <c r="GV43" s="65">
        <v>1740</v>
      </c>
      <c r="GW43" s="65">
        <v>1901</v>
      </c>
      <c r="GX43" s="65">
        <v>250</v>
      </c>
      <c r="GY43" s="65">
        <v>-2229</v>
      </c>
      <c r="GZ43" s="65">
        <v>1225</v>
      </c>
      <c r="HA43" s="65">
        <v>10559</v>
      </c>
      <c r="HB43" s="65">
        <v>2229</v>
      </c>
      <c r="HC43" s="65">
        <v>43205</v>
      </c>
      <c r="HD43" s="65">
        <v>-972</v>
      </c>
      <c r="HE43" s="78">
        <v>7346</v>
      </c>
      <c r="HF43" s="73">
        <v>22478</v>
      </c>
      <c r="HG43" s="65">
        <v>16417</v>
      </c>
      <c r="HH43" s="65">
        <v>7163</v>
      </c>
      <c r="HI43" s="65">
        <v>100</v>
      </c>
      <c r="HJ43" s="65">
        <v>19077</v>
      </c>
      <c r="HK43" s="65">
        <v>1156</v>
      </c>
      <c r="HL43" s="65">
        <v>2245</v>
      </c>
      <c r="HM43" s="65">
        <v>1300</v>
      </c>
      <c r="HN43" s="65">
        <v>-6951</v>
      </c>
      <c r="HO43" s="65">
        <v>1278</v>
      </c>
      <c r="HP43" s="65">
        <v>22398</v>
      </c>
      <c r="HQ43" s="65">
        <v>6951</v>
      </c>
      <c r="HR43" s="65">
        <v>44808</v>
      </c>
      <c r="HS43" s="65">
        <v>25</v>
      </c>
      <c r="HT43" s="65">
        <v>-1311</v>
      </c>
      <c r="HU43" s="77">
        <v>20.25</v>
      </c>
      <c r="HV43" s="180">
        <v>230</v>
      </c>
      <c r="HW43" s="30" t="s">
        <v>756</v>
      </c>
    </row>
    <row r="44" spans="1:231" ht="15" x14ac:dyDescent="0.25">
      <c r="A44" s="27">
        <v>145</v>
      </c>
      <c r="B44" s="27" t="s">
        <v>173</v>
      </c>
      <c r="C44" s="27">
        <v>14</v>
      </c>
      <c r="D44" s="27" t="s">
        <v>106</v>
      </c>
      <c r="E44" s="27">
        <v>4</v>
      </c>
      <c r="F44" s="27" t="s">
        <v>100</v>
      </c>
      <c r="G44" s="29" t="s">
        <v>132</v>
      </c>
      <c r="H44" s="27" t="s">
        <v>99</v>
      </c>
      <c r="I44" s="31" t="s">
        <v>106</v>
      </c>
      <c r="J44" s="69">
        <v>11805</v>
      </c>
      <c r="K44" s="69">
        <v>11791</v>
      </c>
      <c r="L44" s="36">
        <v>11832</v>
      </c>
      <c r="M44" s="36">
        <v>11752</v>
      </c>
      <c r="N44" s="36">
        <v>11744</v>
      </c>
      <c r="O44" s="36">
        <v>11720</v>
      </c>
      <c r="P44" s="36">
        <v>11760</v>
      </c>
      <c r="Q44" s="36">
        <v>11496</v>
      </c>
      <c r="R44" s="69">
        <v>11532</v>
      </c>
      <c r="S44" s="69">
        <v>11635</v>
      </c>
      <c r="T44" s="71">
        <v>11680</v>
      </c>
      <c r="U44" s="36">
        <v>19568</v>
      </c>
      <c r="V44" s="36">
        <v>11931</v>
      </c>
      <c r="W44" s="36">
        <v>5950</v>
      </c>
      <c r="X44" s="36">
        <v>714.79868746142188</v>
      </c>
      <c r="Y44" s="36">
        <v>20394</v>
      </c>
      <c r="Z44" s="36">
        <v>12690</v>
      </c>
      <c r="AA44" s="36">
        <v>5936</v>
      </c>
      <c r="AB44" s="36">
        <v>633.39573105405054</v>
      </c>
      <c r="AC44" s="36">
        <v>20090</v>
      </c>
      <c r="AD44" s="36">
        <v>13635</v>
      </c>
      <c r="AE44" s="36">
        <v>6369</v>
      </c>
      <c r="AF44" s="36">
        <v>444.52068963777367</v>
      </c>
      <c r="AG44" s="36">
        <v>24812</v>
      </c>
      <c r="AH44" s="36">
        <v>15953</v>
      </c>
      <c r="AI44" s="36">
        <v>6631</v>
      </c>
      <c r="AJ44" s="36">
        <v>459.15303923992514</v>
      </c>
      <c r="AK44" s="36">
        <v>22802</v>
      </c>
      <c r="AL44" s="36">
        <v>16210</v>
      </c>
      <c r="AM44" s="36">
        <v>7034</v>
      </c>
      <c r="AN44" s="36">
        <v>371</v>
      </c>
      <c r="AO44" s="36">
        <v>23157</v>
      </c>
      <c r="AP44" s="36">
        <v>18047</v>
      </c>
      <c r="AQ44" s="36">
        <v>7605</v>
      </c>
      <c r="AR44" s="36">
        <v>404</v>
      </c>
      <c r="AS44" s="36">
        <v>23475</v>
      </c>
      <c r="AT44" s="36">
        <v>18231</v>
      </c>
      <c r="AU44" s="36">
        <v>8728</v>
      </c>
      <c r="AV44" s="36">
        <v>558</v>
      </c>
      <c r="AW44" s="36">
        <v>24336</v>
      </c>
      <c r="AX44" s="69">
        <v>18431</v>
      </c>
      <c r="AY44" s="36">
        <v>9470</v>
      </c>
      <c r="AZ44" s="36">
        <v>987</v>
      </c>
      <c r="BA44" s="36">
        <v>26762</v>
      </c>
      <c r="BB44" s="36">
        <v>18466</v>
      </c>
      <c r="BC44" s="36">
        <v>11949</v>
      </c>
      <c r="BD44" s="36">
        <v>133</v>
      </c>
      <c r="BE44" s="70">
        <v>26866</v>
      </c>
      <c r="BF44" s="70">
        <v>18191</v>
      </c>
      <c r="BG44" s="70">
        <v>12526</v>
      </c>
      <c r="BH44" s="70">
        <v>387</v>
      </c>
      <c r="BI44" s="36">
        <v>29809</v>
      </c>
      <c r="BJ44" s="36">
        <v>21086</v>
      </c>
      <c r="BK44" s="36">
        <v>13376</v>
      </c>
      <c r="BL44" s="36">
        <v>123</v>
      </c>
      <c r="BM44" s="36">
        <v>16513.699747549923</v>
      </c>
      <c r="BN44" s="36">
        <v>2511.2139299968212</v>
      </c>
      <c r="BO44" s="36">
        <v>543.58337832360371</v>
      </c>
      <c r="BP44" s="36">
        <v>17717.757113087879</v>
      </c>
      <c r="BQ44" s="36">
        <v>2120.3451889002695</v>
      </c>
      <c r="BR44" s="36">
        <v>555.86109695529399</v>
      </c>
      <c r="BS44" s="36">
        <v>17238.589710599033</v>
      </c>
      <c r="BT44" s="36">
        <v>2215.7077432039464</v>
      </c>
      <c r="BU44" s="36">
        <v>635.4139861715887</v>
      </c>
      <c r="BV44" s="36">
        <v>20139</v>
      </c>
      <c r="BW44" s="36">
        <v>3981</v>
      </c>
      <c r="BX44" s="36">
        <v>691</v>
      </c>
      <c r="BY44" s="36">
        <v>21573</v>
      </c>
      <c r="BZ44" s="36">
        <v>514</v>
      </c>
      <c r="CA44" s="36">
        <v>715</v>
      </c>
      <c r="CB44" s="36">
        <v>21365</v>
      </c>
      <c r="CC44" s="36">
        <v>1070</v>
      </c>
      <c r="CD44" s="36">
        <v>722</v>
      </c>
      <c r="CE44" s="36">
        <v>21494</v>
      </c>
      <c r="CF44" s="36">
        <v>1259</v>
      </c>
      <c r="CG44" s="36">
        <v>722</v>
      </c>
      <c r="CH44" s="36">
        <v>22043</v>
      </c>
      <c r="CI44" s="36">
        <v>1519</v>
      </c>
      <c r="CJ44" s="70">
        <v>774</v>
      </c>
      <c r="CK44" s="70">
        <v>24694</v>
      </c>
      <c r="CL44" s="70">
        <v>1220</v>
      </c>
      <c r="CM44" s="36">
        <v>848</v>
      </c>
      <c r="CN44" s="36">
        <v>24775</v>
      </c>
      <c r="CO44" s="36">
        <v>1213</v>
      </c>
      <c r="CP44" s="36">
        <v>878</v>
      </c>
      <c r="CQ44" s="36">
        <v>27560</v>
      </c>
      <c r="CR44" s="36">
        <v>1221</v>
      </c>
      <c r="CS44" s="36">
        <v>1028</v>
      </c>
      <c r="CT44" s="36">
        <v>271.62350123534031</v>
      </c>
      <c r="CU44" s="36">
        <v>-1841.825983</v>
      </c>
      <c r="CV44" s="36">
        <v>1278.7328048868683</v>
      </c>
      <c r="CW44" s="36">
        <v>1616</v>
      </c>
      <c r="CX44" s="36">
        <v>629.86378459835873</v>
      </c>
      <c r="CY44" s="36">
        <v>-2624.572592</v>
      </c>
      <c r="CZ44" s="36">
        <v>1241.2268972859513</v>
      </c>
      <c r="DA44" s="36">
        <v>3555</v>
      </c>
      <c r="DB44" s="36">
        <v>568.13881558698426</v>
      </c>
      <c r="DC44" s="36">
        <v>-5544.9877479999996</v>
      </c>
      <c r="DD44" s="36">
        <v>1331.7120017222444</v>
      </c>
      <c r="DE44" s="36">
        <v>8570</v>
      </c>
      <c r="DF44" s="36">
        <v>3671.8788105077087</v>
      </c>
      <c r="DG44" s="36">
        <v>-5184</v>
      </c>
      <c r="DH44" s="36">
        <v>1467.9442221560682</v>
      </c>
      <c r="DI44" s="36">
        <v>12786</v>
      </c>
      <c r="DJ44" s="36">
        <v>2841</v>
      </c>
      <c r="DK44" s="36">
        <v>-2529</v>
      </c>
      <c r="DL44" s="36">
        <v>1584</v>
      </c>
      <c r="DM44" s="36">
        <v>11617</v>
      </c>
      <c r="DN44" s="36">
        <v>2322</v>
      </c>
      <c r="DO44" s="69">
        <v>-3204</v>
      </c>
      <c r="DP44" s="36">
        <v>1654</v>
      </c>
      <c r="DQ44" s="36">
        <v>10489</v>
      </c>
      <c r="DR44" s="36">
        <v>580</v>
      </c>
      <c r="DS44" s="36">
        <v>-4563</v>
      </c>
      <c r="DT44" s="36">
        <v>1798</v>
      </c>
      <c r="DU44" s="36">
        <v>13538</v>
      </c>
      <c r="DV44" s="36">
        <v>1679</v>
      </c>
      <c r="DW44" s="71">
        <v>-3445</v>
      </c>
      <c r="DX44" s="39">
        <v>1785</v>
      </c>
      <c r="DY44" s="71">
        <v>15761</v>
      </c>
      <c r="DZ44" s="70">
        <v>4294</v>
      </c>
      <c r="EA44" s="35">
        <v>-5609</v>
      </c>
      <c r="EB44" s="35">
        <v>1843</v>
      </c>
      <c r="EC44" s="38">
        <v>19796</v>
      </c>
      <c r="ED44" s="38">
        <v>1041</v>
      </c>
      <c r="EE44" s="38">
        <v>-6975</v>
      </c>
      <c r="EF44" s="38">
        <v>2068</v>
      </c>
      <c r="EG44" s="73">
        <v>21641</v>
      </c>
      <c r="EH44" s="73">
        <v>2221</v>
      </c>
      <c r="EI44" s="73">
        <v>-4630</v>
      </c>
      <c r="EJ44" s="73">
        <v>2227</v>
      </c>
      <c r="EK44" s="73">
        <v>24116</v>
      </c>
      <c r="EL44" s="73">
        <v>35953.364851750754</v>
      </c>
      <c r="EM44" s="73">
        <v>-1232.8175009628758</v>
      </c>
      <c r="EN44" s="73">
        <v>37145.480874509944</v>
      </c>
      <c r="EO44" s="73">
        <v>-603.96284392328607</v>
      </c>
      <c r="EP44" s="73">
        <v>37863.811508427054</v>
      </c>
      <c r="EQ44" s="73">
        <v>-749.27721238603158</v>
      </c>
      <c r="ER44" s="73">
        <v>41640.135021267357</v>
      </c>
      <c r="ES44" s="73">
        <v>2117.9905579298083</v>
      </c>
      <c r="ET44" s="73">
        <v>42911</v>
      </c>
      <c r="EU44" s="73">
        <v>1243</v>
      </c>
      <c r="EV44" s="73">
        <v>46325</v>
      </c>
      <c r="EW44" s="73">
        <v>668</v>
      </c>
      <c r="EX44" s="73">
        <v>49628</v>
      </c>
      <c r="EY44" s="73">
        <v>-1000</v>
      </c>
      <c r="EZ44" s="73">
        <v>50321</v>
      </c>
      <c r="FA44" s="73">
        <v>-196</v>
      </c>
      <c r="FB44" s="73">
        <v>52536</v>
      </c>
      <c r="FC44" s="73">
        <v>2451</v>
      </c>
      <c r="FD44" s="73">
        <v>56056</v>
      </c>
      <c r="FE44" s="73">
        <v>-1027</v>
      </c>
      <c r="FF44" s="73">
        <v>61299</v>
      </c>
      <c r="FG44" s="73">
        <v>-6</v>
      </c>
      <c r="FH44" s="73">
        <v>11046</v>
      </c>
      <c r="FI44" s="73">
        <v>11040</v>
      </c>
      <c r="FJ44" s="79">
        <v>11744</v>
      </c>
      <c r="FK44" s="80">
        <v>31326</v>
      </c>
      <c r="FL44" s="80">
        <v>22564</v>
      </c>
      <c r="FM44" s="80">
        <v>12591</v>
      </c>
      <c r="FN44" s="76">
        <v>131</v>
      </c>
      <c r="FO44" s="80">
        <v>29326</v>
      </c>
      <c r="FP44" s="80">
        <v>918</v>
      </c>
      <c r="FQ44" s="80">
        <v>1082</v>
      </c>
      <c r="FR44" s="80">
        <v>3052</v>
      </c>
      <c r="FS44" s="81">
        <v>-3506</v>
      </c>
      <c r="FT44" s="76">
        <v>2336</v>
      </c>
      <c r="FU44" s="76">
        <v>25884</v>
      </c>
      <c r="FV44" s="76">
        <v>3506</v>
      </c>
      <c r="FW44" s="80">
        <v>62676</v>
      </c>
      <c r="FX44" s="80">
        <v>716</v>
      </c>
      <c r="FY44" s="73">
        <v>11841</v>
      </c>
      <c r="FZ44" s="73">
        <v>31643</v>
      </c>
      <c r="GA44" s="73">
        <v>23277</v>
      </c>
      <c r="GB44" s="73">
        <v>8637</v>
      </c>
      <c r="GC44" s="73">
        <v>127</v>
      </c>
      <c r="GD44" s="73">
        <v>29398</v>
      </c>
      <c r="GE44" s="73">
        <v>1141</v>
      </c>
      <c r="GF44" s="73">
        <v>1104</v>
      </c>
      <c r="GG44" s="73">
        <v>3557</v>
      </c>
      <c r="GH44" s="73">
        <v>-7719</v>
      </c>
      <c r="GI44" s="73">
        <v>2356</v>
      </c>
      <c r="GJ44" s="73">
        <v>29562</v>
      </c>
      <c r="GK44" s="73">
        <v>7719</v>
      </c>
      <c r="GL44" s="73">
        <v>59397</v>
      </c>
      <c r="GM44" s="73">
        <v>1136</v>
      </c>
      <c r="GN44" s="73">
        <v>12891</v>
      </c>
      <c r="GO44" s="77">
        <v>19.5</v>
      </c>
      <c r="GP44" s="78">
        <v>11898</v>
      </c>
      <c r="GQ44" s="73">
        <v>31994</v>
      </c>
      <c r="GR44" s="65">
        <v>24363</v>
      </c>
      <c r="GS44" s="65">
        <v>9233</v>
      </c>
      <c r="GT44" s="65">
        <v>182</v>
      </c>
      <c r="GU44" s="65">
        <v>29378</v>
      </c>
      <c r="GV44" s="65">
        <v>1500</v>
      </c>
      <c r="GW44" s="65">
        <v>1116</v>
      </c>
      <c r="GX44" s="65">
        <v>993</v>
      </c>
      <c r="GY44" s="65">
        <v>-6829</v>
      </c>
      <c r="GZ44" s="65">
        <v>2560</v>
      </c>
      <c r="HA44" s="65">
        <v>34241</v>
      </c>
      <c r="HB44" s="65">
        <v>6829</v>
      </c>
      <c r="HC44" s="65">
        <v>63936</v>
      </c>
      <c r="HD44" s="65">
        <v>-1663</v>
      </c>
      <c r="HE44" s="78">
        <v>12022</v>
      </c>
      <c r="HF44" s="73">
        <v>34058</v>
      </c>
      <c r="HG44" s="65">
        <v>25348</v>
      </c>
      <c r="HH44" s="65">
        <v>9608</v>
      </c>
      <c r="HI44" s="65">
        <v>97</v>
      </c>
      <c r="HJ44" s="65">
        <v>31570</v>
      </c>
      <c r="HK44" s="65">
        <v>1074</v>
      </c>
      <c r="HL44" s="65">
        <v>1414</v>
      </c>
      <c r="HM44" s="65">
        <v>1988</v>
      </c>
      <c r="HN44" s="65">
        <v>-4156</v>
      </c>
      <c r="HO44" s="65">
        <v>2849</v>
      </c>
      <c r="HP44" s="65">
        <v>37533</v>
      </c>
      <c r="HQ44" s="65">
        <v>4156</v>
      </c>
      <c r="HR44" s="65">
        <v>66258</v>
      </c>
      <c r="HS44" s="65">
        <v>-861</v>
      </c>
      <c r="HT44" s="65">
        <v>10367</v>
      </c>
      <c r="HU44" s="77">
        <v>19.75</v>
      </c>
      <c r="HV44" s="180">
        <v>220</v>
      </c>
      <c r="HW44" s="30" t="s">
        <v>755</v>
      </c>
    </row>
    <row r="45" spans="1:231" ht="15" x14ac:dyDescent="0.25">
      <c r="A45" s="27">
        <v>146</v>
      </c>
      <c r="B45" s="27" t="s">
        <v>174</v>
      </c>
      <c r="C45" s="27">
        <v>12</v>
      </c>
      <c r="D45" s="27" t="s">
        <v>116</v>
      </c>
      <c r="E45" s="27">
        <v>2</v>
      </c>
      <c r="F45" s="27" t="s">
        <v>744</v>
      </c>
      <c r="G45" s="29" t="s">
        <v>130</v>
      </c>
      <c r="H45" s="27" t="s">
        <v>98</v>
      </c>
      <c r="I45" s="31" t="s">
        <v>116</v>
      </c>
      <c r="J45" s="69">
        <v>7493</v>
      </c>
      <c r="K45" s="69">
        <v>7274</v>
      </c>
      <c r="L45" s="36">
        <v>7129</v>
      </c>
      <c r="M45" s="36">
        <v>6939</v>
      </c>
      <c r="N45" s="36">
        <v>6804</v>
      </c>
      <c r="O45" s="36">
        <v>6690</v>
      </c>
      <c r="P45" s="36">
        <v>6538</v>
      </c>
      <c r="Q45" s="36">
        <v>6422</v>
      </c>
      <c r="R45" s="69">
        <v>6313</v>
      </c>
      <c r="S45" s="69">
        <v>6203</v>
      </c>
      <c r="T45" s="71">
        <v>6052</v>
      </c>
      <c r="U45" s="36">
        <v>15254</v>
      </c>
      <c r="V45" s="36">
        <v>9975</v>
      </c>
      <c r="W45" s="36">
        <v>5597</v>
      </c>
      <c r="X45" s="36">
        <v>516.67331008976191</v>
      </c>
      <c r="Y45" s="36">
        <v>14453</v>
      </c>
      <c r="Z45" s="36">
        <v>10143</v>
      </c>
      <c r="AA45" s="36">
        <v>5731</v>
      </c>
      <c r="AB45" s="36">
        <v>399.44632534608871</v>
      </c>
      <c r="AC45" s="36">
        <v>14021</v>
      </c>
      <c r="AD45" s="36">
        <v>9903</v>
      </c>
      <c r="AE45" s="36">
        <v>6595</v>
      </c>
      <c r="AF45" s="36">
        <v>247.57262775134424</v>
      </c>
      <c r="AG45" s="36">
        <v>13932</v>
      </c>
      <c r="AH45" s="36">
        <v>11743</v>
      </c>
      <c r="AI45" s="36">
        <v>6513</v>
      </c>
      <c r="AJ45" s="36">
        <v>201.82551175381323</v>
      </c>
      <c r="AK45" s="36">
        <v>13048</v>
      </c>
      <c r="AL45" s="36">
        <v>12935</v>
      </c>
      <c r="AM45" s="36">
        <v>6730</v>
      </c>
      <c r="AN45" s="36">
        <v>343</v>
      </c>
      <c r="AO45" s="36">
        <v>12308</v>
      </c>
      <c r="AP45" s="36">
        <v>15224</v>
      </c>
      <c r="AQ45" s="36">
        <v>7282</v>
      </c>
      <c r="AR45" s="36">
        <v>339</v>
      </c>
      <c r="AS45" s="36">
        <v>12784</v>
      </c>
      <c r="AT45" s="36">
        <v>15720</v>
      </c>
      <c r="AU45" s="36">
        <v>6732</v>
      </c>
      <c r="AV45" s="36">
        <v>337</v>
      </c>
      <c r="AW45" s="36">
        <v>13032</v>
      </c>
      <c r="AX45" s="69">
        <v>15636</v>
      </c>
      <c r="AY45" s="36">
        <v>7435</v>
      </c>
      <c r="AZ45" s="36">
        <v>336</v>
      </c>
      <c r="BA45" s="36">
        <v>14231</v>
      </c>
      <c r="BB45" s="36">
        <v>16881</v>
      </c>
      <c r="BC45" s="36">
        <v>6933</v>
      </c>
      <c r="BD45" s="36">
        <v>292</v>
      </c>
      <c r="BE45" s="70">
        <v>14805</v>
      </c>
      <c r="BF45" s="70">
        <v>16889</v>
      </c>
      <c r="BG45" s="70">
        <v>6906</v>
      </c>
      <c r="BH45" s="70">
        <v>359</v>
      </c>
      <c r="BI45" s="36">
        <v>15889</v>
      </c>
      <c r="BJ45" s="36">
        <v>18772</v>
      </c>
      <c r="BK45" s="36">
        <v>7270</v>
      </c>
      <c r="BL45" s="36">
        <v>413</v>
      </c>
      <c r="BM45" s="36">
        <v>9776.7641652076363</v>
      </c>
      <c r="BN45" s="36">
        <v>4985.5947040985711</v>
      </c>
      <c r="BO45" s="36">
        <v>491.44512112053525</v>
      </c>
      <c r="BP45" s="36">
        <v>9993.8947782694468</v>
      </c>
      <c r="BQ45" s="36">
        <v>3938.2884860227423</v>
      </c>
      <c r="BR45" s="36">
        <v>520.54163239837658</v>
      </c>
      <c r="BS45" s="36">
        <v>9238.8991763837239</v>
      </c>
      <c r="BT45" s="36">
        <v>4164.3330591870126</v>
      </c>
      <c r="BU45" s="36">
        <v>617.92244181959154</v>
      </c>
      <c r="BV45" s="36">
        <v>10494</v>
      </c>
      <c r="BW45" s="36">
        <v>2787</v>
      </c>
      <c r="BX45" s="36">
        <v>651</v>
      </c>
      <c r="BY45" s="36">
        <v>10877</v>
      </c>
      <c r="BZ45" s="36">
        <v>1517</v>
      </c>
      <c r="CA45" s="36">
        <v>654</v>
      </c>
      <c r="CB45" s="36">
        <v>10822</v>
      </c>
      <c r="CC45" s="36">
        <v>833</v>
      </c>
      <c r="CD45" s="36">
        <v>653</v>
      </c>
      <c r="CE45" s="36">
        <v>10879</v>
      </c>
      <c r="CF45" s="36">
        <v>1260</v>
      </c>
      <c r="CG45" s="36">
        <v>645</v>
      </c>
      <c r="CH45" s="36">
        <v>10554</v>
      </c>
      <c r="CI45" s="36">
        <v>1810</v>
      </c>
      <c r="CJ45" s="70">
        <v>668</v>
      </c>
      <c r="CK45" s="70">
        <v>11426</v>
      </c>
      <c r="CL45" s="70">
        <v>2083</v>
      </c>
      <c r="CM45" s="36">
        <v>722</v>
      </c>
      <c r="CN45" s="36">
        <v>11583</v>
      </c>
      <c r="CO45" s="36">
        <v>2399</v>
      </c>
      <c r="CP45" s="36">
        <v>823</v>
      </c>
      <c r="CQ45" s="36">
        <v>12474</v>
      </c>
      <c r="CR45" s="36">
        <v>2513</v>
      </c>
      <c r="CS45" s="36">
        <v>902</v>
      </c>
      <c r="CT45" s="36">
        <v>1701.3890640846455</v>
      </c>
      <c r="CU45" s="36">
        <v>-1476.6899940000001</v>
      </c>
      <c r="CV45" s="36">
        <v>1246.7770988591813</v>
      </c>
      <c r="CW45" s="36">
        <v>3187</v>
      </c>
      <c r="CX45" s="36">
        <v>885.67762074631719</v>
      </c>
      <c r="CY45" s="36">
        <v>-2314.9386199999999</v>
      </c>
      <c r="CZ45" s="36">
        <v>1298.9153560622497</v>
      </c>
      <c r="DA45" s="36">
        <v>3457</v>
      </c>
      <c r="DB45" s="36">
        <v>541.90149905898852</v>
      </c>
      <c r="DC45" s="36">
        <v>-1694.4933590000003</v>
      </c>
      <c r="DD45" s="36">
        <v>1263.9322673582553</v>
      </c>
      <c r="DE45" s="36">
        <v>3534</v>
      </c>
      <c r="DF45" s="36">
        <v>1568.3524142535903</v>
      </c>
      <c r="DG45" s="36">
        <v>-1189</v>
      </c>
      <c r="DH45" s="36">
        <v>1329.6937466047061</v>
      </c>
      <c r="DI45" s="36">
        <v>3386</v>
      </c>
      <c r="DJ45" s="36">
        <v>1660</v>
      </c>
      <c r="DK45" s="36">
        <v>-974</v>
      </c>
      <c r="DL45" s="36">
        <v>1401</v>
      </c>
      <c r="DM45" s="36">
        <v>3832</v>
      </c>
      <c r="DN45" s="36">
        <v>1432</v>
      </c>
      <c r="DO45" s="69">
        <v>-1335</v>
      </c>
      <c r="DP45" s="36">
        <v>1610</v>
      </c>
      <c r="DQ45" s="36">
        <v>3349</v>
      </c>
      <c r="DR45" s="36">
        <v>1415</v>
      </c>
      <c r="DS45" s="36">
        <v>-1395</v>
      </c>
      <c r="DT45" s="36">
        <v>1444</v>
      </c>
      <c r="DU45" s="36">
        <v>2868</v>
      </c>
      <c r="DV45" s="36">
        <v>758</v>
      </c>
      <c r="DW45" s="71">
        <v>-1064</v>
      </c>
      <c r="DX45" s="39">
        <v>1288</v>
      </c>
      <c r="DY45" s="71">
        <v>2393</v>
      </c>
      <c r="DZ45" s="70">
        <v>2337</v>
      </c>
      <c r="EA45" s="35">
        <v>-4341</v>
      </c>
      <c r="EB45" s="35">
        <v>1263</v>
      </c>
      <c r="EC45" s="38">
        <v>5140</v>
      </c>
      <c r="ED45" s="38">
        <v>2049</v>
      </c>
      <c r="EE45" s="38">
        <v>-1356</v>
      </c>
      <c r="EF45" s="38">
        <v>1496</v>
      </c>
      <c r="EG45" s="73">
        <v>6294</v>
      </c>
      <c r="EH45" s="73">
        <v>2998</v>
      </c>
      <c r="EI45" s="73">
        <v>-1634</v>
      </c>
      <c r="EJ45" s="73">
        <v>1679</v>
      </c>
      <c r="EK45" s="73">
        <v>5381</v>
      </c>
      <c r="EL45" s="73">
        <v>28174.673252905865</v>
      </c>
      <c r="EM45" s="73">
        <v>6.3911412055374193</v>
      </c>
      <c r="EN45" s="73">
        <v>28107.061706468339</v>
      </c>
      <c r="EO45" s="73">
        <v>-554.01102976421737</v>
      </c>
      <c r="EP45" s="73">
        <v>28812.778245900838</v>
      </c>
      <c r="EQ45" s="73">
        <v>-587.81680298298102</v>
      </c>
      <c r="ER45" s="73">
        <v>29219.456652084769</v>
      </c>
      <c r="ES45" s="73">
        <v>730.27197669588088</v>
      </c>
      <c r="ET45" s="73">
        <v>31231</v>
      </c>
      <c r="EU45" s="73">
        <v>519</v>
      </c>
      <c r="EV45" s="73">
        <v>33527</v>
      </c>
      <c r="EW45" s="73">
        <v>59</v>
      </c>
      <c r="EX45" s="73">
        <v>34013</v>
      </c>
      <c r="EY45" s="73">
        <v>215</v>
      </c>
      <c r="EZ45" s="73">
        <v>35442</v>
      </c>
      <c r="FA45" s="73">
        <v>-309</v>
      </c>
      <c r="FB45" s="73">
        <v>35926</v>
      </c>
      <c r="FC45" s="73">
        <v>1301</v>
      </c>
      <c r="FD45" s="73">
        <v>36665</v>
      </c>
      <c r="FE45" s="73">
        <v>712</v>
      </c>
      <c r="FF45" s="73">
        <v>39219</v>
      </c>
      <c r="FG45" s="73">
        <v>1504</v>
      </c>
      <c r="FH45" s="73">
        <v>2586</v>
      </c>
      <c r="FI45" s="73">
        <v>4090</v>
      </c>
      <c r="FJ45" s="79">
        <v>6022</v>
      </c>
      <c r="FK45" s="80">
        <v>15653</v>
      </c>
      <c r="FL45" s="80">
        <v>19621</v>
      </c>
      <c r="FM45" s="80">
        <v>7481</v>
      </c>
      <c r="FN45" s="76">
        <v>342</v>
      </c>
      <c r="FO45" s="80">
        <v>12643</v>
      </c>
      <c r="FP45" s="80">
        <v>2062</v>
      </c>
      <c r="FQ45" s="80">
        <v>948</v>
      </c>
      <c r="FR45" s="80">
        <v>1491</v>
      </c>
      <c r="FS45" s="81">
        <v>-1205</v>
      </c>
      <c r="FT45" s="76">
        <v>1616</v>
      </c>
      <c r="FU45" s="76">
        <v>4480</v>
      </c>
      <c r="FV45" s="76">
        <v>1205</v>
      </c>
      <c r="FW45" s="80">
        <v>41515</v>
      </c>
      <c r="FX45" s="80">
        <v>20</v>
      </c>
      <c r="FY45" s="73">
        <v>5883</v>
      </c>
      <c r="FZ45" s="73">
        <v>15956</v>
      </c>
      <c r="GA45" s="73">
        <v>20361</v>
      </c>
      <c r="GB45" s="73">
        <v>7755</v>
      </c>
      <c r="GC45" s="73">
        <v>309</v>
      </c>
      <c r="GD45" s="73">
        <v>12387</v>
      </c>
      <c r="GE45" s="73">
        <v>2622</v>
      </c>
      <c r="GF45" s="73">
        <v>947</v>
      </c>
      <c r="GG45" s="73">
        <v>1997</v>
      </c>
      <c r="GH45" s="73">
        <v>-3037</v>
      </c>
      <c r="GI45" s="73">
        <v>1512</v>
      </c>
      <c r="GJ45" s="73">
        <v>7099</v>
      </c>
      <c r="GK45" s="73">
        <v>3037</v>
      </c>
      <c r="GL45" s="73">
        <v>42284</v>
      </c>
      <c r="GM45" s="73">
        <v>542</v>
      </c>
      <c r="GN45" s="73">
        <v>4651</v>
      </c>
      <c r="GO45" s="77">
        <v>19.75</v>
      </c>
      <c r="GP45" s="78">
        <v>5834</v>
      </c>
      <c r="GQ45" s="73">
        <v>16474</v>
      </c>
      <c r="GR45" s="65">
        <v>21180</v>
      </c>
      <c r="GS45" s="65">
        <v>7590</v>
      </c>
      <c r="GT45" s="65">
        <v>351</v>
      </c>
      <c r="GU45" s="65">
        <v>12797</v>
      </c>
      <c r="GV45" s="65">
        <v>2807</v>
      </c>
      <c r="GW45" s="65">
        <v>870</v>
      </c>
      <c r="GX45" s="65">
        <v>1528</v>
      </c>
      <c r="GY45" s="65">
        <v>-2135</v>
      </c>
      <c r="GZ45" s="65">
        <v>1307</v>
      </c>
      <c r="HA45" s="65">
        <v>9457</v>
      </c>
      <c r="HB45" s="65">
        <v>2135</v>
      </c>
      <c r="HC45" s="65">
        <v>43923</v>
      </c>
      <c r="HD45" s="65">
        <v>273</v>
      </c>
      <c r="HE45" s="78">
        <v>5693</v>
      </c>
      <c r="HF45" s="73">
        <v>16516</v>
      </c>
      <c r="HG45" s="65">
        <v>21563</v>
      </c>
      <c r="HH45" s="65">
        <v>8345</v>
      </c>
      <c r="HI45" s="65">
        <v>433</v>
      </c>
      <c r="HJ45" s="65">
        <v>13619</v>
      </c>
      <c r="HK45" s="65">
        <v>1810</v>
      </c>
      <c r="HL45" s="65">
        <v>1087</v>
      </c>
      <c r="HM45" s="65">
        <v>1264</v>
      </c>
      <c r="HN45" s="65">
        <v>-2780</v>
      </c>
      <c r="HO45" s="65">
        <v>1266</v>
      </c>
      <c r="HP45" s="65">
        <v>8107</v>
      </c>
      <c r="HQ45" s="65">
        <v>2780</v>
      </c>
      <c r="HR45" s="65">
        <v>45499</v>
      </c>
      <c r="HS45" s="65">
        <v>47</v>
      </c>
      <c r="HT45" s="65">
        <v>4970</v>
      </c>
      <c r="HU45" s="77">
        <v>20.25</v>
      </c>
      <c r="HV45" s="180">
        <v>340</v>
      </c>
      <c r="HW45" s="30" t="s">
        <v>761</v>
      </c>
    </row>
    <row r="46" spans="1:231" ht="15" x14ac:dyDescent="0.25">
      <c r="A46" s="27">
        <v>153</v>
      </c>
      <c r="B46" s="27" t="s">
        <v>175</v>
      </c>
      <c r="C46" s="27">
        <v>9</v>
      </c>
      <c r="D46" s="27" t="s">
        <v>105</v>
      </c>
      <c r="E46" s="27">
        <v>5</v>
      </c>
      <c r="F46" s="27" t="s">
        <v>101</v>
      </c>
      <c r="G46" s="29" t="s">
        <v>141</v>
      </c>
      <c r="H46" s="27" t="s">
        <v>97</v>
      </c>
      <c r="I46" s="31" t="s">
        <v>105</v>
      </c>
      <c r="J46" s="69">
        <v>31244</v>
      </c>
      <c r="K46" s="69">
        <v>30867</v>
      </c>
      <c r="L46" s="36">
        <v>30663</v>
      </c>
      <c r="M46" s="36">
        <v>30421</v>
      </c>
      <c r="N46" s="36">
        <v>30230</v>
      </c>
      <c r="O46" s="36">
        <v>29969</v>
      </c>
      <c r="P46" s="36">
        <v>29728</v>
      </c>
      <c r="Q46" s="36">
        <v>29529</v>
      </c>
      <c r="R46" s="69">
        <v>29385</v>
      </c>
      <c r="S46" s="69">
        <v>29155</v>
      </c>
      <c r="T46" s="71">
        <v>28899</v>
      </c>
      <c r="U46" s="36">
        <v>71152</v>
      </c>
      <c r="V46" s="36">
        <v>16010</v>
      </c>
      <c r="W46" s="36">
        <v>25826</v>
      </c>
      <c r="X46" s="36">
        <v>1182.5293109508841</v>
      </c>
      <c r="Y46" s="36">
        <v>73610</v>
      </c>
      <c r="Z46" s="36">
        <v>15927</v>
      </c>
      <c r="AA46" s="36">
        <v>27636</v>
      </c>
      <c r="AB46" s="36">
        <v>1503.6000625659085</v>
      </c>
      <c r="AC46" s="36">
        <v>83072</v>
      </c>
      <c r="AD46" s="36">
        <v>17595</v>
      </c>
      <c r="AE46" s="36">
        <v>28532</v>
      </c>
      <c r="AF46" s="36">
        <v>615.56781084913041</v>
      </c>
      <c r="AG46" s="36">
        <v>93731</v>
      </c>
      <c r="AH46" s="36">
        <v>16597</v>
      </c>
      <c r="AI46" s="36">
        <v>31823</v>
      </c>
      <c r="AJ46" s="36">
        <v>733.46754729864961</v>
      </c>
      <c r="AK46" s="36">
        <v>103516</v>
      </c>
      <c r="AL46" s="36">
        <v>17983</v>
      </c>
      <c r="AM46" s="36">
        <v>31024</v>
      </c>
      <c r="AN46" s="36">
        <v>1110</v>
      </c>
      <c r="AO46" s="36">
        <v>85647</v>
      </c>
      <c r="AP46" s="36">
        <v>12786</v>
      </c>
      <c r="AQ46" s="36">
        <v>33402</v>
      </c>
      <c r="AR46" s="36">
        <v>1151</v>
      </c>
      <c r="AS46" s="36">
        <v>84802</v>
      </c>
      <c r="AT46" s="36">
        <v>20904</v>
      </c>
      <c r="AU46" s="36">
        <v>33283</v>
      </c>
      <c r="AV46" s="36">
        <v>1371</v>
      </c>
      <c r="AW46" s="36">
        <v>78179</v>
      </c>
      <c r="AX46" s="69">
        <v>23450</v>
      </c>
      <c r="AY46" s="36">
        <v>34774</v>
      </c>
      <c r="AZ46" s="36">
        <v>926</v>
      </c>
      <c r="BA46" s="36">
        <v>80197</v>
      </c>
      <c r="BB46" s="36">
        <v>27714</v>
      </c>
      <c r="BC46" s="36">
        <v>40047</v>
      </c>
      <c r="BD46" s="36">
        <v>324</v>
      </c>
      <c r="BE46" s="70">
        <v>85146</v>
      </c>
      <c r="BF46" s="70">
        <v>32276</v>
      </c>
      <c r="BG46" s="70">
        <v>37190</v>
      </c>
      <c r="BH46" s="70">
        <v>1045</v>
      </c>
      <c r="BI46" s="36">
        <v>93551</v>
      </c>
      <c r="BJ46" s="36">
        <v>36278</v>
      </c>
      <c r="BK46" s="36">
        <v>41784</v>
      </c>
      <c r="BL46" s="36">
        <v>156</v>
      </c>
      <c r="BM46" s="36">
        <v>63116.724102843546</v>
      </c>
      <c r="BN46" s="36">
        <v>5163.5375302948505</v>
      </c>
      <c r="BO46" s="36">
        <v>2836.9939435527676</v>
      </c>
      <c r="BP46" s="36">
        <v>63428.20814265027</v>
      </c>
      <c r="BQ46" s="36">
        <v>7213.9165417871309</v>
      </c>
      <c r="BR46" s="36">
        <v>2935.0475046798288</v>
      </c>
      <c r="BS46" s="36">
        <v>59853.205577784393</v>
      </c>
      <c r="BT46" s="36">
        <v>19350.525503176228</v>
      </c>
      <c r="BU46" s="36">
        <v>3835.862038807682</v>
      </c>
      <c r="BV46" s="36">
        <v>69718</v>
      </c>
      <c r="BW46" s="36">
        <v>19851</v>
      </c>
      <c r="BX46" s="36">
        <v>4130</v>
      </c>
      <c r="BY46" s="36">
        <v>74775</v>
      </c>
      <c r="BZ46" s="36">
        <v>24853</v>
      </c>
      <c r="CA46" s="36">
        <v>3888</v>
      </c>
      <c r="CB46" s="36">
        <v>69605</v>
      </c>
      <c r="CC46" s="36">
        <v>12148</v>
      </c>
      <c r="CD46" s="36">
        <v>3894</v>
      </c>
      <c r="CE46" s="36">
        <v>70991</v>
      </c>
      <c r="CF46" s="36">
        <v>9989</v>
      </c>
      <c r="CG46" s="36">
        <v>3822</v>
      </c>
      <c r="CH46" s="36">
        <v>69722</v>
      </c>
      <c r="CI46" s="36">
        <v>4615</v>
      </c>
      <c r="CJ46" s="70">
        <v>3842</v>
      </c>
      <c r="CK46" s="70">
        <v>71000</v>
      </c>
      <c r="CL46" s="70">
        <v>4843</v>
      </c>
      <c r="CM46" s="36">
        <v>4354</v>
      </c>
      <c r="CN46" s="36">
        <v>74250</v>
      </c>
      <c r="CO46" s="36">
        <v>6414</v>
      </c>
      <c r="CP46" s="36">
        <v>4482</v>
      </c>
      <c r="CQ46" s="36">
        <v>82293</v>
      </c>
      <c r="CR46" s="36">
        <v>6682</v>
      </c>
      <c r="CS46" s="36">
        <v>4576</v>
      </c>
      <c r="CT46" s="36">
        <v>5281.1008908914464</v>
      </c>
      <c r="CU46" s="36">
        <v>-13664.76446</v>
      </c>
      <c r="CV46" s="36">
        <v>6263.3183814266704</v>
      </c>
      <c r="CW46" s="36">
        <v>33609</v>
      </c>
      <c r="CX46" s="36">
        <v>7700.3160251138206</v>
      </c>
      <c r="CY46" s="36">
        <v>-8422.1786049999992</v>
      </c>
      <c r="CZ46" s="36">
        <v>6846.0895466158063</v>
      </c>
      <c r="DA46" s="36">
        <v>34358</v>
      </c>
      <c r="DB46" s="36">
        <v>13212.843502816306</v>
      </c>
      <c r="DC46" s="36">
        <v>-10948.69764</v>
      </c>
      <c r="DD46" s="36">
        <v>7008.8954594305487</v>
      </c>
      <c r="DE46" s="36">
        <v>28715</v>
      </c>
      <c r="DF46" s="36">
        <v>17464.297907910382</v>
      </c>
      <c r="DG46" s="36">
        <v>-8805</v>
      </c>
      <c r="DH46" s="36">
        <v>7145.4640557172961</v>
      </c>
      <c r="DI46" s="36">
        <v>23211</v>
      </c>
      <c r="DJ46" s="36">
        <v>27188</v>
      </c>
      <c r="DK46" s="36">
        <v>-11281</v>
      </c>
      <c r="DL46" s="36">
        <v>7303</v>
      </c>
      <c r="DM46" s="36">
        <v>16650</v>
      </c>
      <c r="DN46" s="36">
        <v>-2806</v>
      </c>
      <c r="DO46" s="69">
        <v>-13536</v>
      </c>
      <c r="DP46" s="36">
        <v>7471</v>
      </c>
      <c r="DQ46" s="36">
        <v>28702</v>
      </c>
      <c r="DR46" s="36">
        <v>1738</v>
      </c>
      <c r="DS46" s="36">
        <v>-12653</v>
      </c>
      <c r="DT46" s="36">
        <v>7964</v>
      </c>
      <c r="DU46" s="36">
        <v>43230</v>
      </c>
      <c r="DV46" s="36">
        <v>-3555</v>
      </c>
      <c r="DW46" s="71">
        <v>-9212</v>
      </c>
      <c r="DX46" s="39">
        <v>8159</v>
      </c>
      <c r="DY46" s="71">
        <v>50779</v>
      </c>
      <c r="DZ46" s="70">
        <v>763</v>
      </c>
      <c r="EA46" s="35">
        <v>-9999</v>
      </c>
      <c r="EB46" s="35">
        <v>8441</v>
      </c>
      <c r="EC46" s="38">
        <v>58928</v>
      </c>
      <c r="ED46" s="38">
        <v>4448</v>
      </c>
      <c r="EE46" s="38">
        <v>-11139</v>
      </c>
      <c r="EF46" s="38">
        <v>8401</v>
      </c>
      <c r="EG46" s="73">
        <v>62006</v>
      </c>
      <c r="EH46" s="73">
        <v>12394</v>
      </c>
      <c r="EI46" s="73">
        <v>-9408</v>
      </c>
      <c r="EJ46" s="73">
        <v>8760</v>
      </c>
      <c r="EK46" s="73">
        <v>62893</v>
      </c>
      <c r="EL46" s="73">
        <v>101706.09832602556</v>
      </c>
      <c r="EM46" s="73">
        <v>4875.2634243398206</v>
      </c>
      <c r="EN46" s="73">
        <v>104436.12474834881</v>
      </c>
      <c r="EO46" s="73">
        <v>3419.5969208154424</v>
      </c>
      <c r="EP46" s="73">
        <v>109829.91154996947</v>
      </c>
      <c r="EQ46" s="73">
        <v>6219.5895205466777</v>
      </c>
      <c r="ER46" s="73">
        <v>118449.54278112191</v>
      </c>
      <c r="ES46" s="73">
        <v>9519.9412015009093</v>
      </c>
      <c r="ET46" s="73">
        <v>124956</v>
      </c>
      <c r="EU46" s="73">
        <v>20251</v>
      </c>
      <c r="EV46" s="73">
        <v>134675</v>
      </c>
      <c r="EW46" s="73">
        <v>-10274</v>
      </c>
      <c r="EX46" s="73">
        <v>136661</v>
      </c>
      <c r="EY46" s="73">
        <v>-6420</v>
      </c>
      <c r="EZ46" s="73">
        <v>139317</v>
      </c>
      <c r="FA46" s="73">
        <v>-11772</v>
      </c>
      <c r="FB46" s="73">
        <v>146099</v>
      </c>
      <c r="FC46" s="73">
        <v>-9221</v>
      </c>
      <c r="FD46" s="73">
        <v>148404</v>
      </c>
      <c r="FE46" s="73">
        <v>-3933</v>
      </c>
      <c r="FF46" s="73">
        <v>156601</v>
      </c>
      <c r="FG46" s="73">
        <v>3440</v>
      </c>
      <c r="FH46" s="73">
        <v>10920</v>
      </c>
      <c r="FI46" s="73">
        <v>14360</v>
      </c>
      <c r="FJ46" s="79">
        <v>28676</v>
      </c>
      <c r="FK46" s="80">
        <v>92979</v>
      </c>
      <c r="FL46" s="80">
        <v>39201</v>
      </c>
      <c r="FM46" s="80">
        <v>41919</v>
      </c>
      <c r="FN46" s="76">
        <v>295</v>
      </c>
      <c r="FO46" s="80">
        <v>82804</v>
      </c>
      <c r="FP46" s="80">
        <v>5308</v>
      </c>
      <c r="FQ46" s="80">
        <v>4867</v>
      </c>
      <c r="FR46" s="80">
        <v>12688</v>
      </c>
      <c r="FS46" s="81">
        <v>-4412</v>
      </c>
      <c r="FT46" s="76">
        <v>9958</v>
      </c>
      <c r="FU46" s="76">
        <v>63440</v>
      </c>
      <c r="FV46" s="76">
        <v>4412</v>
      </c>
      <c r="FW46" s="80">
        <v>159337</v>
      </c>
      <c r="FX46" s="80">
        <v>2527</v>
      </c>
      <c r="FY46" s="73">
        <v>28533</v>
      </c>
      <c r="FZ46" s="73">
        <v>97086</v>
      </c>
      <c r="GA46" s="73">
        <v>42620</v>
      </c>
      <c r="GB46" s="73">
        <v>42150</v>
      </c>
      <c r="GC46" s="73">
        <v>387</v>
      </c>
      <c r="GD46" s="73">
        <v>84368</v>
      </c>
      <c r="GE46" s="73">
        <v>6336</v>
      </c>
      <c r="GF46" s="73">
        <v>6382</v>
      </c>
      <c r="GG46" s="73">
        <v>19368</v>
      </c>
      <c r="GH46" s="73">
        <v>-6216</v>
      </c>
      <c r="GI46" s="73">
        <v>8533</v>
      </c>
      <c r="GJ46" s="73">
        <v>61985</v>
      </c>
      <c r="GK46" s="73">
        <v>6216</v>
      </c>
      <c r="GL46" s="73">
        <v>161154</v>
      </c>
      <c r="GM46" s="73">
        <v>10595</v>
      </c>
      <c r="GN46" s="73">
        <v>27483</v>
      </c>
      <c r="GO46" s="77">
        <v>19.5</v>
      </c>
      <c r="GP46" s="78">
        <v>28472</v>
      </c>
      <c r="GQ46" s="73">
        <v>98588</v>
      </c>
      <c r="GR46" s="65">
        <v>44831</v>
      </c>
      <c r="GS46" s="65">
        <v>41562</v>
      </c>
      <c r="GT46" s="65">
        <v>282</v>
      </c>
      <c r="GU46" s="65">
        <v>85178</v>
      </c>
      <c r="GV46" s="65">
        <v>6946</v>
      </c>
      <c r="GW46" s="65">
        <v>6464</v>
      </c>
      <c r="GX46" s="65">
        <v>14249</v>
      </c>
      <c r="GY46" s="65">
        <v>-14334</v>
      </c>
      <c r="GZ46" s="65">
        <v>8426</v>
      </c>
      <c r="HA46" s="65">
        <v>50526</v>
      </c>
      <c r="HB46" s="65">
        <v>14334</v>
      </c>
      <c r="HC46" s="65">
        <v>169632</v>
      </c>
      <c r="HD46" s="65">
        <v>5638</v>
      </c>
      <c r="HE46" s="78">
        <v>28294</v>
      </c>
      <c r="HF46" s="73">
        <v>100002</v>
      </c>
      <c r="HG46" s="65">
        <v>47437</v>
      </c>
      <c r="HH46" s="65">
        <v>45411</v>
      </c>
      <c r="HI46" s="65">
        <v>762</v>
      </c>
      <c r="HJ46" s="65">
        <v>88517</v>
      </c>
      <c r="HK46" s="65">
        <v>5175</v>
      </c>
      <c r="HL46" s="65">
        <v>6310</v>
      </c>
      <c r="HM46" s="65">
        <v>11611</v>
      </c>
      <c r="HN46" s="65">
        <v>-11857</v>
      </c>
      <c r="HO46" s="65">
        <v>7499</v>
      </c>
      <c r="HP46" s="65">
        <v>48440</v>
      </c>
      <c r="HQ46" s="65">
        <v>11857</v>
      </c>
      <c r="HR46" s="65">
        <v>180873</v>
      </c>
      <c r="HS46" s="65">
        <v>3894</v>
      </c>
      <c r="HT46" s="65">
        <v>37014</v>
      </c>
      <c r="HU46" s="77">
        <v>19.5</v>
      </c>
      <c r="HV46" s="180">
        <v>140</v>
      </c>
      <c r="HW46" s="30" t="s">
        <v>753</v>
      </c>
    </row>
    <row r="47" spans="1:231" ht="15" x14ac:dyDescent="0.25">
      <c r="A47" s="27">
        <v>148</v>
      </c>
      <c r="B47" s="27" t="s">
        <v>176</v>
      </c>
      <c r="C47" s="27">
        <v>19</v>
      </c>
      <c r="D47" s="27" t="s">
        <v>113</v>
      </c>
      <c r="E47" s="27">
        <v>3</v>
      </c>
      <c r="F47" s="27" t="s">
        <v>743</v>
      </c>
      <c r="G47" s="29" t="s">
        <v>130</v>
      </c>
      <c r="H47" s="27" t="s">
        <v>98</v>
      </c>
      <c r="I47" s="31" t="s">
        <v>113</v>
      </c>
      <c r="J47" s="69">
        <v>7555</v>
      </c>
      <c r="K47" s="69">
        <v>7452</v>
      </c>
      <c r="L47" s="36">
        <v>7360</v>
      </c>
      <c r="M47" s="36">
        <v>7268</v>
      </c>
      <c r="N47" s="36">
        <v>7217</v>
      </c>
      <c r="O47" s="36">
        <v>7153</v>
      </c>
      <c r="P47" s="36">
        <v>7084</v>
      </c>
      <c r="Q47" s="36">
        <v>7043</v>
      </c>
      <c r="R47" s="69">
        <v>6986</v>
      </c>
      <c r="S47" s="69">
        <v>6954</v>
      </c>
      <c r="T47" s="71">
        <v>6866</v>
      </c>
      <c r="U47" s="36">
        <v>14554</v>
      </c>
      <c r="V47" s="36">
        <v>10631</v>
      </c>
      <c r="W47" s="36">
        <v>5044</v>
      </c>
      <c r="X47" s="36">
        <v>661.65130269958433</v>
      </c>
      <c r="Y47" s="36">
        <v>14440</v>
      </c>
      <c r="Z47" s="36">
        <v>10282</v>
      </c>
      <c r="AA47" s="36">
        <v>5460</v>
      </c>
      <c r="AB47" s="36">
        <v>740.19506435711003</v>
      </c>
      <c r="AC47" s="36">
        <v>14417</v>
      </c>
      <c r="AD47" s="36">
        <v>10200</v>
      </c>
      <c r="AE47" s="36">
        <v>5407</v>
      </c>
      <c r="AF47" s="36">
        <v>623.64083131928305</v>
      </c>
      <c r="AG47" s="36">
        <v>15655</v>
      </c>
      <c r="AH47" s="36">
        <v>11551</v>
      </c>
      <c r="AI47" s="36">
        <v>4974</v>
      </c>
      <c r="AJ47" s="36">
        <v>604.97197148205521</v>
      </c>
      <c r="AK47" s="36">
        <v>16130</v>
      </c>
      <c r="AL47" s="36">
        <v>12486</v>
      </c>
      <c r="AM47" s="36">
        <v>4983</v>
      </c>
      <c r="AN47" s="36">
        <v>553</v>
      </c>
      <c r="AO47" s="36">
        <v>15547</v>
      </c>
      <c r="AP47" s="36">
        <v>13079</v>
      </c>
      <c r="AQ47" s="36">
        <v>4856</v>
      </c>
      <c r="AR47" s="36">
        <v>680</v>
      </c>
      <c r="AS47" s="36">
        <v>16461</v>
      </c>
      <c r="AT47" s="36">
        <v>13582</v>
      </c>
      <c r="AU47" s="36">
        <v>5159</v>
      </c>
      <c r="AV47" s="36">
        <v>862</v>
      </c>
      <c r="AW47" s="36">
        <v>16752</v>
      </c>
      <c r="AX47" s="69">
        <v>12546</v>
      </c>
      <c r="AY47" s="36">
        <v>6136</v>
      </c>
      <c r="AZ47" s="36">
        <v>969</v>
      </c>
      <c r="BA47" s="36">
        <v>17724</v>
      </c>
      <c r="BB47" s="36">
        <v>14197</v>
      </c>
      <c r="BC47" s="36">
        <v>5368</v>
      </c>
      <c r="BD47" s="36">
        <v>1210</v>
      </c>
      <c r="BE47" s="70">
        <v>18879</v>
      </c>
      <c r="BF47" s="70">
        <v>14504</v>
      </c>
      <c r="BG47" s="70">
        <v>7438</v>
      </c>
      <c r="BH47" s="70">
        <v>805</v>
      </c>
      <c r="BI47" s="36">
        <v>20730</v>
      </c>
      <c r="BJ47" s="36">
        <v>16132</v>
      </c>
      <c r="BK47" s="36">
        <v>7623</v>
      </c>
      <c r="BL47" s="36">
        <v>492</v>
      </c>
      <c r="BM47" s="36">
        <v>11644.491088562716</v>
      </c>
      <c r="BN47" s="36">
        <v>2107.0583427098099</v>
      </c>
      <c r="BO47" s="36">
        <v>802.25640922140758</v>
      </c>
      <c r="BP47" s="36">
        <v>11864.14452052145</v>
      </c>
      <c r="BQ47" s="36">
        <v>1759.413898713867</v>
      </c>
      <c r="BR47" s="36">
        <v>816.8887588235591</v>
      </c>
      <c r="BS47" s="36">
        <v>11564.77001141996</v>
      </c>
      <c r="BT47" s="36">
        <v>1801.1245044763216</v>
      </c>
      <c r="BU47" s="36">
        <v>1051.3427283109054</v>
      </c>
      <c r="BV47" s="36">
        <v>13125</v>
      </c>
      <c r="BW47" s="36">
        <v>1322</v>
      </c>
      <c r="BX47" s="36">
        <v>1207</v>
      </c>
      <c r="BY47" s="36">
        <v>13900</v>
      </c>
      <c r="BZ47" s="36">
        <v>997</v>
      </c>
      <c r="CA47" s="36">
        <v>1233</v>
      </c>
      <c r="CB47" s="36">
        <v>13796</v>
      </c>
      <c r="CC47" s="36">
        <v>500</v>
      </c>
      <c r="CD47" s="36">
        <v>1251</v>
      </c>
      <c r="CE47" s="36">
        <v>14276</v>
      </c>
      <c r="CF47" s="36">
        <v>725</v>
      </c>
      <c r="CG47" s="36">
        <v>1460</v>
      </c>
      <c r="CH47" s="36">
        <v>14280</v>
      </c>
      <c r="CI47" s="36">
        <v>896</v>
      </c>
      <c r="CJ47" s="70">
        <v>1576</v>
      </c>
      <c r="CK47" s="70">
        <v>15169</v>
      </c>
      <c r="CL47" s="70">
        <v>976</v>
      </c>
      <c r="CM47" s="36">
        <v>1579</v>
      </c>
      <c r="CN47" s="36">
        <v>15722</v>
      </c>
      <c r="CO47" s="36">
        <v>1531</v>
      </c>
      <c r="CP47" s="36">
        <v>1626</v>
      </c>
      <c r="CQ47" s="36">
        <v>16900</v>
      </c>
      <c r="CR47" s="36">
        <v>1967</v>
      </c>
      <c r="CS47" s="36">
        <v>1863</v>
      </c>
      <c r="CT47" s="36">
        <v>1086.9985687207459</v>
      </c>
      <c r="CU47" s="36">
        <v>-2010.1820970000001</v>
      </c>
      <c r="CV47" s="36">
        <v>1208.4302516259568</v>
      </c>
      <c r="CW47" s="36">
        <v>4135</v>
      </c>
      <c r="CX47" s="36">
        <v>729.59922499003483</v>
      </c>
      <c r="CY47" s="36">
        <v>-1160.328505</v>
      </c>
      <c r="CZ47" s="36">
        <v>1303.7928059296335</v>
      </c>
      <c r="DA47" s="36">
        <v>4344</v>
      </c>
      <c r="DB47" s="36">
        <v>-645.67344968574082</v>
      </c>
      <c r="DC47" s="36">
        <v>-1048.9880969999999</v>
      </c>
      <c r="DD47" s="36">
        <v>1186.0612574065758</v>
      </c>
      <c r="DE47" s="36">
        <v>4109</v>
      </c>
      <c r="DF47" s="36">
        <v>611.53130061405409</v>
      </c>
      <c r="DG47" s="36">
        <v>-1133</v>
      </c>
      <c r="DH47" s="36">
        <v>1352.3991166770102</v>
      </c>
      <c r="DI47" s="36">
        <v>4804</v>
      </c>
      <c r="DJ47" s="36">
        <v>1966</v>
      </c>
      <c r="DK47" s="36">
        <v>-1960</v>
      </c>
      <c r="DL47" s="36">
        <v>1819</v>
      </c>
      <c r="DM47" s="36">
        <v>5638</v>
      </c>
      <c r="DN47" s="36">
        <v>432</v>
      </c>
      <c r="DO47" s="69">
        <v>-319</v>
      </c>
      <c r="DP47" s="36">
        <v>1187</v>
      </c>
      <c r="DQ47" s="36">
        <v>5020</v>
      </c>
      <c r="DR47" s="36">
        <v>1952</v>
      </c>
      <c r="DS47" s="36">
        <v>-2024</v>
      </c>
      <c r="DT47" s="36">
        <v>1261</v>
      </c>
      <c r="DU47" s="36">
        <v>6512</v>
      </c>
      <c r="DV47" s="36">
        <v>1400</v>
      </c>
      <c r="DW47" s="71">
        <v>-4370</v>
      </c>
      <c r="DX47" s="39">
        <v>1663</v>
      </c>
      <c r="DY47" s="71">
        <v>8724</v>
      </c>
      <c r="DZ47" s="70">
        <v>1420</v>
      </c>
      <c r="EA47" s="35">
        <v>-2391</v>
      </c>
      <c r="EB47" s="35">
        <v>1719</v>
      </c>
      <c r="EC47" s="38">
        <v>8016</v>
      </c>
      <c r="ED47" s="38">
        <v>3230</v>
      </c>
      <c r="EE47" s="38">
        <v>-5073</v>
      </c>
      <c r="EF47" s="38">
        <v>3014</v>
      </c>
      <c r="EG47" s="73">
        <v>13645</v>
      </c>
      <c r="EH47" s="73">
        <v>4706</v>
      </c>
      <c r="EI47" s="73">
        <v>-3859</v>
      </c>
      <c r="EJ47" s="73">
        <v>3982</v>
      </c>
      <c r="EK47" s="73">
        <v>14924</v>
      </c>
      <c r="EL47" s="73">
        <v>28215.879294888935</v>
      </c>
      <c r="EM47" s="73">
        <v>-212.0849752679654</v>
      </c>
      <c r="EN47" s="73">
        <v>28787.045493152229</v>
      </c>
      <c r="EO47" s="73">
        <v>-791.15600607494787</v>
      </c>
      <c r="EP47" s="73">
        <v>29815.178287611445</v>
      </c>
      <c r="EQ47" s="73">
        <v>-1901.1963207209208</v>
      </c>
      <c r="ER47" s="73">
        <v>30596.411206025165</v>
      </c>
      <c r="ES47" s="73">
        <v>-677.62915571342796</v>
      </c>
      <c r="ET47" s="73">
        <v>31950</v>
      </c>
      <c r="EU47" s="73">
        <v>388</v>
      </c>
      <c r="EV47" s="73">
        <v>33559</v>
      </c>
      <c r="EW47" s="73">
        <v>-723</v>
      </c>
      <c r="EX47" s="73">
        <v>33835</v>
      </c>
      <c r="EY47" s="73">
        <v>451</v>
      </c>
      <c r="EZ47" s="73">
        <v>34803</v>
      </c>
      <c r="FA47" s="73">
        <v>16</v>
      </c>
      <c r="FB47" s="73">
        <v>36397</v>
      </c>
      <c r="FC47" s="73">
        <v>14</v>
      </c>
      <c r="FD47" s="73">
        <v>37899</v>
      </c>
      <c r="FE47" s="73">
        <v>18</v>
      </c>
      <c r="FF47" s="73">
        <v>39695</v>
      </c>
      <c r="FG47" s="73">
        <v>1008</v>
      </c>
      <c r="FH47" s="73">
        <v>1252</v>
      </c>
      <c r="FI47" s="73">
        <v>2260</v>
      </c>
      <c r="FJ47" s="79">
        <v>6863</v>
      </c>
      <c r="FK47" s="80">
        <v>20822</v>
      </c>
      <c r="FL47" s="80">
        <v>16377</v>
      </c>
      <c r="FM47" s="80">
        <v>7129</v>
      </c>
      <c r="FN47" s="76">
        <v>887</v>
      </c>
      <c r="FO47" s="80">
        <v>17068</v>
      </c>
      <c r="FP47" s="80">
        <v>1597</v>
      </c>
      <c r="FQ47" s="80">
        <v>2157</v>
      </c>
      <c r="FR47" s="80">
        <v>3361</v>
      </c>
      <c r="FS47" s="81">
        <v>-3325</v>
      </c>
      <c r="FT47" s="76">
        <v>3019</v>
      </c>
      <c r="FU47" s="76">
        <v>17431</v>
      </c>
      <c r="FV47" s="76">
        <v>3325</v>
      </c>
      <c r="FW47" s="80">
        <v>41408</v>
      </c>
      <c r="FX47" s="80">
        <v>261</v>
      </c>
      <c r="FY47" s="73">
        <v>6778</v>
      </c>
      <c r="FZ47" s="73">
        <v>22560</v>
      </c>
      <c r="GA47" s="73">
        <v>20079</v>
      </c>
      <c r="GB47" s="73">
        <v>6520</v>
      </c>
      <c r="GC47" s="73">
        <v>868</v>
      </c>
      <c r="GD47" s="73">
        <v>17082</v>
      </c>
      <c r="GE47" s="73">
        <v>2144</v>
      </c>
      <c r="GF47" s="73">
        <v>3334</v>
      </c>
      <c r="GG47" s="73">
        <v>7070</v>
      </c>
      <c r="GH47" s="73">
        <v>-4654</v>
      </c>
      <c r="GI47" s="73">
        <v>2409</v>
      </c>
      <c r="GJ47" s="73">
        <v>17009</v>
      </c>
      <c r="GK47" s="73">
        <v>4654</v>
      </c>
      <c r="GL47" s="73">
        <v>42516</v>
      </c>
      <c r="GM47" s="73">
        <v>4610</v>
      </c>
      <c r="GN47" s="73">
        <v>4645</v>
      </c>
      <c r="GO47" s="77">
        <v>19</v>
      </c>
      <c r="GP47" s="78">
        <v>6754</v>
      </c>
      <c r="GQ47" s="73">
        <v>22728</v>
      </c>
      <c r="GR47" s="65">
        <v>19955</v>
      </c>
      <c r="GS47" s="65">
        <v>8041</v>
      </c>
      <c r="GT47" s="65">
        <v>774</v>
      </c>
      <c r="GU47" s="65">
        <v>16814</v>
      </c>
      <c r="GV47" s="65">
        <v>2457</v>
      </c>
      <c r="GW47" s="65">
        <v>3457</v>
      </c>
      <c r="GX47" s="65">
        <v>5527</v>
      </c>
      <c r="GY47" s="65">
        <v>-5200</v>
      </c>
      <c r="GZ47" s="65">
        <v>2350</v>
      </c>
      <c r="HA47" s="65">
        <v>15380</v>
      </c>
      <c r="HB47" s="65">
        <v>5200</v>
      </c>
      <c r="HC47" s="65">
        <v>45659</v>
      </c>
      <c r="HD47" s="65">
        <v>3035</v>
      </c>
      <c r="HE47" s="78">
        <v>6732</v>
      </c>
      <c r="HF47" s="73">
        <v>22730</v>
      </c>
      <c r="HG47" s="65">
        <v>21520</v>
      </c>
      <c r="HH47" s="65">
        <v>8144</v>
      </c>
      <c r="HI47" s="65">
        <v>806</v>
      </c>
      <c r="HJ47" s="65">
        <v>17496</v>
      </c>
      <c r="HK47" s="65">
        <v>1625</v>
      </c>
      <c r="HL47" s="65">
        <v>3609</v>
      </c>
      <c r="HM47" s="65">
        <v>3773</v>
      </c>
      <c r="HN47" s="65">
        <v>-2411</v>
      </c>
      <c r="HO47" s="65">
        <v>1883</v>
      </c>
      <c r="HP47" s="65">
        <v>13313</v>
      </c>
      <c r="HQ47" s="65">
        <v>2411</v>
      </c>
      <c r="HR47" s="65">
        <v>49111</v>
      </c>
      <c r="HS47" s="65">
        <v>2014</v>
      </c>
      <c r="HT47" s="65">
        <v>2086</v>
      </c>
      <c r="HU47" s="77">
        <v>19</v>
      </c>
      <c r="HV47" s="180">
        <v>320</v>
      </c>
      <c r="HW47" s="30" t="s">
        <v>759</v>
      </c>
    </row>
    <row r="48" spans="1:231" ht="15" x14ac:dyDescent="0.25">
      <c r="A48" s="27">
        <v>149</v>
      </c>
      <c r="B48" s="27" t="s">
        <v>177</v>
      </c>
      <c r="C48" s="27">
        <v>1</v>
      </c>
      <c r="D48" s="27" t="s">
        <v>121</v>
      </c>
      <c r="E48" s="27">
        <v>3</v>
      </c>
      <c r="F48" s="27" t="s">
        <v>743</v>
      </c>
      <c r="G48" s="29" t="s">
        <v>130</v>
      </c>
      <c r="H48" s="27" t="s">
        <v>98</v>
      </c>
      <c r="I48" s="31" t="s">
        <v>121</v>
      </c>
      <c r="J48" s="69">
        <v>4844</v>
      </c>
      <c r="K48" s="69">
        <v>4838</v>
      </c>
      <c r="L48" s="36">
        <v>4873</v>
      </c>
      <c r="M48" s="36">
        <v>4975</v>
      </c>
      <c r="N48" s="36">
        <v>5034</v>
      </c>
      <c r="O48" s="36">
        <v>5080</v>
      </c>
      <c r="P48" s="36">
        <v>5152</v>
      </c>
      <c r="Q48" s="36">
        <v>5310</v>
      </c>
      <c r="R48" s="69">
        <v>5378</v>
      </c>
      <c r="S48" s="69">
        <v>5460</v>
      </c>
      <c r="T48" s="71">
        <v>5575</v>
      </c>
      <c r="U48" s="36">
        <v>10773</v>
      </c>
      <c r="V48" s="36">
        <v>1765</v>
      </c>
      <c r="W48" s="36">
        <v>2546</v>
      </c>
      <c r="X48" s="36">
        <v>122.94537424336458</v>
      </c>
      <c r="Y48" s="36">
        <v>12139</v>
      </c>
      <c r="Z48" s="36">
        <v>1810</v>
      </c>
      <c r="AA48" s="36">
        <v>1874</v>
      </c>
      <c r="AB48" s="36">
        <v>218.4761164735028</v>
      </c>
      <c r="AC48" s="36">
        <v>13186</v>
      </c>
      <c r="AD48" s="36">
        <v>1483</v>
      </c>
      <c r="AE48" s="36">
        <v>1939</v>
      </c>
      <c r="AF48" s="36">
        <v>182.14752435781645</v>
      </c>
      <c r="AG48" s="36">
        <v>13100</v>
      </c>
      <c r="AH48" s="36">
        <v>1371</v>
      </c>
      <c r="AI48" s="36">
        <v>1935</v>
      </c>
      <c r="AJ48" s="36">
        <v>110.16309183228972</v>
      </c>
      <c r="AK48" s="36">
        <v>14631</v>
      </c>
      <c r="AL48" s="36">
        <v>2263</v>
      </c>
      <c r="AM48" s="36">
        <v>2228</v>
      </c>
      <c r="AN48" s="36">
        <v>103</v>
      </c>
      <c r="AO48" s="36">
        <v>13945</v>
      </c>
      <c r="AP48" s="36">
        <v>1937</v>
      </c>
      <c r="AQ48" s="36">
        <v>2527</v>
      </c>
      <c r="AR48" s="36">
        <v>448</v>
      </c>
      <c r="AS48" s="36">
        <v>14228</v>
      </c>
      <c r="AT48" s="36">
        <v>3076</v>
      </c>
      <c r="AU48" s="36">
        <v>2823</v>
      </c>
      <c r="AV48" s="36">
        <v>486</v>
      </c>
      <c r="AW48" s="36">
        <v>15631</v>
      </c>
      <c r="AX48" s="69">
        <v>2651</v>
      </c>
      <c r="AY48" s="36">
        <v>2914</v>
      </c>
      <c r="AZ48" s="36">
        <v>161</v>
      </c>
      <c r="BA48" s="36">
        <v>17219</v>
      </c>
      <c r="BB48" s="36">
        <v>2726</v>
      </c>
      <c r="BC48" s="36">
        <v>3072</v>
      </c>
      <c r="BD48" s="36">
        <v>608</v>
      </c>
      <c r="BE48" s="70">
        <v>19241</v>
      </c>
      <c r="BF48" s="70">
        <v>2781</v>
      </c>
      <c r="BG48" s="70">
        <v>3997</v>
      </c>
      <c r="BH48" s="70">
        <v>76</v>
      </c>
      <c r="BI48" s="36">
        <v>20180</v>
      </c>
      <c r="BJ48" s="36">
        <v>2946</v>
      </c>
      <c r="BK48" s="36">
        <v>3176</v>
      </c>
      <c r="BL48" s="36">
        <v>60</v>
      </c>
      <c r="BM48" s="36">
        <v>8516.0274684521501</v>
      </c>
      <c r="BN48" s="36">
        <v>1738.8949716855625</v>
      </c>
      <c r="BO48" s="36">
        <v>518.35518935437699</v>
      </c>
      <c r="BP48" s="36">
        <v>9452.1614671369207</v>
      </c>
      <c r="BQ48" s="36">
        <v>1863.1858493406191</v>
      </c>
      <c r="BR48" s="36">
        <v>823.78446380848106</v>
      </c>
      <c r="BS48" s="36">
        <v>9730.8488612836427</v>
      </c>
      <c r="BT48" s="36">
        <v>2600.5217189478831</v>
      </c>
      <c r="BU48" s="36">
        <v>855.06741813032204</v>
      </c>
      <c r="BV48" s="36">
        <v>10416</v>
      </c>
      <c r="BW48" s="36">
        <v>1790</v>
      </c>
      <c r="BX48" s="36">
        <v>894</v>
      </c>
      <c r="BY48" s="36">
        <v>12255</v>
      </c>
      <c r="BZ48" s="36">
        <v>1446</v>
      </c>
      <c r="CA48" s="36">
        <v>930</v>
      </c>
      <c r="CB48" s="36">
        <v>12150</v>
      </c>
      <c r="CC48" s="36">
        <v>853</v>
      </c>
      <c r="CD48" s="36">
        <v>942</v>
      </c>
      <c r="CE48" s="36">
        <v>12347</v>
      </c>
      <c r="CF48" s="36">
        <v>939</v>
      </c>
      <c r="CG48" s="36">
        <v>942</v>
      </c>
      <c r="CH48" s="36">
        <v>13329</v>
      </c>
      <c r="CI48" s="36">
        <v>1308</v>
      </c>
      <c r="CJ48" s="70">
        <v>994</v>
      </c>
      <c r="CK48" s="70">
        <v>14430</v>
      </c>
      <c r="CL48" s="70">
        <v>1684</v>
      </c>
      <c r="CM48" s="36">
        <v>1105</v>
      </c>
      <c r="CN48" s="36">
        <v>16092</v>
      </c>
      <c r="CO48" s="36">
        <v>2017</v>
      </c>
      <c r="CP48" s="36">
        <v>1132</v>
      </c>
      <c r="CQ48" s="36">
        <v>16822</v>
      </c>
      <c r="CR48" s="36">
        <v>2115</v>
      </c>
      <c r="CS48" s="36">
        <v>1243</v>
      </c>
      <c r="CT48" s="36">
        <v>-411.21948019839459</v>
      </c>
      <c r="CU48" s="36">
        <v>-1077.748233</v>
      </c>
      <c r="CV48" s="36">
        <v>543.41519039714217</v>
      </c>
      <c r="CW48" s="36">
        <v>7677</v>
      </c>
      <c r="CX48" s="36">
        <v>1269.6506568579468</v>
      </c>
      <c r="CY48" s="36">
        <v>-608.84029380000004</v>
      </c>
      <c r="CZ48" s="36">
        <v>570.82982241036848</v>
      </c>
      <c r="DA48" s="36">
        <v>5625</v>
      </c>
      <c r="DB48" s="36">
        <v>720.01251318172876</v>
      </c>
      <c r="DC48" s="36">
        <v>-1347.3534790000001</v>
      </c>
      <c r="DD48" s="36">
        <v>610.69036098174649</v>
      </c>
      <c r="DE48" s="36">
        <v>7439</v>
      </c>
      <c r="DF48" s="36">
        <v>-412.3967956836251</v>
      </c>
      <c r="DG48" s="36">
        <v>-791</v>
      </c>
      <c r="DH48" s="36">
        <v>616.74512633436109</v>
      </c>
      <c r="DI48" s="36">
        <v>6746</v>
      </c>
      <c r="DJ48" s="36">
        <v>1621</v>
      </c>
      <c r="DK48" s="36">
        <v>-1152</v>
      </c>
      <c r="DL48" s="36">
        <v>664</v>
      </c>
      <c r="DM48" s="36">
        <v>7684</v>
      </c>
      <c r="DN48" s="36">
        <v>-785</v>
      </c>
      <c r="DO48" s="69">
        <v>-1697</v>
      </c>
      <c r="DP48" s="36">
        <v>687</v>
      </c>
      <c r="DQ48" s="36">
        <v>9930</v>
      </c>
      <c r="DR48" s="36">
        <v>1008</v>
      </c>
      <c r="DS48" s="36">
        <v>-1117</v>
      </c>
      <c r="DT48" s="36">
        <v>783</v>
      </c>
      <c r="DU48" s="36">
        <v>9547</v>
      </c>
      <c r="DV48" s="36">
        <v>579</v>
      </c>
      <c r="DW48" s="71">
        <v>-1849</v>
      </c>
      <c r="DX48" s="39">
        <v>706</v>
      </c>
      <c r="DY48" s="71">
        <v>9786</v>
      </c>
      <c r="DZ48" s="70">
        <v>82</v>
      </c>
      <c r="EA48" s="35">
        <v>-1223</v>
      </c>
      <c r="EB48" s="35">
        <v>782</v>
      </c>
      <c r="EC48" s="38">
        <v>10915</v>
      </c>
      <c r="ED48" s="38">
        <v>1200</v>
      </c>
      <c r="EE48" s="38">
        <v>-3321</v>
      </c>
      <c r="EF48" s="38">
        <v>865</v>
      </c>
      <c r="EG48" s="73">
        <v>13935</v>
      </c>
      <c r="EH48" s="73">
        <v>-766</v>
      </c>
      <c r="EI48" s="73">
        <v>-3338</v>
      </c>
      <c r="EJ48" s="73">
        <v>1138</v>
      </c>
      <c r="EK48" s="73">
        <v>19160</v>
      </c>
      <c r="EL48" s="73">
        <v>14419.423687251186</v>
      </c>
      <c r="EM48" s="73">
        <v>-826.98003441124968</v>
      </c>
      <c r="EN48" s="73">
        <v>13737.589833376222</v>
      </c>
      <c r="EO48" s="73">
        <v>874.24084174693428</v>
      </c>
      <c r="EP48" s="73">
        <v>14942.319950620024</v>
      </c>
      <c r="EQ48" s="73">
        <v>532.14659932422092</v>
      </c>
      <c r="ER48" s="73">
        <v>15771.150052222352</v>
      </c>
      <c r="ES48" s="73">
        <v>-1012.9958810776809</v>
      </c>
      <c r="ET48" s="73">
        <v>17267</v>
      </c>
      <c r="EU48" s="73">
        <v>1270</v>
      </c>
      <c r="EV48" s="73">
        <v>18950</v>
      </c>
      <c r="EW48" s="73">
        <v>-1088</v>
      </c>
      <c r="EX48" s="73">
        <v>18892</v>
      </c>
      <c r="EY48" s="73">
        <v>613</v>
      </c>
      <c r="EZ48" s="73">
        <v>20340</v>
      </c>
      <c r="FA48" s="73">
        <v>-52</v>
      </c>
      <c r="FB48" s="73">
        <v>22595</v>
      </c>
      <c r="FC48" s="73">
        <v>-196</v>
      </c>
      <c r="FD48" s="73">
        <v>24344</v>
      </c>
      <c r="FE48" s="73">
        <v>138</v>
      </c>
      <c r="FF48" s="73">
        <v>26431</v>
      </c>
      <c r="FG48" s="73">
        <v>-1948</v>
      </c>
      <c r="FH48" s="73">
        <v>-476</v>
      </c>
      <c r="FI48" s="73">
        <v>-2424</v>
      </c>
      <c r="FJ48" s="79">
        <v>5609</v>
      </c>
      <c r="FK48" s="80">
        <v>20995</v>
      </c>
      <c r="FL48" s="80">
        <v>3717</v>
      </c>
      <c r="FM48" s="80">
        <v>3198</v>
      </c>
      <c r="FN48" s="76">
        <v>75</v>
      </c>
      <c r="FO48" s="80">
        <v>18036</v>
      </c>
      <c r="FP48" s="80">
        <v>1600</v>
      </c>
      <c r="FQ48" s="80">
        <v>1355</v>
      </c>
      <c r="FR48" s="80">
        <v>2451</v>
      </c>
      <c r="FS48" s="81">
        <v>-341</v>
      </c>
      <c r="FT48" s="76">
        <v>1213</v>
      </c>
      <c r="FU48" s="76">
        <v>17695</v>
      </c>
      <c r="FV48" s="76">
        <v>341</v>
      </c>
      <c r="FW48" s="80">
        <v>25125</v>
      </c>
      <c r="FX48" s="80">
        <v>1238</v>
      </c>
      <c r="FY48" s="73">
        <v>5546</v>
      </c>
      <c r="FZ48" s="73">
        <v>21834</v>
      </c>
      <c r="GA48" s="73">
        <v>5420</v>
      </c>
      <c r="GB48" s="73">
        <v>3109</v>
      </c>
      <c r="GC48" s="73">
        <v>110</v>
      </c>
      <c r="GD48" s="73">
        <v>18608</v>
      </c>
      <c r="GE48" s="73">
        <v>1529</v>
      </c>
      <c r="GF48" s="73">
        <v>1697</v>
      </c>
      <c r="GG48" s="73">
        <v>3446</v>
      </c>
      <c r="GH48" s="73">
        <v>-535</v>
      </c>
      <c r="GI48" s="73">
        <v>1148</v>
      </c>
      <c r="GJ48" s="73">
        <v>16751</v>
      </c>
      <c r="GK48" s="73">
        <v>535</v>
      </c>
      <c r="GL48" s="73">
        <v>26763</v>
      </c>
      <c r="GM48" s="73">
        <v>2283</v>
      </c>
      <c r="GN48" s="73">
        <v>1094</v>
      </c>
      <c r="GO48" s="77">
        <v>20.75</v>
      </c>
      <c r="GP48" s="78">
        <v>5561</v>
      </c>
      <c r="GQ48" s="73">
        <v>23739</v>
      </c>
      <c r="GR48" s="65">
        <v>5314</v>
      </c>
      <c r="GS48" s="65">
        <v>2741</v>
      </c>
      <c r="GT48" s="65">
        <v>53</v>
      </c>
      <c r="GU48" s="65">
        <v>19455</v>
      </c>
      <c r="GV48" s="65">
        <v>2433</v>
      </c>
      <c r="GW48" s="65">
        <v>1851</v>
      </c>
      <c r="GX48" s="65">
        <v>3015</v>
      </c>
      <c r="GY48" s="65">
        <v>-1365</v>
      </c>
      <c r="GZ48" s="65">
        <v>1106</v>
      </c>
      <c r="HA48" s="65">
        <v>13911</v>
      </c>
      <c r="HB48" s="65">
        <v>1365</v>
      </c>
      <c r="HC48" s="65">
        <v>28537</v>
      </c>
      <c r="HD48" s="65">
        <v>1909</v>
      </c>
      <c r="HE48" s="78">
        <v>5538</v>
      </c>
      <c r="HF48" s="73">
        <v>24581</v>
      </c>
      <c r="HG48" s="65">
        <v>5675</v>
      </c>
      <c r="HH48" s="65">
        <v>2432</v>
      </c>
      <c r="HI48" s="65">
        <v>57</v>
      </c>
      <c r="HJ48" s="65">
        <v>19956</v>
      </c>
      <c r="HK48" s="65">
        <v>2566</v>
      </c>
      <c r="HL48" s="65">
        <v>2059</v>
      </c>
      <c r="HM48" s="65">
        <v>3097</v>
      </c>
      <c r="HN48" s="65">
        <v>-3800</v>
      </c>
      <c r="HO48" s="65">
        <v>1214</v>
      </c>
      <c r="HP48" s="65">
        <v>15574</v>
      </c>
      <c r="HQ48" s="65">
        <v>3800</v>
      </c>
      <c r="HR48" s="65">
        <v>29422</v>
      </c>
      <c r="HS48" s="65">
        <v>1883</v>
      </c>
      <c r="HT48" s="65">
        <v>4772</v>
      </c>
      <c r="HU48" s="77">
        <v>20.75</v>
      </c>
      <c r="HV48" s="180">
        <v>340</v>
      </c>
      <c r="HW48" s="30" t="s">
        <v>761</v>
      </c>
    </row>
    <row r="49" spans="1:231" ht="15" x14ac:dyDescent="0.25">
      <c r="A49" s="27">
        <v>151</v>
      </c>
      <c r="B49" s="27" t="s">
        <v>178</v>
      </c>
      <c r="C49" s="27">
        <v>14</v>
      </c>
      <c r="D49" s="27" t="s">
        <v>106</v>
      </c>
      <c r="E49" s="27">
        <v>1</v>
      </c>
      <c r="F49" s="27" t="s">
        <v>103</v>
      </c>
      <c r="G49" s="29" t="s">
        <v>130</v>
      </c>
      <c r="H49" s="27" t="s">
        <v>98</v>
      </c>
      <c r="I49" s="31" t="s">
        <v>106</v>
      </c>
      <c r="J49" s="69">
        <v>2798</v>
      </c>
      <c r="K49" s="69">
        <v>2747</v>
      </c>
      <c r="L49" s="36">
        <v>2694</v>
      </c>
      <c r="M49" s="36">
        <v>2661</v>
      </c>
      <c r="N49" s="36">
        <v>2643</v>
      </c>
      <c r="O49" s="36">
        <v>2619</v>
      </c>
      <c r="P49" s="36">
        <v>2592</v>
      </c>
      <c r="Q49" s="36">
        <v>2552</v>
      </c>
      <c r="R49" s="69">
        <v>2540</v>
      </c>
      <c r="S49" s="69">
        <v>2518</v>
      </c>
      <c r="T49" s="71">
        <v>2458</v>
      </c>
      <c r="U49" s="36">
        <v>4609</v>
      </c>
      <c r="V49" s="36">
        <v>4216</v>
      </c>
      <c r="W49" s="36">
        <v>2334</v>
      </c>
      <c r="X49" s="36">
        <v>322.92081880610118</v>
      </c>
      <c r="Y49" s="36">
        <v>4496</v>
      </c>
      <c r="Z49" s="36">
        <v>4346</v>
      </c>
      <c r="AA49" s="36">
        <v>1899</v>
      </c>
      <c r="AB49" s="36">
        <v>376.40457942086164</v>
      </c>
      <c r="AC49" s="36">
        <v>4355</v>
      </c>
      <c r="AD49" s="36">
        <v>4509</v>
      </c>
      <c r="AE49" s="36">
        <v>2061</v>
      </c>
      <c r="AF49" s="36">
        <v>272.63262879410939</v>
      </c>
      <c r="AG49" s="36">
        <v>4380</v>
      </c>
      <c r="AH49" s="36">
        <v>5102</v>
      </c>
      <c r="AI49" s="36">
        <v>2042</v>
      </c>
      <c r="AJ49" s="36">
        <v>265.4005479562644</v>
      </c>
      <c r="AK49" s="36">
        <v>4545</v>
      </c>
      <c r="AL49" s="36">
        <v>5461</v>
      </c>
      <c r="AM49" s="36">
        <v>2173</v>
      </c>
      <c r="AN49" s="36">
        <v>165</v>
      </c>
      <c r="AO49" s="36">
        <v>4292</v>
      </c>
      <c r="AP49" s="36">
        <v>5903</v>
      </c>
      <c r="AQ49" s="36">
        <v>2456</v>
      </c>
      <c r="AR49" s="36">
        <v>181</v>
      </c>
      <c r="AS49" s="36">
        <v>4486</v>
      </c>
      <c r="AT49" s="36">
        <v>6115</v>
      </c>
      <c r="AU49" s="36">
        <v>1875</v>
      </c>
      <c r="AV49" s="36">
        <v>127</v>
      </c>
      <c r="AW49" s="36">
        <v>4569</v>
      </c>
      <c r="AX49" s="69">
        <v>6369</v>
      </c>
      <c r="AY49" s="36">
        <v>1957</v>
      </c>
      <c r="AZ49" s="36">
        <v>120</v>
      </c>
      <c r="BA49" s="36">
        <v>4769</v>
      </c>
      <c r="BB49" s="36">
        <v>6519</v>
      </c>
      <c r="BC49" s="36">
        <v>2431</v>
      </c>
      <c r="BD49" s="36">
        <v>94</v>
      </c>
      <c r="BE49" s="70">
        <v>5195</v>
      </c>
      <c r="BF49" s="70">
        <v>6464</v>
      </c>
      <c r="BG49" s="70">
        <v>2232</v>
      </c>
      <c r="BH49" s="70">
        <v>116</v>
      </c>
      <c r="BI49" s="36">
        <v>5800</v>
      </c>
      <c r="BJ49" s="36">
        <v>7287</v>
      </c>
      <c r="BK49" s="36">
        <v>2317</v>
      </c>
      <c r="BL49" s="36">
        <v>22</v>
      </c>
      <c r="BM49" s="36">
        <v>3302.2017481453072</v>
      </c>
      <c r="BN49" s="36">
        <v>1194.9752175090359</v>
      </c>
      <c r="BO49" s="36">
        <v>111.50859524398182</v>
      </c>
      <c r="BP49" s="36">
        <v>3416.4013502126736</v>
      </c>
      <c r="BQ49" s="36">
        <v>958.33480497768983</v>
      </c>
      <c r="BR49" s="36">
        <v>121.26349497874945</v>
      </c>
      <c r="BS49" s="36">
        <v>3233.4128862225493</v>
      </c>
      <c r="BT49" s="36">
        <v>973.13534250630278</v>
      </c>
      <c r="BU49" s="36">
        <v>148.1735632125912</v>
      </c>
      <c r="BV49" s="36">
        <v>3625</v>
      </c>
      <c r="BW49" s="36">
        <v>593</v>
      </c>
      <c r="BX49" s="36">
        <v>163</v>
      </c>
      <c r="BY49" s="36">
        <v>4045</v>
      </c>
      <c r="BZ49" s="36">
        <v>333</v>
      </c>
      <c r="CA49" s="36">
        <v>167</v>
      </c>
      <c r="CB49" s="36">
        <v>3929</v>
      </c>
      <c r="CC49" s="36">
        <v>194</v>
      </c>
      <c r="CD49" s="36">
        <v>169</v>
      </c>
      <c r="CE49" s="36">
        <v>4045</v>
      </c>
      <c r="CF49" s="36">
        <v>277</v>
      </c>
      <c r="CG49" s="36">
        <v>164</v>
      </c>
      <c r="CH49" s="36">
        <v>3973</v>
      </c>
      <c r="CI49" s="36">
        <v>409</v>
      </c>
      <c r="CJ49" s="70">
        <v>187</v>
      </c>
      <c r="CK49" s="70">
        <v>4106</v>
      </c>
      <c r="CL49" s="70">
        <v>455</v>
      </c>
      <c r="CM49" s="36">
        <v>208</v>
      </c>
      <c r="CN49" s="36">
        <v>4456</v>
      </c>
      <c r="CO49" s="36">
        <v>527</v>
      </c>
      <c r="CP49" s="36">
        <v>212</v>
      </c>
      <c r="CQ49" s="36">
        <v>4994</v>
      </c>
      <c r="CR49" s="36">
        <v>587</v>
      </c>
      <c r="CS49" s="36">
        <v>219</v>
      </c>
      <c r="CT49" s="36">
        <v>274.14632013226299</v>
      </c>
      <c r="CU49" s="36">
        <v>-613.2131799</v>
      </c>
      <c r="CV49" s="36">
        <v>410.04216471316386</v>
      </c>
      <c r="CW49" s="36">
        <v>378</v>
      </c>
      <c r="CX49" s="36">
        <v>454.10740144607973</v>
      </c>
      <c r="CY49" s="36">
        <v>-533.32391480000001</v>
      </c>
      <c r="CZ49" s="36">
        <v>399.78270119901174</v>
      </c>
      <c r="DA49" s="36">
        <v>281</v>
      </c>
      <c r="DB49" s="36">
        <v>-52.811008908914459</v>
      </c>
      <c r="DC49" s="36">
        <v>-615.06324710000001</v>
      </c>
      <c r="DD49" s="36">
        <v>412.56498361008659</v>
      </c>
      <c r="DE49" s="36">
        <v>181</v>
      </c>
      <c r="DF49" s="36">
        <v>-208.72121673873514</v>
      </c>
      <c r="DG49" s="36">
        <v>-873</v>
      </c>
      <c r="DH49" s="36">
        <v>433.25209856485242</v>
      </c>
      <c r="DI49" s="36">
        <v>93</v>
      </c>
      <c r="DJ49" s="36">
        <v>332</v>
      </c>
      <c r="DK49" s="36">
        <v>-465</v>
      </c>
      <c r="DL49" s="36">
        <v>450</v>
      </c>
      <c r="DM49" s="36">
        <v>49</v>
      </c>
      <c r="DN49" s="36">
        <v>39</v>
      </c>
      <c r="DO49" s="69">
        <v>-994</v>
      </c>
      <c r="DP49" s="36">
        <v>467</v>
      </c>
      <c r="DQ49" s="36">
        <v>4</v>
      </c>
      <c r="DR49" s="36">
        <v>-478</v>
      </c>
      <c r="DS49" s="36">
        <v>-1226</v>
      </c>
      <c r="DT49" s="36">
        <v>558</v>
      </c>
      <c r="DU49" s="36">
        <v>1266</v>
      </c>
      <c r="DV49" s="36">
        <v>-498</v>
      </c>
      <c r="DW49" s="71">
        <v>-23</v>
      </c>
      <c r="DX49" s="39">
        <v>369</v>
      </c>
      <c r="DY49" s="71">
        <v>1493</v>
      </c>
      <c r="DZ49" s="70">
        <v>294</v>
      </c>
      <c r="EA49" s="35">
        <v>223</v>
      </c>
      <c r="EB49" s="35">
        <v>360</v>
      </c>
      <c r="EC49" s="38">
        <v>1270</v>
      </c>
      <c r="ED49" s="38">
        <v>157</v>
      </c>
      <c r="EE49" s="38">
        <v>-314</v>
      </c>
      <c r="EF49" s="38">
        <v>356</v>
      </c>
      <c r="EG49" s="73">
        <v>1297</v>
      </c>
      <c r="EH49" s="73">
        <v>851</v>
      </c>
      <c r="EI49" s="73">
        <v>-673</v>
      </c>
      <c r="EJ49" s="73">
        <v>601</v>
      </c>
      <c r="EK49" s="73">
        <v>1125</v>
      </c>
      <c r="EL49" s="73">
        <v>10755.449709287168</v>
      </c>
      <c r="EM49" s="73">
        <v>-135.8958445809009</v>
      </c>
      <c r="EN49" s="73">
        <v>10190.674652229414</v>
      </c>
      <c r="EO49" s="73">
        <v>54.324700247068066</v>
      </c>
      <c r="EP49" s="73">
        <v>10790.600985917625</v>
      </c>
      <c r="EQ49" s="73">
        <v>-465.37599251900104</v>
      </c>
      <c r="ER49" s="73">
        <v>11496.822089129508</v>
      </c>
      <c r="ES49" s="73">
        <v>-641.97331530358758</v>
      </c>
      <c r="ET49" s="73">
        <v>12005</v>
      </c>
      <c r="EU49" s="73">
        <v>1082</v>
      </c>
      <c r="EV49" s="73">
        <v>12781</v>
      </c>
      <c r="EW49" s="73">
        <v>-45</v>
      </c>
      <c r="EX49" s="73">
        <v>13047</v>
      </c>
      <c r="EY49" s="73">
        <v>403</v>
      </c>
      <c r="EZ49" s="73">
        <v>13500</v>
      </c>
      <c r="FA49" s="73">
        <v>-829</v>
      </c>
      <c r="FB49" s="73">
        <v>13519</v>
      </c>
      <c r="FC49" s="73">
        <v>-64</v>
      </c>
      <c r="FD49" s="73">
        <v>13788</v>
      </c>
      <c r="FE49" s="73">
        <v>-197</v>
      </c>
      <c r="FF49" s="73">
        <v>14575</v>
      </c>
      <c r="FG49" s="73">
        <v>252</v>
      </c>
      <c r="FH49" s="73">
        <v>887</v>
      </c>
      <c r="FI49" s="73">
        <v>1139</v>
      </c>
      <c r="FJ49" s="79">
        <v>2406</v>
      </c>
      <c r="FK49" s="80">
        <v>5808</v>
      </c>
      <c r="FL49" s="80">
        <v>7631</v>
      </c>
      <c r="FM49" s="80">
        <v>2098</v>
      </c>
      <c r="FN49" s="76">
        <v>72</v>
      </c>
      <c r="FO49" s="80">
        <v>5062</v>
      </c>
      <c r="FP49" s="80">
        <v>523</v>
      </c>
      <c r="FQ49" s="80">
        <v>223</v>
      </c>
      <c r="FR49" s="80">
        <v>901</v>
      </c>
      <c r="FS49" s="81">
        <v>-696</v>
      </c>
      <c r="FT49" s="76">
        <v>342</v>
      </c>
      <c r="FU49" s="76">
        <v>953</v>
      </c>
      <c r="FV49" s="76">
        <v>696</v>
      </c>
      <c r="FW49" s="80">
        <v>14690</v>
      </c>
      <c r="FX49" s="80">
        <v>561</v>
      </c>
      <c r="FY49" s="73">
        <v>2400</v>
      </c>
      <c r="FZ49" s="73">
        <v>5821</v>
      </c>
      <c r="GA49" s="73">
        <v>7935</v>
      </c>
      <c r="GB49" s="73">
        <v>2383</v>
      </c>
      <c r="GC49" s="73">
        <v>75</v>
      </c>
      <c r="GD49" s="73">
        <v>4917</v>
      </c>
      <c r="GE49" s="73">
        <v>675</v>
      </c>
      <c r="GF49" s="73">
        <v>229</v>
      </c>
      <c r="GG49" s="73">
        <v>814</v>
      </c>
      <c r="GH49" s="73">
        <v>-535</v>
      </c>
      <c r="GI49" s="73">
        <v>361</v>
      </c>
      <c r="GJ49" s="73">
        <v>781</v>
      </c>
      <c r="GK49" s="73">
        <v>535</v>
      </c>
      <c r="GL49" s="73">
        <v>15384</v>
      </c>
      <c r="GM49" s="73">
        <v>456</v>
      </c>
      <c r="GN49" s="73">
        <v>2156</v>
      </c>
      <c r="GO49" s="77">
        <v>20.5</v>
      </c>
      <c r="GP49" s="78">
        <v>2354</v>
      </c>
      <c r="GQ49" s="73">
        <v>5817</v>
      </c>
      <c r="GR49" s="65">
        <v>8075</v>
      </c>
      <c r="GS49" s="65">
        <v>2071</v>
      </c>
      <c r="GT49" s="65">
        <v>16</v>
      </c>
      <c r="GU49" s="65">
        <v>4872</v>
      </c>
      <c r="GV49" s="65">
        <v>693</v>
      </c>
      <c r="GW49" s="65">
        <v>252</v>
      </c>
      <c r="GX49" s="65">
        <v>-176</v>
      </c>
      <c r="GY49" s="65">
        <v>-753</v>
      </c>
      <c r="GZ49" s="65">
        <v>387</v>
      </c>
      <c r="HA49" s="65">
        <v>609</v>
      </c>
      <c r="HB49" s="65">
        <v>753</v>
      </c>
      <c r="HC49" s="65">
        <v>16138</v>
      </c>
      <c r="HD49" s="65">
        <v>-561</v>
      </c>
      <c r="HE49" s="78">
        <v>2290</v>
      </c>
      <c r="HF49" s="73">
        <v>5809</v>
      </c>
      <c r="HG49" s="65">
        <v>8355</v>
      </c>
      <c r="HH49" s="65">
        <v>2352</v>
      </c>
      <c r="HI49" s="65">
        <v>29</v>
      </c>
      <c r="HJ49" s="65">
        <v>5068</v>
      </c>
      <c r="HK49" s="65">
        <v>449</v>
      </c>
      <c r="HL49" s="65">
        <v>292</v>
      </c>
      <c r="HM49" s="65">
        <v>-312</v>
      </c>
      <c r="HN49" s="65">
        <v>-686</v>
      </c>
      <c r="HO49" s="65">
        <v>385</v>
      </c>
      <c r="HP49" s="65">
        <v>1212</v>
      </c>
      <c r="HQ49" s="65">
        <v>686</v>
      </c>
      <c r="HR49" s="65">
        <v>16833</v>
      </c>
      <c r="HS49" s="65">
        <v>-695</v>
      </c>
      <c r="HT49" s="65">
        <v>900</v>
      </c>
      <c r="HU49" s="77">
        <v>21</v>
      </c>
      <c r="HV49" s="180">
        <v>340</v>
      </c>
      <c r="HW49" s="30" t="s">
        <v>761</v>
      </c>
    </row>
    <row r="50" spans="1:231" ht="15" x14ac:dyDescent="0.25">
      <c r="A50" s="27">
        <v>152</v>
      </c>
      <c r="B50" s="27" t="s">
        <v>179</v>
      </c>
      <c r="C50" s="27">
        <v>15</v>
      </c>
      <c r="D50" s="27" t="s">
        <v>115</v>
      </c>
      <c r="E50" s="27">
        <v>2</v>
      </c>
      <c r="F50" s="27" t="s">
        <v>744</v>
      </c>
      <c r="G50" s="29" t="s">
        <v>130</v>
      </c>
      <c r="H50" s="27" t="s">
        <v>98</v>
      </c>
      <c r="I50" s="31" t="s">
        <v>115</v>
      </c>
      <c r="J50" s="69">
        <v>5232</v>
      </c>
      <c r="K50" s="69">
        <v>5207</v>
      </c>
      <c r="L50" s="36">
        <v>5151</v>
      </c>
      <c r="M50" s="36">
        <v>5097</v>
      </c>
      <c r="N50" s="36">
        <v>5085</v>
      </c>
      <c r="O50" s="36">
        <v>5065</v>
      </c>
      <c r="P50" s="36">
        <v>5074</v>
      </c>
      <c r="Q50" s="36">
        <v>5044</v>
      </c>
      <c r="R50" s="69">
        <v>5041</v>
      </c>
      <c r="S50" s="69">
        <v>5016</v>
      </c>
      <c r="T50" s="71">
        <v>4991</v>
      </c>
      <c r="U50" s="36">
        <v>9526</v>
      </c>
      <c r="V50" s="36">
        <v>5152</v>
      </c>
      <c r="W50" s="36">
        <v>2985</v>
      </c>
      <c r="X50" s="36">
        <v>213.09410282673448</v>
      </c>
      <c r="Y50" s="36">
        <v>9231</v>
      </c>
      <c r="Z50" s="36">
        <v>5201</v>
      </c>
      <c r="AA50" s="36">
        <v>2866</v>
      </c>
      <c r="AB50" s="36">
        <v>194.08886713658373</v>
      </c>
      <c r="AC50" s="36">
        <v>9145</v>
      </c>
      <c r="AD50" s="36">
        <v>5921</v>
      </c>
      <c r="AE50" s="36">
        <v>2960</v>
      </c>
      <c r="AF50" s="36">
        <v>166.16967134397291</v>
      </c>
      <c r="AG50" s="36">
        <v>9948</v>
      </c>
      <c r="AH50" s="36">
        <v>6718</v>
      </c>
      <c r="AI50" s="36">
        <v>3039</v>
      </c>
      <c r="AJ50" s="36">
        <v>248.07719153072875</v>
      </c>
      <c r="AK50" s="36">
        <v>10410</v>
      </c>
      <c r="AL50" s="36">
        <v>7578</v>
      </c>
      <c r="AM50" s="36">
        <v>3168</v>
      </c>
      <c r="AN50" s="36">
        <v>239</v>
      </c>
      <c r="AO50" s="36">
        <v>10143</v>
      </c>
      <c r="AP50" s="36">
        <v>8095</v>
      </c>
      <c r="AQ50" s="36">
        <v>3406</v>
      </c>
      <c r="AR50" s="36">
        <v>186</v>
      </c>
      <c r="AS50" s="36">
        <v>9717</v>
      </c>
      <c r="AT50" s="36">
        <v>7783</v>
      </c>
      <c r="AU50" s="36">
        <v>3880</v>
      </c>
      <c r="AV50" s="36">
        <v>144</v>
      </c>
      <c r="AW50" s="36">
        <v>10383</v>
      </c>
      <c r="AX50" s="69">
        <v>8827</v>
      </c>
      <c r="AY50" s="36">
        <v>3981</v>
      </c>
      <c r="AZ50" s="36">
        <v>113</v>
      </c>
      <c r="BA50" s="36">
        <v>11268</v>
      </c>
      <c r="BB50" s="36">
        <v>8916</v>
      </c>
      <c r="BC50" s="36">
        <v>4420</v>
      </c>
      <c r="BD50" s="36">
        <v>54</v>
      </c>
      <c r="BE50" s="70">
        <v>11867</v>
      </c>
      <c r="BF50" s="70">
        <v>9113</v>
      </c>
      <c r="BG50" s="70">
        <v>5292</v>
      </c>
      <c r="BH50" s="70">
        <v>131</v>
      </c>
      <c r="BI50" s="36">
        <v>13100</v>
      </c>
      <c r="BJ50" s="36">
        <v>10045</v>
      </c>
      <c r="BK50" s="36">
        <v>4537</v>
      </c>
      <c r="BL50" s="36">
        <v>219</v>
      </c>
      <c r="BM50" s="36">
        <v>7609.3263568981438</v>
      </c>
      <c r="BN50" s="36">
        <v>1733.8493338917172</v>
      </c>
      <c r="BO50" s="36">
        <v>182.65208813720099</v>
      </c>
      <c r="BP50" s="36">
        <v>7630.349847705832</v>
      </c>
      <c r="BQ50" s="36">
        <v>1414.6286494677693</v>
      </c>
      <c r="BR50" s="36">
        <v>185.67947081350817</v>
      </c>
      <c r="BS50" s="36">
        <v>7293.3012430769641</v>
      </c>
      <c r="BT50" s="36">
        <v>1650.596310293269</v>
      </c>
      <c r="BU50" s="36">
        <v>201.15276004796718</v>
      </c>
      <c r="BV50" s="36">
        <v>9040</v>
      </c>
      <c r="BW50" s="36">
        <v>685</v>
      </c>
      <c r="BX50" s="36">
        <v>223</v>
      </c>
      <c r="BY50" s="36">
        <v>9666</v>
      </c>
      <c r="BZ50" s="36">
        <v>513</v>
      </c>
      <c r="CA50" s="36">
        <v>231</v>
      </c>
      <c r="CB50" s="36">
        <v>8855</v>
      </c>
      <c r="CC50" s="36">
        <v>295</v>
      </c>
      <c r="CD50" s="36">
        <v>993</v>
      </c>
      <c r="CE50" s="36">
        <v>9093</v>
      </c>
      <c r="CF50" s="36">
        <v>389</v>
      </c>
      <c r="CG50" s="36">
        <v>235</v>
      </c>
      <c r="CH50" s="36">
        <v>9640</v>
      </c>
      <c r="CI50" s="36">
        <v>497</v>
      </c>
      <c r="CJ50" s="70">
        <v>246</v>
      </c>
      <c r="CK50" s="70">
        <v>10344</v>
      </c>
      <c r="CL50" s="70">
        <v>566</v>
      </c>
      <c r="CM50" s="36">
        <v>358</v>
      </c>
      <c r="CN50" s="36">
        <v>10832</v>
      </c>
      <c r="CO50" s="36">
        <v>664</v>
      </c>
      <c r="CP50" s="36">
        <v>371</v>
      </c>
      <c r="CQ50" s="36">
        <v>12052</v>
      </c>
      <c r="CR50" s="36">
        <v>662</v>
      </c>
      <c r="CS50" s="36">
        <v>386</v>
      </c>
      <c r="CT50" s="36">
        <v>861.79493518878257</v>
      </c>
      <c r="CU50" s="36">
        <v>-1080.9438029999999</v>
      </c>
      <c r="CV50" s="36">
        <v>1198.8435398176507</v>
      </c>
      <c r="CW50" s="36">
        <v>662</v>
      </c>
      <c r="CX50" s="36">
        <v>-224.86725767904022</v>
      </c>
      <c r="CY50" s="36">
        <v>-1883.704776</v>
      </c>
      <c r="CZ50" s="36">
        <v>1237.0221991244136</v>
      </c>
      <c r="DA50" s="36">
        <v>3192</v>
      </c>
      <c r="DB50" s="36">
        <v>-300.55182458672022</v>
      </c>
      <c r="DC50" s="36">
        <v>-2323.516204</v>
      </c>
      <c r="DD50" s="36">
        <v>2309.5566061694694</v>
      </c>
      <c r="DE50" s="36">
        <v>5887</v>
      </c>
      <c r="DF50" s="36">
        <v>40.028726497839628</v>
      </c>
      <c r="DG50" s="36">
        <v>-1074</v>
      </c>
      <c r="DH50" s="36">
        <v>442.33424659377403</v>
      </c>
      <c r="DI50" s="36">
        <v>6723</v>
      </c>
      <c r="DJ50" s="36">
        <v>1420</v>
      </c>
      <c r="DK50" s="36">
        <v>-980</v>
      </c>
      <c r="DL50" s="36">
        <v>481</v>
      </c>
      <c r="DM50" s="36">
        <v>5867</v>
      </c>
      <c r="DN50" s="36">
        <v>863</v>
      </c>
      <c r="DO50" s="69">
        <v>-640</v>
      </c>
      <c r="DP50" s="36">
        <v>540</v>
      </c>
      <c r="DQ50" s="36">
        <v>4952</v>
      </c>
      <c r="DR50" s="36">
        <v>-1041</v>
      </c>
      <c r="DS50" s="36">
        <v>-1704</v>
      </c>
      <c r="DT50" s="36">
        <v>596</v>
      </c>
      <c r="DU50" s="36">
        <v>6236</v>
      </c>
      <c r="DV50" s="36">
        <v>173</v>
      </c>
      <c r="DW50" s="71">
        <v>-1376</v>
      </c>
      <c r="DX50" s="39">
        <v>625</v>
      </c>
      <c r="DY50" s="71">
        <v>7191</v>
      </c>
      <c r="DZ50" s="70">
        <v>704</v>
      </c>
      <c r="EA50" s="35">
        <v>-687</v>
      </c>
      <c r="EB50" s="35">
        <v>559</v>
      </c>
      <c r="EC50" s="38">
        <v>7555</v>
      </c>
      <c r="ED50" s="38">
        <v>530</v>
      </c>
      <c r="EE50" s="38">
        <v>44</v>
      </c>
      <c r="EF50" s="38">
        <v>531</v>
      </c>
      <c r="EG50" s="73">
        <v>6238</v>
      </c>
      <c r="EH50" s="73">
        <v>1651</v>
      </c>
      <c r="EI50" s="73">
        <v>-1001</v>
      </c>
      <c r="EJ50" s="73">
        <v>556</v>
      </c>
      <c r="EK50" s="73">
        <v>6452</v>
      </c>
      <c r="EL50" s="73">
        <v>16287.318798532728</v>
      </c>
      <c r="EM50" s="73">
        <v>-337.04860462886808</v>
      </c>
      <c r="EN50" s="73">
        <v>16866.558017266172</v>
      </c>
      <c r="EO50" s="73">
        <v>-1432.7929455256124</v>
      </c>
      <c r="EP50" s="73">
        <v>17466.652538880844</v>
      </c>
      <c r="EQ50" s="73">
        <v>-2549.3925893035844</v>
      </c>
      <c r="ER50" s="73">
        <v>18720.829906504332</v>
      </c>
      <c r="ES50" s="73">
        <v>-376.40457942086169</v>
      </c>
      <c r="ET50" s="73">
        <v>19522</v>
      </c>
      <c r="EU50" s="73">
        <v>1000</v>
      </c>
      <c r="EV50" s="73">
        <v>20708</v>
      </c>
      <c r="EW50" s="73">
        <v>369</v>
      </c>
      <c r="EX50" s="73">
        <v>22359</v>
      </c>
      <c r="EY50" s="73">
        <v>-1583</v>
      </c>
      <c r="EZ50" s="73">
        <v>22843</v>
      </c>
      <c r="FA50" s="73">
        <v>-383</v>
      </c>
      <c r="FB50" s="73">
        <v>23702</v>
      </c>
      <c r="FC50" s="73">
        <v>198</v>
      </c>
      <c r="FD50" s="73">
        <v>25581</v>
      </c>
      <c r="FE50" s="73">
        <v>51</v>
      </c>
      <c r="FF50" s="73">
        <v>25990</v>
      </c>
      <c r="FG50" s="73">
        <v>1151</v>
      </c>
      <c r="FH50" s="73">
        <v>249</v>
      </c>
      <c r="FI50" s="73">
        <v>1400</v>
      </c>
      <c r="FJ50" s="79">
        <v>4953</v>
      </c>
      <c r="FK50" s="80">
        <v>13020</v>
      </c>
      <c r="FL50" s="80">
        <v>10917</v>
      </c>
      <c r="FM50" s="80">
        <v>4289</v>
      </c>
      <c r="FN50" s="76">
        <v>53</v>
      </c>
      <c r="FO50" s="80">
        <v>12147</v>
      </c>
      <c r="FP50" s="80">
        <v>470</v>
      </c>
      <c r="FQ50" s="80">
        <v>403</v>
      </c>
      <c r="FR50" s="80">
        <v>1524</v>
      </c>
      <c r="FS50" s="81">
        <v>-738</v>
      </c>
      <c r="FT50" s="76">
        <v>584</v>
      </c>
      <c r="FU50" s="76">
        <v>6855</v>
      </c>
      <c r="FV50" s="76">
        <v>738</v>
      </c>
      <c r="FW50" s="80">
        <v>26553</v>
      </c>
      <c r="FX50" s="80">
        <v>998</v>
      </c>
      <c r="FY50" s="73">
        <v>4965</v>
      </c>
      <c r="FZ50" s="73">
        <v>12637</v>
      </c>
      <c r="GA50" s="73">
        <v>11136</v>
      </c>
      <c r="GB50" s="73">
        <v>3515</v>
      </c>
      <c r="GC50" s="73">
        <v>29</v>
      </c>
      <c r="GD50" s="73">
        <v>11604</v>
      </c>
      <c r="GE50" s="73">
        <v>535</v>
      </c>
      <c r="GF50" s="73">
        <v>498</v>
      </c>
      <c r="GG50" s="73">
        <v>1837</v>
      </c>
      <c r="GH50" s="73">
        <v>-1243</v>
      </c>
      <c r="GI50" s="73">
        <v>575</v>
      </c>
      <c r="GJ50" s="73">
        <v>5280</v>
      </c>
      <c r="GK50" s="73">
        <v>1243</v>
      </c>
      <c r="GL50" s="73">
        <v>25301</v>
      </c>
      <c r="GM50" s="73">
        <v>1323</v>
      </c>
      <c r="GN50" s="73">
        <v>3722</v>
      </c>
      <c r="GO50" s="77">
        <v>20.25</v>
      </c>
      <c r="GP50" s="78">
        <v>4936</v>
      </c>
      <c r="GQ50" s="73">
        <v>13460</v>
      </c>
      <c r="GR50" s="65">
        <v>11786</v>
      </c>
      <c r="GS50" s="65">
        <v>3475</v>
      </c>
      <c r="GT50" s="65">
        <v>37</v>
      </c>
      <c r="GU50" s="65">
        <v>12321</v>
      </c>
      <c r="GV50" s="65">
        <v>643</v>
      </c>
      <c r="GW50" s="65">
        <v>496</v>
      </c>
      <c r="GX50" s="65">
        <v>1199</v>
      </c>
      <c r="GY50" s="65">
        <v>-2107</v>
      </c>
      <c r="GZ50" s="65">
        <v>625</v>
      </c>
      <c r="HA50" s="65">
        <v>5860</v>
      </c>
      <c r="HB50" s="65">
        <v>2107</v>
      </c>
      <c r="HC50" s="65">
        <v>27434</v>
      </c>
      <c r="HD50" s="65">
        <v>635</v>
      </c>
      <c r="HE50" s="78">
        <v>4886</v>
      </c>
      <c r="HF50" s="73">
        <v>14004</v>
      </c>
      <c r="HG50" s="65">
        <v>11908</v>
      </c>
      <c r="HH50" s="65">
        <v>3660</v>
      </c>
      <c r="HI50" s="65">
        <v>183</v>
      </c>
      <c r="HJ50" s="65">
        <v>12923</v>
      </c>
      <c r="HK50" s="65">
        <v>493</v>
      </c>
      <c r="HL50" s="65">
        <v>588</v>
      </c>
      <c r="HM50" s="65">
        <v>1054</v>
      </c>
      <c r="HN50" s="65">
        <v>-4438</v>
      </c>
      <c r="HO50" s="65">
        <v>707</v>
      </c>
      <c r="HP50" s="65">
        <v>7445</v>
      </c>
      <c r="HQ50" s="65">
        <v>4438</v>
      </c>
      <c r="HR50" s="65">
        <v>28393</v>
      </c>
      <c r="HS50" s="65">
        <v>514</v>
      </c>
      <c r="HT50" s="65">
        <v>4872</v>
      </c>
      <c r="HU50" s="77">
        <v>20.5</v>
      </c>
      <c r="HV50" s="180">
        <v>340</v>
      </c>
      <c r="HW50" s="30" t="s">
        <v>761</v>
      </c>
    </row>
    <row r="51" spans="1:231" ht="15" x14ac:dyDescent="0.25">
      <c r="A51" s="27">
        <v>165</v>
      </c>
      <c r="B51" s="27" t="s">
        <v>180</v>
      </c>
      <c r="C51" s="27">
        <v>5</v>
      </c>
      <c r="D51" s="27" t="s">
        <v>109</v>
      </c>
      <c r="E51" s="27">
        <v>4</v>
      </c>
      <c r="F51" s="27" t="s">
        <v>100</v>
      </c>
      <c r="G51" s="29" t="s">
        <v>132</v>
      </c>
      <c r="H51" s="27" t="s">
        <v>99</v>
      </c>
      <c r="I51" s="31" t="s">
        <v>109</v>
      </c>
      <c r="J51" s="71">
        <v>15359</v>
      </c>
      <c r="K51" s="71">
        <v>15409</v>
      </c>
      <c r="L51" s="71">
        <v>15419</v>
      </c>
      <c r="M51" s="71">
        <v>15401</v>
      </c>
      <c r="N51" s="71">
        <v>15483</v>
      </c>
      <c r="O51" s="71">
        <v>15517</v>
      </c>
      <c r="P51" s="71">
        <v>15661</v>
      </c>
      <c r="Q51" s="71">
        <v>15871</v>
      </c>
      <c r="R51" s="71">
        <v>16115</v>
      </c>
      <c r="S51" s="71">
        <v>16405</v>
      </c>
      <c r="T51" s="71">
        <v>16589</v>
      </c>
      <c r="U51" s="71">
        <v>32392</v>
      </c>
      <c r="V51" s="71">
        <v>7129</v>
      </c>
      <c r="W51" s="71">
        <v>7173</v>
      </c>
      <c r="X51" s="71">
        <v>884.16392940816343</v>
      </c>
      <c r="Y51" s="71">
        <v>33721</v>
      </c>
      <c r="Z51" s="71">
        <v>7475</v>
      </c>
      <c r="AA51" s="71">
        <v>7235</v>
      </c>
      <c r="AB51" s="71">
        <v>979.19010785891726</v>
      </c>
      <c r="AC51" s="71">
        <v>31418</v>
      </c>
      <c r="AD51" s="71">
        <v>7793</v>
      </c>
      <c r="AE51" s="71">
        <v>7417</v>
      </c>
      <c r="AF51" s="71">
        <v>428.5428366239301</v>
      </c>
      <c r="AG51" s="71">
        <v>35288</v>
      </c>
      <c r="AH51" s="71">
        <v>9910</v>
      </c>
      <c r="AI51" s="71">
        <v>7894</v>
      </c>
      <c r="AJ51" s="71">
        <v>369.50887443593973</v>
      </c>
      <c r="AK51" s="71">
        <v>38015</v>
      </c>
      <c r="AL51" s="71">
        <v>11850</v>
      </c>
      <c r="AM51" s="71">
        <v>7948</v>
      </c>
      <c r="AN51" s="71">
        <v>220</v>
      </c>
      <c r="AO51" s="71">
        <v>35916</v>
      </c>
      <c r="AP51" s="71">
        <v>12118</v>
      </c>
      <c r="AQ51" s="71">
        <v>8224</v>
      </c>
      <c r="AR51" s="71">
        <v>229</v>
      </c>
      <c r="AS51" s="71">
        <v>36984</v>
      </c>
      <c r="AT51" s="71">
        <v>13395</v>
      </c>
      <c r="AU51" s="71">
        <v>9207</v>
      </c>
      <c r="AV51" s="71">
        <v>163</v>
      </c>
      <c r="AW51" s="71">
        <v>38595</v>
      </c>
      <c r="AX51" s="71">
        <v>13943</v>
      </c>
      <c r="AY51" s="71">
        <v>9414</v>
      </c>
      <c r="AZ51" s="71">
        <v>212</v>
      </c>
      <c r="BA51" s="71">
        <v>40679</v>
      </c>
      <c r="BB51" s="71">
        <v>15109</v>
      </c>
      <c r="BC51" s="71">
        <v>10546</v>
      </c>
      <c r="BD51" s="71">
        <v>114</v>
      </c>
      <c r="BE51" s="71">
        <v>45396</v>
      </c>
      <c r="BF51" s="71">
        <v>16282</v>
      </c>
      <c r="BG51" s="71">
        <v>11313</v>
      </c>
      <c r="BH51" s="71">
        <v>337</v>
      </c>
      <c r="BI51" s="71">
        <v>49159</v>
      </c>
      <c r="BJ51" s="71">
        <v>18646</v>
      </c>
      <c r="BK51" s="71">
        <v>10632</v>
      </c>
      <c r="BL51" s="71">
        <v>2327</v>
      </c>
      <c r="BM51" s="71">
        <v>26839.429304727932</v>
      </c>
      <c r="BN51" s="71">
        <v>4563.4430086801785</v>
      </c>
      <c r="BO51" s="71">
        <v>989.61775929953092</v>
      </c>
      <c r="BP51" s="71">
        <v>27887.744650362529</v>
      </c>
      <c r="BQ51" s="71">
        <v>4719.8577802893842</v>
      </c>
      <c r="BR51" s="71">
        <v>1113.740449028126</v>
      </c>
      <c r="BS51" s="71">
        <v>26132.535449810199</v>
      </c>
      <c r="BT51" s="71">
        <v>4133.0501048651731</v>
      </c>
      <c r="BU51" s="71">
        <v>1152.5918600407351</v>
      </c>
      <c r="BV51" s="71">
        <v>30825</v>
      </c>
      <c r="BW51" s="71">
        <v>3320</v>
      </c>
      <c r="BX51" s="71">
        <v>1143</v>
      </c>
      <c r="BY51" s="71">
        <v>34036</v>
      </c>
      <c r="BZ51" s="71">
        <v>2744</v>
      </c>
      <c r="CA51" s="71">
        <v>1235</v>
      </c>
      <c r="CB51" s="71">
        <v>33116</v>
      </c>
      <c r="CC51" s="71">
        <v>1449</v>
      </c>
      <c r="CD51" s="71">
        <v>1351</v>
      </c>
      <c r="CE51" s="71">
        <v>33744</v>
      </c>
      <c r="CF51" s="71">
        <v>1893</v>
      </c>
      <c r="CG51" s="71">
        <v>1347</v>
      </c>
      <c r="CH51" s="71">
        <v>35048</v>
      </c>
      <c r="CI51" s="71">
        <v>2171</v>
      </c>
      <c r="CJ51" s="71">
        <v>1376</v>
      </c>
      <c r="CK51" s="71">
        <v>36918</v>
      </c>
      <c r="CL51" s="71">
        <v>2154</v>
      </c>
      <c r="CM51" s="71">
        <v>1607</v>
      </c>
      <c r="CN51" s="71">
        <v>41039</v>
      </c>
      <c r="CO51" s="71">
        <v>2630</v>
      </c>
      <c r="CP51" s="71">
        <v>1727</v>
      </c>
      <c r="CQ51" s="71">
        <v>44638</v>
      </c>
      <c r="CR51" s="71">
        <v>2682</v>
      </c>
      <c r="CS51" s="71">
        <v>1839</v>
      </c>
      <c r="CT51" s="71">
        <v>1141.9960206736598</v>
      </c>
      <c r="CU51" s="71">
        <v>-2756.0955509999999</v>
      </c>
      <c r="CV51" s="71">
        <v>3294.4651035280781</v>
      </c>
      <c r="CW51" s="71">
        <v>478</v>
      </c>
      <c r="CX51" s="71">
        <v>3123.417982316721</v>
      </c>
      <c r="CY51" s="71">
        <v>-2462.6076189999999</v>
      </c>
      <c r="CZ51" s="71">
        <v>3407.4873901102133</v>
      </c>
      <c r="DA51" s="71">
        <v>347</v>
      </c>
      <c r="DB51" s="71">
        <v>-321.40712746794759</v>
      </c>
      <c r="DC51" s="71">
        <v>-2467.821445</v>
      </c>
      <c r="DD51" s="71">
        <v>3488.7221585911234</v>
      </c>
      <c r="DE51" s="71">
        <v>249</v>
      </c>
      <c r="DF51" s="71">
        <v>2971.2079088690539</v>
      </c>
      <c r="DG51" s="71">
        <v>-2661</v>
      </c>
      <c r="DH51" s="71">
        <v>2872.3134081096855</v>
      </c>
      <c r="DI51" s="71">
        <v>123</v>
      </c>
      <c r="DJ51" s="71">
        <v>7918</v>
      </c>
      <c r="DK51" s="71">
        <v>-5201</v>
      </c>
      <c r="DL51" s="71">
        <v>2949</v>
      </c>
      <c r="DM51" s="71">
        <v>91</v>
      </c>
      <c r="DN51" s="71">
        <v>2566</v>
      </c>
      <c r="DO51" s="71">
        <v>-6506</v>
      </c>
      <c r="DP51" s="71">
        <v>3007</v>
      </c>
      <c r="DQ51" s="71">
        <v>65</v>
      </c>
      <c r="DR51" s="71">
        <v>2413</v>
      </c>
      <c r="DS51" s="71">
        <v>-5893</v>
      </c>
      <c r="DT51" s="71">
        <v>3664</v>
      </c>
      <c r="DU51" s="71">
        <v>4837</v>
      </c>
      <c r="DV51" s="71">
        <v>1023</v>
      </c>
      <c r="DW51" s="71">
        <v>-8808</v>
      </c>
      <c r="DX51" s="39">
        <v>3730</v>
      </c>
      <c r="DY51" s="71">
        <v>12666</v>
      </c>
      <c r="DZ51" s="70">
        <v>1682</v>
      </c>
      <c r="EA51" s="35">
        <v>-5052</v>
      </c>
      <c r="EB51" s="35">
        <v>2906</v>
      </c>
      <c r="EC51" s="38">
        <v>17126</v>
      </c>
      <c r="ED51" s="38">
        <v>5828</v>
      </c>
      <c r="EE51" s="38">
        <v>-5181</v>
      </c>
      <c r="EF51" s="38">
        <v>3030</v>
      </c>
      <c r="EG51" s="73">
        <v>20634</v>
      </c>
      <c r="EH51" s="73">
        <v>4545</v>
      </c>
      <c r="EI51" s="73">
        <v>-8086</v>
      </c>
      <c r="EJ51" s="73">
        <v>3454</v>
      </c>
      <c r="EK51" s="73">
        <v>27402</v>
      </c>
      <c r="EL51" s="73">
        <v>43922.781559202987</v>
      </c>
      <c r="EM51" s="73">
        <v>-2138.3412970316513</v>
      </c>
      <c r="EN51" s="73">
        <v>43936.572969172834</v>
      </c>
      <c r="EO51" s="73">
        <v>-280.87383719072341</v>
      </c>
      <c r="EP51" s="73">
        <v>44916.940392516983</v>
      </c>
      <c r="EQ51" s="73">
        <v>-3806.9337154563023</v>
      </c>
      <c r="ER51" s="73">
        <v>47741.656617438057</v>
      </c>
      <c r="ES51" s="73">
        <v>0.8409396323075552</v>
      </c>
      <c r="ET51" s="73">
        <v>50017</v>
      </c>
      <c r="EU51" s="73">
        <v>3687</v>
      </c>
      <c r="EV51" s="73">
        <v>53841</v>
      </c>
      <c r="EW51" s="73">
        <v>-241</v>
      </c>
      <c r="EX51" s="73">
        <v>57184</v>
      </c>
      <c r="EY51" s="73">
        <v>-1191</v>
      </c>
      <c r="EZ51" s="73">
        <v>61232</v>
      </c>
      <c r="FA51" s="73">
        <v>-1959</v>
      </c>
      <c r="FB51" s="73">
        <v>64398</v>
      </c>
      <c r="FC51" s="73">
        <v>-811</v>
      </c>
      <c r="FD51" s="73">
        <v>66737</v>
      </c>
      <c r="FE51" s="73">
        <v>3007</v>
      </c>
      <c r="FF51" s="73">
        <v>73595</v>
      </c>
      <c r="FG51" s="73">
        <v>2233</v>
      </c>
      <c r="FH51" s="73">
        <v>3530</v>
      </c>
      <c r="FI51" s="73">
        <v>5762</v>
      </c>
      <c r="FJ51" s="79">
        <v>16795</v>
      </c>
      <c r="FK51" s="80">
        <v>49556</v>
      </c>
      <c r="FL51" s="80">
        <v>19821</v>
      </c>
      <c r="FM51" s="80">
        <v>15188</v>
      </c>
      <c r="FN51" s="76">
        <v>0</v>
      </c>
      <c r="FO51" s="80">
        <v>45850</v>
      </c>
      <c r="FP51" s="80">
        <v>1743</v>
      </c>
      <c r="FQ51" s="80">
        <v>1963</v>
      </c>
      <c r="FR51" s="80">
        <v>1011</v>
      </c>
      <c r="FS51" s="81">
        <v>-8473</v>
      </c>
      <c r="FT51" s="76">
        <v>3816</v>
      </c>
      <c r="FU51" s="76">
        <v>33651</v>
      </c>
      <c r="FV51" s="76">
        <v>8473</v>
      </c>
      <c r="FW51" s="80">
        <v>82847</v>
      </c>
      <c r="FX51" s="80">
        <v>-2749</v>
      </c>
      <c r="FY51" s="73">
        <v>16892</v>
      </c>
      <c r="FZ51" s="73">
        <v>52124</v>
      </c>
      <c r="GA51" s="73">
        <v>21036</v>
      </c>
      <c r="GB51" s="73">
        <v>16952</v>
      </c>
      <c r="GC51" s="73">
        <v>1092</v>
      </c>
      <c r="GD51" s="73">
        <v>47721</v>
      </c>
      <c r="GE51" s="73">
        <v>2173</v>
      </c>
      <c r="GF51" s="73">
        <v>2230</v>
      </c>
      <c r="GG51" s="73">
        <v>3021</v>
      </c>
      <c r="GH51" s="73">
        <v>-2861</v>
      </c>
      <c r="GI51" s="73">
        <v>3991</v>
      </c>
      <c r="GJ51" s="73">
        <v>35781</v>
      </c>
      <c r="GK51" s="73">
        <v>2861</v>
      </c>
      <c r="GL51" s="73">
        <v>86663</v>
      </c>
      <c r="GM51" s="73">
        <v>126</v>
      </c>
      <c r="GN51" s="73">
        <v>3140</v>
      </c>
      <c r="GO51" s="77">
        <v>19.5</v>
      </c>
      <c r="GP51" s="78">
        <v>16960</v>
      </c>
      <c r="GQ51" s="73">
        <v>53575</v>
      </c>
      <c r="GR51" s="65">
        <v>23293</v>
      </c>
      <c r="GS51" s="65">
        <v>18162</v>
      </c>
      <c r="GT51" s="65">
        <v>104</v>
      </c>
      <c r="GU51" s="65">
        <v>48576</v>
      </c>
      <c r="GV51" s="65">
        <v>2252</v>
      </c>
      <c r="GW51" s="65">
        <v>2747</v>
      </c>
      <c r="GX51" s="65">
        <v>3389</v>
      </c>
      <c r="GY51" s="65">
        <v>-4508</v>
      </c>
      <c r="GZ51" s="65">
        <v>3990</v>
      </c>
      <c r="HA51" s="65">
        <v>32441</v>
      </c>
      <c r="HB51" s="65">
        <v>4508</v>
      </c>
      <c r="HC51" s="65">
        <v>91089</v>
      </c>
      <c r="HD51" s="65">
        <v>-504</v>
      </c>
      <c r="HE51" s="78">
        <v>16921</v>
      </c>
      <c r="HF51" s="73">
        <v>55381</v>
      </c>
      <c r="HG51" s="65">
        <v>24088</v>
      </c>
      <c r="HH51" s="65">
        <v>18693</v>
      </c>
      <c r="HI51" s="65">
        <v>107</v>
      </c>
      <c r="HJ51" s="65">
        <v>51254</v>
      </c>
      <c r="HK51" s="65">
        <v>1825</v>
      </c>
      <c r="HL51" s="65">
        <v>2302</v>
      </c>
      <c r="HM51" s="65">
        <v>1566</v>
      </c>
      <c r="HN51" s="65">
        <v>-7803</v>
      </c>
      <c r="HO51" s="65">
        <v>3904</v>
      </c>
      <c r="HP51" s="65">
        <v>36593</v>
      </c>
      <c r="HQ51" s="65">
        <v>7803</v>
      </c>
      <c r="HR51" s="65">
        <v>95976</v>
      </c>
      <c r="HS51" s="65">
        <v>-1741</v>
      </c>
      <c r="HT51" s="65">
        <v>2212</v>
      </c>
      <c r="HU51" s="77">
        <v>19.75</v>
      </c>
      <c r="HV51" s="180">
        <v>230</v>
      </c>
      <c r="HW51" s="30" t="s">
        <v>756</v>
      </c>
    </row>
    <row r="52" spans="1:231" ht="15" x14ac:dyDescent="0.25">
      <c r="A52" s="27">
        <v>167</v>
      </c>
      <c r="B52" s="27" t="s">
        <v>181</v>
      </c>
      <c r="C52" s="27">
        <v>12</v>
      </c>
      <c r="D52" s="27" t="s">
        <v>116</v>
      </c>
      <c r="E52" s="27">
        <v>6</v>
      </c>
      <c r="F52" s="27" t="s">
        <v>102</v>
      </c>
      <c r="G52" s="29" t="s">
        <v>141</v>
      </c>
      <c r="H52" s="27" t="s">
        <v>97</v>
      </c>
      <c r="I52" s="31" t="s">
        <v>116</v>
      </c>
      <c r="J52" s="69">
        <v>70580</v>
      </c>
      <c r="K52" s="69">
        <v>70868</v>
      </c>
      <c r="L52" s="36">
        <v>71013</v>
      </c>
      <c r="M52" s="36">
        <v>71257</v>
      </c>
      <c r="N52" s="36">
        <v>71359</v>
      </c>
      <c r="O52" s="36">
        <v>71800</v>
      </c>
      <c r="P52" s="36">
        <v>71991</v>
      </c>
      <c r="Q52" s="36">
        <v>72292</v>
      </c>
      <c r="R52" s="69">
        <v>72253</v>
      </c>
      <c r="S52" s="69">
        <v>72105</v>
      </c>
      <c r="T52" s="71">
        <v>72433</v>
      </c>
      <c r="U52" s="36">
        <v>143931</v>
      </c>
      <c r="V52" s="36">
        <v>53067</v>
      </c>
      <c r="W52" s="36">
        <v>50985</v>
      </c>
      <c r="X52" s="36">
        <v>5278.5780719945242</v>
      </c>
      <c r="Y52" s="36">
        <v>146136</v>
      </c>
      <c r="Z52" s="36">
        <v>51379</v>
      </c>
      <c r="AA52" s="36">
        <v>49619</v>
      </c>
      <c r="AB52" s="36">
        <v>5650.441577400924</v>
      </c>
      <c r="AC52" s="36">
        <v>152070</v>
      </c>
      <c r="AD52" s="36">
        <v>53788</v>
      </c>
      <c r="AE52" s="36">
        <v>48449</v>
      </c>
      <c r="AF52" s="36">
        <v>6562.5247026016996</v>
      </c>
      <c r="AG52" s="36">
        <v>163894</v>
      </c>
      <c r="AH52" s="36">
        <v>74200</v>
      </c>
      <c r="AI52" s="36">
        <v>51011</v>
      </c>
      <c r="AJ52" s="36">
        <v>7238.4719790505114</v>
      </c>
      <c r="AK52" s="36">
        <v>170824</v>
      </c>
      <c r="AL52" s="36">
        <v>80752</v>
      </c>
      <c r="AM52" s="36">
        <v>54277</v>
      </c>
      <c r="AN52" s="36">
        <v>6587</v>
      </c>
      <c r="AO52" s="36">
        <v>161008</v>
      </c>
      <c r="AP52" s="36">
        <v>84505</v>
      </c>
      <c r="AQ52" s="36">
        <v>58615</v>
      </c>
      <c r="AR52" s="36">
        <v>7362</v>
      </c>
      <c r="AS52" s="36">
        <v>166770</v>
      </c>
      <c r="AT52" s="36">
        <v>89851</v>
      </c>
      <c r="AU52" s="36">
        <v>66038</v>
      </c>
      <c r="AV52" s="36">
        <v>7150</v>
      </c>
      <c r="AW52" s="36">
        <v>174839</v>
      </c>
      <c r="AX52" s="69">
        <v>92462</v>
      </c>
      <c r="AY52" s="36">
        <v>76429</v>
      </c>
      <c r="AZ52" s="36">
        <v>7706</v>
      </c>
      <c r="BA52" s="36">
        <v>188090</v>
      </c>
      <c r="BB52" s="36">
        <v>99642</v>
      </c>
      <c r="BC52" s="36">
        <v>80151</v>
      </c>
      <c r="BD52" s="36">
        <v>5146</v>
      </c>
      <c r="BE52" s="70">
        <v>196217</v>
      </c>
      <c r="BF52" s="70">
        <v>101818</v>
      </c>
      <c r="BG52" s="70">
        <v>90339</v>
      </c>
      <c r="BH52" s="70">
        <v>7262</v>
      </c>
      <c r="BI52" s="36">
        <v>209720</v>
      </c>
      <c r="BJ52" s="36">
        <v>112611</v>
      </c>
      <c r="BK52" s="36">
        <v>95572</v>
      </c>
      <c r="BL52" s="36">
        <v>1029</v>
      </c>
      <c r="BM52" s="36">
        <v>119388.36778663006</v>
      </c>
      <c r="BN52" s="36">
        <v>18351.657407921313</v>
      </c>
      <c r="BO52" s="36">
        <v>6140.373007183307</v>
      </c>
      <c r="BP52" s="36">
        <v>119427.21919764267</v>
      </c>
      <c r="BQ52" s="36">
        <v>19220.852611874405</v>
      </c>
      <c r="BR52" s="36">
        <v>7488.5674256987777</v>
      </c>
      <c r="BS52" s="36">
        <v>118655.57299103726</v>
      </c>
      <c r="BT52" s="36">
        <v>25417.904950275239</v>
      </c>
      <c r="BU52" s="36">
        <v>7996.9995273919267</v>
      </c>
      <c r="BV52" s="36">
        <v>135536</v>
      </c>
      <c r="BW52" s="36">
        <v>19712</v>
      </c>
      <c r="BX52" s="36">
        <v>8647</v>
      </c>
      <c r="BY52" s="36">
        <v>147205</v>
      </c>
      <c r="BZ52" s="36">
        <v>14873</v>
      </c>
      <c r="CA52" s="36">
        <v>8746</v>
      </c>
      <c r="CB52" s="36">
        <v>143451</v>
      </c>
      <c r="CC52" s="36">
        <v>8670</v>
      </c>
      <c r="CD52" s="36">
        <v>8887</v>
      </c>
      <c r="CE52" s="36">
        <v>148215</v>
      </c>
      <c r="CF52" s="36">
        <v>9696</v>
      </c>
      <c r="CG52" s="36">
        <v>8859</v>
      </c>
      <c r="CH52" s="36">
        <v>153962</v>
      </c>
      <c r="CI52" s="36">
        <v>11366</v>
      </c>
      <c r="CJ52" s="70">
        <v>9511</v>
      </c>
      <c r="CK52" s="70">
        <v>162979</v>
      </c>
      <c r="CL52" s="70">
        <v>13575</v>
      </c>
      <c r="CM52" s="36">
        <v>11536</v>
      </c>
      <c r="CN52" s="36">
        <v>167160</v>
      </c>
      <c r="CO52" s="36">
        <v>16892</v>
      </c>
      <c r="CP52" s="36">
        <v>12165</v>
      </c>
      <c r="CQ52" s="36">
        <v>179471</v>
      </c>
      <c r="CR52" s="36">
        <v>17176</v>
      </c>
      <c r="CS52" s="36">
        <v>13073</v>
      </c>
      <c r="CT52" s="36">
        <v>17258.604073847953</v>
      </c>
      <c r="CU52" s="36">
        <v>-12082.9570136</v>
      </c>
      <c r="CV52" s="36">
        <v>11956.31150422236</v>
      </c>
      <c r="CW52" s="36">
        <v>67651</v>
      </c>
      <c r="CX52" s="36">
        <v>17607.594021255594</v>
      </c>
      <c r="CY52" s="36">
        <v>-13930.3331963</v>
      </c>
      <c r="CZ52" s="36">
        <v>12631.754216891786</v>
      </c>
      <c r="DA52" s="36">
        <v>57594</v>
      </c>
      <c r="DB52" s="36">
        <v>15973.311939829087</v>
      </c>
      <c r="DC52" s="36">
        <v>57019.575392599996</v>
      </c>
      <c r="DD52" s="36">
        <v>12943.406444624969</v>
      </c>
      <c r="DE52" s="36">
        <v>45826</v>
      </c>
      <c r="DF52" s="36">
        <v>21744.680636355839</v>
      </c>
      <c r="DG52" s="36">
        <v>-22600</v>
      </c>
      <c r="DH52" s="36">
        <v>13517.768213491025</v>
      </c>
      <c r="DI52" s="36">
        <v>48215</v>
      </c>
      <c r="DJ52" s="36">
        <v>35573</v>
      </c>
      <c r="DK52" s="36">
        <v>-21501</v>
      </c>
      <c r="DL52" s="36">
        <v>15276</v>
      </c>
      <c r="DM52" s="36">
        <v>49854</v>
      </c>
      <c r="DN52" s="36">
        <v>20188</v>
      </c>
      <c r="DO52" s="69">
        <v>-28848</v>
      </c>
      <c r="DP52" s="36">
        <v>15484</v>
      </c>
      <c r="DQ52" s="36">
        <v>50464</v>
      </c>
      <c r="DR52" s="36">
        <v>16179</v>
      </c>
      <c r="DS52" s="36">
        <v>-24114</v>
      </c>
      <c r="DT52" s="36">
        <v>16820</v>
      </c>
      <c r="DU52" s="36">
        <v>54759</v>
      </c>
      <c r="DV52" s="36">
        <v>19774</v>
      </c>
      <c r="DW52" s="71">
        <v>-20957</v>
      </c>
      <c r="DX52" s="39">
        <v>17724</v>
      </c>
      <c r="DY52" s="71">
        <v>62171</v>
      </c>
      <c r="DZ52" s="70">
        <v>22204</v>
      </c>
      <c r="EA52" s="35">
        <v>-25217</v>
      </c>
      <c r="EB52" s="35">
        <v>18658</v>
      </c>
      <c r="EC52" s="38">
        <v>73551</v>
      </c>
      <c r="ED52" s="38">
        <v>17006</v>
      </c>
      <c r="EE52" s="38">
        <v>-25599</v>
      </c>
      <c r="EF52" s="38">
        <v>19549</v>
      </c>
      <c r="EG52" s="73">
        <v>77477</v>
      </c>
      <c r="EH52" s="73">
        <v>13835</v>
      </c>
      <c r="EI52" s="73">
        <v>-23944</v>
      </c>
      <c r="EJ52" s="73">
        <v>19782</v>
      </c>
      <c r="EK52" s="73">
        <v>84934</v>
      </c>
      <c r="EL52" s="73">
        <v>220204.24741789486</v>
      </c>
      <c r="EM52" s="73">
        <v>-23.714497631073073</v>
      </c>
      <c r="EN52" s="73">
        <v>221323.53806849621</v>
      </c>
      <c r="EO52" s="73">
        <v>1148.5553498056593</v>
      </c>
      <c r="EP52" s="73">
        <v>228053.74613378005</v>
      </c>
      <c r="EQ52" s="73">
        <v>1367.0314662791618</v>
      </c>
      <c r="ER52" s="73">
        <v>258053.9311404991</v>
      </c>
      <c r="ES52" s="73">
        <v>4386.0047462632847</v>
      </c>
      <c r="ET52" s="73">
        <v>273007</v>
      </c>
      <c r="EU52" s="73">
        <v>9807</v>
      </c>
      <c r="EV52" s="73">
        <v>289116</v>
      </c>
      <c r="EW52" s="73">
        <v>3230</v>
      </c>
      <c r="EX52" s="73">
        <v>311036</v>
      </c>
      <c r="EY52" s="73">
        <v>-1084</v>
      </c>
      <c r="EZ52" s="73">
        <v>329744</v>
      </c>
      <c r="FA52" s="73">
        <v>994</v>
      </c>
      <c r="FB52" s="73">
        <v>350458</v>
      </c>
      <c r="FC52" s="73">
        <v>1508</v>
      </c>
      <c r="FD52" s="73">
        <v>374331</v>
      </c>
      <c r="FE52" s="73">
        <v>-1413</v>
      </c>
      <c r="FF52" s="73">
        <v>402352</v>
      </c>
      <c r="FG52" s="73">
        <v>-4666</v>
      </c>
      <c r="FH52" s="73">
        <v>15806</v>
      </c>
      <c r="FI52" s="73">
        <v>11141</v>
      </c>
      <c r="FJ52" s="79">
        <v>72704</v>
      </c>
      <c r="FK52" s="80">
        <v>206114</v>
      </c>
      <c r="FL52" s="80">
        <v>123554</v>
      </c>
      <c r="FM52" s="80">
        <v>92031</v>
      </c>
      <c r="FN52" s="76">
        <v>4962</v>
      </c>
      <c r="FO52" s="80">
        <v>178981</v>
      </c>
      <c r="FP52" s="80">
        <v>13161</v>
      </c>
      <c r="FQ52" s="80">
        <v>13972</v>
      </c>
      <c r="FR52" s="80">
        <v>23187</v>
      </c>
      <c r="FS52" s="81">
        <v>-29335</v>
      </c>
      <c r="FT52" s="76">
        <v>19731</v>
      </c>
      <c r="FU52" s="76">
        <v>91359</v>
      </c>
      <c r="FV52" s="76">
        <v>29335</v>
      </c>
      <c r="FW52" s="80">
        <v>403474</v>
      </c>
      <c r="FX52" s="80">
        <v>1638</v>
      </c>
      <c r="FY52" s="73">
        <v>73305</v>
      </c>
      <c r="FZ52" s="73">
        <v>218085</v>
      </c>
      <c r="GA52" s="73">
        <v>137821</v>
      </c>
      <c r="GB52" s="73">
        <v>99706</v>
      </c>
      <c r="GC52" s="73">
        <v>3509</v>
      </c>
      <c r="GD52" s="73">
        <v>185791</v>
      </c>
      <c r="GE52" s="73">
        <v>16000</v>
      </c>
      <c r="GF52" s="73">
        <v>16294</v>
      </c>
      <c r="GG52" s="73">
        <v>31362</v>
      </c>
      <c r="GH52" s="73">
        <v>-30515</v>
      </c>
      <c r="GI52" s="73">
        <v>20438</v>
      </c>
      <c r="GJ52" s="73">
        <v>93395</v>
      </c>
      <c r="GK52" s="73">
        <v>30515</v>
      </c>
      <c r="GL52" s="73">
        <v>427759</v>
      </c>
      <c r="GM52" s="73">
        <v>5929</v>
      </c>
      <c r="GN52" s="73">
        <v>18707</v>
      </c>
      <c r="GO52" s="77">
        <v>19.5</v>
      </c>
      <c r="GP52" s="78">
        <v>73758</v>
      </c>
      <c r="GQ52" s="73">
        <v>223500</v>
      </c>
      <c r="GR52" s="65">
        <v>140636</v>
      </c>
      <c r="GS52" s="65">
        <v>105758</v>
      </c>
      <c r="GT52" s="65">
        <v>676</v>
      </c>
      <c r="GU52" s="65">
        <v>188547</v>
      </c>
      <c r="GV52" s="65">
        <v>18582</v>
      </c>
      <c r="GW52" s="65">
        <v>16371</v>
      </c>
      <c r="GX52" s="65">
        <v>22507</v>
      </c>
      <c r="GY52" s="65">
        <v>-34509</v>
      </c>
      <c r="GZ52" s="65">
        <v>21654</v>
      </c>
      <c r="HA52" s="65">
        <v>92440</v>
      </c>
      <c r="HB52" s="65">
        <v>34509</v>
      </c>
      <c r="HC52" s="65">
        <v>447147</v>
      </c>
      <c r="HD52" s="65">
        <v>4830</v>
      </c>
      <c r="HE52" s="78">
        <v>74168</v>
      </c>
      <c r="HF52" s="73">
        <v>226216</v>
      </c>
      <c r="HG52" s="65">
        <v>145979</v>
      </c>
      <c r="HH52" s="65">
        <v>115311</v>
      </c>
      <c r="HI52" s="65">
        <v>2849</v>
      </c>
      <c r="HJ52" s="65">
        <v>195663</v>
      </c>
      <c r="HK52" s="65">
        <v>13502</v>
      </c>
      <c r="HL52" s="65">
        <v>17051</v>
      </c>
      <c r="HM52" s="65">
        <v>10230</v>
      </c>
      <c r="HN52" s="65">
        <v>-23206</v>
      </c>
      <c r="HO52" s="65">
        <v>22676</v>
      </c>
      <c r="HP52" s="65">
        <v>114378</v>
      </c>
      <c r="HQ52" s="65">
        <v>23206</v>
      </c>
      <c r="HR52" s="65">
        <v>479241</v>
      </c>
      <c r="HS52" s="65">
        <v>-10736</v>
      </c>
      <c r="HT52" s="65">
        <v>12801</v>
      </c>
      <c r="HU52" s="77">
        <v>19.5</v>
      </c>
      <c r="HV52" s="180">
        <v>120</v>
      </c>
      <c r="HW52" s="30" t="s">
        <v>751</v>
      </c>
    </row>
    <row r="53" spans="1:231" ht="15" x14ac:dyDescent="0.25">
      <c r="A53" s="27">
        <v>169</v>
      </c>
      <c r="B53" s="27" t="s">
        <v>182</v>
      </c>
      <c r="C53" s="27">
        <v>5</v>
      </c>
      <c r="D53" s="27" t="s">
        <v>109</v>
      </c>
      <c r="E53" s="27">
        <v>3</v>
      </c>
      <c r="F53" s="27" t="s">
        <v>743</v>
      </c>
      <c r="G53" s="29" t="s">
        <v>130</v>
      </c>
      <c r="H53" s="27" t="s">
        <v>98</v>
      </c>
      <c r="I53" s="31" t="s">
        <v>109</v>
      </c>
      <c r="J53" s="69">
        <v>5733</v>
      </c>
      <c r="K53" s="69">
        <v>5659</v>
      </c>
      <c r="L53" s="36">
        <v>5677</v>
      </c>
      <c r="M53" s="36">
        <v>5663</v>
      </c>
      <c r="N53" s="36">
        <v>5641</v>
      </c>
      <c r="O53" s="36">
        <v>5672</v>
      </c>
      <c r="P53" s="36">
        <v>5731</v>
      </c>
      <c r="Q53" s="36">
        <v>5754</v>
      </c>
      <c r="R53" s="69">
        <v>5725</v>
      </c>
      <c r="S53" s="69">
        <v>5768</v>
      </c>
      <c r="T53" s="71">
        <v>5767</v>
      </c>
      <c r="U53" s="36">
        <v>11342</v>
      </c>
      <c r="V53" s="36">
        <v>2705</v>
      </c>
      <c r="W53" s="36">
        <v>2298</v>
      </c>
      <c r="X53" s="36">
        <v>278.18283036733925</v>
      </c>
      <c r="Y53" s="36">
        <v>11060</v>
      </c>
      <c r="Z53" s="36">
        <v>3007</v>
      </c>
      <c r="AA53" s="36">
        <v>2378</v>
      </c>
      <c r="AB53" s="36">
        <v>293.48793167533677</v>
      </c>
      <c r="AC53" s="36">
        <v>11726</v>
      </c>
      <c r="AD53" s="36">
        <v>3665</v>
      </c>
      <c r="AE53" s="36">
        <v>1965</v>
      </c>
      <c r="AF53" s="36">
        <v>129.8410792282865</v>
      </c>
      <c r="AG53" s="36">
        <v>12455</v>
      </c>
      <c r="AH53" s="36">
        <v>4130</v>
      </c>
      <c r="AI53" s="36">
        <v>1952</v>
      </c>
      <c r="AJ53" s="36">
        <v>93.344299186138628</v>
      </c>
      <c r="AK53" s="36">
        <v>14924</v>
      </c>
      <c r="AL53" s="36">
        <v>4966</v>
      </c>
      <c r="AM53" s="36">
        <v>1902</v>
      </c>
      <c r="AN53" s="36">
        <v>61</v>
      </c>
      <c r="AO53" s="36">
        <v>12868</v>
      </c>
      <c r="AP53" s="36">
        <v>3627</v>
      </c>
      <c r="AQ53" s="36">
        <v>2082</v>
      </c>
      <c r="AR53" s="36">
        <v>106</v>
      </c>
      <c r="AS53" s="36">
        <v>13447</v>
      </c>
      <c r="AT53" s="36">
        <v>5431</v>
      </c>
      <c r="AU53" s="36">
        <v>2380</v>
      </c>
      <c r="AV53" s="36">
        <v>110</v>
      </c>
      <c r="AW53" s="36">
        <v>13423</v>
      </c>
      <c r="AX53" s="69">
        <v>5231</v>
      </c>
      <c r="AY53" s="36">
        <v>2514</v>
      </c>
      <c r="AZ53" s="36">
        <v>68</v>
      </c>
      <c r="BA53" s="36">
        <v>14864</v>
      </c>
      <c r="BB53" s="36">
        <v>5674</v>
      </c>
      <c r="BC53" s="36">
        <v>2661</v>
      </c>
      <c r="BD53" s="36">
        <v>34</v>
      </c>
      <c r="BE53" s="70">
        <v>15275</v>
      </c>
      <c r="BF53" s="70">
        <v>6302</v>
      </c>
      <c r="BG53" s="70">
        <v>2877</v>
      </c>
      <c r="BH53" s="70">
        <v>85</v>
      </c>
      <c r="BI53" s="36">
        <v>16376</v>
      </c>
      <c r="BJ53" s="36">
        <v>7012</v>
      </c>
      <c r="BK53" s="36">
        <v>3259</v>
      </c>
      <c r="BL53" s="36">
        <v>64</v>
      </c>
      <c r="BM53" s="36">
        <v>9884.06806229008</v>
      </c>
      <c r="BN53" s="36">
        <v>1164.0286390401179</v>
      </c>
      <c r="BO53" s="36">
        <v>293.48793167533677</v>
      </c>
      <c r="BP53" s="36">
        <v>9846.730342615625</v>
      </c>
      <c r="BQ53" s="36">
        <v>918.30607847985016</v>
      </c>
      <c r="BR53" s="36">
        <v>295.00162301349036</v>
      </c>
      <c r="BS53" s="36">
        <v>9803.6742334414776</v>
      </c>
      <c r="BT53" s="36">
        <v>1603.3355029575848</v>
      </c>
      <c r="BU53" s="36">
        <v>318.71612064456338</v>
      </c>
      <c r="BV53" s="36">
        <v>11158</v>
      </c>
      <c r="BW53" s="36">
        <v>967</v>
      </c>
      <c r="BX53" s="36">
        <v>330</v>
      </c>
      <c r="BY53" s="36">
        <v>12179</v>
      </c>
      <c r="BZ53" s="36">
        <v>2409</v>
      </c>
      <c r="CA53" s="36">
        <v>336</v>
      </c>
      <c r="CB53" s="36">
        <v>11803</v>
      </c>
      <c r="CC53" s="36">
        <v>728</v>
      </c>
      <c r="CD53" s="36">
        <v>337</v>
      </c>
      <c r="CE53" s="36">
        <v>11991</v>
      </c>
      <c r="CF53" s="36">
        <v>1020</v>
      </c>
      <c r="CG53" s="36">
        <v>436</v>
      </c>
      <c r="CH53" s="36">
        <v>12218</v>
      </c>
      <c r="CI53" s="36">
        <v>741</v>
      </c>
      <c r="CJ53" s="70">
        <v>464</v>
      </c>
      <c r="CK53" s="70">
        <v>13686</v>
      </c>
      <c r="CL53" s="70">
        <v>721</v>
      </c>
      <c r="CM53" s="36">
        <v>457</v>
      </c>
      <c r="CN53" s="36">
        <v>13952</v>
      </c>
      <c r="CO53" s="36">
        <v>811</v>
      </c>
      <c r="CP53" s="36">
        <v>512</v>
      </c>
      <c r="CQ53" s="36">
        <v>15121</v>
      </c>
      <c r="CR53" s="36">
        <v>752</v>
      </c>
      <c r="CS53" s="36">
        <v>503</v>
      </c>
      <c r="CT53" s="36">
        <v>-178.78376582858621</v>
      </c>
      <c r="CU53" s="36">
        <v>-710.93036519999998</v>
      </c>
      <c r="CV53" s="36">
        <v>555.35653317590936</v>
      </c>
      <c r="CW53" s="36">
        <v>3929</v>
      </c>
      <c r="CX53" s="36">
        <v>164.31960415289626</v>
      </c>
      <c r="CY53" s="36">
        <v>-590.17143399999998</v>
      </c>
      <c r="CZ53" s="36">
        <v>580.248346292213</v>
      </c>
      <c r="DA53" s="36">
        <v>3808</v>
      </c>
      <c r="DB53" s="36">
        <v>756.67748115033805</v>
      </c>
      <c r="DC53" s="36">
        <v>-1630.5819469999999</v>
      </c>
      <c r="DD53" s="36">
        <v>633.05935520112746</v>
      </c>
      <c r="DE53" s="36">
        <v>4881</v>
      </c>
      <c r="DF53" s="36">
        <v>678.47009534573544</v>
      </c>
      <c r="DG53" s="36">
        <v>-1696</v>
      </c>
      <c r="DH53" s="36">
        <v>646.85076517097139</v>
      </c>
      <c r="DI53" s="36">
        <v>6331</v>
      </c>
      <c r="DJ53" s="36">
        <v>3989</v>
      </c>
      <c r="DK53" s="36">
        <v>-961</v>
      </c>
      <c r="DL53" s="36">
        <v>735</v>
      </c>
      <c r="DM53" s="36">
        <v>6163</v>
      </c>
      <c r="DN53" s="36">
        <v>-413</v>
      </c>
      <c r="DO53" s="69">
        <v>-617</v>
      </c>
      <c r="DP53" s="36">
        <v>705</v>
      </c>
      <c r="DQ53" s="36">
        <v>4439</v>
      </c>
      <c r="DR53" s="36">
        <v>862</v>
      </c>
      <c r="DS53" s="36">
        <v>-919</v>
      </c>
      <c r="DT53" s="36">
        <v>671</v>
      </c>
      <c r="DU53" s="36">
        <v>4319</v>
      </c>
      <c r="DV53" s="36">
        <v>-159</v>
      </c>
      <c r="DW53" s="71">
        <v>-564</v>
      </c>
      <c r="DX53" s="39">
        <v>687</v>
      </c>
      <c r="DY53" s="71">
        <v>4601</v>
      </c>
      <c r="DZ53" s="70">
        <v>181</v>
      </c>
      <c r="EA53" s="35">
        <v>-1114</v>
      </c>
      <c r="EB53" s="35">
        <v>706</v>
      </c>
      <c r="EC53" s="38">
        <v>6306</v>
      </c>
      <c r="ED53" s="38">
        <v>532</v>
      </c>
      <c r="EE53" s="38">
        <v>-2345</v>
      </c>
      <c r="EF53" s="38">
        <v>692</v>
      </c>
      <c r="EG53" s="73">
        <v>8201</v>
      </c>
      <c r="EH53" s="73">
        <v>665</v>
      </c>
      <c r="EI53" s="73">
        <v>-971</v>
      </c>
      <c r="EJ53" s="73">
        <v>837</v>
      </c>
      <c r="EK53" s="73">
        <v>7472</v>
      </c>
      <c r="EL53" s="73">
        <v>15650.727496875908</v>
      </c>
      <c r="EM53" s="73">
        <v>-734.14029900449566</v>
      </c>
      <c r="EN53" s="73">
        <v>15468.075408738709</v>
      </c>
      <c r="EO53" s="73">
        <v>-415.9287421393168</v>
      </c>
      <c r="EP53" s="73">
        <v>15580.76131946792</v>
      </c>
      <c r="EQ53" s="73">
        <v>123.61812594921061</v>
      </c>
      <c r="ER53" s="73">
        <v>16705.602171642506</v>
      </c>
      <c r="ES53" s="73">
        <v>-11.941342778767282</v>
      </c>
      <c r="ET53" s="73">
        <v>17578</v>
      </c>
      <c r="EU53" s="73">
        <v>3524</v>
      </c>
      <c r="EV53" s="73">
        <v>18922</v>
      </c>
      <c r="EW53" s="73">
        <v>-1118</v>
      </c>
      <c r="EX53" s="73">
        <v>20362</v>
      </c>
      <c r="EY53" s="73">
        <v>191</v>
      </c>
      <c r="EZ53" s="73">
        <v>21266</v>
      </c>
      <c r="FA53" s="73">
        <v>-846</v>
      </c>
      <c r="FB53" s="73">
        <v>22929</v>
      </c>
      <c r="FC53" s="73">
        <v>-525</v>
      </c>
      <c r="FD53" s="73">
        <v>23747</v>
      </c>
      <c r="FE53" s="73">
        <v>-160</v>
      </c>
      <c r="FF53" s="73">
        <v>25783</v>
      </c>
      <c r="FG53" s="73">
        <v>-172</v>
      </c>
      <c r="FH53" s="73">
        <v>531</v>
      </c>
      <c r="FI53" s="73">
        <v>360</v>
      </c>
      <c r="FJ53" s="79">
        <v>5753</v>
      </c>
      <c r="FK53" s="80">
        <v>16325</v>
      </c>
      <c r="FL53" s="80">
        <v>7962</v>
      </c>
      <c r="FM53" s="80">
        <v>3408</v>
      </c>
      <c r="FN53" s="76">
        <v>5</v>
      </c>
      <c r="FO53" s="80">
        <v>15281</v>
      </c>
      <c r="FP53" s="80">
        <v>561</v>
      </c>
      <c r="FQ53" s="80">
        <v>483</v>
      </c>
      <c r="FR53" s="80">
        <v>940</v>
      </c>
      <c r="FS53" s="81">
        <v>-1981</v>
      </c>
      <c r="FT53" s="76">
        <v>804</v>
      </c>
      <c r="FU53" s="76">
        <v>9742</v>
      </c>
      <c r="FV53" s="76">
        <v>1981</v>
      </c>
      <c r="FW53" s="80">
        <v>26536</v>
      </c>
      <c r="FX53" s="80">
        <v>136</v>
      </c>
      <c r="FY53" s="73">
        <v>5720</v>
      </c>
      <c r="FZ53" s="73">
        <v>17547</v>
      </c>
      <c r="GA53" s="73">
        <v>8513</v>
      </c>
      <c r="GB53" s="73">
        <v>3638</v>
      </c>
      <c r="GC53" s="73">
        <v>40</v>
      </c>
      <c r="GD53" s="73">
        <v>16139</v>
      </c>
      <c r="GE53" s="73">
        <v>867</v>
      </c>
      <c r="GF53" s="73">
        <v>541</v>
      </c>
      <c r="GG53" s="73">
        <v>2701</v>
      </c>
      <c r="GH53" s="73">
        <v>-3710</v>
      </c>
      <c r="GI53" s="73">
        <v>822</v>
      </c>
      <c r="GJ53" s="73">
        <v>9315</v>
      </c>
      <c r="GK53" s="73">
        <v>3710</v>
      </c>
      <c r="GL53" s="73">
        <v>26841</v>
      </c>
      <c r="GM53" s="73">
        <v>1879</v>
      </c>
      <c r="GN53" s="73">
        <v>2375</v>
      </c>
      <c r="GO53" s="77">
        <v>20.5</v>
      </c>
      <c r="GP53" s="78">
        <v>5676</v>
      </c>
      <c r="GQ53" s="73">
        <v>17705</v>
      </c>
      <c r="GR53" s="65">
        <v>8899</v>
      </c>
      <c r="GS53" s="65">
        <v>3705</v>
      </c>
      <c r="GT53" s="65">
        <v>27</v>
      </c>
      <c r="GU53" s="65">
        <v>15909</v>
      </c>
      <c r="GV53" s="65">
        <v>1256</v>
      </c>
      <c r="GW53" s="65">
        <v>540</v>
      </c>
      <c r="GX53" s="65">
        <v>1871</v>
      </c>
      <c r="GY53" s="65">
        <v>-2321</v>
      </c>
      <c r="GZ53" s="65">
        <v>781</v>
      </c>
      <c r="HA53" s="65">
        <v>9953</v>
      </c>
      <c r="HB53" s="65">
        <v>2321</v>
      </c>
      <c r="HC53" s="65">
        <v>28252</v>
      </c>
      <c r="HD53" s="65">
        <v>1090</v>
      </c>
      <c r="HE53" s="78">
        <v>5643</v>
      </c>
      <c r="HF53" s="73">
        <v>17834</v>
      </c>
      <c r="HG53" s="65">
        <v>9095</v>
      </c>
      <c r="HH53" s="65">
        <v>4173</v>
      </c>
      <c r="HI53" s="65">
        <v>39</v>
      </c>
      <c r="HJ53" s="65">
        <v>16494</v>
      </c>
      <c r="HK53" s="65">
        <v>793</v>
      </c>
      <c r="HL53" s="65">
        <v>547</v>
      </c>
      <c r="HM53" s="65">
        <v>1054</v>
      </c>
      <c r="HN53" s="65">
        <v>-1977</v>
      </c>
      <c r="HO53" s="65">
        <v>995</v>
      </c>
      <c r="HP53" s="65">
        <v>11416</v>
      </c>
      <c r="HQ53" s="65">
        <v>1977</v>
      </c>
      <c r="HR53" s="65">
        <v>29871</v>
      </c>
      <c r="HS53" s="65">
        <v>59</v>
      </c>
      <c r="HT53" s="65">
        <v>3524</v>
      </c>
      <c r="HU53" s="77">
        <v>20.5</v>
      </c>
      <c r="HV53" s="180">
        <v>340</v>
      </c>
      <c r="HW53" s="30" t="s">
        <v>761</v>
      </c>
    </row>
    <row r="54" spans="1:231" ht="15" x14ac:dyDescent="0.25">
      <c r="A54" s="32">
        <v>171</v>
      </c>
      <c r="B54" s="32" t="s">
        <v>183</v>
      </c>
      <c r="C54" s="32">
        <v>10</v>
      </c>
      <c r="D54" s="32" t="s">
        <v>107</v>
      </c>
      <c r="E54" s="27">
        <v>2</v>
      </c>
      <c r="F54" s="27" t="s">
        <v>744</v>
      </c>
      <c r="G54" s="43" t="s">
        <v>130</v>
      </c>
      <c r="H54" s="32" t="s">
        <v>98</v>
      </c>
      <c r="I54" s="33" t="s">
        <v>107</v>
      </c>
      <c r="J54" s="69">
        <v>6019</v>
      </c>
      <c r="K54" s="69">
        <v>5937</v>
      </c>
      <c r="L54" s="36">
        <v>5880</v>
      </c>
      <c r="M54" s="36">
        <v>5822</v>
      </c>
      <c r="N54" s="36">
        <v>5752</v>
      </c>
      <c r="O54" s="36">
        <v>5723</v>
      </c>
      <c r="P54" s="36">
        <v>5645</v>
      </c>
      <c r="Q54" s="36">
        <v>5619</v>
      </c>
      <c r="R54" s="69">
        <v>5596</v>
      </c>
      <c r="S54" s="69">
        <v>5495</v>
      </c>
      <c r="T54" s="71">
        <v>5476</v>
      </c>
      <c r="U54" s="36">
        <v>11720</v>
      </c>
      <c r="V54" s="36">
        <v>5261</v>
      </c>
      <c r="W54" s="36">
        <v>5767</v>
      </c>
      <c r="X54" s="36">
        <v>353.6992093485577</v>
      </c>
      <c r="Y54" s="36">
        <v>11439</v>
      </c>
      <c r="Z54" s="36">
        <v>5583</v>
      </c>
      <c r="AA54" s="36">
        <v>6047</v>
      </c>
      <c r="AB54" s="36">
        <v>414.91961458054772</v>
      </c>
      <c r="AC54" s="36">
        <v>11256</v>
      </c>
      <c r="AD54" s="36">
        <v>5806</v>
      </c>
      <c r="AE54" s="36">
        <v>6226</v>
      </c>
      <c r="AF54" s="36">
        <v>168.35611438797255</v>
      </c>
      <c r="AG54" s="36">
        <v>11641</v>
      </c>
      <c r="AH54" s="36">
        <v>6748</v>
      </c>
      <c r="AI54" s="36">
        <v>6443</v>
      </c>
      <c r="AJ54" s="36">
        <v>160.61946977074302</v>
      </c>
      <c r="AK54" s="36">
        <v>11958</v>
      </c>
      <c r="AL54" s="36">
        <v>7336</v>
      </c>
      <c r="AM54" s="36">
        <v>6585</v>
      </c>
      <c r="AN54" s="36">
        <v>159</v>
      </c>
      <c r="AO54" s="36">
        <v>11429</v>
      </c>
      <c r="AP54" s="36">
        <v>7871</v>
      </c>
      <c r="AQ54" s="36">
        <v>7077</v>
      </c>
      <c r="AR54" s="36">
        <v>94</v>
      </c>
      <c r="AS54" s="36">
        <v>12001</v>
      </c>
      <c r="AT54" s="36">
        <v>8161</v>
      </c>
      <c r="AU54" s="36">
        <v>7612</v>
      </c>
      <c r="AV54" s="36">
        <v>129</v>
      </c>
      <c r="AW54" s="36">
        <v>11935</v>
      </c>
      <c r="AX54" s="69">
        <v>8169</v>
      </c>
      <c r="AY54" s="36">
        <v>6886</v>
      </c>
      <c r="AZ54" s="36">
        <v>135</v>
      </c>
      <c r="BA54" s="36">
        <v>12522</v>
      </c>
      <c r="BB54" s="36">
        <v>8871</v>
      </c>
      <c r="BC54" s="36">
        <v>6808</v>
      </c>
      <c r="BD54" s="36">
        <v>38</v>
      </c>
      <c r="BE54" s="70">
        <v>13193</v>
      </c>
      <c r="BF54" s="70">
        <v>9191</v>
      </c>
      <c r="BG54" s="70">
        <v>7526</v>
      </c>
      <c r="BH54" s="70">
        <v>301</v>
      </c>
      <c r="BI54" s="36">
        <v>14318</v>
      </c>
      <c r="BJ54" s="36">
        <v>9938</v>
      </c>
      <c r="BK54" s="36">
        <v>16724</v>
      </c>
      <c r="BL54" s="36">
        <v>362</v>
      </c>
      <c r="BM54" s="36">
        <v>8972.8258767216139</v>
      </c>
      <c r="BN54" s="36">
        <v>2341.1759363442334</v>
      </c>
      <c r="BO54" s="36">
        <v>406.17384240454913</v>
      </c>
      <c r="BP54" s="36">
        <v>9007.4725895726842</v>
      </c>
      <c r="BQ54" s="36">
        <v>2023.1325674055161</v>
      </c>
      <c r="BR54" s="36">
        <v>408.02390959562575</v>
      </c>
      <c r="BS54" s="36">
        <v>8773.6913717911848</v>
      </c>
      <c r="BT54" s="36">
        <v>2071.5706902264315</v>
      </c>
      <c r="BU54" s="36">
        <v>411.05129227193294</v>
      </c>
      <c r="BV54" s="36">
        <v>9927</v>
      </c>
      <c r="BW54" s="36">
        <v>1277</v>
      </c>
      <c r="BX54" s="36">
        <v>436</v>
      </c>
      <c r="BY54" s="36">
        <v>10546</v>
      </c>
      <c r="BZ54" s="36">
        <v>965</v>
      </c>
      <c r="CA54" s="36">
        <v>447</v>
      </c>
      <c r="CB54" s="36">
        <v>10491</v>
      </c>
      <c r="CC54" s="36">
        <v>491</v>
      </c>
      <c r="CD54" s="36">
        <v>447</v>
      </c>
      <c r="CE54" s="36">
        <v>10868</v>
      </c>
      <c r="CF54" s="36">
        <v>680</v>
      </c>
      <c r="CG54" s="36">
        <v>453</v>
      </c>
      <c r="CH54" s="36">
        <v>10617</v>
      </c>
      <c r="CI54" s="36">
        <v>845</v>
      </c>
      <c r="CJ54" s="70">
        <v>473</v>
      </c>
      <c r="CK54" s="70">
        <v>11029</v>
      </c>
      <c r="CL54" s="70">
        <v>1021</v>
      </c>
      <c r="CM54" s="36">
        <v>472</v>
      </c>
      <c r="CN54" s="36">
        <v>11527</v>
      </c>
      <c r="CO54" s="36">
        <v>1179</v>
      </c>
      <c r="CP54" s="36">
        <v>487</v>
      </c>
      <c r="CQ54" s="36">
        <v>12745</v>
      </c>
      <c r="CR54" s="36">
        <v>1062</v>
      </c>
      <c r="CS54" s="36">
        <v>511</v>
      </c>
      <c r="CT54" s="36">
        <v>1424.71992505546</v>
      </c>
      <c r="CU54" s="36">
        <v>-1131.904745</v>
      </c>
      <c r="CV54" s="36">
        <v>1333.0575051339365</v>
      </c>
      <c r="CW54" s="36">
        <v>5650</v>
      </c>
      <c r="CX54" s="36">
        <v>1239.2086421684132</v>
      </c>
      <c r="CY54" s="36">
        <v>-816.55238299999996</v>
      </c>
      <c r="CZ54" s="36">
        <v>1337.4303912219357</v>
      </c>
      <c r="DA54" s="36">
        <v>5301</v>
      </c>
      <c r="DB54" s="36">
        <v>884.83668111400948</v>
      </c>
      <c r="DC54" s="36">
        <v>-950.59816039999987</v>
      </c>
      <c r="DD54" s="36">
        <v>1373.2544195582375</v>
      </c>
      <c r="DE54" s="36">
        <v>4750</v>
      </c>
      <c r="DF54" s="36">
        <v>927.05185065584874</v>
      </c>
      <c r="DG54" s="36">
        <v>-1186</v>
      </c>
      <c r="DH54" s="36">
        <v>1269.9870327108697</v>
      </c>
      <c r="DI54" s="36">
        <v>4623</v>
      </c>
      <c r="DJ54" s="36">
        <v>2833</v>
      </c>
      <c r="DK54" s="36">
        <v>-2678</v>
      </c>
      <c r="DL54" s="36">
        <v>1275</v>
      </c>
      <c r="DM54" s="36">
        <v>4337</v>
      </c>
      <c r="DN54" s="36">
        <v>2245</v>
      </c>
      <c r="DO54" s="69">
        <v>-1030</v>
      </c>
      <c r="DP54" s="36">
        <v>1297</v>
      </c>
      <c r="DQ54" s="36">
        <v>3622</v>
      </c>
      <c r="DR54" s="36">
        <v>1608</v>
      </c>
      <c r="DS54" s="36">
        <v>-2246</v>
      </c>
      <c r="DT54" s="36">
        <v>1324</v>
      </c>
      <c r="DU54" s="36">
        <v>4356</v>
      </c>
      <c r="DV54" s="36">
        <v>1183</v>
      </c>
      <c r="DW54" s="71">
        <v>-2216</v>
      </c>
      <c r="DX54" s="39">
        <v>1411</v>
      </c>
      <c r="DY54" s="71">
        <v>5652</v>
      </c>
      <c r="DZ54" s="70">
        <v>1230</v>
      </c>
      <c r="EA54" s="35">
        <v>-2569</v>
      </c>
      <c r="EB54" s="35">
        <v>1477</v>
      </c>
      <c r="EC54" s="38">
        <v>7341</v>
      </c>
      <c r="ED54" s="38">
        <v>593</v>
      </c>
      <c r="EE54" s="38">
        <v>-2264</v>
      </c>
      <c r="EF54" s="38">
        <v>1486</v>
      </c>
      <c r="EG54" s="73">
        <v>8253</v>
      </c>
      <c r="EH54" s="73">
        <v>2261</v>
      </c>
      <c r="EI54" s="73">
        <v>-2270</v>
      </c>
      <c r="EJ54" s="73">
        <v>1654</v>
      </c>
      <c r="EK54" s="73">
        <v>7999</v>
      </c>
      <c r="EL54" s="73">
        <v>20435.842192632361</v>
      </c>
      <c r="EM54" s="73">
        <v>78.711949583987163</v>
      </c>
      <c r="EN54" s="73">
        <v>21110.780341522404</v>
      </c>
      <c r="EO54" s="73">
        <v>-49.615438306145755</v>
      </c>
      <c r="EP54" s="73">
        <v>21393.840621757125</v>
      </c>
      <c r="EQ54" s="73">
        <v>-445.02525341715818</v>
      </c>
      <c r="ER54" s="73">
        <v>22820.074238150741</v>
      </c>
      <c r="ES54" s="73">
        <v>-193.07973957781465</v>
      </c>
      <c r="ET54" s="73">
        <v>23051</v>
      </c>
      <c r="EU54" s="73">
        <v>1427</v>
      </c>
      <c r="EV54" s="73">
        <v>24046</v>
      </c>
      <c r="EW54" s="73">
        <v>481</v>
      </c>
      <c r="EX54" s="73">
        <v>26165</v>
      </c>
      <c r="EY54" s="73">
        <v>356</v>
      </c>
      <c r="EZ54" s="73">
        <v>25816</v>
      </c>
      <c r="FA54" s="73">
        <v>-275</v>
      </c>
      <c r="FB54" s="73">
        <v>26923</v>
      </c>
      <c r="FC54" s="73">
        <v>-167</v>
      </c>
      <c r="FD54" s="73">
        <v>29162</v>
      </c>
      <c r="FE54" s="73">
        <v>-732</v>
      </c>
      <c r="FF54" s="73">
        <v>38581</v>
      </c>
      <c r="FG54" s="73">
        <v>988</v>
      </c>
      <c r="FH54" s="73">
        <v>1784</v>
      </c>
      <c r="FI54" s="73">
        <v>2772</v>
      </c>
      <c r="FJ54" s="79">
        <v>5423</v>
      </c>
      <c r="FK54" s="80">
        <v>14360</v>
      </c>
      <c r="FL54" s="80">
        <v>10373</v>
      </c>
      <c r="FM54" s="80">
        <v>17161</v>
      </c>
      <c r="FN54" s="76">
        <v>91</v>
      </c>
      <c r="FO54" s="80">
        <v>12829</v>
      </c>
      <c r="FP54" s="80">
        <v>846</v>
      </c>
      <c r="FQ54" s="80">
        <v>685</v>
      </c>
      <c r="FR54" s="80">
        <v>1520</v>
      </c>
      <c r="FS54" s="81">
        <v>-2358</v>
      </c>
      <c r="FT54" s="76">
        <v>1507</v>
      </c>
      <c r="FU54" s="76">
        <v>7889</v>
      </c>
      <c r="FV54" s="76">
        <v>2358</v>
      </c>
      <c r="FW54" s="80">
        <v>40397</v>
      </c>
      <c r="FX54" s="80">
        <v>72</v>
      </c>
      <c r="FY54" s="73">
        <v>5394</v>
      </c>
      <c r="FZ54" s="73">
        <v>14437</v>
      </c>
      <c r="GA54" s="73">
        <v>11121</v>
      </c>
      <c r="GB54" s="73">
        <v>18081</v>
      </c>
      <c r="GC54" s="73">
        <v>30</v>
      </c>
      <c r="GD54" s="73">
        <v>12700</v>
      </c>
      <c r="GE54" s="73">
        <v>1057</v>
      </c>
      <c r="GF54" s="73">
        <v>680</v>
      </c>
      <c r="GG54" s="73">
        <v>1181</v>
      </c>
      <c r="GH54" s="73">
        <v>-3866</v>
      </c>
      <c r="GI54" s="73">
        <v>1544</v>
      </c>
      <c r="GJ54" s="73">
        <v>8028</v>
      </c>
      <c r="GK54" s="73">
        <v>3866</v>
      </c>
      <c r="GL54" s="73">
        <v>42417</v>
      </c>
      <c r="GM54" s="73">
        <v>11</v>
      </c>
      <c r="GN54" s="73">
        <v>2855</v>
      </c>
      <c r="GO54" s="77">
        <v>19</v>
      </c>
      <c r="GP54" s="78">
        <v>5342</v>
      </c>
      <c r="GQ54" s="73">
        <v>14925</v>
      </c>
      <c r="GR54" s="65">
        <v>11279</v>
      </c>
      <c r="GS54" s="65">
        <v>18147</v>
      </c>
      <c r="GT54" s="65">
        <v>344</v>
      </c>
      <c r="GU54" s="65">
        <v>13087</v>
      </c>
      <c r="GV54" s="65">
        <v>1151</v>
      </c>
      <c r="GW54" s="65">
        <v>687</v>
      </c>
      <c r="GX54" s="65">
        <v>238</v>
      </c>
      <c r="GY54" s="65">
        <v>-3631</v>
      </c>
      <c r="GZ54" s="65">
        <v>1214</v>
      </c>
      <c r="HA54" s="65">
        <v>10560</v>
      </c>
      <c r="HB54" s="65">
        <v>3631</v>
      </c>
      <c r="HC54" s="65">
        <v>44011</v>
      </c>
      <c r="HD54" s="65">
        <v>-660</v>
      </c>
      <c r="HE54" s="78">
        <v>5291</v>
      </c>
      <c r="HF54" s="73">
        <v>14630</v>
      </c>
      <c r="HG54" s="65">
        <v>11685</v>
      </c>
      <c r="HH54" s="65">
        <v>18396</v>
      </c>
      <c r="HI54" s="65">
        <v>41</v>
      </c>
      <c r="HJ54" s="65">
        <v>13111</v>
      </c>
      <c r="HK54" s="65">
        <v>816</v>
      </c>
      <c r="HL54" s="65">
        <v>703</v>
      </c>
      <c r="HM54" s="65">
        <v>674</v>
      </c>
      <c r="HN54" s="65">
        <v>-2718</v>
      </c>
      <c r="HO54" s="65">
        <v>1359</v>
      </c>
      <c r="HP54" s="65">
        <v>12421</v>
      </c>
      <c r="HQ54" s="65">
        <v>2718</v>
      </c>
      <c r="HR54" s="65">
        <v>43870</v>
      </c>
      <c r="HS54" s="65">
        <v>-653</v>
      </c>
      <c r="HT54" s="65">
        <v>1543</v>
      </c>
      <c r="HU54" s="77">
        <v>19.5</v>
      </c>
      <c r="HV54" s="180">
        <v>340</v>
      </c>
      <c r="HW54" s="30" t="s">
        <v>761</v>
      </c>
    </row>
    <row r="55" spans="1:231" ht="15" x14ac:dyDescent="0.25">
      <c r="A55" s="27">
        <v>172</v>
      </c>
      <c r="B55" s="27" t="s">
        <v>184</v>
      </c>
      <c r="C55" s="27">
        <v>13</v>
      </c>
      <c r="D55" s="27" t="s">
        <v>111</v>
      </c>
      <c r="E55" s="27">
        <v>2</v>
      </c>
      <c r="F55" s="27" t="s">
        <v>744</v>
      </c>
      <c r="G55" s="29" t="s">
        <v>130</v>
      </c>
      <c r="H55" s="27" t="s">
        <v>98</v>
      </c>
      <c r="I55" s="31" t="s">
        <v>111</v>
      </c>
      <c r="J55" s="69">
        <v>5687</v>
      </c>
      <c r="K55" s="69">
        <v>5565</v>
      </c>
      <c r="L55" s="36">
        <v>5450</v>
      </c>
      <c r="M55" s="36">
        <v>5391</v>
      </c>
      <c r="N55" s="36">
        <v>5343</v>
      </c>
      <c r="O55" s="36">
        <v>5268</v>
      </c>
      <c r="P55" s="36">
        <v>5210</v>
      </c>
      <c r="Q55" s="36">
        <v>5213</v>
      </c>
      <c r="R55" s="69">
        <v>5187</v>
      </c>
      <c r="S55" s="69">
        <v>5180</v>
      </c>
      <c r="T55" s="71">
        <v>5122</v>
      </c>
      <c r="U55" s="36">
        <v>11573</v>
      </c>
      <c r="V55" s="36">
        <v>6039</v>
      </c>
      <c r="W55" s="36">
        <v>3390</v>
      </c>
      <c r="X55" s="36">
        <v>226.21276109073233</v>
      </c>
      <c r="Y55" s="36">
        <v>10959</v>
      </c>
      <c r="Z55" s="36">
        <v>6094</v>
      </c>
      <c r="AA55" s="36">
        <v>3504</v>
      </c>
      <c r="AB55" s="36">
        <v>252.45007761872805</v>
      </c>
      <c r="AC55" s="36">
        <v>10764</v>
      </c>
      <c r="AD55" s="36">
        <v>6382</v>
      </c>
      <c r="AE55" s="36">
        <v>3665</v>
      </c>
      <c r="AF55" s="36">
        <v>151.20094588889842</v>
      </c>
      <c r="AG55" s="36">
        <v>10957</v>
      </c>
      <c r="AH55" s="36">
        <v>7251</v>
      </c>
      <c r="AI55" s="36">
        <v>4418</v>
      </c>
      <c r="AJ55" s="36">
        <v>147.83718735966821</v>
      </c>
      <c r="AK55" s="36">
        <v>10786</v>
      </c>
      <c r="AL55" s="36">
        <v>8149</v>
      </c>
      <c r="AM55" s="36">
        <v>4774</v>
      </c>
      <c r="AN55" s="36">
        <v>97</v>
      </c>
      <c r="AO55" s="36">
        <v>10266</v>
      </c>
      <c r="AP55" s="36">
        <v>9286</v>
      </c>
      <c r="AQ55" s="36">
        <v>5233</v>
      </c>
      <c r="AR55" s="36">
        <v>157</v>
      </c>
      <c r="AS55" s="36">
        <v>10536</v>
      </c>
      <c r="AT55" s="36">
        <v>9203</v>
      </c>
      <c r="AU55" s="36">
        <v>5270</v>
      </c>
      <c r="AV55" s="36">
        <v>136</v>
      </c>
      <c r="AW55" s="36">
        <v>11138</v>
      </c>
      <c r="AX55" s="69">
        <v>9547</v>
      </c>
      <c r="AY55" s="36">
        <v>5647</v>
      </c>
      <c r="AZ55" s="36">
        <v>377</v>
      </c>
      <c r="BA55" s="36">
        <v>11528</v>
      </c>
      <c r="BB55" s="36">
        <v>10201</v>
      </c>
      <c r="BC55" s="36">
        <v>5812</v>
      </c>
      <c r="BD55" s="36">
        <v>294</v>
      </c>
      <c r="BE55" s="70">
        <v>12264</v>
      </c>
      <c r="BF55" s="70">
        <v>11091</v>
      </c>
      <c r="BG55" s="70">
        <v>5646</v>
      </c>
      <c r="BH55" s="70">
        <v>316</v>
      </c>
      <c r="BI55" s="36">
        <v>12869</v>
      </c>
      <c r="BJ55" s="36">
        <v>11593</v>
      </c>
      <c r="BK55" s="36">
        <v>7017</v>
      </c>
      <c r="BL55" s="36">
        <v>100</v>
      </c>
      <c r="BM55" s="36">
        <v>7664.1556209245964</v>
      </c>
      <c r="BN55" s="36">
        <v>3454.2436336665132</v>
      </c>
      <c r="BO55" s="36">
        <v>454.94834107838733</v>
      </c>
      <c r="BP55" s="36">
        <v>7760.8636786399657</v>
      </c>
      <c r="BQ55" s="36">
        <v>2742.6405168078604</v>
      </c>
      <c r="BR55" s="36">
        <v>454.94834107838733</v>
      </c>
      <c r="BS55" s="36">
        <v>6897.0504883336444</v>
      </c>
      <c r="BT55" s="36">
        <v>3350.639870966223</v>
      </c>
      <c r="BU55" s="36">
        <v>516.33693423683883</v>
      </c>
      <c r="BV55" s="36">
        <v>8058</v>
      </c>
      <c r="BW55" s="36">
        <v>2327</v>
      </c>
      <c r="BX55" s="36">
        <v>572</v>
      </c>
      <c r="BY55" s="36">
        <v>8777</v>
      </c>
      <c r="BZ55" s="36">
        <v>1311</v>
      </c>
      <c r="CA55" s="36">
        <v>698</v>
      </c>
      <c r="CB55" s="36">
        <v>8764</v>
      </c>
      <c r="CC55" s="36">
        <v>831</v>
      </c>
      <c r="CD55" s="36">
        <v>671</v>
      </c>
      <c r="CE55" s="36">
        <v>8768</v>
      </c>
      <c r="CF55" s="36">
        <v>1079</v>
      </c>
      <c r="CG55" s="36">
        <v>689</v>
      </c>
      <c r="CH55" s="36">
        <v>9050</v>
      </c>
      <c r="CI55" s="36">
        <v>1365</v>
      </c>
      <c r="CJ55" s="70">
        <v>723</v>
      </c>
      <c r="CK55" s="70">
        <v>9305</v>
      </c>
      <c r="CL55" s="70">
        <v>1485</v>
      </c>
      <c r="CM55" s="36">
        <v>738</v>
      </c>
      <c r="CN55" s="36">
        <v>9940</v>
      </c>
      <c r="CO55" s="36">
        <v>1564</v>
      </c>
      <c r="CP55" s="36">
        <v>760</v>
      </c>
      <c r="CQ55" s="36">
        <v>10614</v>
      </c>
      <c r="CR55" s="36">
        <v>1451</v>
      </c>
      <c r="CS55" s="36">
        <v>804</v>
      </c>
      <c r="CT55" s="36">
        <v>1000.8863503724522</v>
      </c>
      <c r="CU55" s="36">
        <v>-935.29305909999994</v>
      </c>
      <c r="CV55" s="36">
        <v>583.61210482144327</v>
      </c>
      <c r="CW55" s="36">
        <v>3539</v>
      </c>
      <c r="CX55" s="36">
        <v>355.38108861317278</v>
      </c>
      <c r="CY55" s="36">
        <v>-593.87156830000004</v>
      </c>
      <c r="CZ55" s="36">
        <v>540.55599564729641</v>
      </c>
      <c r="DA55" s="36">
        <v>3479</v>
      </c>
      <c r="DB55" s="36">
        <v>-555.5247211023709</v>
      </c>
      <c r="DC55" s="36">
        <v>-2554.4382269999996</v>
      </c>
      <c r="DD55" s="36">
        <v>545.7698213676033</v>
      </c>
      <c r="DE55" s="36">
        <v>4250</v>
      </c>
      <c r="DF55" s="36">
        <v>-329.98471171748463</v>
      </c>
      <c r="DG55" s="36">
        <v>-685</v>
      </c>
      <c r="DH55" s="36">
        <v>712.94862027034526</v>
      </c>
      <c r="DI55" s="36">
        <v>5130</v>
      </c>
      <c r="DJ55" s="36">
        <v>462</v>
      </c>
      <c r="DK55" s="36">
        <v>-434</v>
      </c>
      <c r="DL55" s="36">
        <v>734</v>
      </c>
      <c r="DM55" s="36">
        <v>6004</v>
      </c>
      <c r="DN55" s="36">
        <v>703</v>
      </c>
      <c r="DO55" s="69">
        <v>-1770</v>
      </c>
      <c r="DP55" s="36">
        <v>692</v>
      </c>
      <c r="DQ55" s="36">
        <v>8193</v>
      </c>
      <c r="DR55" s="36">
        <v>109</v>
      </c>
      <c r="DS55" s="36">
        <v>-1156</v>
      </c>
      <c r="DT55" s="36">
        <v>596</v>
      </c>
      <c r="DU55" s="36">
        <v>8579</v>
      </c>
      <c r="DV55" s="36">
        <v>-211</v>
      </c>
      <c r="DW55" s="71">
        <v>-2821</v>
      </c>
      <c r="DX55" s="39">
        <v>590</v>
      </c>
      <c r="DY55" s="71">
        <v>11478</v>
      </c>
      <c r="DZ55" s="70">
        <v>-59</v>
      </c>
      <c r="EA55" s="35">
        <v>-1789</v>
      </c>
      <c r="EB55" s="35">
        <v>620</v>
      </c>
      <c r="EC55" s="38">
        <v>13540</v>
      </c>
      <c r="ED55" s="38">
        <v>-330</v>
      </c>
      <c r="EE55" s="38">
        <v>-2918</v>
      </c>
      <c r="EF55" s="38">
        <v>828</v>
      </c>
      <c r="EG55" s="73">
        <v>17935</v>
      </c>
      <c r="EH55" s="73">
        <v>2346</v>
      </c>
      <c r="EI55" s="73">
        <v>-305</v>
      </c>
      <c r="EJ55" s="73">
        <v>896</v>
      </c>
      <c r="EK55" s="73">
        <v>15794</v>
      </c>
      <c r="EL55" s="73">
        <v>19146.345360451953</v>
      </c>
      <c r="EM55" s="73">
        <v>364.96780042147896</v>
      </c>
      <c r="EN55" s="73">
        <v>19403.16832415868</v>
      </c>
      <c r="EO55" s="73">
        <v>-123.61812594921061</v>
      </c>
      <c r="EP55" s="73">
        <v>20377.649170076675</v>
      </c>
      <c r="EQ55" s="73">
        <v>-1169.7470285398092</v>
      </c>
      <c r="ER55" s="73">
        <v>21904.290978567813</v>
      </c>
      <c r="ES55" s="73">
        <v>-999.03628318137544</v>
      </c>
      <c r="ET55" s="73">
        <v>23092</v>
      </c>
      <c r="EU55" s="73">
        <v>-237</v>
      </c>
      <c r="EV55" s="73">
        <v>23967</v>
      </c>
      <c r="EW55" s="73">
        <v>264</v>
      </c>
      <c r="EX55" s="73">
        <v>24816</v>
      </c>
      <c r="EY55" s="73">
        <v>-161</v>
      </c>
      <c r="EZ55" s="73">
        <v>26419</v>
      </c>
      <c r="FA55" s="73">
        <v>-768</v>
      </c>
      <c r="FB55" s="73">
        <v>27520</v>
      </c>
      <c r="FC55" s="73">
        <v>-646</v>
      </c>
      <c r="FD55" s="73">
        <v>28961</v>
      </c>
      <c r="FE55" s="73">
        <v>-1123</v>
      </c>
      <c r="FF55" s="73">
        <v>28547</v>
      </c>
      <c r="FG55" s="73">
        <v>1496</v>
      </c>
      <c r="FH55" s="73">
        <v>-2919</v>
      </c>
      <c r="FI55" s="73">
        <v>-1424</v>
      </c>
      <c r="FJ55" s="79">
        <v>5093</v>
      </c>
      <c r="FK55" s="80">
        <v>12565</v>
      </c>
      <c r="FL55" s="80">
        <v>12509</v>
      </c>
      <c r="FM55" s="80">
        <v>6782</v>
      </c>
      <c r="FN55" s="76">
        <v>127</v>
      </c>
      <c r="FO55" s="80">
        <v>10615</v>
      </c>
      <c r="FP55" s="80">
        <v>1093</v>
      </c>
      <c r="FQ55" s="80">
        <v>857</v>
      </c>
      <c r="FR55" s="80">
        <v>694</v>
      </c>
      <c r="FS55" s="81">
        <v>-1886</v>
      </c>
      <c r="FT55" s="76">
        <v>818</v>
      </c>
      <c r="FU55" s="76">
        <v>16128</v>
      </c>
      <c r="FV55" s="76">
        <v>1886</v>
      </c>
      <c r="FW55" s="80">
        <v>30990</v>
      </c>
      <c r="FX55" s="80">
        <v>-83</v>
      </c>
      <c r="FY55" s="73">
        <v>5053</v>
      </c>
      <c r="FZ55" s="73">
        <v>12603</v>
      </c>
      <c r="GA55" s="73">
        <v>13247</v>
      </c>
      <c r="GB55" s="73">
        <v>7623</v>
      </c>
      <c r="GC55" s="73">
        <v>119</v>
      </c>
      <c r="GD55" s="73">
        <v>10297</v>
      </c>
      <c r="GE55" s="73">
        <v>1293</v>
      </c>
      <c r="GF55" s="73">
        <v>1013</v>
      </c>
      <c r="GG55" s="73">
        <v>2883</v>
      </c>
      <c r="GH55" s="73">
        <v>-1311</v>
      </c>
      <c r="GI55" s="73">
        <v>1028</v>
      </c>
      <c r="GJ55" s="73">
        <v>14776</v>
      </c>
      <c r="GK55" s="73">
        <v>1311</v>
      </c>
      <c r="GL55" s="73">
        <v>30526</v>
      </c>
      <c r="GM55" s="73">
        <v>1901</v>
      </c>
      <c r="GN55" s="73">
        <v>394</v>
      </c>
      <c r="GO55" s="77">
        <v>19.5</v>
      </c>
      <c r="GP55" s="78">
        <v>4958</v>
      </c>
      <c r="GQ55" s="73">
        <v>13360</v>
      </c>
      <c r="GR55" s="65">
        <v>13434</v>
      </c>
      <c r="GS55" s="65">
        <v>6444</v>
      </c>
      <c r="GT55" s="65">
        <v>152</v>
      </c>
      <c r="GU55" s="65">
        <v>10656</v>
      </c>
      <c r="GV55" s="65">
        <v>1332</v>
      </c>
      <c r="GW55" s="65">
        <v>1372</v>
      </c>
      <c r="GX55" s="65">
        <v>1363</v>
      </c>
      <c r="GY55" s="65">
        <v>-510</v>
      </c>
      <c r="GZ55" s="65">
        <v>988</v>
      </c>
      <c r="HA55" s="65">
        <v>12895</v>
      </c>
      <c r="HB55" s="65">
        <v>510</v>
      </c>
      <c r="HC55" s="65">
        <v>31786</v>
      </c>
      <c r="HD55" s="65">
        <v>10</v>
      </c>
      <c r="HE55" s="78">
        <v>4898</v>
      </c>
      <c r="HF55" s="73">
        <v>13117</v>
      </c>
      <c r="HG55" s="65">
        <v>14171</v>
      </c>
      <c r="HH55" s="65">
        <v>6610</v>
      </c>
      <c r="HI55" s="65">
        <v>98</v>
      </c>
      <c r="HJ55" s="65">
        <v>10847</v>
      </c>
      <c r="HK55" s="65">
        <v>858</v>
      </c>
      <c r="HL55" s="65">
        <v>1412</v>
      </c>
      <c r="HM55" s="65">
        <v>443</v>
      </c>
      <c r="HN55" s="65">
        <v>-3695</v>
      </c>
      <c r="HO55" s="65">
        <v>1027</v>
      </c>
      <c r="HP55" s="65">
        <v>15459</v>
      </c>
      <c r="HQ55" s="65">
        <v>3695</v>
      </c>
      <c r="HR55" s="65">
        <v>33291</v>
      </c>
      <c r="HS55" s="65">
        <v>-554</v>
      </c>
      <c r="HT55" s="65">
        <v>-150</v>
      </c>
      <c r="HU55" s="77">
        <v>19.5</v>
      </c>
      <c r="HV55" s="180">
        <v>340</v>
      </c>
      <c r="HW55" s="30" t="s">
        <v>761</v>
      </c>
    </row>
    <row r="56" spans="1:231" ht="15" x14ac:dyDescent="0.25">
      <c r="A56" s="27">
        <v>176</v>
      </c>
      <c r="B56" s="27" t="s">
        <v>185</v>
      </c>
      <c r="C56" s="27">
        <v>12</v>
      </c>
      <c r="D56" s="27" t="s">
        <v>116</v>
      </c>
      <c r="E56" s="27">
        <v>2</v>
      </c>
      <c r="F56" s="27" t="s">
        <v>744</v>
      </c>
      <c r="G56" s="29" t="s">
        <v>130</v>
      </c>
      <c r="H56" s="27" t="s">
        <v>98</v>
      </c>
      <c r="I56" s="31" t="s">
        <v>116</v>
      </c>
      <c r="J56" s="69">
        <v>6764</v>
      </c>
      <c r="K56" s="69">
        <v>6677</v>
      </c>
      <c r="L56" s="36">
        <v>6583</v>
      </c>
      <c r="M56" s="36">
        <v>6486</v>
      </c>
      <c r="N56" s="36">
        <v>6372</v>
      </c>
      <c r="O56" s="36">
        <v>6238</v>
      </c>
      <c r="P56" s="36">
        <v>6177</v>
      </c>
      <c r="Q56" s="36">
        <v>6034</v>
      </c>
      <c r="R56" s="69">
        <v>5940</v>
      </c>
      <c r="S56" s="69">
        <v>5832</v>
      </c>
      <c r="T56" s="71">
        <v>5762</v>
      </c>
      <c r="U56" s="36">
        <v>11471</v>
      </c>
      <c r="V56" s="36">
        <v>9231</v>
      </c>
      <c r="W56" s="36">
        <v>5227</v>
      </c>
      <c r="X56" s="36">
        <v>354.20377312794221</v>
      </c>
      <c r="Y56" s="36">
        <v>11630</v>
      </c>
      <c r="Z56" s="36">
        <v>9718</v>
      </c>
      <c r="AA56" s="36">
        <v>5366</v>
      </c>
      <c r="AB56" s="36">
        <v>606.48566282020874</v>
      </c>
      <c r="AC56" s="36">
        <v>11077</v>
      </c>
      <c r="AD56" s="36">
        <v>9863</v>
      </c>
      <c r="AE56" s="36">
        <v>5535</v>
      </c>
      <c r="AF56" s="36">
        <v>546.61076099991089</v>
      </c>
      <c r="AG56" s="36">
        <v>11829</v>
      </c>
      <c r="AH56" s="36">
        <v>10967</v>
      </c>
      <c r="AI56" s="36">
        <v>5537</v>
      </c>
      <c r="AJ56" s="36">
        <v>533.66029066237445</v>
      </c>
      <c r="AK56" s="36">
        <v>11908</v>
      </c>
      <c r="AL56" s="36">
        <v>11963</v>
      </c>
      <c r="AM56" s="36">
        <v>5865</v>
      </c>
      <c r="AN56" s="36">
        <v>640</v>
      </c>
      <c r="AO56" s="36">
        <v>10852</v>
      </c>
      <c r="AP56" s="36">
        <v>12614</v>
      </c>
      <c r="AQ56" s="36">
        <v>6044</v>
      </c>
      <c r="AR56" s="36">
        <v>523</v>
      </c>
      <c r="AS56" s="36">
        <v>11312</v>
      </c>
      <c r="AT56" s="36">
        <v>12839</v>
      </c>
      <c r="AU56" s="36">
        <v>4934</v>
      </c>
      <c r="AV56" s="36">
        <v>431</v>
      </c>
      <c r="AW56" s="36">
        <v>11737</v>
      </c>
      <c r="AX56" s="69">
        <v>12786</v>
      </c>
      <c r="AY56" s="36">
        <v>4821</v>
      </c>
      <c r="AZ56" s="36">
        <v>412</v>
      </c>
      <c r="BA56" s="36">
        <v>12496</v>
      </c>
      <c r="BB56" s="36">
        <v>14420</v>
      </c>
      <c r="BC56" s="36">
        <v>5263</v>
      </c>
      <c r="BD56" s="36">
        <v>471</v>
      </c>
      <c r="BE56" s="70">
        <v>13346</v>
      </c>
      <c r="BF56" s="70">
        <v>14935</v>
      </c>
      <c r="BG56" s="70">
        <v>5510</v>
      </c>
      <c r="BH56" s="70">
        <v>552</v>
      </c>
      <c r="BI56" s="36">
        <v>13545</v>
      </c>
      <c r="BJ56" s="36">
        <v>15768</v>
      </c>
      <c r="BK56" s="36">
        <v>5963</v>
      </c>
      <c r="BL56" s="36">
        <v>669</v>
      </c>
      <c r="BM56" s="36">
        <v>8398.4641078555524</v>
      </c>
      <c r="BN56" s="36">
        <v>2643.0732643426459</v>
      </c>
      <c r="BO56" s="36">
        <v>429.38377625623758</v>
      </c>
      <c r="BP56" s="36">
        <v>8646.8776752392041</v>
      </c>
      <c r="BQ56" s="36">
        <v>2547.5425221125074</v>
      </c>
      <c r="BR56" s="36">
        <v>435.60672953531355</v>
      </c>
      <c r="BS56" s="36">
        <v>7900.9642213824045</v>
      </c>
      <c r="BT56" s="36">
        <v>2734.0629325583232</v>
      </c>
      <c r="BU56" s="36">
        <v>442.16605866731248</v>
      </c>
      <c r="BV56" s="36">
        <v>9171</v>
      </c>
      <c r="BW56" s="36">
        <v>2184</v>
      </c>
      <c r="BX56" s="36">
        <v>473</v>
      </c>
      <c r="BY56" s="36">
        <v>9980</v>
      </c>
      <c r="BZ56" s="36">
        <v>1440</v>
      </c>
      <c r="CA56" s="36">
        <v>488</v>
      </c>
      <c r="CB56" s="36">
        <v>9481</v>
      </c>
      <c r="CC56" s="36">
        <v>879</v>
      </c>
      <c r="CD56" s="36">
        <v>492</v>
      </c>
      <c r="CE56" s="36">
        <v>9803</v>
      </c>
      <c r="CF56" s="36">
        <v>1020</v>
      </c>
      <c r="CG56" s="36">
        <v>489</v>
      </c>
      <c r="CH56" s="36">
        <v>9940</v>
      </c>
      <c r="CI56" s="36">
        <v>1293</v>
      </c>
      <c r="CJ56" s="70">
        <v>504</v>
      </c>
      <c r="CK56" s="70">
        <v>10371</v>
      </c>
      <c r="CL56" s="70">
        <v>1607</v>
      </c>
      <c r="CM56" s="36">
        <v>518</v>
      </c>
      <c r="CN56" s="36">
        <v>10785</v>
      </c>
      <c r="CO56" s="36">
        <v>2039</v>
      </c>
      <c r="CP56" s="36">
        <v>522</v>
      </c>
      <c r="CQ56" s="36">
        <v>10885</v>
      </c>
      <c r="CR56" s="36">
        <v>2184</v>
      </c>
      <c r="CS56" s="36">
        <v>476</v>
      </c>
      <c r="CT56" s="36">
        <v>1454.993751818532</v>
      </c>
      <c r="CU56" s="36">
        <v>-519.19612900000004</v>
      </c>
      <c r="CV56" s="36">
        <v>930.24742125861758</v>
      </c>
      <c r="CW56" s="36">
        <v>96</v>
      </c>
      <c r="CX56" s="36">
        <v>2233.1992875559436</v>
      </c>
      <c r="CY56" s="36">
        <v>-612.37224019999996</v>
      </c>
      <c r="CZ56" s="36">
        <v>955.81198608076716</v>
      </c>
      <c r="DA56" s="36">
        <v>0</v>
      </c>
      <c r="DB56" s="36">
        <v>948.41171731646068</v>
      </c>
      <c r="DC56" s="36">
        <v>-1236.685823</v>
      </c>
      <c r="DD56" s="36">
        <v>1001.5591020782981</v>
      </c>
      <c r="DE56" s="36">
        <v>0</v>
      </c>
      <c r="DF56" s="36">
        <v>1605.5219460015842</v>
      </c>
      <c r="DG56" s="36">
        <v>-1644</v>
      </c>
      <c r="DH56" s="36">
        <v>1030.4874254296781</v>
      </c>
      <c r="DI56" s="36">
        <v>0</v>
      </c>
      <c r="DJ56" s="36">
        <v>2801</v>
      </c>
      <c r="DK56" s="36">
        <v>-2842</v>
      </c>
      <c r="DL56" s="36">
        <v>1276</v>
      </c>
      <c r="DM56" s="36">
        <v>0</v>
      </c>
      <c r="DN56" s="36">
        <v>186</v>
      </c>
      <c r="DO56" s="69">
        <v>-1836</v>
      </c>
      <c r="DP56" s="36">
        <v>1328</v>
      </c>
      <c r="DQ56" s="36">
        <v>0</v>
      </c>
      <c r="DR56" s="36">
        <v>585</v>
      </c>
      <c r="DS56" s="36">
        <v>-2384</v>
      </c>
      <c r="DT56" s="36">
        <v>1428</v>
      </c>
      <c r="DU56" s="36">
        <v>0</v>
      </c>
      <c r="DV56" s="36">
        <v>456</v>
      </c>
      <c r="DW56" s="71">
        <v>-147</v>
      </c>
      <c r="DX56" s="39">
        <v>1404</v>
      </c>
      <c r="DY56" s="71">
        <v>0</v>
      </c>
      <c r="DZ56" s="70">
        <v>2684</v>
      </c>
      <c r="EA56" s="35">
        <v>-682</v>
      </c>
      <c r="EB56" s="35">
        <v>1268</v>
      </c>
      <c r="EC56" s="38">
        <v>0</v>
      </c>
      <c r="ED56" s="38">
        <v>2738</v>
      </c>
      <c r="EE56" s="38">
        <v>-845</v>
      </c>
      <c r="EF56" s="38">
        <v>1185</v>
      </c>
      <c r="EG56" s="73">
        <v>0</v>
      </c>
      <c r="EH56" s="73">
        <v>3380</v>
      </c>
      <c r="EI56" s="73">
        <v>-999</v>
      </c>
      <c r="EJ56" s="73">
        <v>1216</v>
      </c>
      <c r="EK56" s="73">
        <v>0</v>
      </c>
      <c r="EL56" s="73">
        <v>23725.766222145976</v>
      </c>
      <c r="EM56" s="73">
        <v>144.97799260982251</v>
      </c>
      <c r="EN56" s="73">
        <v>23968.965963809322</v>
      </c>
      <c r="EO56" s="73">
        <v>153.55557685935958</v>
      </c>
      <c r="EP56" s="73">
        <v>24989.530301577772</v>
      </c>
      <c r="EQ56" s="73">
        <v>28.928323351379898</v>
      </c>
      <c r="ER56" s="73">
        <v>26111.84833485544</v>
      </c>
      <c r="ES56" s="73">
        <v>555.02015732298639</v>
      </c>
      <c r="ET56" s="73">
        <v>27544</v>
      </c>
      <c r="EU56" s="73">
        <v>179</v>
      </c>
      <c r="EV56" s="73">
        <v>29838</v>
      </c>
      <c r="EW56" s="73">
        <v>-691</v>
      </c>
      <c r="EX56" s="73">
        <v>28930</v>
      </c>
      <c r="EY56" s="73">
        <v>-647</v>
      </c>
      <c r="EZ56" s="73">
        <v>29299</v>
      </c>
      <c r="FA56" s="73">
        <v>-189</v>
      </c>
      <c r="FB56" s="73">
        <v>29966</v>
      </c>
      <c r="FC56" s="73">
        <v>1652</v>
      </c>
      <c r="FD56" s="73">
        <v>31596</v>
      </c>
      <c r="FE56" s="73">
        <v>1773</v>
      </c>
      <c r="FF56" s="73">
        <v>32565</v>
      </c>
      <c r="FG56" s="73">
        <v>1483</v>
      </c>
      <c r="FH56" s="73">
        <v>5686</v>
      </c>
      <c r="FI56" s="73">
        <v>7169</v>
      </c>
      <c r="FJ56" s="79">
        <v>5705</v>
      </c>
      <c r="FK56" s="80">
        <v>13000</v>
      </c>
      <c r="FL56" s="80">
        <v>17097</v>
      </c>
      <c r="FM56" s="80">
        <v>5959</v>
      </c>
      <c r="FN56" s="76">
        <v>502</v>
      </c>
      <c r="FO56" s="80">
        <v>10816</v>
      </c>
      <c r="FP56" s="80">
        <v>1682</v>
      </c>
      <c r="FQ56" s="80">
        <v>502</v>
      </c>
      <c r="FR56" s="80">
        <v>968</v>
      </c>
      <c r="FS56" s="81">
        <v>-1802</v>
      </c>
      <c r="FT56" s="76">
        <v>1415</v>
      </c>
      <c r="FU56" s="76">
        <v>0</v>
      </c>
      <c r="FV56" s="76">
        <v>1802</v>
      </c>
      <c r="FW56" s="80">
        <v>35590</v>
      </c>
      <c r="FX56" s="80">
        <v>-239</v>
      </c>
      <c r="FY56" s="73">
        <v>5589</v>
      </c>
      <c r="FZ56" s="73">
        <v>13508</v>
      </c>
      <c r="GA56" s="73">
        <v>18170</v>
      </c>
      <c r="GB56" s="73">
        <v>6791</v>
      </c>
      <c r="GC56" s="73">
        <v>454</v>
      </c>
      <c r="GD56" s="73">
        <v>10944</v>
      </c>
      <c r="GE56" s="73">
        <v>1927</v>
      </c>
      <c r="GF56" s="73">
        <v>637</v>
      </c>
      <c r="GG56" s="73">
        <v>1796</v>
      </c>
      <c r="GH56" s="73">
        <v>-1107</v>
      </c>
      <c r="GI56" s="73">
        <v>1482</v>
      </c>
      <c r="GJ56" s="73">
        <v>0</v>
      </c>
      <c r="GK56" s="73">
        <v>1107</v>
      </c>
      <c r="GL56" s="73">
        <v>37127</v>
      </c>
      <c r="GM56" s="73">
        <v>343</v>
      </c>
      <c r="GN56" s="73">
        <v>7273</v>
      </c>
      <c r="GO56" s="77">
        <v>19.25</v>
      </c>
      <c r="GP56" s="78">
        <v>5453</v>
      </c>
      <c r="GQ56" s="73">
        <v>13401</v>
      </c>
      <c r="GR56" s="65">
        <v>18499</v>
      </c>
      <c r="GS56" s="65">
        <v>6715</v>
      </c>
      <c r="GT56" s="65">
        <v>475</v>
      </c>
      <c r="GU56" s="65">
        <v>10935</v>
      </c>
      <c r="GV56" s="65">
        <v>1824</v>
      </c>
      <c r="GW56" s="65">
        <v>642</v>
      </c>
      <c r="GX56" s="65">
        <v>271</v>
      </c>
      <c r="GY56" s="65">
        <v>-1386</v>
      </c>
      <c r="GZ56" s="65">
        <v>1409</v>
      </c>
      <c r="HA56" s="65">
        <v>0</v>
      </c>
      <c r="HB56" s="65">
        <v>1386</v>
      </c>
      <c r="HC56" s="65">
        <v>38819</v>
      </c>
      <c r="HD56" s="65">
        <v>-775</v>
      </c>
      <c r="HE56" s="78">
        <v>5324</v>
      </c>
      <c r="HF56" s="73">
        <v>13053</v>
      </c>
      <c r="HG56" s="65">
        <v>19619</v>
      </c>
      <c r="HH56" s="65">
        <v>7355</v>
      </c>
      <c r="HI56" s="65">
        <v>446</v>
      </c>
      <c r="HJ56" s="65">
        <v>11259</v>
      </c>
      <c r="HK56" s="65">
        <v>1001</v>
      </c>
      <c r="HL56" s="65">
        <v>793</v>
      </c>
      <c r="HM56" s="65">
        <v>-353</v>
      </c>
      <c r="HN56" s="65">
        <v>-2289</v>
      </c>
      <c r="HO56" s="65">
        <v>1470</v>
      </c>
      <c r="HP56" s="65">
        <v>0</v>
      </c>
      <c r="HQ56" s="65">
        <v>2289</v>
      </c>
      <c r="HR56" s="65">
        <v>40826</v>
      </c>
      <c r="HS56" s="65">
        <v>-1412</v>
      </c>
      <c r="HT56" s="65">
        <v>5085</v>
      </c>
      <c r="HU56" s="77">
        <v>20.25</v>
      </c>
      <c r="HV56" s="180">
        <v>340</v>
      </c>
      <c r="HW56" s="30" t="s">
        <v>761</v>
      </c>
    </row>
    <row r="57" spans="1:231" ht="15" x14ac:dyDescent="0.25">
      <c r="A57" s="27">
        <v>177</v>
      </c>
      <c r="B57" s="27" t="s">
        <v>186</v>
      </c>
      <c r="C57" s="27">
        <v>6</v>
      </c>
      <c r="D57" s="27" t="s">
        <v>114</v>
      </c>
      <c r="E57" s="27">
        <v>1</v>
      </c>
      <c r="F57" s="27" t="s">
        <v>103</v>
      </c>
      <c r="G57" s="29" t="s">
        <v>130</v>
      </c>
      <c r="H57" s="27" t="s">
        <v>98</v>
      </c>
      <c r="I57" s="31" t="s">
        <v>114</v>
      </c>
      <c r="J57" s="69">
        <v>2388</v>
      </c>
      <c r="K57" s="69">
        <v>2400</v>
      </c>
      <c r="L57" s="36">
        <v>2371</v>
      </c>
      <c r="M57" s="36">
        <v>2308</v>
      </c>
      <c r="N57" s="36">
        <v>2248</v>
      </c>
      <c r="O57" s="36">
        <v>2252</v>
      </c>
      <c r="P57" s="36">
        <v>2275</v>
      </c>
      <c r="Q57" s="36">
        <v>2224</v>
      </c>
      <c r="R57" s="69">
        <v>2205</v>
      </c>
      <c r="S57" s="69">
        <v>2206</v>
      </c>
      <c r="T57" s="71">
        <v>2173</v>
      </c>
      <c r="U57" s="36">
        <v>4829</v>
      </c>
      <c r="V57" s="36">
        <v>1662</v>
      </c>
      <c r="W57" s="36">
        <v>1183</v>
      </c>
      <c r="X57" s="36">
        <v>95.698930156599772</v>
      </c>
      <c r="Y57" s="36">
        <v>4888</v>
      </c>
      <c r="Z57" s="36">
        <v>1647</v>
      </c>
      <c r="AA57" s="36">
        <v>1193</v>
      </c>
      <c r="AB57" s="36">
        <v>132.7002739781322</v>
      </c>
      <c r="AC57" s="36">
        <v>5145</v>
      </c>
      <c r="AD57" s="36">
        <v>1561</v>
      </c>
      <c r="AE57" s="36">
        <v>965</v>
      </c>
      <c r="AF57" s="36">
        <v>78.039197878141124</v>
      </c>
      <c r="AG57" s="36">
        <v>5225</v>
      </c>
      <c r="AH57" s="36">
        <v>1951</v>
      </c>
      <c r="AI57" s="36">
        <v>1228</v>
      </c>
      <c r="AJ57" s="36">
        <v>82.075708113217374</v>
      </c>
      <c r="AK57" s="36">
        <v>4463</v>
      </c>
      <c r="AL57" s="36">
        <v>2047</v>
      </c>
      <c r="AM57" s="36">
        <v>1241</v>
      </c>
      <c r="AN57" s="36">
        <v>176</v>
      </c>
      <c r="AO57" s="36">
        <v>4460</v>
      </c>
      <c r="AP57" s="36">
        <v>3173</v>
      </c>
      <c r="AQ57" s="36">
        <v>1237</v>
      </c>
      <c r="AR57" s="36">
        <v>72</v>
      </c>
      <c r="AS57" s="36">
        <v>4656</v>
      </c>
      <c r="AT57" s="36">
        <v>3026</v>
      </c>
      <c r="AU57" s="36">
        <v>1156</v>
      </c>
      <c r="AV57" s="36">
        <v>146</v>
      </c>
      <c r="AW57" s="36">
        <v>4975</v>
      </c>
      <c r="AX57" s="69">
        <v>3068</v>
      </c>
      <c r="AY57" s="36">
        <v>1361</v>
      </c>
      <c r="AZ57" s="36">
        <v>343</v>
      </c>
      <c r="BA57" s="36">
        <v>5116</v>
      </c>
      <c r="BB57" s="36">
        <v>3212</v>
      </c>
      <c r="BC57" s="36">
        <v>1515</v>
      </c>
      <c r="BD57" s="36">
        <v>66</v>
      </c>
      <c r="BE57" s="70">
        <v>5142</v>
      </c>
      <c r="BF57" s="70">
        <v>3193</v>
      </c>
      <c r="BG57" s="70">
        <v>1772</v>
      </c>
      <c r="BH57" s="70">
        <v>42</v>
      </c>
      <c r="BI57" s="36">
        <v>5935</v>
      </c>
      <c r="BJ57" s="36">
        <v>3563</v>
      </c>
      <c r="BK57" s="36">
        <v>1559</v>
      </c>
      <c r="BL57" s="36">
        <v>0</v>
      </c>
      <c r="BM57" s="36">
        <v>2884.9275025942989</v>
      </c>
      <c r="BN57" s="36">
        <v>1801.2926924027831</v>
      </c>
      <c r="BO57" s="36">
        <v>142.28698578643832</v>
      </c>
      <c r="BP57" s="36">
        <v>3171.3515413582518</v>
      </c>
      <c r="BQ57" s="36">
        <v>1545.8152321077478</v>
      </c>
      <c r="BR57" s="36">
        <v>170.8789332848952</v>
      </c>
      <c r="BS57" s="36">
        <v>3054.7973083204247</v>
      </c>
      <c r="BT57" s="36">
        <v>1889.2549779421533</v>
      </c>
      <c r="BU57" s="36">
        <v>200.98457212150569</v>
      </c>
      <c r="BV57" s="36">
        <v>3575</v>
      </c>
      <c r="BW57" s="36">
        <v>1438</v>
      </c>
      <c r="BX57" s="36">
        <v>211</v>
      </c>
      <c r="BY57" s="36">
        <v>3610</v>
      </c>
      <c r="BZ57" s="36">
        <v>636</v>
      </c>
      <c r="CA57" s="36">
        <v>217</v>
      </c>
      <c r="CB57" s="36">
        <v>3715</v>
      </c>
      <c r="CC57" s="36">
        <v>499</v>
      </c>
      <c r="CD57" s="36">
        <v>246</v>
      </c>
      <c r="CE57" s="36">
        <v>3860</v>
      </c>
      <c r="CF57" s="36">
        <v>543</v>
      </c>
      <c r="CG57" s="36">
        <v>253</v>
      </c>
      <c r="CH57" s="36">
        <v>4061</v>
      </c>
      <c r="CI57" s="36">
        <v>609</v>
      </c>
      <c r="CJ57" s="70">
        <v>305</v>
      </c>
      <c r="CK57" s="70">
        <v>4207</v>
      </c>
      <c r="CL57" s="70">
        <v>593</v>
      </c>
      <c r="CM57" s="36">
        <v>316</v>
      </c>
      <c r="CN57" s="36">
        <v>4263</v>
      </c>
      <c r="CO57" s="36">
        <v>576</v>
      </c>
      <c r="CP57" s="36">
        <v>303</v>
      </c>
      <c r="CQ57" s="36">
        <v>5133</v>
      </c>
      <c r="CR57" s="36">
        <v>555</v>
      </c>
      <c r="CS57" s="36">
        <v>247</v>
      </c>
      <c r="CT57" s="36">
        <v>458.48028753407908</v>
      </c>
      <c r="CU57" s="36">
        <v>-273.80994429999998</v>
      </c>
      <c r="CV57" s="36">
        <v>282.21934060241551</v>
      </c>
      <c r="CW57" s="36">
        <v>219</v>
      </c>
      <c r="CX57" s="36">
        <v>520.20525654545361</v>
      </c>
      <c r="CY57" s="36">
        <v>-311.82041570000001</v>
      </c>
      <c r="CZ57" s="36">
        <v>319.38887235040943</v>
      </c>
      <c r="DA57" s="36">
        <v>167</v>
      </c>
      <c r="DB57" s="36">
        <v>75.516378981218452</v>
      </c>
      <c r="DC57" s="36">
        <v>-534.6694182</v>
      </c>
      <c r="DD57" s="36">
        <v>332.5075306144073</v>
      </c>
      <c r="DE57" s="36">
        <v>121</v>
      </c>
      <c r="DF57" s="36">
        <v>-69.629801555065569</v>
      </c>
      <c r="DG57" s="36">
        <v>-359</v>
      </c>
      <c r="DH57" s="36">
        <v>347.13988021655877</v>
      </c>
      <c r="DI57" s="36">
        <v>397</v>
      </c>
      <c r="DJ57" s="36">
        <v>-374</v>
      </c>
      <c r="DK57" s="36">
        <v>-512</v>
      </c>
      <c r="DL57" s="36">
        <v>382</v>
      </c>
      <c r="DM57" s="36">
        <v>1310</v>
      </c>
      <c r="DN57" s="36">
        <v>321</v>
      </c>
      <c r="DO57" s="69">
        <v>-772</v>
      </c>
      <c r="DP57" s="36">
        <v>400</v>
      </c>
      <c r="DQ57" s="36">
        <v>1828</v>
      </c>
      <c r="DR57" s="36">
        <v>141</v>
      </c>
      <c r="DS57" s="36">
        <v>-474</v>
      </c>
      <c r="DT57" s="36">
        <v>304</v>
      </c>
      <c r="DU57" s="36">
        <v>2304</v>
      </c>
      <c r="DV57" s="36">
        <v>354</v>
      </c>
      <c r="DW57" s="71">
        <v>-230</v>
      </c>
      <c r="DX57" s="39">
        <v>308</v>
      </c>
      <c r="DY57" s="71">
        <v>1785</v>
      </c>
      <c r="DZ57" s="70">
        <v>211</v>
      </c>
      <c r="EA57" s="35">
        <v>-339</v>
      </c>
      <c r="EB57" s="35">
        <v>232</v>
      </c>
      <c r="EC57" s="38">
        <v>1895</v>
      </c>
      <c r="ED57" s="38">
        <v>13</v>
      </c>
      <c r="EE57" s="38">
        <v>-1058</v>
      </c>
      <c r="EF57" s="38">
        <v>226</v>
      </c>
      <c r="EG57" s="73">
        <v>2462</v>
      </c>
      <c r="EH57" s="73">
        <v>308</v>
      </c>
      <c r="EI57" s="73">
        <v>-416</v>
      </c>
      <c r="EJ57" s="73">
        <v>250</v>
      </c>
      <c r="EK57" s="73">
        <v>3115</v>
      </c>
      <c r="EL57" s="73">
        <v>6864.0856547471885</v>
      </c>
      <c r="EM57" s="73">
        <v>53.483760614760506</v>
      </c>
      <c r="EN57" s="73">
        <v>6906.6372001419504</v>
      </c>
      <c r="EO57" s="73">
        <v>151.53732174182144</v>
      </c>
      <c r="EP57" s="73">
        <v>7223.5032535954369</v>
      </c>
      <c r="EQ57" s="73">
        <v>-245.3861847073446</v>
      </c>
      <c r="ER57" s="73">
        <v>8033.6644953605364</v>
      </c>
      <c r="ES57" s="73">
        <v>-399.27813741962717</v>
      </c>
      <c r="ET57" s="73">
        <v>8172</v>
      </c>
      <c r="EU57" s="73">
        <v>-718</v>
      </c>
      <c r="EV57" s="73">
        <v>8560</v>
      </c>
      <c r="EW57" s="73">
        <v>-56</v>
      </c>
      <c r="EX57" s="73">
        <v>8632</v>
      </c>
      <c r="EY57" s="73">
        <v>-33</v>
      </c>
      <c r="EZ57" s="73">
        <v>8990</v>
      </c>
      <c r="FA57" s="73">
        <v>391</v>
      </c>
      <c r="FB57" s="73">
        <v>9658</v>
      </c>
      <c r="FC57" s="73">
        <v>12</v>
      </c>
      <c r="FD57" s="73">
        <v>10012</v>
      </c>
      <c r="FE57" s="73">
        <v>-194</v>
      </c>
      <c r="FF57" s="73">
        <v>10595</v>
      </c>
      <c r="FG57" s="73">
        <v>75</v>
      </c>
      <c r="FH57" s="73">
        <v>-68</v>
      </c>
      <c r="FI57" s="73">
        <v>7</v>
      </c>
      <c r="FJ57" s="79">
        <v>2116</v>
      </c>
      <c r="FK57" s="80">
        <v>5824</v>
      </c>
      <c r="FL57" s="80">
        <v>4053</v>
      </c>
      <c r="FM57" s="80">
        <v>1726</v>
      </c>
      <c r="FN57" s="76">
        <v>0</v>
      </c>
      <c r="FO57" s="80">
        <v>4978</v>
      </c>
      <c r="FP57" s="80">
        <v>496</v>
      </c>
      <c r="FQ57" s="80">
        <v>350</v>
      </c>
      <c r="FR57" s="80">
        <v>576</v>
      </c>
      <c r="FS57" s="81">
        <v>-133</v>
      </c>
      <c r="FT57" s="76">
        <v>284</v>
      </c>
      <c r="FU57" s="76">
        <v>2735</v>
      </c>
      <c r="FV57" s="76">
        <v>133</v>
      </c>
      <c r="FW57" s="80">
        <v>10989</v>
      </c>
      <c r="FX57" s="80">
        <v>309</v>
      </c>
      <c r="FY57" s="73">
        <v>2094</v>
      </c>
      <c r="FZ57" s="73">
        <v>5657</v>
      </c>
      <c r="GA57" s="73">
        <v>4454</v>
      </c>
      <c r="GB57" s="73">
        <v>1734</v>
      </c>
      <c r="GC57" s="73">
        <v>4</v>
      </c>
      <c r="GD57" s="73">
        <v>4655</v>
      </c>
      <c r="GE57" s="73">
        <v>546</v>
      </c>
      <c r="GF57" s="73">
        <v>456</v>
      </c>
      <c r="GG57" s="73">
        <v>604</v>
      </c>
      <c r="GH57" s="73">
        <v>-252</v>
      </c>
      <c r="GI57" s="73">
        <v>286</v>
      </c>
      <c r="GJ57" s="73">
        <v>2453</v>
      </c>
      <c r="GK57" s="73">
        <v>252</v>
      </c>
      <c r="GL57" s="73">
        <v>11231</v>
      </c>
      <c r="GM57" s="73">
        <v>336</v>
      </c>
      <c r="GN57" s="73">
        <v>651</v>
      </c>
      <c r="GO57" s="77">
        <v>19</v>
      </c>
      <c r="GP57" s="78">
        <v>2046</v>
      </c>
      <c r="GQ57" s="73">
        <v>5854</v>
      </c>
      <c r="GR57" s="65">
        <v>4606</v>
      </c>
      <c r="GS57" s="65">
        <v>1742</v>
      </c>
      <c r="GT57" s="65">
        <v>0</v>
      </c>
      <c r="GU57" s="65">
        <v>4907</v>
      </c>
      <c r="GV57" s="65">
        <v>487</v>
      </c>
      <c r="GW57" s="65">
        <v>460</v>
      </c>
      <c r="GX57" s="65">
        <v>688</v>
      </c>
      <c r="GY57" s="65">
        <v>-683</v>
      </c>
      <c r="GZ57" s="65">
        <v>307</v>
      </c>
      <c r="HA57" s="65">
        <v>2821</v>
      </c>
      <c r="HB57" s="65">
        <v>683</v>
      </c>
      <c r="HC57" s="65">
        <v>11443</v>
      </c>
      <c r="HD57" s="65">
        <v>398</v>
      </c>
      <c r="HE57" s="78">
        <v>2023</v>
      </c>
      <c r="HF57" s="73">
        <v>5502</v>
      </c>
      <c r="HG57" s="65">
        <v>4688</v>
      </c>
      <c r="HH57" s="65">
        <v>1835</v>
      </c>
      <c r="HI57" s="65">
        <v>0</v>
      </c>
      <c r="HJ57" s="65">
        <v>4749</v>
      </c>
      <c r="HK57" s="65">
        <v>280</v>
      </c>
      <c r="HL57" s="65">
        <v>473</v>
      </c>
      <c r="HM57" s="65">
        <v>-369</v>
      </c>
      <c r="HN57" s="65">
        <v>-1340</v>
      </c>
      <c r="HO57" s="65">
        <v>315</v>
      </c>
      <c r="HP57" s="65">
        <v>3679</v>
      </c>
      <c r="HQ57" s="65">
        <v>1340</v>
      </c>
      <c r="HR57" s="65">
        <v>12359</v>
      </c>
      <c r="HS57" s="65">
        <v>-657</v>
      </c>
      <c r="HT57" s="65">
        <v>392</v>
      </c>
      <c r="HU57" s="77">
        <v>19</v>
      </c>
      <c r="HV57" s="180">
        <v>340</v>
      </c>
      <c r="HW57" s="30" t="s">
        <v>761</v>
      </c>
    </row>
    <row r="58" spans="1:231" ht="15" x14ac:dyDescent="0.25">
      <c r="A58" s="27">
        <v>178</v>
      </c>
      <c r="B58" s="27" t="s">
        <v>187</v>
      </c>
      <c r="C58" s="27">
        <v>10</v>
      </c>
      <c r="D58" s="27" t="s">
        <v>107</v>
      </c>
      <c r="E58" s="27">
        <v>3</v>
      </c>
      <c r="F58" s="27" t="s">
        <v>743</v>
      </c>
      <c r="G58" s="29" t="s">
        <v>130</v>
      </c>
      <c r="H58" s="27" t="s">
        <v>98</v>
      </c>
      <c r="I58" s="31" t="s">
        <v>107</v>
      </c>
      <c r="J58" s="69">
        <v>7852</v>
      </c>
      <c r="K58" s="69">
        <v>7827</v>
      </c>
      <c r="L58" s="36">
        <v>7671</v>
      </c>
      <c r="M58" s="36">
        <v>7541</v>
      </c>
      <c r="N58" s="36">
        <v>7449</v>
      </c>
      <c r="O58" s="36">
        <v>7446</v>
      </c>
      <c r="P58" s="36">
        <v>7403</v>
      </c>
      <c r="Q58" s="36">
        <v>7369</v>
      </c>
      <c r="R58" s="69">
        <v>7324</v>
      </c>
      <c r="S58" s="69">
        <v>7213</v>
      </c>
      <c r="T58" s="71">
        <v>7135</v>
      </c>
      <c r="U58" s="36">
        <v>15363</v>
      </c>
      <c r="V58" s="36">
        <v>7637</v>
      </c>
      <c r="W58" s="36">
        <v>5204</v>
      </c>
      <c r="X58" s="36">
        <v>521.88713581006868</v>
      </c>
      <c r="Y58" s="36">
        <v>14812</v>
      </c>
      <c r="Z58" s="36">
        <v>7223</v>
      </c>
      <c r="AA58" s="36">
        <v>5407</v>
      </c>
      <c r="AB58" s="36">
        <v>571.8389499691375</v>
      </c>
      <c r="AC58" s="36">
        <v>14982</v>
      </c>
      <c r="AD58" s="36">
        <v>7717</v>
      </c>
      <c r="AE58" s="36">
        <v>5071</v>
      </c>
      <c r="AF58" s="36">
        <v>479.84015419469102</v>
      </c>
      <c r="AG58" s="36">
        <v>14657</v>
      </c>
      <c r="AH58" s="36">
        <v>9041</v>
      </c>
      <c r="AI58" s="36">
        <v>5607</v>
      </c>
      <c r="AJ58" s="36">
        <v>533.66029066237445</v>
      </c>
      <c r="AK58" s="36">
        <v>14751</v>
      </c>
      <c r="AL58" s="36">
        <v>10146</v>
      </c>
      <c r="AM58" s="36">
        <v>5850</v>
      </c>
      <c r="AN58" s="36">
        <v>449</v>
      </c>
      <c r="AO58" s="36">
        <v>13752</v>
      </c>
      <c r="AP58" s="36">
        <v>10972</v>
      </c>
      <c r="AQ58" s="36">
        <v>6897</v>
      </c>
      <c r="AR58" s="36">
        <v>442</v>
      </c>
      <c r="AS58" s="36">
        <v>14339</v>
      </c>
      <c r="AT58" s="36">
        <v>11744</v>
      </c>
      <c r="AU58" s="36">
        <v>6538</v>
      </c>
      <c r="AV58" s="36">
        <v>438</v>
      </c>
      <c r="AW58" s="36">
        <v>14729</v>
      </c>
      <c r="AX58" s="69">
        <v>12231</v>
      </c>
      <c r="AY58" s="36">
        <v>6445</v>
      </c>
      <c r="AZ58" s="36">
        <v>632</v>
      </c>
      <c r="BA58" s="36">
        <v>15248</v>
      </c>
      <c r="BB58" s="36">
        <v>12676</v>
      </c>
      <c r="BC58" s="36">
        <v>7181</v>
      </c>
      <c r="BD58" s="36">
        <v>489</v>
      </c>
      <c r="BE58" s="70">
        <v>16663</v>
      </c>
      <c r="BF58" s="70">
        <v>13036</v>
      </c>
      <c r="BG58" s="70">
        <v>8544</v>
      </c>
      <c r="BH58" s="70">
        <v>755</v>
      </c>
      <c r="BI58" s="36">
        <v>17518</v>
      </c>
      <c r="BJ58" s="36">
        <v>14309</v>
      </c>
      <c r="BK58" s="36">
        <v>18587</v>
      </c>
      <c r="BL58" s="36">
        <v>512</v>
      </c>
      <c r="BM58" s="36">
        <v>9895.8412171423861</v>
      </c>
      <c r="BN58" s="36">
        <v>5046.6469214040999</v>
      </c>
      <c r="BO58" s="36">
        <v>420.8061920067006</v>
      </c>
      <c r="BP58" s="36">
        <v>10222.630358257102</v>
      </c>
      <c r="BQ58" s="36">
        <v>4158.4464817608596</v>
      </c>
      <c r="BR58" s="36">
        <v>431.06565552085277</v>
      </c>
      <c r="BS58" s="36">
        <v>9723.4485925193367</v>
      </c>
      <c r="BT58" s="36">
        <v>4676.9698590416983</v>
      </c>
      <c r="BU58" s="36">
        <v>581.25747385098214</v>
      </c>
      <c r="BV58" s="36">
        <v>11007</v>
      </c>
      <c r="BW58" s="36">
        <v>3026</v>
      </c>
      <c r="BX58" s="36">
        <v>624</v>
      </c>
      <c r="BY58" s="36">
        <v>12366</v>
      </c>
      <c r="BZ58" s="36">
        <v>1708</v>
      </c>
      <c r="CA58" s="36">
        <v>677</v>
      </c>
      <c r="CB58" s="36">
        <v>12007</v>
      </c>
      <c r="CC58" s="36">
        <v>1074</v>
      </c>
      <c r="CD58" s="36">
        <v>671</v>
      </c>
      <c r="CE58" s="36">
        <v>12133</v>
      </c>
      <c r="CF58" s="36">
        <v>1521</v>
      </c>
      <c r="CG58" s="36">
        <v>685</v>
      </c>
      <c r="CH58" s="36">
        <v>11911</v>
      </c>
      <c r="CI58" s="36">
        <v>2111</v>
      </c>
      <c r="CJ58" s="70">
        <v>707</v>
      </c>
      <c r="CK58" s="70">
        <v>12160</v>
      </c>
      <c r="CL58" s="70">
        <v>2361</v>
      </c>
      <c r="CM58" s="36">
        <v>727</v>
      </c>
      <c r="CN58" s="36">
        <v>13184</v>
      </c>
      <c r="CO58" s="36">
        <v>2562</v>
      </c>
      <c r="CP58" s="36">
        <v>917</v>
      </c>
      <c r="CQ58" s="36">
        <v>14238</v>
      </c>
      <c r="CR58" s="36">
        <v>2323</v>
      </c>
      <c r="CS58" s="36">
        <v>957</v>
      </c>
      <c r="CT58" s="36">
        <v>1231.9765613305683</v>
      </c>
      <c r="CU58" s="36">
        <v>-1716.6941650000001</v>
      </c>
      <c r="CV58" s="36">
        <v>1177.9882369364232</v>
      </c>
      <c r="CW58" s="36">
        <v>5388</v>
      </c>
      <c r="CX58" s="36">
        <v>99.23087661229151</v>
      </c>
      <c r="CY58" s="36">
        <v>-1630.0773830000001</v>
      </c>
      <c r="CZ58" s="36">
        <v>1188.75226422996</v>
      </c>
      <c r="DA58" s="36">
        <v>7967</v>
      </c>
      <c r="DB58" s="36">
        <v>-88.63503724521631</v>
      </c>
      <c r="DC58" s="36">
        <v>-3639.2503529999999</v>
      </c>
      <c r="DD58" s="36">
        <v>1245.5997833739507</v>
      </c>
      <c r="DE58" s="36">
        <v>10508</v>
      </c>
      <c r="DF58" s="36">
        <v>-373.71357259747748</v>
      </c>
      <c r="DG58" s="36">
        <v>-738</v>
      </c>
      <c r="DH58" s="36">
        <v>1162.3467597755027</v>
      </c>
      <c r="DI58" s="36">
        <v>10082</v>
      </c>
      <c r="DJ58" s="36">
        <v>2131</v>
      </c>
      <c r="DK58" s="36">
        <v>-800</v>
      </c>
      <c r="DL58" s="36">
        <v>875</v>
      </c>
      <c r="DM58" s="36">
        <v>9418</v>
      </c>
      <c r="DN58" s="36">
        <v>715</v>
      </c>
      <c r="DO58" s="69">
        <v>-876</v>
      </c>
      <c r="DP58" s="36">
        <v>858</v>
      </c>
      <c r="DQ58" s="36">
        <v>8908</v>
      </c>
      <c r="DR58" s="36">
        <v>1227</v>
      </c>
      <c r="DS58" s="36">
        <v>-1135</v>
      </c>
      <c r="DT58" s="36">
        <v>888</v>
      </c>
      <c r="DU58" s="36">
        <v>8011</v>
      </c>
      <c r="DV58" s="36">
        <v>-72</v>
      </c>
      <c r="DW58" s="71">
        <v>-829</v>
      </c>
      <c r="DX58" s="39">
        <v>925</v>
      </c>
      <c r="DY58" s="71">
        <v>8244</v>
      </c>
      <c r="DZ58" s="70">
        <v>527</v>
      </c>
      <c r="EA58" s="35">
        <v>-3011</v>
      </c>
      <c r="EB58" s="35">
        <v>1071</v>
      </c>
      <c r="EC58" s="38">
        <v>11742</v>
      </c>
      <c r="ED58" s="38">
        <v>1310</v>
      </c>
      <c r="EE58" s="38">
        <v>1813</v>
      </c>
      <c r="EF58" s="38">
        <v>1178</v>
      </c>
      <c r="EG58" s="73">
        <v>8884</v>
      </c>
      <c r="EH58" s="73">
        <v>1068</v>
      </c>
      <c r="EI58" s="73">
        <v>-2306</v>
      </c>
      <c r="EJ58" s="73">
        <v>1323</v>
      </c>
      <c r="EK58" s="73">
        <v>9373</v>
      </c>
      <c r="EL58" s="73">
        <v>26071.987796284055</v>
      </c>
      <c r="EM58" s="73">
        <v>-6.55932913199893</v>
      </c>
      <c r="EN58" s="73">
        <v>26426.527945264919</v>
      </c>
      <c r="EO58" s="73">
        <v>-475.63545603315316</v>
      </c>
      <c r="EP58" s="73">
        <v>26621.794127886733</v>
      </c>
      <c r="EQ58" s="73">
        <v>-1319.097907237631</v>
      </c>
      <c r="ER58" s="73">
        <v>28345.72037411722</v>
      </c>
      <c r="ES58" s="73">
        <v>-934.11574356723224</v>
      </c>
      <c r="ET58" s="73">
        <v>28615</v>
      </c>
      <c r="EU58" s="73">
        <v>1286</v>
      </c>
      <c r="EV58" s="73">
        <v>30936</v>
      </c>
      <c r="EW58" s="73">
        <v>-99</v>
      </c>
      <c r="EX58" s="73">
        <v>31529</v>
      </c>
      <c r="EY58" s="73">
        <v>369</v>
      </c>
      <c r="EZ58" s="73">
        <v>33679</v>
      </c>
      <c r="FA58" s="73">
        <v>-780</v>
      </c>
      <c r="FB58" s="73">
        <v>34691</v>
      </c>
      <c r="FC58" s="73">
        <v>-516</v>
      </c>
      <c r="FD58" s="73">
        <v>37066</v>
      </c>
      <c r="FE58" s="73">
        <v>76</v>
      </c>
      <c r="FF58" s="73">
        <v>49373</v>
      </c>
      <c r="FG58" s="73">
        <v>-117</v>
      </c>
      <c r="FH58" s="73">
        <v>-571</v>
      </c>
      <c r="FI58" s="73">
        <v>-688</v>
      </c>
      <c r="FJ58" s="79">
        <v>7064</v>
      </c>
      <c r="FK58" s="80">
        <v>17385</v>
      </c>
      <c r="FL58" s="80">
        <v>15697</v>
      </c>
      <c r="FM58" s="80">
        <v>18913</v>
      </c>
      <c r="FN58" s="76">
        <v>517</v>
      </c>
      <c r="FO58" s="80">
        <v>14583</v>
      </c>
      <c r="FP58" s="80">
        <v>1761</v>
      </c>
      <c r="FQ58" s="80">
        <v>1041</v>
      </c>
      <c r="FR58" s="80">
        <v>1646</v>
      </c>
      <c r="FS58" s="81">
        <v>-681</v>
      </c>
      <c r="FT58" s="76">
        <v>1341</v>
      </c>
      <c r="FU58" s="76">
        <v>9321</v>
      </c>
      <c r="FV58" s="76">
        <v>681</v>
      </c>
      <c r="FW58" s="80">
        <v>50660</v>
      </c>
      <c r="FX58" s="80">
        <v>268</v>
      </c>
      <c r="FY58" s="73">
        <v>6962</v>
      </c>
      <c r="FZ58" s="73">
        <v>18314</v>
      </c>
      <c r="GA58" s="73">
        <v>16771</v>
      </c>
      <c r="GB58" s="73">
        <v>19693</v>
      </c>
      <c r="GC58" s="73">
        <v>494</v>
      </c>
      <c r="GD58" s="73">
        <v>14797</v>
      </c>
      <c r="GE58" s="73">
        <v>2234</v>
      </c>
      <c r="GF58" s="73">
        <v>1283</v>
      </c>
      <c r="GG58" s="73">
        <v>2876</v>
      </c>
      <c r="GH58" s="73">
        <v>-3529</v>
      </c>
      <c r="GI58" s="73">
        <v>1859</v>
      </c>
      <c r="GJ58" s="73">
        <v>10986</v>
      </c>
      <c r="GK58" s="73">
        <v>3529</v>
      </c>
      <c r="GL58" s="73">
        <v>52206</v>
      </c>
      <c r="GM58" s="73">
        <v>1047</v>
      </c>
      <c r="GN58" s="73">
        <v>627</v>
      </c>
      <c r="GO58" s="77">
        <v>19.75</v>
      </c>
      <c r="GP58" s="78">
        <v>6902</v>
      </c>
      <c r="GQ58" s="73">
        <v>18029</v>
      </c>
      <c r="GR58" s="65">
        <v>17150</v>
      </c>
      <c r="GS58" s="65">
        <v>20165</v>
      </c>
      <c r="GT58" s="65">
        <v>785</v>
      </c>
      <c r="GU58" s="65">
        <v>14308</v>
      </c>
      <c r="GV58" s="65">
        <v>2407</v>
      </c>
      <c r="GW58" s="65">
        <v>1314</v>
      </c>
      <c r="GX58" s="65">
        <v>159</v>
      </c>
      <c r="GY58" s="65">
        <v>-4388</v>
      </c>
      <c r="GZ58" s="65">
        <v>1253</v>
      </c>
      <c r="HA58" s="65">
        <v>12044</v>
      </c>
      <c r="HB58" s="65">
        <v>4388</v>
      </c>
      <c r="HC58" s="65">
        <v>55523</v>
      </c>
      <c r="HD58" s="65">
        <v>-880</v>
      </c>
      <c r="HE58" s="78">
        <v>6783</v>
      </c>
      <c r="HF58" s="73">
        <v>18541</v>
      </c>
      <c r="HG58" s="65">
        <v>18172</v>
      </c>
      <c r="HH58" s="65">
        <v>21476</v>
      </c>
      <c r="HI58" s="65">
        <v>383</v>
      </c>
      <c r="HJ58" s="65">
        <v>15614</v>
      </c>
      <c r="HK58" s="65">
        <v>1594</v>
      </c>
      <c r="HL58" s="65">
        <v>1333</v>
      </c>
      <c r="HM58" s="65">
        <v>2537</v>
      </c>
      <c r="HN58" s="65">
        <v>-3956</v>
      </c>
      <c r="HO58" s="65">
        <v>1373</v>
      </c>
      <c r="HP58" s="65">
        <v>14717</v>
      </c>
      <c r="HQ58" s="65">
        <v>3956</v>
      </c>
      <c r="HR58" s="65">
        <v>55745</v>
      </c>
      <c r="HS58" s="65">
        <v>1194</v>
      </c>
      <c r="HT58" s="65">
        <v>941</v>
      </c>
      <c r="HU58" s="77">
        <v>19.75</v>
      </c>
      <c r="HV58" s="180">
        <v>340</v>
      </c>
      <c r="HW58" s="30" t="s">
        <v>761</v>
      </c>
    </row>
    <row r="59" spans="1:231" ht="15" x14ac:dyDescent="0.25">
      <c r="A59" s="27">
        <v>179</v>
      </c>
      <c r="B59" s="27" t="s">
        <v>188</v>
      </c>
      <c r="C59" s="27">
        <v>13</v>
      </c>
      <c r="D59" s="27" t="s">
        <v>111</v>
      </c>
      <c r="E59" s="27">
        <v>7</v>
      </c>
      <c r="F59" s="27" t="s">
        <v>104</v>
      </c>
      <c r="G59" s="29" t="s">
        <v>141</v>
      </c>
      <c r="H59" s="27" t="s">
        <v>97</v>
      </c>
      <c r="I59" s="31" t="s">
        <v>111</v>
      </c>
      <c r="J59" s="69">
        <v>113478</v>
      </c>
      <c r="K59" s="69">
        <v>114848</v>
      </c>
      <c r="L59" s="36">
        <v>116519</v>
      </c>
      <c r="M59" s="36">
        <v>118380</v>
      </c>
      <c r="N59" s="36">
        <v>119620</v>
      </c>
      <c r="O59" s="36">
        <v>121245</v>
      </c>
      <c r="P59" s="36">
        <v>122974</v>
      </c>
      <c r="Q59" s="36">
        <v>124205</v>
      </c>
      <c r="R59" s="69">
        <v>125221</v>
      </c>
      <c r="S59" s="69">
        <v>126546</v>
      </c>
      <c r="T59" s="71">
        <v>128028</v>
      </c>
      <c r="U59" s="36">
        <v>252314</v>
      </c>
      <c r="V59" s="36">
        <v>54668</v>
      </c>
      <c r="W59" s="36">
        <v>88625</v>
      </c>
      <c r="X59" s="36">
        <v>9993.5584024165237</v>
      </c>
      <c r="Y59" s="36">
        <v>260603</v>
      </c>
      <c r="Z59" s="36">
        <v>52885</v>
      </c>
      <c r="AA59" s="36">
        <v>89725</v>
      </c>
      <c r="AB59" s="36">
        <v>10941.801931806523</v>
      </c>
      <c r="AC59" s="36">
        <v>267431</v>
      </c>
      <c r="AD59" s="36">
        <v>57858</v>
      </c>
      <c r="AE59" s="36">
        <v>98355</v>
      </c>
      <c r="AF59" s="36">
        <v>10968.543812113903</v>
      </c>
      <c r="AG59" s="36">
        <v>303242</v>
      </c>
      <c r="AH59" s="36">
        <v>65625</v>
      </c>
      <c r="AI59" s="36">
        <v>100055</v>
      </c>
      <c r="AJ59" s="36">
        <v>11046.078446212659</v>
      </c>
      <c r="AK59" s="36">
        <v>317427</v>
      </c>
      <c r="AL59" s="36">
        <v>72795</v>
      </c>
      <c r="AM59" s="36">
        <v>104708</v>
      </c>
      <c r="AN59" s="36">
        <v>12710</v>
      </c>
      <c r="AO59" s="36">
        <v>307767</v>
      </c>
      <c r="AP59" s="36">
        <v>73995</v>
      </c>
      <c r="AQ59" s="36">
        <v>107007</v>
      </c>
      <c r="AR59" s="36">
        <v>27821</v>
      </c>
      <c r="AS59" s="36">
        <v>312082</v>
      </c>
      <c r="AT59" s="36">
        <v>79667</v>
      </c>
      <c r="AU59" s="36">
        <v>131528</v>
      </c>
      <c r="AV59" s="36">
        <v>14737</v>
      </c>
      <c r="AW59" s="36">
        <v>323520</v>
      </c>
      <c r="AX59" s="69">
        <v>83701</v>
      </c>
      <c r="AY59" s="36">
        <v>121098</v>
      </c>
      <c r="AZ59" s="36">
        <v>131123</v>
      </c>
      <c r="BA59" s="36">
        <v>345037</v>
      </c>
      <c r="BB59" s="36">
        <v>92658</v>
      </c>
      <c r="BC59" s="36">
        <v>126180</v>
      </c>
      <c r="BD59" s="36">
        <v>17813</v>
      </c>
      <c r="BE59" s="70">
        <v>363688</v>
      </c>
      <c r="BF59" s="70">
        <v>98729</v>
      </c>
      <c r="BG59" s="70">
        <v>134135</v>
      </c>
      <c r="BH59" s="70">
        <v>21972</v>
      </c>
      <c r="BI59" s="36">
        <v>391759</v>
      </c>
      <c r="BJ59" s="36">
        <v>112267</v>
      </c>
      <c r="BK59" s="36">
        <v>131238</v>
      </c>
      <c r="BL59" s="36">
        <v>7674</v>
      </c>
      <c r="BM59" s="36">
        <v>214695.588262501</v>
      </c>
      <c r="BN59" s="36">
        <v>26738.348360924563</v>
      </c>
      <c r="BO59" s="36">
        <v>10880.24515072161</v>
      </c>
      <c r="BP59" s="36">
        <v>213241.77182616768</v>
      </c>
      <c r="BQ59" s="36">
        <v>32751.907671555888</v>
      </c>
      <c r="BR59" s="36">
        <v>14608.635104520386</v>
      </c>
      <c r="BS59" s="36">
        <v>212044.10560183527</v>
      </c>
      <c r="BT59" s="36">
        <v>39668.46795935907</v>
      </c>
      <c r="BU59" s="36">
        <v>15718.843607092822</v>
      </c>
      <c r="BV59" s="36">
        <v>245701</v>
      </c>
      <c r="BW59" s="36">
        <v>40713</v>
      </c>
      <c r="BX59" s="36">
        <v>16827</v>
      </c>
      <c r="BY59" s="36">
        <v>275729</v>
      </c>
      <c r="BZ59" s="36">
        <v>23927</v>
      </c>
      <c r="CA59" s="36">
        <v>17771</v>
      </c>
      <c r="CB59" s="36">
        <v>271315</v>
      </c>
      <c r="CC59" s="36">
        <v>17140</v>
      </c>
      <c r="CD59" s="36">
        <v>19312</v>
      </c>
      <c r="CE59" s="36">
        <v>275765</v>
      </c>
      <c r="CF59" s="36">
        <v>17958</v>
      </c>
      <c r="CG59" s="36">
        <v>18359</v>
      </c>
      <c r="CH59" s="36">
        <v>283279</v>
      </c>
      <c r="CI59" s="36">
        <v>19868</v>
      </c>
      <c r="CJ59" s="70">
        <v>20373</v>
      </c>
      <c r="CK59" s="70">
        <v>302820</v>
      </c>
      <c r="CL59" s="70">
        <v>20402</v>
      </c>
      <c r="CM59" s="36">
        <v>21815</v>
      </c>
      <c r="CN59" s="36">
        <v>317471</v>
      </c>
      <c r="CO59" s="36">
        <v>23302</v>
      </c>
      <c r="CP59" s="36">
        <v>22915</v>
      </c>
      <c r="CQ59" s="36">
        <v>343748</v>
      </c>
      <c r="CR59" s="36">
        <v>23850</v>
      </c>
      <c r="CS59" s="36">
        <v>24161</v>
      </c>
      <c r="CT59" s="36">
        <v>23767.476827908431</v>
      </c>
      <c r="CU59" s="36">
        <v>-27069.510393</v>
      </c>
      <c r="CV59" s="36">
        <v>23347.511575534038</v>
      </c>
      <c r="CW59" s="36">
        <v>97077</v>
      </c>
      <c r="CX59" s="36">
        <v>22044.727897163175</v>
      </c>
      <c r="CY59" s="36">
        <v>-26357.0663308</v>
      </c>
      <c r="CZ59" s="36">
        <v>24576.124378335375</v>
      </c>
      <c r="DA59" s="36">
        <v>106807</v>
      </c>
      <c r="DB59" s="36">
        <v>17481.116700556533</v>
      </c>
      <c r="DC59" s="36">
        <v>-10314.460971</v>
      </c>
      <c r="DD59" s="36">
        <v>26993.321257440213</v>
      </c>
      <c r="DE59" s="36">
        <v>116166</v>
      </c>
      <c r="DF59" s="36">
        <v>27933.659954286522</v>
      </c>
      <c r="DG59" s="36">
        <v>-43097</v>
      </c>
      <c r="DH59" s="36">
        <v>26927.223402340835</v>
      </c>
      <c r="DI59" s="36">
        <v>135093</v>
      </c>
      <c r="DJ59" s="36">
        <v>43481</v>
      </c>
      <c r="DK59" s="36">
        <v>-41975</v>
      </c>
      <c r="DL59" s="36">
        <v>29540</v>
      </c>
      <c r="DM59" s="36">
        <v>140021</v>
      </c>
      <c r="DN59" s="36">
        <v>12852</v>
      </c>
      <c r="DO59" s="69">
        <v>-37515</v>
      </c>
      <c r="DP59" s="36">
        <v>31041</v>
      </c>
      <c r="DQ59" s="36">
        <v>144230</v>
      </c>
      <c r="DR59" s="36">
        <v>9063</v>
      </c>
      <c r="DS59" s="36">
        <v>-45162</v>
      </c>
      <c r="DT59" s="36">
        <v>32060</v>
      </c>
      <c r="DU59" s="36">
        <v>185571</v>
      </c>
      <c r="DV59" s="36">
        <v>19448</v>
      </c>
      <c r="DW59" s="71">
        <v>114588</v>
      </c>
      <c r="DX59" s="39">
        <v>41439</v>
      </c>
      <c r="DY59" s="71">
        <v>204139</v>
      </c>
      <c r="DZ59" s="70">
        <v>28897</v>
      </c>
      <c r="EA59" s="35">
        <v>-20069</v>
      </c>
      <c r="EB59" s="35">
        <v>30757</v>
      </c>
      <c r="EC59" s="38">
        <v>210889</v>
      </c>
      <c r="ED59" s="38">
        <v>34435</v>
      </c>
      <c r="EE59" s="38">
        <v>-17055</v>
      </c>
      <c r="EF59" s="38">
        <v>29469</v>
      </c>
      <c r="EG59" s="73">
        <v>210937</v>
      </c>
      <c r="EH59" s="73">
        <v>23219</v>
      </c>
      <c r="EI59" s="73">
        <v>-40224</v>
      </c>
      <c r="EJ59" s="73">
        <v>49086</v>
      </c>
      <c r="EK59" s="73">
        <v>246832</v>
      </c>
      <c r="EL59" s="73">
        <v>356458.16409423237</v>
      </c>
      <c r="EM59" s="73">
        <v>8438.3246464269305</v>
      </c>
      <c r="EN59" s="73">
        <v>369525.52504065941</v>
      </c>
      <c r="EO59" s="73">
        <v>-135.5594687279779</v>
      </c>
      <c r="EP59" s="73">
        <v>392178.92504368682</v>
      </c>
      <c r="EQ59" s="73">
        <v>-5428.4335144717297</v>
      </c>
      <c r="ER59" s="73">
        <v>424593.11135890795</v>
      </c>
      <c r="ES59" s="73">
        <v>2855.9991792429182</v>
      </c>
      <c r="ET59" s="73">
        <v>455508</v>
      </c>
      <c r="EU59" s="73">
        <v>19036</v>
      </c>
      <c r="EV59" s="73">
        <v>482162</v>
      </c>
      <c r="EW59" s="73">
        <v>-498</v>
      </c>
      <c r="EX59" s="73">
        <v>520669</v>
      </c>
      <c r="EY59" s="73">
        <v>-21667</v>
      </c>
      <c r="EZ59" s="73">
        <v>530523</v>
      </c>
      <c r="FA59" s="73">
        <v>99183</v>
      </c>
      <c r="FB59" s="73">
        <v>545052</v>
      </c>
      <c r="FC59" s="73">
        <v>6398</v>
      </c>
      <c r="FD59" s="73">
        <v>571103</v>
      </c>
      <c r="FE59" s="73">
        <v>7863</v>
      </c>
      <c r="FF59" s="73">
        <v>618520</v>
      </c>
      <c r="FG59" s="73">
        <v>-25990</v>
      </c>
      <c r="FH59" s="73">
        <v>114460</v>
      </c>
      <c r="FI59" s="73">
        <v>120218</v>
      </c>
      <c r="FJ59" s="79">
        <v>129623</v>
      </c>
      <c r="FK59" s="80">
        <v>397559</v>
      </c>
      <c r="FL59" s="80">
        <v>123236</v>
      </c>
      <c r="FM59" s="80">
        <v>125959</v>
      </c>
      <c r="FN59" s="76">
        <v>55357</v>
      </c>
      <c r="FO59" s="80">
        <v>352781</v>
      </c>
      <c r="FP59" s="80">
        <v>18290</v>
      </c>
      <c r="FQ59" s="80">
        <v>26488</v>
      </c>
      <c r="FR59" s="80">
        <v>27019</v>
      </c>
      <c r="FS59" s="81">
        <v>16590</v>
      </c>
      <c r="FT59" s="76">
        <v>36474</v>
      </c>
      <c r="FU59" s="76">
        <v>241370</v>
      </c>
      <c r="FV59" s="76">
        <v>-16590</v>
      </c>
      <c r="FW59" s="80">
        <v>634357</v>
      </c>
      <c r="FX59" s="80">
        <v>31468</v>
      </c>
      <c r="FY59" s="73">
        <v>130816</v>
      </c>
      <c r="FZ59" s="73">
        <v>421621</v>
      </c>
      <c r="GA59" s="73">
        <v>132908</v>
      </c>
      <c r="GB59" s="73">
        <v>135640</v>
      </c>
      <c r="GC59" s="73">
        <v>13142</v>
      </c>
      <c r="GD59" s="73">
        <v>367400</v>
      </c>
      <c r="GE59" s="73">
        <v>21474</v>
      </c>
      <c r="GF59" s="73">
        <v>32747</v>
      </c>
      <c r="GG59" s="73">
        <v>39535</v>
      </c>
      <c r="GH59" s="73">
        <v>-57869</v>
      </c>
      <c r="GI59" s="73">
        <v>39430</v>
      </c>
      <c r="GJ59" s="73">
        <v>256600</v>
      </c>
      <c r="GK59" s="73">
        <v>57869</v>
      </c>
      <c r="GL59" s="73">
        <v>663776</v>
      </c>
      <c r="GM59" s="73">
        <v>443</v>
      </c>
      <c r="GN59" s="73">
        <v>152129</v>
      </c>
      <c r="GO59" s="77">
        <v>19</v>
      </c>
      <c r="GP59" s="78">
        <v>132062</v>
      </c>
      <c r="GQ59" s="73">
        <v>427482</v>
      </c>
      <c r="GR59" s="65">
        <v>131558</v>
      </c>
      <c r="GS59" s="65">
        <v>156914</v>
      </c>
      <c r="GT59" s="65">
        <v>12441</v>
      </c>
      <c r="GU59" s="65">
        <v>369013</v>
      </c>
      <c r="GV59" s="65">
        <v>24412</v>
      </c>
      <c r="GW59" s="65">
        <v>34057</v>
      </c>
      <c r="GX59" s="65">
        <v>14860</v>
      </c>
      <c r="GY59" s="65">
        <v>-68834</v>
      </c>
      <c r="GZ59" s="65">
        <v>39408</v>
      </c>
      <c r="HA59" s="65">
        <v>312221</v>
      </c>
      <c r="HB59" s="65">
        <v>68834</v>
      </c>
      <c r="HC59" s="65">
        <v>713378</v>
      </c>
      <c r="HD59" s="65">
        <v>-24157</v>
      </c>
      <c r="HE59" s="78">
        <v>133482</v>
      </c>
      <c r="HF59" s="73">
        <v>440486</v>
      </c>
      <c r="HG59" s="65">
        <v>138148</v>
      </c>
      <c r="HH59" s="65">
        <v>160883</v>
      </c>
      <c r="HI59" s="65">
        <v>12018</v>
      </c>
      <c r="HJ59" s="65">
        <v>388335</v>
      </c>
      <c r="HK59" s="65">
        <v>16975</v>
      </c>
      <c r="HL59" s="65">
        <v>35176</v>
      </c>
      <c r="HM59" s="65">
        <v>6333</v>
      </c>
      <c r="HN59" s="65">
        <v>-78449</v>
      </c>
      <c r="HO59" s="65">
        <v>52468</v>
      </c>
      <c r="HP59" s="65">
        <v>381804</v>
      </c>
      <c r="HQ59" s="65">
        <v>78449</v>
      </c>
      <c r="HR59" s="65">
        <v>745202</v>
      </c>
      <c r="HS59" s="65">
        <v>-45800</v>
      </c>
      <c r="HT59" s="65">
        <v>96338</v>
      </c>
      <c r="HU59" s="77">
        <v>19.5</v>
      </c>
      <c r="HV59" s="180">
        <v>120</v>
      </c>
      <c r="HW59" s="30" t="s">
        <v>751</v>
      </c>
    </row>
    <row r="60" spans="1:231" ht="15" x14ac:dyDescent="0.25">
      <c r="A60" s="27">
        <v>181</v>
      </c>
      <c r="B60" s="27" t="s">
        <v>189</v>
      </c>
      <c r="C60" s="27">
        <v>4</v>
      </c>
      <c r="D60" s="27" t="s">
        <v>120</v>
      </c>
      <c r="E60" s="27">
        <v>1</v>
      </c>
      <c r="F60" s="27" t="s">
        <v>103</v>
      </c>
      <c r="G60" s="29" t="s">
        <v>130</v>
      </c>
      <c r="H60" s="27" t="s">
        <v>98</v>
      </c>
      <c r="I60" s="31" t="s">
        <v>120</v>
      </c>
      <c r="J60" s="69">
        <v>2359</v>
      </c>
      <c r="K60" s="69">
        <v>2351</v>
      </c>
      <c r="L60" s="36">
        <v>2308</v>
      </c>
      <c r="M60" s="36">
        <v>2286</v>
      </c>
      <c r="N60" s="36">
        <v>2276</v>
      </c>
      <c r="O60" s="36">
        <v>2246</v>
      </c>
      <c r="P60" s="36">
        <v>2226</v>
      </c>
      <c r="Q60" s="36">
        <v>2183</v>
      </c>
      <c r="R60" s="69">
        <v>2161</v>
      </c>
      <c r="S60" s="69">
        <v>2149</v>
      </c>
      <c r="T60" s="71">
        <v>2103</v>
      </c>
      <c r="U60" s="36">
        <v>3841</v>
      </c>
      <c r="V60" s="36">
        <v>2485</v>
      </c>
      <c r="W60" s="36">
        <v>1100</v>
      </c>
      <c r="X60" s="36">
        <v>51.129129644299354</v>
      </c>
      <c r="Y60" s="36">
        <v>3758</v>
      </c>
      <c r="Z60" s="36">
        <v>2811</v>
      </c>
      <c r="AA60" s="36">
        <v>1161</v>
      </c>
      <c r="AB60" s="36">
        <v>118.23611230244225</v>
      </c>
      <c r="AC60" s="36">
        <v>3620</v>
      </c>
      <c r="AD60" s="36">
        <v>2821</v>
      </c>
      <c r="AE60" s="36">
        <v>1143</v>
      </c>
      <c r="AF60" s="36">
        <v>52.811008908914467</v>
      </c>
      <c r="AG60" s="36">
        <v>3784</v>
      </c>
      <c r="AH60" s="36">
        <v>3677</v>
      </c>
      <c r="AI60" s="36">
        <v>1183</v>
      </c>
      <c r="AJ60" s="36">
        <v>61.388593158451528</v>
      </c>
      <c r="AK60" s="36">
        <v>4056</v>
      </c>
      <c r="AL60" s="36">
        <v>3884</v>
      </c>
      <c r="AM60" s="36">
        <v>1351</v>
      </c>
      <c r="AN60" s="36">
        <v>32</v>
      </c>
      <c r="AO60" s="36">
        <v>3911</v>
      </c>
      <c r="AP60" s="36">
        <v>4094</v>
      </c>
      <c r="AQ60" s="36">
        <v>1583</v>
      </c>
      <c r="AR60" s="36">
        <v>91</v>
      </c>
      <c r="AS60" s="36">
        <v>3984</v>
      </c>
      <c r="AT60" s="36">
        <v>4103</v>
      </c>
      <c r="AU60" s="36">
        <v>932</v>
      </c>
      <c r="AV60" s="36">
        <v>43</v>
      </c>
      <c r="AW60" s="36">
        <v>3899</v>
      </c>
      <c r="AX60" s="69">
        <v>4245</v>
      </c>
      <c r="AY60" s="36">
        <v>1025</v>
      </c>
      <c r="AZ60" s="36">
        <v>19</v>
      </c>
      <c r="BA60" s="36">
        <v>4068</v>
      </c>
      <c r="BB60" s="36">
        <v>4520</v>
      </c>
      <c r="BC60" s="36">
        <v>1159</v>
      </c>
      <c r="BD60" s="36">
        <v>0</v>
      </c>
      <c r="BE60" s="70">
        <v>4497</v>
      </c>
      <c r="BF60" s="70">
        <v>4705</v>
      </c>
      <c r="BG60" s="70">
        <v>969</v>
      </c>
      <c r="BH60" s="70">
        <v>18</v>
      </c>
      <c r="BI60" s="36">
        <v>4774</v>
      </c>
      <c r="BJ60" s="36">
        <v>5218</v>
      </c>
      <c r="BK60" s="36">
        <v>1039</v>
      </c>
      <c r="BL60" s="36">
        <v>4</v>
      </c>
      <c r="BM60" s="36">
        <v>3017.4595886459688</v>
      </c>
      <c r="BN60" s="36">
        <v>693.94338458019456</v>
      </c>
      <c r="BO60" s="36">
        <v>125.63638106674874</v>
      </c>
      <c r="BP60" s="36">
        <v>3073.2979802311911</v>
      </c>
      <c r="BQ60" s="36">
        <v>558.55210377867809</v>
      </c>
      <c r="BR60" s="36">
        <v>122.60899839044156</v>
      </c>
      <c r="BS60" s="36">
        <v>2916.8832086219863</v>
      </c>
      <c r="BT60" s="36">
        <v>577.72552739529033</v>
      </c>
      <c r="BU60" s="36">
        <v>122.44081046398003</v>
      </c>
      <c r="BV60" s="36">
        <v>3319</v>
      </c>
      <c r="BW60" s="36">
        <v>326</v>
      </c>
      <c r="BX60" s="36">
        <v>136</v>
      </c>
      <c r="BY60" s="36">
        <v>3688</v>
      </c>
      <c r="BZ60" s="36">
        <v>223</v>
      </c>
      <c r="CA60" s="36">
        <v>142</v>
      </c>
      <c r="CB60" s="36">
        <v>3649</v>
      </c>
      <c r="CC60" s="36">
        <v>115</v>
      </c>
      <c r="CD60" s="36">
        <v>144</v>
      </c>
      <c r="CE60" s="36">
        <v>3678</v>
      </c>
      <c r="CF60" s="36">
        <v>149</v>
      </c>
      <c r="CG60" s="36">
        <v>154</v>
      </c>
      <c r="CH60" s="36">
        <v>3539</v>
      </c>
      <c r="CI60" s="36">
        <v>196</v>
      </c>
      <c r="CJ60" s="70">
        <v>161</v>
      </c>
      <c r="CK60" s="70">
        <v>3674</v>
      </c>
      <c r="CL60" s="70">
        <v>225</v>
      </c>
      <c r="CM60" s="36">
        <v>166</v>
      </c>
      <c r="CN60" s="36">
        <v>4051</v>
      </c>
      <c r="CO60" s="36">
        <v>270</v>
      </c>
      <c r="CP60" s="36">
        <v>174</v>
      </c>
      <c r="CQ60" s="36">
        <v>4295</v>
      </c>
      <c r="CR60" s="36">
        <v>290</v>
      </c>
      <c r="CS60" s="36">
        <v>187</v>
      </c>
      <c r="CT60" s="36">
        <v>-22.200806292919456</v>
      </c>
      <c r="CU60" s="36">
        <v>-177.77463829999999</v>
      </c>
      <c r="CV60" s="36">
        <v>230.24927132580859</v>
      </c>
      <c r="CW60" s="36">
        <v>2787</v>
      </c>
      <c r="CX60" s="36">
        <v>406.00565447808765</v>
      </c>
      <c r="CY60" s="36">
        <v>-115.54510550000001</v>
      </c>
      <c r="CZ60" s="36">
        <v>234.7903453402694</v>
      </c>
      <c r="DA60" s="36">
        <v>2356</v>
      </c>
      <c r="DB60" s="36">
        <v>-65.256915467066278</v>
      </c>
      <c r="DC60" s="36">
        <v>-272.12806499999999</v>
      </c>
      <c r="DD60" s="36">
        <v>260.01853430949603</v>
      </c>
      <c r="DE60" s="36">
        <v>2285</v>
      </c>
      <c r="DF60" s="36">
        <v>390.8687410965515</v>
      </c>
      <c r="DG60" s="36">
        <v>-409</v>
      </c>
      <c r="DH60" s="36">
        <v>274.14632013226299</v>
      </c>
      <c r="DI60" s="36">
        <v>2316</v>
      </c>
      <c r="DJ60" s="36">
        <v>593</v>
      </c>
      <c r="DK60" s="36">
        <v>-428</v>
      </c>
      <c r="DL60" s="36">
        <v>250</v>
      </c>
      <c r="DM60" s="36">
        <v>2387</v>
      </c>
      <c r="DN60" s="36">
        <v>335</v>
      </c>
      <c r="DO60" s="69">
        <v>-423</v>
      </c>
      <c r="DP60" s="36">
        <v>273</v>
      </c>
      <c r="DQ60" s="36">
        <v>2232</v>
      </c>
      <c r="DR60" s="36">
        <v>302</v>
      </c>
      <c r="DS60" s="36">
        <v>-472</v>
      </c>
      <c r="DT60" s="36">
        <v>302</v>
      </c>
      <c r="DU60" s="36">
        <v>2577</v>
      </c>
      <c r="DV60" s="36">
        <v>-74</v>
      </c>
      <c r="DW60" s="71">
        <v>-791</v>
      </c>
      <c r="DX60" s="39">
        <v>328</v>
      </c>
      <c r="DY60" s="71">
        <v>3291</v>
      </c>
      <c r="DZ60" s="70">
        <v>180</v>
      </c>
      <c r="EA60" s="35">
        <v>-229</v>
      </c>
      <c r="EB60" s="35">
        <v>321</v>
      </c>
      <c r="EC60" s="38">
        <v>3230</v>
      </c>
      <c r="ED60" s="38">
        <v>-99</v>
      </c>
      <c r="EE60" s="38">
        <v>-282</v>
      </c>
      <c r="EF60" s="38">
        <v>333</v>
      </c>
      <c r="EG60" s="73">
        <v>3469</v>
      </c>
      <c r="EH60" s="73">
        <v>175</v>
      </c>
      <c r="EI60" s="73">
        <v>-187</v>
      </c>
      <c r="EJ60" s="73">
        <v>367</v>
      </c>
      <c r="EK60" s="73">
        <v>3328</v>
      </c>
      <c r="EL60" s="73">
        <v>6866.2720977911877</v>
      </c>
      <c r="EM60" s="73">
        <v>-341.08511486394434</v>
      </c>
      <c r="EN60" s="73">
        <v>6867.7857891293415</v>
      </c>
      <c r="EO60" s="73">
        <v>210.23490807688879</v>
      </c>
      <c r="EP60" s="73">
        <v>7197.7705008468256</v>
      </c>
      <c r="EQ60" s="73">
        <v>-325.27544977656231</v>
      </c>
      <c r="ER60" s="73">
        <v>7763.8910613162707</v>
      </c>
      <c r="ES60" s="73">
        <v>116.72242096428866</v>
      </c>
      <c r="ET60" s="73">
        <v>8612</v>
      </c>
      <c r="EU60" s="73">
        <v>343</v>
      </c>
      <c r="EV60" s="73">
        <v>9233</v>
      </c>
      <c r="EW60" s="73">
        <v>92</v>
      </c>
      <c r="EX60" s="73">
        <v>8624</v>
      </c>
      <c r="EZ60" s="73">
        <v>9144</v>
      </c>
      <c r="FA60" s="73">
        <v>-402</v>
      </c>
      <c r="FB60" s="73">
        <v>9468</v>
      </c>
      <c r="FC60" s="73">
        <v>-141</v>
      </c>
      <c r="FD60" s="73">
        <v>10116</v>
      </c>
      <c r="FE60" s="73">
        <v>-432</v>
      </c>
      <c r="FF60" s="73">
        <v>10713</v>
      </c>
      <c r="FG60" s="73">
        <v>-192</v>
      </c>
      <c r="FH60" s="73">
        <v>-530</v>
      </c>
      <c r="FI60" s="73">
        <v>-721</v>
      </c>
      <c r="FJ60" s="79">
        <v>2063</v>
      </c>
      <c r="FK60" s="80">
        <v>4830</v>
      </c>
      <c r="FL60" s="80">
        <v>5423</v>
      </c>
      <c r="FM60" s="80">
        <v>742</v>
      </c>
      <c r="FN60" s="76">
        <v>133</v>
      </c>
      <c r="FO60" s="80">
        <v>4417</v>
      </c>
      <c r="FP60" s="80">
        <v>226</v>
      </c>
      <c r="FQ60" s="80">
        <v>185</v>
      </c>
      <c r="FR60" s="80">
        <v>770</v>
      </c>
      <c r="FS60" s="81">
        <v>195</v>
      </c>
      <c r="FT60" s="76">
        <v>344</v>
      </c>
      <c r="FU60" s="76">
        <v>3116</v>
      </c>
      <c r="FV60" s="76">
        <v>-195</v>
      </c>
      <c r="FW60" s="80">
        <v>10149</v>
      </c>
      <c r="FX60" s="80">
        <v>545</v>
      </c>
      <c r="FY60" s="73">
        <v>2041</v>
      </c>
      <c r="FZ60" s="73">
        <v>4783</v>
      </c>
      <c r="GA60" s="73">
        <v>5561</v>
      </c>
      <c r="GB60" s="73">
        <v>686</v>
      </c>
      <c r="GC60" s="73">
        <v>23</v>
      </c>
      <c r="GD60" s="73">
        <v>4248</v>
      </c>
      <c r="GE60" s="73">
        <v>276</v>
      </c>
      <c r="GF60" s="73">
        <v>259</v>
      </c>
      <c r="GG60" s="73">
        <v>19</v>
      </c>
      <c r="GH60" s="73">
        <v>-149</v>
      </c>
      <c r="GI60" s="73">
        <v>339</v>
      </c>
      <c r="GJ60" s="73">
        <v>2775</v>
      </c>
      <c r="GK60" s="73">
        <v>149</v>
      </c>
      <c r="GL60" s="73">
        <v>10973</v>
      </c>
      <c r="GM60" s="73">
        <v>-320</v>
      </c>
      <c r="GN60" s="73">
        <v>0</v>
      </c>
      <c r="GO60" s="77">
        <v>19.75</v>
      </c>
      <c r="GP60" s="78">
        <v>2003</v>
      </c>
      <c r="GQ60" s="73">
        <v>4799</v>
      </c>
      <c r="GR60" s="65">
        <v>5998</v>
      </c>
      <c r="GS60" s="65">
        <v>709</v>
      </c>
      <c r="GT60" s="65">
        <v>32</v>
      </c>
      <c r="GU60" s="65">
        <v>4194</v>
      </c>
      <c r="GV60" s="65">
        <v>347</v>
      </c>
      <c r="GW60" s="65">
        <v>258</v>
      </c>
      <c r="GX60" s="65">
        <v>-147</v>
      </c>
      <c r="GY60" s="65">
        <v>-55</v>
      </c>
      <c r="GZ60" s="65">
        <v>332</v>
      </c>
      <c r="HA60" s="65">
        <v>3268</v>
      </c>
      <c r="HB60" s="65">
        <v>55</v>
      </c>
      <c r="HC60" s="65">
        <v>11622</v>
      </c>
      <c r="HD60" s="65">
        <v>-479</v>
      </c>
      <c r="HE60" s="78">
        <v>1986</v>
      </c>
      <c r="HF60" s="73">
        <v>5120</v>
      </c>
      <c r="HG60" s="65">
        <v>6063</v>
      </c>
      <c r="HH60" s="65">
        <v>706</v>
      </c>
      <c r="HI60" s="65">
        <v>15</v>
      </c>
      <c r="HJ60" s="65">
        <v>4591</v>
      </c>
      <c r="HK60" s="65">
        <v>261</v>
      </c>
      <c r="HL60" s="65">
        <v>268</v>
      </c>
      <c r="HM60" s="65">
        <v>-40</v>
      </c>
      <c r="HN60" s="65">
        <v>-262</v>
      </c>
      <c r="HO60" s="65">
        <v>325</v>
      </c>
      <c r="HP60" s="65">
        <v>3313</v>
      </c>
      <c r="HQ60" s="65">
        <v>262</v>
      </c>
      <c r="HR60" s="65">
        <v>11887</v>
      </c>
      <c r="HS60" s="65">
        <v>-365</v>
      </c>
      <c r="HT60" s="65">
        <v>-844</v>
      </c>
      <c r="HU60" s="77">
        <v>20.5</v>
      </c>
      <c r="HV60" s="180">
        <v>340</v>
      </c>
      <c r="HW60" s="30" t="s">
        <v>761</v>
      </c>
    </row>
    <row r="61" spans="1:231" ht="15" x14ac:dyDescent="0.25">
      <c r="A61" s="27">
        <v>182</v>
      </c>
      <c r="B61" s="27" t="s">
        <v>190</v>
      </c>
      <c r="C61" s="27">
        <v>13</v>
      </c>
      <c r="D61" s="27" t="s">
        <v>111</v>
      </c>
      <c r="E61" s="27">
        <v>5</v>
      </c>
      <c r="F61" s="27" t="s">
        <v>101</v>
      </c>
      <c r="G61" s="29" t="s">
        <v>132</v>
      </c>
      <c r="H61" s="27" t="s">
        <v>99</v>
      </c>
      <c r="I61" s="31" t="s">
        <v>111</v>
      </c>
      <c r="J61" s="69">
        <v>23624</v>
      </c>
      <c r="K61" s="69">
        <v>23435</v>
      </c>
      <c r="L61" s="36">
        <v>23226</v>
      </c>
      <c r="M61" s="36">
        <v>23136</v>
      </c>
      <c r="N61" s="36">
        <v>23033</v>
      </c>
      <c r="O61" s="36">
        <v>22887</v>
      </c>
      <c r="P61" s="36">
        <v>22806</v>
      </c>
      <c r="Q61" s="36">
        <v>22654</v>
      </c>
      <c r="R61" s="69">
        <v>22544</v>
      </c>
      <c r="S61" s="69">
        <v>23398</v>
      </c>
      <c r="T61" s="71">
        <v>23167</v>
      </c>
      <c r="U61" s="36">
        <v>53518</v>
      </c>
      <c r="V61" s="36">
        <v>16928</v>
      </c>
      <c r="W61" s="36">
        <v>12193</v>
      </c>
      <c r="X61" s="36">
        <v>1560.1112058569763</v>
      </c>
      <c r="Y61" s="36">
        <v>56794</v>
      </c>
      <c r="Z61" s="36">
        <v>14948</v>
      </c>
      <c r="AA61" s="36">
        <v>12321</v>
      </c>
      <c r="AB61" s="36">
        <v>2237.5721736439427</v>
      </c>
      <c r="AC61" s="36">
        <v>59259</v>
      </c>
      <c r="AD61" s="36">
        <v>13285</v>
      </c>
      <c r="AE61" s="36">
        <v>11781</v>
      </c>
      <c r="AF61" s="36">
        <v>2064.5067973150476</v>
      </c>
      <c r="AG61" s="36">
        <v>67567</v>
      </c>
      <c r="AH61" s="36">
        <v>13350</v>
      </c>
      <c r="AI61" s="36">
        <v>14104</v>
      </c>
      <c r="AJ61" s="36">
        <v>1752.5181937289451</v>
      </c>
      <c r="AK61" s="36">
        <v>64751</v>
      </c>
      <c r="AL61" s="36">
        <v>14645</v>
      </c>
      <c r="AM61" s="36">
        <v>13929</v>
      </c>
      <c r="AN61" s="36">
        <v>2303</v>
      </c>
      <c r="AO61" s="36">
        <v>61466</v>
      </c>
      <c r="AP61" s="36">
        <v>14712</v>
      </c>
      <c r="AQ61" s="36">
        <v>12825</v>
      </c>
      <c r="AR61" s="36">
        <v>2586</v>
      </c>
      <c r="AS61" s="36">
        <v>60891</v>
      </c>
      <c r="AT61" s="36">
        <v>18546</v>
      </c>
      <c r="AU61" s="36">
        <v>13468</v>
      </c>
      <c r="AV61" s="36">
        <v>1358</v>
      </c>
      <c r="AW61" s="36">
        <v>62403</v>
      </c>
      <c r="AX61" s="69">
        <v>21043</v>
      </c>
      <c r="AY61" s="36">
        <v>13707</v>
      </c>
      <c r="AZ61" s="36">
        <v>1594</v>
      </c>
      <c r="BA61" s="36">
        <v>64417</v>
      </c>
      <c r="BB61" s="36">
        <v>23908</v>
      </c>
      <c r="BC61" s="36">
        <v>16880</v>
      </c>
      <c r="BD61" s="36">
        <v>425</v>
      </c>
      <c r="BE61" s="70">
        <v>68230</v>
      </c>
      <c r="BF61" s="70">
        <v>28011</v>
      </c>
      <c r="BG61" s="70">
        <v>19954</v>
      </c>
      <c r="BH61" s="70">
        <v>1218</v>
      </c>
      <c r="BI61" s="36">
        <v>74802</v>
      </c>
      <c r="BJ61" s="36">
        <v>31296</v>
      </c>
      <c r="BK61" s="36">
        <v>20449</v>
      </c>
      <c r="BL61" s="36">
        <v>847</v>
      </c>
      <c r="BM61" s="36">
        <v>43120.020586202198</v>
      </c>
      <c r="BN61" s="36">
        <v>8358.0990055047896</v>
      </c>
      <c r="BO61" s="36">
        <v>2040.7922996839748</v>
      </c>
      <c r="BP61" s="36">
        <v>43854.329073133151</v>
      </c>
      <c r="BQ61" s="36">
        <v>10536.469029034282</v>
      </c>
      <c r="BR61" s="36">
        <v>2402.9009053556078</v>
      </c>
      <c r="BS61" s="36">
        <v>42432.468342827546</v>
      </c>
      <c r="BT61" s="36">
        <v>14399.74569985519</v>
      </c>
      <c r="BU61" s="36">
        <v>2426.1108392072965</v>
      </c>
      <c r="BV61" s="36">
        <v>47423</v>
      </c>
      <c r="BW61" s="36">
        <v>17689</v>
      </c>
      <c r="BX61" s="36">
        <v>2454</v>
      </c>
      <c r="BY61" s="36">
        <v>52216</v>
      </c>
      <c r="BZ61" s="36">
        <v>9977</v>
      </c>
      <c r="CA61" s="36">
        <v>2558</v>
      </c>
      <c r="CB61" s="36">
        <v>50641</v>
      </c>
      <c r="CC61" s="36">
        <v>8024</v>
      </c>
      <c r="CD61" s="36">
        <v>2801</v>
      </c>
      <c r="CE61" s="36">
        <v>50555</v>
      </c>
      <c r="CF61" s="36">
        <v>7442</v>
      </c>
      <c r="CG61" s="36">
        <v>2894</v>
      </c>
      <c r="CH61" s="36">
        <v>52906</v>
      </c>
      <c r="CI61" s="36">
        <v>6575</v>
      </c>
      <c r="CJ61" s="70">
        <v>2922</v>
      </c>
      <c r="CK61" s="70">
        <v>55275</v>
      </c>
      <c r="CL61" s="70">
        <v>6027</v>
      </c>
      <c r="CM61" s="36">
        <v>3115</v>
      </c>
      <c r="CN61" s="36">
        <v>58209</v>
      </c>
      <c r="CO61" s="36">
        <v>6552</v>
      </c>
      <c r="CP61" s="36">
        <v>3469</v>
      </c>
      <c r="CQ61" s="36">
        <v>64600</v>
      </c>
      <c r="CR61" s="36">
        <v>6555</v>
      </c>
      <c r="CS61" s="36">
        <v>3647</v>
      </c>
      <c r="CT61" s="36">
        <v>3577.6935716892626</v>
      </c>
      <c r="CU61" s="36">
        <v>-4847.1760407000002</v>
      </c>
      <c r="CV61" s="36">
        <v>5118.4631660031655</v>
      </c>
      <c r="CW61" s="36">
        <v>11741</v>
      </c>
      <c r="CX61" s="36">
        <v>4378.4362895725162</v>
      </c>
      <c r="CY61" s="36">
        <v>-5324.1570000000011</v>
      </c>
      <c r="CZ61" s="36">
        <v>5124.8543072087032</v>
      </c>
      <c r="DA61" s="36">
        <v>10353</v>
      </c>
      <c r="DB61" s="36">
        <v>3684.156529139399</v>
      </c>
      <c r="DC61" s="36">
        <v>1494.6861029999995</v>
      </c>
      <c r="DD61" s="36">
        <v>4650.5643545872417</v>
      </c>
      <c r="DE61" s="36">
        <v>6803</v>
      </c>
      <c r="DF61" s="36">
        <v>9448.7977086076899</v>
      </c>
      <c r="DG61" s="36">
        <v>-11368</v>
      </c>
      <c r="DH61" s="36">
        <v>4760.3910705666076</v>
      </c>
      <c r="DI61" s="36">
        <v>9129</v>
      </c>
      <c r="DJ61" s="36">
        <v>8589</v>
      </c>
      <c r="DK61" s="36">
        <v>-8801</v>
      </c>
      <c r="DL61" s="36">
        <v>4458</v>
      </c>
      <c r="DM61" s="36">
        <v>7273</v>
      </c>
      <c r="DN61" s="36">
        <v>-817</v>
      </c>
      <c r="DO61" s="69">
        <v>-7270</v>
      </c>
      <c r="DP61" s="36">
        <v>4670</v>
      </c>
      <c r="DQ61" s="36">
        <v>14083</v>
      </c>
      <c r="DR61" s="36">
        <v>-444</v>
      </c>
      <c r="DS61" s="36">
        <v>-6688</v>
      </c>
      <c r="DT61" s="36">
        <v>4660</v>
      </c>
      <c r="DU61" s="36">
        <v>19709</v>
      </c>
      <c r="DV61" s="36">
        <v>1083</v>
      </c>
      <c r="DW61" s="71">
        <v>-11715</v>
      </c>
      <c r="DX61" s="39">
        <v>5067</v>
      </c>
      <c r="DY61" s="71">
        <v>30430</v>
      </c>
      <c r="DZ61" s="70">
        <v>3188</v>
      </c>
      <c r="EA61" s="35">
        <v>-6637</v>
      </c>
      <c r="EB61" s="35">
        <v>5025</v>
      </c>
      <c r="EC61" s="38">
        <v>32598</v>
      </c>
      <c r="ED61" s="38">
        <v>-702</v>
      </c>
      <c r="EE61" s="38">
        <v>-8471</v>
      </c>
      <c r="EF61" s="38">
        <v>5388</v>
      </c>
      <c r="EG61" s="73">
        <v>34986</v>
      </c>
      <c r="EH61" s="73">
        <v>2619</v>
      </c>
      <c r="EI61" s="73">
        <v>-12451</v>
      </c>
      <c r="EJ61" s="73">
        <v>5552</v>
      </c>
      <c r="EK61" s="73">
        <v>39113</v>
      </c>
      <c r="EL61" s="73">
        <v>79485.857918203474</v>
      </c>
      <c r="EM61" s="73">
        <v>-1190.6107408173598</v>
      </c>
      <c r="EN61" s="73">
        <v>81067.354218910041</v>
      </c>
      <c r="EO61" s="73">
        <v>-442.26697142318949</v>
      </c>
      <c r="EP61" s="73">
        <v>81508.485921829619</v>
      </c>
      <c r="EQ61" s="73">
        <v>7041.3557292376208</v>
      </c>
      <c r="ER61" s="73">
        <v>86682.720204247409</v>
      </c>
      <c r="ES61" s="73">
        <v>3255.4034576073918</v>
      </c>
      <c r="ET61" s="73">
        <v>90514.6</v>
      </c>
      <c r="EU61" s="73">
        <v>3515.05</v>
      </c>
      <c r="EV61" s="73">
        <v>95434.55</v>
      </c>
      <c r="EW61" s="73">
        <v>-4747.55</v>
      </c>
      <c r="EX61" s="73">
        <v>98751.85</v>
      </c>
      <c r="EY61" s="73">
        <v>-5913.65</v>
      </c>
      <c r="EZ61" s="73">
        <v>101942.25</v>
      </c>
      <c r="FA61" s="73">
        <v>-3957.7</v>
      </c>
      <c r="FB61" s="73">
        <v>107311.2</v>
      </c>
      <c r="FC61" s="73">
        <v>-1692.15</v>
      </c>
      <c r="FD61" s="73">
        <v>116560</v>
      </c>
      <c r="FE61" s="73">
        <v>-5726</v>
      </c>
      <c r="FF61" s="73">
        <v>123881</v>
      </c>
      <c r="FG61" s="73">
        <v>9470</v>
      </c>
      <c r="FH61" s="73">
        <v>-8406</v>
      </c>
      <c r="FI61" s="73">
        <v>1064</v>
      </c>
      <c r="FJ61" s="79">
        <v>22949</v>
      </c>
      <c r="FK61" s="80">
        <v>74785</v>
      </c>
      <c r="FL61" s="80">
        <v>34549</v>
      </c>
      <c r="FM61" s="80">
        <v>35757</v>
      </c>
      <c r="FN61" s="76">
        <v>454</v>
      </c>
      <c r="FO61" s="80">
        <v>64609</v>
      </c>
      <c r="FP61" s="80">
        <v>5380</v>
      </c>
      <c r="FQ61" s="80">
        <v>4796</v>
      </c>
      <c r="FR61" s="80">
        <v>7664</v>
      </c>
      <c r="FS61" s="81">
        <v>-6535</v>
      </c>
      <c r="FT61" s="76">
        <v>7433</v>
      </c>
      <c r="FU61" s="76">
        <v>39889</v>
      </c>
      <c r="FV61" s="76">
        <v>6535</v>
      </c>
      <c r="FW61" s="80">
        <v>136976</v>
      </c>
      <c r="FX61" s="80">
        <v>536</v>
      </c>
      <c r="FY61" s="73">
        <v>22691</v>
      </c>
      <c r="FZ61" s="73">
        <v>79728</v>
      </c>
      <c r="GA61" s="73">
        <v>37820</v>
      </c>
      <c r="GB61" s="73">
        <v>37871</v>
      </c>
      <c r="GC61" s="73">
        <v>426</v>
      </c>
      <c r="GD61" s="73">
        <v>69414</v>
      </c>
      <c r="GE61" s="73">
        <v>5357</v>
      </c>
      <c r="GF61" s="73">
        <v>4957</v>
      </c>
      <c r="GG61" s="73">
        <v>11966</v>
      </c>
      <c r="GH61" s="73">
        <v>-6640</v>
      </c>
      <c r="GI61" s="73">
        <v>7447</v>
      </c>
      <c r="GJ61" s="73">
        <v>39244</v>
      </c>
      <c r="GK61" s="73">
        <v>6640</v>
      </c>
      <c r="GL61" s="73">
        <v>143185</v>
      </c>
      <c r="GM61" s="73">
        <v>4802</v>
      </c>
      <c r="GN61" s="73">
        <v>6401</v>
      </c>
      <c r="GO61" s="77">
        <v>21</v>
      </c>
      <c r="GP61" s="78">
        <v>22507</v>
      </c>
      <c r="GQ61" s="73">
        <v>77193</v>
      </c>
      <c r="GR61" s="65">
        <v>38575</v>
      </c>
      <c r="GS61" s="65">
        <v>41010</v>
      </c>
      <c r="GT61" s="65">
        <v>849</v>
      </c>
      <c r="GU61" s="65">
        <v>67422</v>
      </c>
      <c r="GV61" s="65">
        <v>4753</v>
      </c>
      <c r="GW61" s="65">
        <v>5018</v>
      </c>
      <c r="GX61" s="65">
        <v>5915</v>
      </c>
      <c r="GY61" s="65">
        <v>-16796</v>
      </c>
      <c r="GZ61" s="65">
        <v>8034</v>
      </c>
      <c r="HA61" s="65">
        <v>43376</v>
      </c>
      <c r="HB61" s="65">
        <v>16796</v>
      </c>
      <c r="HC61" s="65">
        <v>150959</v>
      </c>
      <c r="HD61" s="65">
        <v>-1436</v>
      </c>
      <c r="HE61" s="78">
        <v>22354</v>
      </c>
      <c r="HF61" s="73">
        <v>77296</v>
      </c>
      <c r="HG61" s="65">
        <v>42444</v>
      </c>
      <c r="HH61" s="65">
        <v>40333</v>
      </c>
      <c r="HI61" s="65">
        <v>958</v>
      </c>
      <c r="HJ61" s="65">
        <v>69198</v>
      </c>
      <c r="HK61" s="65">
        <v>2971</v>
      </c>
      <c r="HL61" s="65">
        <v>5127</v>
      </c>
      <c r="HM61" s="65">
        <v>1885</v>
      </c>
      <c r="HN61" s="65">
        <v>-7844</v>
      </c>
      <c r="HO61" s="65">
        <v>8113</v>
      </c>
      <c r="HP61" s="65">
        <v>45944</v>
      </c>
      <c r="HQ61" s="65">
        <v>7844</v>
      </c>
      <c r="HR61" s="65">
        <v>158270</v>
      </c>
      <c r="HS61" s="65">
        <v>-5661</v>
      </c>
      <c r="HT61" s="65">
        <v>-697</v>
      </c>
      <c r="HU61" s="77">
        <v>21</v>
      </c>
      <c r="HV61" s="180">
        <v>240</v>
      </c>
      <c r="HW61" s="30" t="s">
        <v>757</v>
      </c>
    </row>
    <row r="62" spans="1:231" ht="15" x14ac:dyDescent="0.25">
      <c r="A62" s="27">
        <v>186</v>
      </c>
      <c r="B62" s="27" t="s">
        <v>191</v>
      </c>
      <c r="C62" s="27">
        <v>1</v>
      </c>
      <c r="D62" s="27" t="s">
        <v>121</v>
      </c>
      <c r="E62" s="27">
        <v>6</v>
      </c>
      <c r="F62" s="27" t="s">
        <v>102</v>
      </c>
      <c r="G62" s="29" t="s">
        <v>141</v>
      </c>
      <c r="H62" s="27" t="s">
        <v>97</v>
      </c>
      <c r="I62" s="31" t="s">
        <v>121</v>
      </c>
      <c r="J62" s="69">
        <v>35133</v>
      </c>
      <c r="K62" s="69">
        <v>35459</v>
      </c>
      <c r="L62" s="36">
        <v>35915</v>
      </c>
      <c r="M62" s="36">
        <v>36380</v>
      </c>
      <c r="N62" s="36">
        <v>36602</v>
      </c>
      <c r="O62" s="36">
        <v>37114</v>
      </c>
      <c r="P62" s="36">
        <v>37328</v>
      </c>
      <c r="Q62" s="36">
        <v>37505</v>
      </c>
      <c r="R62" s="69">
        <v>37629</v>
      </c>
      <c r="S62" s="69">
        <v>37989</v>
      </c>
      <c r="T62" s="71">
        <v>38288</v>
      </c>
      <c r="U62" s="36">
        <v>80788</v>
      </c>
      <c r="V62" s="36">
        <v>12085</v>
      </c>
      <c r="W62" s="36">
        <v>18239</v>
      </c>
      <c r="X62" s="36">
        <v>1594.2533549286629</v>
      </c>
      <c r="Y62" s="36">
        <v>85164</v>
      </c>
      <c r="Z62" s="36">
        <v>10725</v>
      </c>
      <c r="AA62" s="36">
        <v>19412</v>
      </c>
      <c r="AB62" s="36">
        <v>1311.3612626204015</v>
      </c>
      <c r="AC62" s="36">
        <v>87050</v>
      </c>
      <c r="AD62" s="36">
        <v>11555</v>
      </c>
      <c r="AE62" s="36">
        <v>19488</v>
      </c>
      <c r="AF62" s="36">
        <v>1487.622209552065</v>
      </c>
      <c r="AG62" s="36">
        <v>98731</v>
      </c>
      <c r="AH62" s="36">
        <v>12209</v>
      </c>
      <c r="AI62" s="36">
        <v>20405</v>
      </c>
      <c r="AJ62" s="36">
        <v>1328.1800552665527</v>
      </c>
      <c r="AK62" s="36">
        <v>110589</v>
      </c>
      <c r="AL62" s="36">
        <v>13330</v>
      </c>
      <c r="AM62" s="36">
        <v>21619</v>
      </c>
      <c r="AN62" s="36">
        <v>455</v>
      </c>
      <c r="AO62" s="36">
        <v>105175</v>
      </c>
      <c r="AP62" s="36">
        <v>12744</v>
      </c>
      <c r="AQ62" s="36">
        <v>22598</v>
      </c>
      <c r="AR62" s="36">
        <v>1154</v>
      </c>
      <c r="AS62" s="36">
        <v>108177</v>
      </c>
      <c r="AT62" s="36">
        <v>14802</v>
      </c>
      <c r="AU62" s="36">
        <v>23574</v>
      </c>
      <c r="AV62" s="36">
        <v>961</v>
      </c>
      <c r="AW62" s="36">
        <v>111322</v>
      </c>
      <c r="AX62" s="69">
        <v>16816</v>
      </c>
      <c r="AY62" s="36">
        <v>26936</v>
      </c>
      <c r="AZ62" s="36">
        <v>1206</v>
      </c>
      <c r="BA62" s="36">
        <v>117817</v>
      </c>
      <c r="BB62" s="36">
        <v>17713</v>
      </c>
      <c r="BC62" s="36">
        <v>30786</v>
      </c>
      <c r="BD62" s="36">
        <v>750</v>
      </c>
      <c r="BE62" s="70">
        <v>124286</v>
      </c>
      <c r="BF62" s="70">
        <v>18888</v>
      </c>
      <c r="BG62" s="70">
        <v>31666</v>
      </c>
      <c r="BH62" s="70">
        <v>2235</v>
      </c>
      <c r="BI62" s="36">
        <v>134432</v>
      </c>
      <c r="BJ62" s="36">
        <v>21134</v>
      </c>
      <c r="BK62" s="36">
        <v>34061</v>
      </c>
      <c r="BL62" s="36">
        <v>512</v>
      </c>
      <c r="BM62" s="36">
        <v>73259.969759810818</v>
      </c>
      <c r="BN62" s="36">
        <v>4362.2902486322118</v>
      </c>
      <c r="BO62" s="36">
        <v>3090.1167728773426</v>
      </c>
      <c r="BP62" s="36">
        <v>76018.083565853143</v>
      </c>
      <c r="BQ62" s="36">
        <v>5841.839437714124</v>
      </c>
      <c r="BR62" s="36">
        <v>3233.0765103696267</v>
      </c>
      <c r="BS62" s="36">
        <v>77222.813683096945</v>
      </c>
      <c r="BT62" s="36">
        <v>6296.7877787925117</v>
      </c>
      <c r="BU62" s="36">
        <v>3461.9802782837428</v>
      </c>
      <c r="BV62" s="36">
        <v>88621</v>
      </c>
      <c r="BW62" s="36">
        <v>6340</v>
      </c>
      <c r="BX62" s="36">
        <v>3702</v>
      </c>
      <c r="BY62" s="36">
        <v>100821</v>
      </c>
      <c r="BZ62" s="36">
        <v>5842</v>
      </c>
      <c r="CA62" s="36">
        <v>3858</v>
      </c>
      <c r="CB62" s="36">
        <v>98002</v>
      </c>
      <c r="CC62" s="36">
        <v>3165</v>
      </c>
      <c r="CD62" s="36">
        <v>3941</v>
      </c>
      <c r="CE62" s="36">
        <v>100489</v>
      </c>
      <c r="CF62" s="36">
        <v>3598</v>
      </c>
      <c r="CG62" s="36">
        <v>4024</v>
      </c>
      <c r="CH62" s="36">
        <v>103341</v>
      </c>
      <c r="CI62" s="36">
        <v>3703</v>
      </c>
      <c r="CJ62" s="70">
        <v>4216</v>
      </c>
      <c r="CK62" s="70">
        <v>109391</v>
      </c>
      <c r="CL62" s="70">
        <v>3884</v>
      </c>
      <c r="CM62" s="36">
        <v>4480</v>
      </c>
      <c r="CN62" s="36">
        <v>114280</v>
      </c>
      <c r="CO62" s="36">
        <v>4858</v>
      </c>
      <c r="CP62" s="36">
        <v>5090</v>
      </c>
      <c r="CQ62" s="36">
        <v>124083</v>
      </c>
      <c r="CR62" s="36">
        <v>4792</v>
      </c>
      <c r="CS62" s="36">
        <v>5502</v>
      </c>
      <c r="CT62" s="36">
        <v>7829.4843526362611</v>
      </c>
      <c r="CU62" s="36">
        <v>18041.014309999999</v>
      </c>
      <c r="CV62" s="36">
        <v>6599.0214826438469</v>
      </c>
      <c r="CW62" s="36">
        <v>31929</v>
      </c>
      <c r="CX62" s="36">
        <v>7850.1714675910271</v>
      </c>
      <c r="CY62" s="36">
        <v>-6354.9808009999988</v>
      </c>
      <c r="CZ62" s="36">
        <v>7044.2149239874661</v>
      </c>
      <c r="DA62" s="36">
        <v>25854</v>
      </c>
      <c r="DB62" s="36">
        <v>1271.6689119754849</v>
      </c>
      <c r="DC62" s="36">
        <v>-7647.8413920000003</v>
      </c>
      <c r="DD62" s="36">
        <v>7036.9828431496217</v>
      </c>
      <c r="DE62" s="36">
        <v>24555</v>
      </c>
      <c r="DF62" s="36">
        <v>5813.4156781421289</v>
      </c>
      <c r="DG62" s="36">
        <v>-9260</v>
      </c>
      <c r="DH62" s="36">
        <v>7089.4574762056127</v>
      </c>
      <c r="DI62" s="36">
        <v>21246</v>
      </c>
      <c r="DJ62" s="36">
        <v>18078</v>
      </c>
      <c r="DK62" s="36">
        <v>-11681</v>
      </c>
      <c r="DL62" s="36">
        <v>4170</v>
      </c>
      <c r="DM62" s="36">
        <v>26747</v>
      </c>
      <c r="DN62" s="36">
        <v>6365</v>
      </c>
      <c r="DO62" s="69">
        <v>-17188</v>
      </c>
      <c r="DP62" s="36">
        <v>4403</v>
      </c>
      <c r="DQ62" s="36">
        <v>29095</v>
      </c>
      <c r="DR62" s="36">
        <v>5900</v>
      </c>
      <c r="DS62" s="36">
        <v>-10950</v>
      </c>
      <c r="DT62" s="36">
        <v>5418</v>
      </c>
      <c r="DU62" s="36">
        <v>33816</v>
      </c>
      <c r="DV62" s="36">
        <v>5996</v>
      </c>
      <c r="DW62" s="71">
        <v>-7204</v>
      </c>
      <c r="DX62" s="39">
        <v>5780</v>
      </c>
      <c r="DY62" s="71">
        <v>33654</v>
      </c>
      <c r="DZ62" s="70">
        <v>8144</v>
      </c>
      <c r="EA62" s="35">
        <v>-11527</v>
      </c>
      <c r="EB62" s="35">
        <v>6244</v>
      </c>
      <c r="EC62" s="38">
        <v>37582</v>
      </c>
      <c r="ED62" s="38">
        <v>7378</v>
      </c>
      <c r="EE62" s="38">
        <v>-13616</v>
      </c>
      <c r="EF62" s="38">
        <v>6815</v>
      </c>
      <c r="EG62" s="73">
        <v>44083</v>
      </c>
      <c r="EH62" s="73">
        <v>10098</v>
      </c>
      <c r="EI62" s="73">
        <v>-13322</v>
      </c>
      <c r="EJ62" s="73">
        <v>7816</v>
      </c>
      <c r="EK62" s="73">
        <v>49167</v>
      </c>
      <c r="EL62" s="73">
        <v>97182.684043843226</v>
      </c>
      <c r="EM62" s="73">
        <v>18693.247086564643</v>
      </c>
      <c r="EN62" s="73">
        <v>101942.57055063045</v>
      </c>
      <c r="EO62" s="73">
        <v>527.94190116268317</v>
      </c>
      <c r="EP62" s="73">
        <v>111338.89362618215</v>
      </c>
      <c r="EQ62" s="73">
        <v>-5515.0502965994083</v>
      </c>
      <c r="ER62" s="73">
        <v>119230.60751160917</v>
      </c>
      <c r="ES62" s="73">
        <v>-1174.9608542601161</v>
      </c>
      <c r="ET62" s="73">
        <v>126671</v>
      </c>
      <c r="EU62" s="73">
        <v>13820</v>
      </c>
      <c r="EV62" s="73">
        <v>133873</v>
      </c>
      <c r="EW62" s="73">
        <v>2288</v>
      </c>
      <c r="EX62" s="73">
        <v>140308</v>
      </c>
      <c r="EY62" s="73">
        <v>385</v>
      </c>
      <c r="EZ62" s="73">
        <v>149129</v>
      </c>
      <c r="FA62" s="73">
        <v>696</v>
      </c>
      <c r="FB62" s="73">
        <v>157661</v>
      </c>
      <c r="FC62" s="73">
        <v>2189</v>
      </c>
      <c r="FD62" s="73">
        <v>166663</v>
      </c>
      <c r="FE62" s="73">
        <v>2055</v>
      </c>
      <c r="FF62" s="73">
        <v>178336</v>
      </c>
      <c r="FG62" s="73">
        <v>89</v>
      </c>
      <c r="FH62" s="73">
        <v>30025</v>
      </c>
      <c r="FI62" s="73">
        <v>30114</v>
      </c>
      <c r="FJ62" s="79">
        <v>38708</v>
      </c>
      <c r="FK62" s="80">
        <v>142983</v>
      </c>
      <c r="FL62" s="80">
        <v>22064</v>
      </c>
      <c r="FM62" s="80">
        <v>35730</v>
      </c>
      <c r="FN62" s="76">
        <v>422</v>
      </c>
      <c r="FO62" s="80">
        <v>133991</v>
      </c>
      <c r="FP62" s="80">
        <v>3249</v>
      </c>
      <c r="FQ62" s="80">
        <v>5688</v>
      </c>
      <c r="FR62" s="80">
        <v>17356</v>
      </c>
      <c r="FS62" s="81">
        <v>-12143</v>
      </c>
      <c r="FT62" s="76">
        <v>8838</v>
      </c>
      <c r="FU62" s="76">
        <v>46637</v>
      </c>
      <c r="FV62" s="76">
        <v>12143</v>
      </c>
      <c r="FW62" s="80">
        <v>183351</v>
      </c>
      <c r="FX62" s="80">
        <v>8385</v>
      </c>
      <c r="FY62" s="73">
        <v>38680</v>
      </c>
      <c r="FZ62" s="73">
        <v>148990</v>
      </c>
      <c r="GA62" s="73">
        <v>24104</v>
      </c>
      <c r="GB62" s="73">
        <v>38972</v>
      </c>
      <c r="GC62" s="73">
        <v>434</v>
      </c>
      <c r="GD62" s="73">
        <v>135788</v>
      </c>
      <c r="GE62" s="73">
        <v>3875</v>
      </c>
      <c r="GF62" s="73">
        <v>9275</v>
      </c>
      <c r="GG62" s="73">
        <v>23957</v>
      </c>
      <c r="GH62" s="73">
        <v>-7818</v>
      </c>
      <c r="GI62" s="73">
        <v>9331</v>
      </c>
      <c r="GJ62" s="73">
        <v>35439</v>
      </c>
      <c r="GK62" s="73">
        <v>7818</v>
      </c>
      <c r="GL62" s="73">
        <v>188353</v>
      </c>
      <c r="GM62" s="73">
        <v>12968</v>
      </c>
      <c r="GN62" s="73">
        <v>51467</v>
      </c>
      <c r="GO62" s="77">
        <v>19</v>
      </c>
      <c r="GP62" s="78">
        <v>38966</v>
      </c>
      <c r="GQ62" s="73">
        <v>152079</v>
      </c>
      <c r="GR62" s="65">
        <v>26163</v>
      </c>
      <c r="GS62" s="65">
        <v>41523</v>
      </c>
      <c r="GT62" s="65">
        <v>609</v>
      </c>
      <c r="GU62" s="65">
        <v>137517</v>
      </c>
      <c r="GV62" s="65">
        <v>5049</v>
      </c>
      <c r="GW62" s="65">
        <v>9463</v>
      </c>
      <c r="GX62" s="65">
        <v>17721</v>
      </c>
      <c r="GY62" s="65">
        <v>-15022</v>
      </c>
      <c r="GZ62" s="65">
        <v>9998</v>
      </c>
      <c r="HA62" s="65">
        <v>34132</v>
      </c>
      <c r="HB62" s="65">
        <v>15022</v>
      </c>
      <c r="HC62" s="65">
        <v>202323</v>
      </c>
      <c r="HD62" s="65">
        <v>7264</v>
      </c>
      <c r="HE62" s="78">
        <v>39646</v>
      </c>
      <c r="HF62" s="73">
        <v>155532</v>
      </c>
      <c r="HG62" s="65">
        <v>26072</v>
      </c>
      <c r="HH62" s="65">
        <v>43875</v>
      </c>
      <c r="HI62" s="65">
        <v>595</v>
      </c>
      <c r="HJ62" s="65">
        <v>141996</v>
      </c>
      <c r="HK62" s="65">
        <v>3859</v>
      </c>
      <c r="HL62" s="65">
        <v>9629</v>
      </c>
      <c r="HM62" s="65">
        <v>7676</v>
      </c>
      <c r="HN62" s="65">
        <v>-15077</v>
      </c>
      <c r="HO62" s="65">
        <v>10920</v>
      </c>
      <c r="HP62" s="65">
        <v>40639</v>
      </c>
      <c r="HQ62" s="65">
        <v>15077</v>
      </c>
      <c r="HR62" s="65">
        <v>218189</v>
      </c>
      <c r="HS62" s="65">
        <v>-3503</v>
      </c>
      <c r="HT62" s="65">
        <v>55228</v>
      </c>
      <c r="HU62" s="77">
        <v>19</v>
      </c>
      <c r="HV62" s="180">
        <v>110</v>
      </c>
      <c r="HW62" s="30" t="s">
        <v>750</v>
      </c>
    </row>
    <row r="63" spans="1:231" ht="15" x14ac:dyDescent="0.25">
      <c r="A63" s="27">
        <v>202</v>
      </c>
      <c r="B63" s="27" t="s">
        <v>192</v>
      </c>
      <c r="C63" s="27">
        <v>2</v>
      </c>
      <c r="D63" s="27" t="s">
        <v>122</v>
      </c>
      <c r="E63" s="27">
        <v>5</v>
      </c>
      <c r="F63" s="27" t="s">
        <v>101</v>
      </c>
      <c r="G63" s="29" t="s">
        <v>141</v>
      </c>
      <c r="H63" s="27" t="s">
        <v>97</v>
      </c>
      <c r="I63" s="31" t="s">
        <v>122</v>
      </c>
      <c r="J63" s="69">
        <v>25929</v>
      </c>
      <c r="K63" s="69">
        <v>26359</v>
      </c>
      <c r="L63" s="36">
        <v>26746</v>
      </c>
      <c r="M63" s="36">
        <v>27287</v>
      </c>
      <c r="N63" s="36">
        <v>27535</v>
      </c>
      <c r="O63" s="36">
        <v>27846</v>
      </c>
      <c r="P63" s="36">
        <v>28404</v>
      </c>
      <c r="Q63" s="36">
        <v>28967</v>
      </c>
      <c r="R63" s="69">
        <v>29462</v>
      </c>
      <c r="S63" s="69">
        <v>29928</v>
      </c>
      <c r="T63" s="71">
        <v>30347</v>
      </c>
      <c r="U63" s="36">
        <v>56086</v>
      </c>
      <c r="V63" s="36">
        <v>10785</v>
      </c>
      <c r="W63" s="36">
        <v>13342</v>
      </c>
      <c r="X63" s="36">
        <v>1167.2242096428865</v>
      </c>
      <c r="Y63" s="36">
        <v>59309</v>
      </c>
      <c r="Z63" s="36">
        <v>9203</v>
      </c>
      <c r="AA63" s="36">
        <v>14387</v>
      </c>
      <c r="AB63" s="36">
        <v>997.5225918432219</v>
      </c>
      <c r="AC63" s="36">
        <v>60832</v>
      </c>
      <c r="AD63" s="36">
        <v>11379</v>
      </c>
      <c r="AE63" s="36">
        <v>15390</v>
      </c>
      <c r="AF63" s="36">
        <v>973.30353043276432</v>
      </c>
      <c r="AG63" s="36">
        <v>70168</v>
      </c>
      <c r="AH63" s="36">
        <v>11721</v>
      </c>
      <c r="AI63" s="36">
        <v>16449</v>
      </c>
      <c r="AJ63" s="36">
        <v>1094.2306495585908</v>
      </c>
      <c r="AK63" s="36">
        <v>75826</v>
      </c>
      <c r="AL63" s="36">
        <v>13823</v>
      </c>
      <c r="AM63" s="36">
        <v>17050</v>
      </c>
      <c r="AN63" s="36">
        <v>588</v>
      </c>
      <c r="AO63" s="36">
        <v>72235</v>
      </c>
      <c r="AP63" s="36">
        <v>13863</v>
      </c>
      <c r="AQ63" s="36">
        <v>17703</v>
      </c>
      <c r="AR63" s="36">
        <v>433</v>
      </c>
      <c r="AS63" s="36">
        <v>74278</v>
      </c>
      <c r="AT63" s="36">
        <v>15817</v>
      </c>
      <c r="AU63" s="36">
        <v>18270</v>
      </c>
      <c r="AV63" s="36">
        <v>660</v>
      </c>
      <c r="AW63" s="36">
        <v>78342</v>
      </c>
      <c r="AX63" s="69">
        <v>17079</v>
      </c>
      <c r="AY63" s="36">
        <v>18796</v>
      </c>
      <c r="AZ63" s="36">
        <v>529</v>
      </c>
      <c r="BA63" s="36">
        <v>86497</v>
      </c>
      <c r="BB63" s="36">
        <v>18489</v>
      </c>
      <c r="BC63" s="36">
        <v>22842</v>
      </c>
      <c r="BD63" s="36">
        <v>69</v>
      </c>
      <c r="BE63" s="70">
        <v>95976</v>
      </c>
      <c r="BF63" s="70">
        <v>20931</v>
      </c>
      <c r="BG63" s="70">
        <v>23551</v>
      </c>
      <c r="BH63" s="70">
        <v>1168</v>
      </c>
      <c r="BI63" s="36">
        <v>101328</v>
      </c>
      <c r="BJ63" s="36">
        <v>22385</v>
      </c>
      <c r="BK63" s="36">
        <v>24921</v>
      </c>
      <c r="BL63" s="36">
        <v>41</v>
      </c>
      <c r="BM63" s="36">
        <v>50623.724925282513</v>
      </c>
      <c r="BN63" s="36">
        <v>4139.1048702177868</v>
      </c>
      <c r="BO63" s="36">
        <v>1323.638981252092</v>
      </c>
      <c r="BP63" s="36">
        <v>52498.179365696051</v>
      </c>
      <c r="BQ63" s="36">
        <v>4936.6520174982716</v>
      </c>
      <c r="BR63" s="36">
        <v>1873.4453128547716</v>
      </c>
      <c r="BS63" s="36">
        <v>53481.91054756943</v>
      </c>
      <c r="BT63" s="36">
        <v>5277.9053202886771</v>
      </c>
      <c r="BU63" s="36">
        <v>2072.5798177852007</v>
      </c>
      <c r="BV63" s="36">
        <v>63100</v>
      </c>
      <c r="BW63" s="36">
        <v>4791</v>
      </c>
      <c r="BX63" s="36">
        <v>2276</v>
      </c>
      <c r="BY63" s="36">
        <v>68323</v>
      </c>
      <c r="BZ63" s="36">
        <v>5335</v>
      </c>
      <c r="CA63" s="36">
        <v>2168</v>
      </c>
      <c r="CB63" s="36">
        <v>67491</v>
      </c>
      <c r="CC63" s="36">
        <v>2496</v>
      </c>
      <c r="CD63" s="36">
        <v>2248</v>
      </c>
      <c r="CE63" s="36">
        <v>68795</v>
      </c>
      <c r="CF63" s="36">
        <v>3123</v>
      </c>
      <c r="CG63" s="36">
        <v>2360</v>
      </c>
      <c r="CH63" s="36">
        <v>72506</v>
      </c>
      <c r="CI63" s="36">
        <v>3396</v>
      </c>
      <c r="CJ63" s="70">
        <v>2440</v>
      </c>
      <c r="CK63" s="70">
        <v>79838</v>
      </c>
      <c r="CL63" s="70">
        <v>4063</v>
      </c>
      <c r="CM63" s="36">
        <v>2596</v>
      </c>
      <c r="CN63" s="36">
        <v>87716</v>
      </c>
      <c r="CO63" s="36">
        <v>5361</v>
      </c>
      <c r="CP63" s="36">
        <v>2899</v>
      </c>
      <c r="CQ63" s="36">
        <v>92621</v>
      </c>
      <c r="CR63" s="36">
        <v>5582</v>
      </c>
      <c r="CS63" s="36">
        <v>3125</v>
      </c>
      <c r="CT63" s="36">
        <v>1476.5218064056053</v>
      </c>
      <c r="CU63" s="36">
        <v>-5477.5443888999998</v>
      </c>
      <c r="CV63" s="36">
        <v>5106.8581990773209</v>
      </c>
      <c r="CW63" s="36">
        <v>30283</v>
      </c>
      <c r="CX63" s="36">
        <v>3438.2657806526704</v>
      </c>
      <c r="CY63" s="36">
        <v>-2784.5193105000003</v>
      </c>
      <c r="CZ63" s="36">
        <v>4696.8160343641566</v>
      </c>
      <c r="DA63" s="36">
        <v>25029</v>
      </c>
      <c r="DB63" s="36">
        <v>3747.0588136360043</v>
      </c>
      <c r="DC63" s="36">
        <v>-8249.6177932999999</v>
      </c>
      <c r="DD63" s="36">
        <v>4357.9173625442127</v>
      </c>
      <c r="DE63" s="36">
        <v>24956</v>
      </c>
      <c r="DF63" s="36">
        <v>7618.2403170006037</v>
      </c>
      <c r="DG63" s="36">
        <v>-7062</v>
      </c>
      <c r="DH63" s="36">
        <v>4391.8913236894377</v>
      </c>
      <c r="DI63" s="36">
        <v>22996</v>
      </c>
      <c r="DJ63" s="36">
        <v>15095</v>
      </c>
      <c r="DK63" s="36">
        <v>-8400</v>
      </c>
      <c r="DL63" s="36">
        <v>4491</v>
      </c>
      <c r="DM63" s="36">
        <v>21980</v>
      </c>
      <c r="DN63" s="36">
        <v>5952</v>
      </c>
      <c r="DO63" s="69">
        <v>-10425</v>
      </c>
      <c r="DP63" s="36">
        <v>4840</v>
      </c>
      <c r="DQ63" s="36">
        <v>21861</v>
      </c>
      <c r="DR63" s="36">
        <v>2306</v>
      </c>
      <c r="DS63" s="36">
        <v>-13748</v>
      </c>
      <c r="DT63" s="36">
        <v>5110</v>
      </c>
      <c r="DU63" s="36">
        <v>36940</v>
      </c>
      <c r="DV63" s="36">
        <v>605</v>
      </c>
      <c r="DW63" s="71">
        <v>-6175</v>
      </c>
      <c r="DX63" s="39">
        <v>8363</v>
      </c>
      <c r="DY63" s="71">
        <v>47536</v>
      </c>
      <c r="DZ63" s="70">
        <v>6476</v>
      </c>
      <c r="EA63" s="35">
        <v>-9123</v>
      </c>
      <c r="EB63" s="35">
        <v>5905</v>
      </c>
      <c r="EC63" s="38">
        <v>54325</v>
      </c>
      <c r="ED63" s="38">
        <v>11288</v>
      </c>
      <c r="EE63" s="38">
        <v>-6043</v>
      </c>
      <c r="EF63" s="38">
        <v>6098</v>
      </c>
      <c r="EG63" s="73">
        <v>45782</v>
      </c>
      <c r="EH63" s="73">
        <v>6303</v>
      </c>
      <c r="EI63" s="73">
        <v>-9282</v>
      </c>
      <c r="EJ63" s="73">
        <v>6098</v>
      </c>
      <c r="EK63" s="73">
        <v>49279</v>
      </c>
      <c r="EL63" s="73">
        <v>74353.359469737101</v>
      </c>
      <c r="EM63" s="73">
        <v>-1043.4378957672145</v>
      </c>
      <c r="EN63" s="73">
        <v>75114.914400754817</v>
      </c>
      <c r="EO63" s="73">
        <v>-912.08312520077436</v>
      </c>
      <c r="EP63" s="73">
        <v>79217.522490930467</v>
      </c>
      <c r="EQ63" s="73">
        <v>-199.63906870981359</v>
      </c>
      <c r="ER63" s="73">
        <v>85740.354842887231</v>
      </c>
      <c r="ES63" s="73">
        <v>3250.9044305745465</v>
      </c>
      <c r="ET63" s="73">
        <v>91154</v>
      </c>
      <c r="EU63" s="73">
        <v>11877</v>
      </c>
      <c r="EV63" s="73">
        <v>97675</v>
      </c>
      <c r="EW63" s="73">
        <v>1133</v>
      </c>
      <c r="EX63" s="73">
        <v>106033</v>
      </c>
      <c r="EY63" s="73">
        <v>-2642</v>
      </c>
      <c r="EZ63" s="73">
        <v>113207</v>
      </c>
      <c r="FA63" s="73">
        <v>-6446</v>
      </c>
      <c r="FB63" s="73">
        <v>120705</v>
      </c>
      <c r="FC63" s="73">
        <v>437</v>
      </c>
      <c r="FD63" s="73">
        <v>128379</v>
      </c>
      <c r="FE63" s="73">
        <v>5190</v>
      </c>
      <c r="FF63" s="73">
        <v>141543</v>
      </c>
      <c r="FG63" s="73">
        <v>221</v>
      </c>
      <c r="FH63" s="73">
        <v>7699</v>
      </c>
      <c r="FI63" s="73">
        <v>7359</v>
      </c>
      <c r="FJ63" s="79">
        <v>30760</v>
      </c>
      <c r="FK63" s="80">
        <v>102041</v>
      </c>
      <c r="FL63" s="80">
        <v>23461</v>
      </c>
      <c r="FM63" s="80">
        <v>29649</v>
      </c>
      <c r="FN63" s="76">
        <v>30</v>
      </c>
      <c r="FO63" s="80">
        <v>94891</v>
      </c>
      <c r="FP63" s="80">
        <v>3890</v>
      </c>
      <c r="FQ63" s="80">
        <v>3260</v>
      </c>
      <c r="FR63" s="80">
        <v>6216</v>
      </c>
      <c r="FS63" s="81">
        <v>-9611</v>
      </c>
      <c r="FT63" s="76">
        <v>6879</v>
      </c>
      <c r="FU63" s="76">
        <v>75071</v>
      </c>
      <c r="FV63" s="76">
        <v>9611</v>
      </c>
      <c r="FW63" s="80">
        <v>148642</v>
      </c>
      <c r="FX63" s="80">
        <v>-646</v>
      </c>
      <c r="FY63" s="73">
        <v>30911</v>
      </c>
      <c r="FZ63" s="73">
        <v>110263</v>
      </c>
      <c r="GA63" s="73">
        <v>28113</v>
      </c>
      <c r="GB63" s="73">
        <v>34263</v>
      </c>
      <c r="GC63" s="73">
        <v>580</v>
      </c>
      <c r="GD63" s="73">
        <v>100364</v>
      </c>
      <c r="GE63" s="73">
        <v>4667</v>
      </c>
      <c r="GF63" s="73">
        <v>5232</v>
      </c>
      <c r="GG63" s="73">
        <v>16038</v>
      </c>
      <c r="GH63" s="73">
        <v>-5671</v>
      </c>
      <c r="GI63" s="73">
        <v>6957</v>
      </c>
      <c r="GJ63" s="73">
        <v>63610</v>
      </c>
      <c r="GK63" s="73">
        <v>5671</v>
      </c>
      <c r="GL63" s="73">
        <v>157181</v>
      </c>
      <c r="GM63" s="73">
        <v>9097</v>
      </c>
      <c r="GN63" s="73">
        <v>15829</v>
      </c>
      <c r="GO63" s="77">
        <v>18.5</v>
      </c>
      <c r="GP63" s="78">
        <v>31081</v>
      </c>
      <c r="GQ63" s="73">
        <v>112727</v>
      </c>
      <c r="GR63" s="65">
        <v>26687</v>
      </c>
      <c r="GS63" s="65">
        <v>36422</v>
      </c>
      <c r="GT63" s="65">
        <v>1462</v>
      </c>
      <c r="GU63" s="65">
        <v>101036</v>
      </c>
      <c r="GV63" s="65">
        <v>6374</v>
      </c>
      <c r="GW63" s="65">
        <v>5317</v>
      </c>
      <c r="GX63" s="65">
        <v>12331</v>
      </c>
      <c r="GY63" s="65">
        <v>-14402</v>
      </c>
      <c r="GZ63" s="65">
        <v>7246</v>
      </c>
      <c r="HA63" s="65">
        <v>52994</v>
      </c>
      <c r="HB63" s="65">
        <v>14402</v>
      </c>
      <c r="HC63" s="65">
        <v>164967</v>
      </c>
      <c r="HD63" s="65">
        <v>5102</v>
      </c>
      <c r="HE63" s="78">
        <v>31363</v>
      </c>
      <c r="HF63" s="73">
        <v>113909</v>
      </c>
      <c r="HG63" s="65">
        <v>28835</v>
      </c>
      <c r="HH63" s="65">
        <v>34061</v>
      </c>
      <c r="HI63" s="65">
        <v>863</v>
      </c>
      <c r="HJ63" s="65">
        <v>103426</v>
      </c>
      <c r="HK63" s="65">
        <v>5076</v>
      </c>
      <c r="HL63" s="65">
        <v>5407</v>
      </c>
      <c r="HM63" s="65">
        <v>5968</v>
      </c>
      <c r="HN63" s="65">
        <v>-13633</v>
      </c>
      <c r="HO63" s="65">
        <v>7181</v>
      </c>
      <c r="HP63" s="65">
        <v>52533</v>
      </c>
      <c r="HQ63" s="65">
        <v>13633</v>
      </c>
      <c r="HR63" s="65">
        <v>171700</v>
      </c>
      <c r="HS63" s="65">
        <v>-1196</v>
      </c>
      <c r="HT63" s="65">
        <v>19735</v>
      </c>
      <c r="HU63" s="77">
        <v>18.5</v>
      </c>
      <c r="HV63" s="180">
        <v>110</v>
      </c>
      <c r="HW63" s="30" t="s">
        <v>750</v>
      </c>
    </row>
    <row r="64" spans="1:231" ht="15" x14ac:dyDescent="0.25">
      <c r="A64" s="27">
        <v>204</v>
      </c>
      <c r="B64" s="27" t="s">
        <v>193</v>
      </c>
      <c r="C64" s="27">
        <v>11</v>
      </c>
      <c r="D64" s="27" t="s">
        <v>118</v>
      </c>
      <c r="E64" s="27">
        <v>2</v>
      </c>
      <c r="F64" s="27" t="s">
        <v>744</v>
      </c>
      <c r="G64" s="29" t="s">
        <v>130</v>
      </c>
      <c r="H64" s="27" t="s">
        <v>98</v>
      </c>
      <c r="I64" s="31" t="s">
        <v>118</v>
      </c>
      <c r="J64" s="69">
        <v>3932</v>
      </c>
      <c r="K64" s="69">
        <v>3866</v>
      </c>
      <c r="L64" s="36">
        <v>3776</v>
      </c>
      <c r="M64" s="36">
        <v>3700</v>
      </c>
      <c r="N64" s="36">
        <v>3660</v>
      </c>
      <c r="O64" s="36">
        <v>3651</v>
      </c>
      <c r="P64" s="36">
        <v>3630</v>
      </c>
      <c r="Q64" s="36">
        <v>3596</v>
      </c>
      <c r="R64" s="69">
        <v>3552</v>
      </c>
      <c r="S64" s="69">
        <v>3490</v>
      </c>
      <c r="T64" s="71">
        <v>3457</v>
      </c>
      <c r="U64" s="36">
        <v>7387</v>
      </c>
      <c r="V64" s="36">
        <v>5071</v>
      </c>
      <c r="W64" s="36">
        <v>2277</v>
      </c>
      <c r="X64" s="36">
        <v>129.5047033753635</v>
      </c>
      <c r="Y64" s="36">
        <v>6898</v>
      </c>
      <c r="Z64" s="36">
        <v>5075</v>
      </c>
      <c r="AA64" s="36">
        <v>2461</v>
      </c>
      <c r="AB64" s="36">
        <v>216.12148550304167</v>
      </c>
      <c r="AC64" s="36">
        <v>6569</v>
      </c>
      <c r="AD64" s="36">
        <v>5149</v>
      </c>
      <c r="AE64" s="36">
        <v>2454</v>
      </c>
      <c r="AF64" s="36">
        <v>196.10712225412186</v>
      </c>
      <c r="AG64" s="36">
        <v>6688</v>
      </c>
      <c r="AH64" s="36">
        <v>6477</v>
      </c>
      <c r="AI64" s="36">
        <v>2448</v>
      </c>
      <c r="AJ64" s="36">
        <v>137.57772384551603</v>
      </c>
      <c r="AK64" s="36">
        <v>6608</v>
      </c>
      <c r="AL64" s="36">
        <v>6635</v>
      </c>
      <c r="AM64" s="36">
        <v>2432</v>
      </c>
      <c r="AN64" s="36">
        <v>169</v>
      </c>
      <c r="AO64" s="36">
        <v>6150</v>
      </c>
      <c r="AP64" s="36">
        <v>8071</v>
      </c>
      <c r="AQ64" s="36">
        <v>2696</v>
      </c>
      <c r="AR64" s="36">
        <v>176</v>
      </c>
      <c r="AS64" s="36">
        <v>6386</v>
      </c>
      <c r="AT64" s="36">
        <v>7791</v>
      </c>
      <c r="AU64" s="36">
        <v>2343</v>
      </c>
      <c r="AV64" s="36">
        <v>257</v>
      </c>
      <c r="AW64" s="36">
        <v>6802</v>
      </c>
      <c r="AX64" s="69">
        <v>7929</v>
      </c>
      <c r="AY64" s="36">
        <v>2538</v>
      </c>
      <c r="AZ64" s="36">
        <v>236</v>
      </c>
      <c r="BA64" s="36">
        <v>7338</v>
      </c>
      <c r="BB64" s="36">
        <v>8421</v>
      </c>
      <c r="BC64" s="36">
        <v>2354</v>
      </c>
      <c r="BD64" s="36">
        <v>219</v>
      </c>
      <c r="BE64" s="70">
        <v>7557</v>
      </c>
      <c r="BF64" s="70">
        <v>8550</v>
      </c>
      <c r="BG64" s="70">
        <v>2808</v>
      </c>
      <c r="BH64" s="70">
        <v>205</v>
      </c>
      <c r="BI64" s="36">
        <v>8099</v>
      </c>
      <c r="BJ64" s="36">
        <v>9059</v>
      </c>
      <c r="BK64" s="36">
        <v>2774</v>
      </c>
      <c r="BL64" s="36">
        <v>165</v>
      </c>
      <c r="BM64" s="36">
        <v>5040.0875922721007</v>
      </c>
      <c r="BN64" s="36">
        <v>2059.9657233005869</v>
      </c>
      <c r="BO64" s="36">
        <v>287.43316632272234</v>
      </c>
      <c r="BP64" s="36">
        <v>4894.9414117358174</v>
      </c>
      <c r="BQ64" s="36">
        <v>1708.2847690695676</v>
      </c>
      <c r="BR64" s="36">
        <v>295.00162301349036</v>
      </c>
      <c r="BS64" s="36">
        <v>4175.9380261128572</v>
      </c>
      <c r="BT64" s="36">
        <v>2032.3829033608995</v>
      </c>
      <c r="BU64" s="36">
        <v>360.93129018640269</v>
      </c>
      <c r="BV64" s="36">
        <v>5063</v>
      </c>
      <c r="BW64" s="36">
        <v>1243</v>
      </c>
      <c r="BX64" s="36">
        <v>382</v>
      </c>
      <c r="BY64" s="36">
        <v>5332</v>
      </c>
      <c r="BZ64" s="36">
        <v>889</v>
      </c>
      <c r="CA64" s="36">
        <v>387</v>
      </c>
      <c r="CB64" s="36">
        <v>5273</v>
      </c>
      <c r="CC64" s="36">
        <v>488</v>
      </c>
      <c r="CD64" s="36">
        <v>389</v>
      </c>
      <c r="CE64" s="36">
        <v>5341</v>
      </c>
      <c r="CF64" s="36">
        <v>658</v>
      </c>
      <c r="CG64" s="36">
        <v>387</v>
      </c>
      <c r="CH64" s="36">
        <v>5532</v>
      </c>
      <c r="CI64" s="36">
        <v>868</v>
      </c>
      <c r="CJ64" s="70">
        <v>402</v>
      </c>
      <c r="CK64" s="70">
        <v>5906</v>
      </c>
      <c r="CL64" s="70">
        <v>1024</v>
      </c>
      <c r="CM64" s="36">
        <v>408</v>
      </c>
      <c r="CN64" s="36">
        <v>5986</v>
      </c>
      <c r="CO64" s="36">
        <v>1158</v>
      </c>
      <c r="CP64" s="36">
        <v>413</v>
      </c>
      <c r="CQ64" s="36">
        <v>6585</v>
      </c>
      <c r="CR64" s="36">
        <v>1041</v>
      </c>
      <c r="CS64" s="36">
        <v>473</v>
      </c>
      <c r="CT64" s="36">
        <v>880.80017087893327</v>
      </c>
      <c r="CU64" s="36">
        <v>-1004.0819210000001</v>
      </c>
      <c r="CV64" s="36">
        <v>517.51424972206939</v>
      </c>
      <c r="CW64" s="36">
        <v>2632</v>
      </c>
      <c r="CX64" s="36">
        <v>649.87814784727857</v>
      </c>
      <c r="CY64" s="36">
        <v>-544.08794209999996</v>
      </c>
      <c r="CZ64" s="36">
        <v>570.99801033682991</v>
      </c>
      <c r="DA64" s="36">
        <v>2526</v>
      </c>
      <c r="DB64" s="36">
        <v>-660.47398721435377</v>
      </c>
      <c r="DC64" s="36">
        <v>-498.67720200000002</v>
      </c>
      <c r="DD64" s="36">
        <v>606.99022659959326</v>
      </c>
      <c r="DE64" s="36">
        <v>2501</v>
      </c>
      <c r="DF64" s="36">
        <v>641.46875152420307</v>
      </c>
      <c r="DG64" s="36">
        <v>-525</v>
      </c>
      <c r="DH64" s="36">
        <v>546.94713685283386</v>
      </c>
      <c r="DI64" s="36">
        <v>2816</v>
      </c>
      <c r="DJ64" s="36">
        <v>-53</v>
      </c>
      <c r="DK64" s="36">
        <v>138</v>
      </c>
      <c r="DL64" s="36">
        <v>385</v>
      </c>
      <c r="DM64" s="36">
        <v>2925</v>
      </c>
      <c r="DN64" s="36">
        <v>930</v>
      </c>
      <c r="DO64" s="69">
        <v>-335</v>
      </c>
      <c r="DP64" s="36">
        <v>362</v>
      </c>
      <c r="DQ64" s="36">
        <v>2408</v>
      </c>
      <c r="DR64" s="36">
        <v>102</v>
      </c>
      <c r="DS64" s="36">
        <v>-132</v>
      </c>
      <c r="DT64" s="36">
        <v>383</v>
      </c>
      <c r="DU64" s="36">
        <v>2096</v>
      </c>
      <c r="DV64" s="36">
        <v>-45</v>
      </c>
      <c r="DW64" s="71">
        <v>-190</v>
      </c>
      <c r="DX64" s="39">
        <v>358</v>
      </c>
      <c r="DY64" s="71">
        <v>1652</v>
      </c>
      <c r="DZ64" s="70">
        <v>101</v>
      </c>
      <c r="EA64" s="35">
        <v>-633</v>
      </c>
      <c r="EB64" s="35">
        <v>370</v>
      </c>
      <c r="EC64" s="38">
        <v>1737</v>
      </c>
      <c r="ED64" s="38">
        <v>515</v>
      </c>
      <c r="EE64" s="38">
        <v>-623</v>
      </c>
      <c r="EF64" s="38">
        <v>416</v>
      </c>
      <c r="EG64" s="73">
        <v>1951</v>
      </c>
      <c r="EH64" s="73">
        <v>531</v>
      </c>
      <c r="EI64" s="73">
        <v>-520</v>
      </c>
      <c r="EJ64" s="73">
        <v>492</v>
      </c>
      <c r="EK64" s="73">
        <v>2140</v>
      </c>
      <c r="EL64" s="73">
        <v>13241.267262388303</v>
      </c>
      <c r="EM64" s="73">
        <v>240.00417106057623</v>
      </c>
      <c r="EN64" s="73">
        <v>13260.608873931376</v>
      </c>
      <c r="EO64" s="73">
        <v>128.1591999636714</v>
      </c>
      <c r="EP64" s="73">
        <v>14270.072808553365</v>
      </c>
      <c r="EQ64" s="73">
        <v>-1247.6180384914887</v>
      </c>
      <c r="ER64" s="73">
        <v>14279.827708288132</v>
      </c>
      <c r="ES64" s="73">
        <v>251.94551383934353</v>
      </c>
      <c r="ET64" s="73">
        <v>15549</v>
      </c>
      <c r="EU64" s="73">
        <v>-414</v>
      </c>
      <c r="EV64" s="73">
        <v>15974</v>
      </c>
      <c r="EW64" s="73">
        <v>612</v>
      </c>
      <c r="EX64" s="73">
        <v>16543</v>
      </c>
      <c r="EY64" s="73">
        <v>-237</v>
      </c>
      <c r="EZ64" s="73">
        <v>17474</v>
      </c>
      <c r="FA64" s="73">
        <v>-409</v>
      </c>
      <c r="FB64" s="73">
        <v>18121</v>
      </c>
      <c r="FC64" s="73">
        <v>-157</v>
      </c>
      <c r="FD64" s="73">
        <v>18508</v>
      </c>
      <c r="FE64" s="73">
        <v>159</v>
      </c>
      <c r="FF64" s="73">
        <v>19494</v>
      </c>
      <c r="FG64" s="73">
        <v>84</v>
      </c>
      <c r="FH64" s="73">
        <v>-652</v>
      </c>
      <c r="FI64" s="73">
        <v>-568</v>
      </c>
      <c r="FJ64" s="79">
        <v>3429</v>
      </c>
      <c r="FK64" s="80">
        <v>7634</v>
      </c>
      <c r="FL64" s="80">
        <v>9107</v>
      </c>
      <c r="FM64" s="80">
        <v>2968</v>
      </c>
      <c r="FN64" s="76">
        <v>171</v>
      </c>
      <c r="FO64" s="80">
        <v>6380</v>
      </c>
      <c r="FP64" s="80">
        <v>771</v>
      </c>
      <c r="FQ64" s="80">
        <v>483</v>
      </c>
      <c r="FR64" s="80">
        <v>-248</v>
      </c>
      <c r="FS64" s="81">
        <v>-2130</v>
      </c>
      <c r="FT64" s="76">
        <v>574</v>
      </c>
      <c r="FU64" s="76">
        <v>3805</v>
      </c>
      <c r="FV64" s="76">
        <v>2130</v>
      </c>
      <c r="FW64" s="80">
        <v>20022</v>
      </c>
      <c r="FX64" s="80">
        <v>-777</v>
      </c>
      <c r="FY64" s="73">
        <v>3377</v>
      </c>
      <c r="FZ64" s="73">
        <v>7974</v>
      </c>
      <c r="GA64" s="73">
        <v>11577</v>
      </c>
      <c r="GB64" s="73">
        <v>3130</v>
      </c>
      <c r="GC64" s="73">
        <v>200</v>
      </c>
      <c r="GD64" s="73">
        <v>6467</v>
      </c>
      <c r="GE64" s="73">
        <v>975</v>
      </c>
      <c r="GF64" s="73">
        <v>532</v>
      </c>
      <c r="GG64" s="73">
        <v>1881</v>
      </c>
      <c r="GH64" s="73">
        <v>-1568</v>
      </c>
      <c r="GI64" s="73">
        <v>643</v>
      </c>
      <c r="GJ64" s="73">
        <v>4390</v>
      </c>
      <c r="GK64" s="73">
        <v>1568</v>
      </c>
      <c r="GL64" s="73">
        <v>20918</v>
      </c>
      <c r="GM64" s="73">
        <v>1283</v>
      </c>
      <c r="GN64" s="73">
        <v>-62</v>
      </c>
      <c r="GO64" s="77">
        <v>20</v>
      </c>
      <c r="GP64" s="78">
        <v>3385</v>
      </c>
      <c r="GQ64" s="73">
        <v>8052</v>
      </c>
      <c r="GR64" s="65">
        <v>11336</v>
      </c>
      <c r="GS64" s="65">
        <v>2978</v>
      </c>
      <c r="GT64" s="65">
        <v>228</v>
      </c>
      <c r="GU64" s="65">
        <v>6402</v>
      </c>
      <c r="GV64" s="65">
        <v>953</v>
      </c>
      <c r="GW64" s="65">
        <v>697</v>
      </c>
      <c r="GX64" s="65">
        <v>554</v>
      </c>
      <c r="GY64" s="65">
        <v>-572</v>
      </c>
      <c r="GZ64" s="65">
        <v>694</v>
      </c>
      <c r="HA64" s="65">
        <v>4412</v>
      </c>
      <c r="HB64" s="65">
        <v>572</v>
      </c>
      <c r="HC64" s="65">
        <v>21891</v>
      </c>
      <c r="HD64" s="65">
        <v>-45</v>
      </c>
      <c r="HE64" s="78">
        <v>3315</v>
      </c>
      <c r="HF64" s="73">
        <v>8181</v>
      </c>
      <c r="HG64" s="65">
        <v>11972</v>
      </c>
      <c r="HH64" s="65">
        <v>3536</v>
      </c>
      <c r="HI64" s="65">
        <v>204</v>
      </c>
      <c r="HJ64" s="65">
        <v>6836</v>
      </c>
      <c r="HK64" s="65">
        <v>551</v>
      </c>
      <c r="HL64" s="65">
        <v>794</v>
      </c>
      <c r="HM64" s="65">
        <v>123</v>
      </c>
      <c r="HN64" s="65">
        <v>-379</v>
      </c>
      <c r="HO64" s="65">
        <v>667</v>
      </c>
      <c r="HP64" s="65">
        <v>4359</v>
      </c>
      <c r="HQ64" s="65">
        <v>379</v>
      </c>
      <c r="HR64" s="65">
        <v>23662</v>
      </c>
      <c r="HS64" s="65">
        <v>-499</v>
      </c>
      <c r="HT64" s="65">
        <v>-648</v>
      </c>
      <c r="HU64" s="77">
        <v>20.25</v>
      </c>
      <c r="HV64" s="180">
        <v>340</v>
      </c>
      <c r="HW64" s="30" t="s">
        <v>761</v>
      </c>
    </row>
    <row r="65" spans="1:231" ht="15" x14ac:dyDescent="0.25">
      <c r="A65" s="27">
        <v>205</v>
      </c>
      <c r="B65" s="27" t="s">
        <v>194</v>
      </c>
      <c r="C65" s="27">
        <v>18</v>
      </c>
      <c r="D65" s="27" t="s">
        <v>108</v>
      </c>
      <c r="E65" s="27">
        <v>5</v>
      </c>
      <c r="F65" s="27" t="s">
        <v>101</v>
      </c>
      <c r="G65" s="29" t="s">
        <v>141</v>
      </c>
      <c r="H65" s="27" t="s">
        <v>97</v>
      </c>
      <c r="I65" s="31" t="s">
        <v>108</v>
      </c>
      <c r="J65" s="69">
        <v>39401</v>
      </c>
      <c r="K65" s="36">
        <v>39238</v>
      </c>
      <c r="L65" s="36">
        <v>38912</v>
      </c>
      <c r="M65" s="36">
        <v>38739</v>
      </c>
      <c r="N65" s="36">
        <v>38562</v>
      </c>
      <c r="O65" s="36">
        <v>38345</v>
      </c>
      <c r="P65" s="36">
        <v>38318</v>
      </c>
      <c r="Q65" s="36">
        <v>38217</v>
      </c>
      <c r="R65" s="69">
        <v>38027</v>
      </c>
      <c r="S65" s="69">
        <v>38089</v>
      </c>
      <c r="T65" s="71">
        <v>38132</v>
      </c>
      <c r="U65" s="36">
        <v>81439</v>
      </c>
      <c r="V65" s="36">
        <v>40314</v>
      </c>
      <c r="W65" s="36">
        <v>30397</v>
      </c>
      <c r="X65" s="36">
        <v>4138.0957426590176</v>
      </c>
      <c r="Y65" s="36">
        <v>84092</v>
      </c>
      <c r="Z65" s="36">
        <v>44441</v>
      </c>
      <c r="AA65" s="36">
        <v>29810</v>
      </c>
      <c r="AB65" s="36">
        <v>4466.0621992589631</v>
      </c>
      <c r="AC65" s="36">
        <v>84708</v>
      </c>
      <c r="AD65" s="36">
        <v>45602</v>
      </c>
      <c r="AE65" s="36">
        <v>30692</v>
      </c>
      <c r="AF65" s="36">
        <v>4107.4855400430224</v>
      </c>
      <c r="AG65" s="36">
        <v>94455</v>
      </c>
      <c r="AH65" s="36">
        <v>48739</v>
      </c>
      <c r="AI65" s="36">
        <v>37156</v>
      </c>
      <c r="AJ65" s="36">
        <v>3466.1849764452809</v>
      </c>
      <c r="AK65" s="36">
        <v>98664</v>
      </c>
      <c r="AL65" s="36">
        <v>53915</v>
      </c>
      <c r="AM65" s="36">
        <v>40015</v>
      </c>
      <c r="AN65" s="36">
        <v>2854</v>
      </c>
      <c r="AO65" s="36">
        <v>93833</v>
      </c>
      <c r="AP65" s="36">
        <v>54630</v>
      </c>
      <c r="AQ65" s="36">
        <v>40496</v>
      </c>
      <c r="AR65" s="36">
        <v>3584</v>
      </c>
      <c r="AS65" s="36">
        <v>93905</v>
      </c>
      <c r="AT65" s="36">
        <v>58488</v>
      </c>
      <c r="AU65" s="36">
        <v>45720</v>
      </c>
      <c r="AV65" s="36">
        <v>5618</v>
      </c>
      <c r="AW65" s="36">
        <v>95930</v>
      </c>
      <c r="AX65" s="69">
        <v>43571</v>
      </c>
      <c r="AY65" s="36">
        <v>35282</v>
      </c>
      <c r="AZ65" s="36">
        <v>4140</v>
      </c>
      <c r="BA65" s="36">
        <v>100478</v>
      </c>
      <c r="BB65" s="36">
        <v>48539</v>
      </c>
      <c r="BC65" s="36">
        <v>37103</v>
      </c>
      <c r="BD65" s="36">
        <v>3711</v>
      </c>
      <c r="BE65" s="70">
        <v>105671</v>
      </c>
      <c r="BF65" s="70">
        <v>52681</v>
      </c>
      <c r="BG65" s="70">
        <v>39999</v>
      </c>
      <c r="BH65" s="70">
        <v>3819</v>
      </c>
      <c r="BI65" s="36">
        <v>112653</v>
      </c>
      <c r="BJ65" s="36">
        <v>59014</v>
      </c>
      <c r="BK65" s="36">
        <v>42471</v>
      </c>
      <c r="BL65" s="36">
        <v>6903</v>
      </c>
      <c r="BM65" s="36">
        <v>72202.908642000213</v>
      </c>
      <c r="BN65" s="36">
        <v>5796.0923217165928</v>
      </c>
      <c r="BO65" s="36">
        <v>3401.2644368311376</v>
      </c>
      <c r="BP65" s="36">
        <v>71475.327672127722</v>
      </c>
      <c r="BQ65" s="36">
        <v>8076.0478528288368</v>
      </c>
      <c r="BR65" s="36">
        <v>4470.2668974205017</v>
      </c>
      <c r="BS65" s="36">
        <v>67935.980947671691</v>
      </c>
      <c r="BT65" s="36">
        <v>12161.500774505401</v>
      </c>
      <c r="BU65" s="36">
        <v>4610.5356280894011</v>
      </c>
      <c r="BV65" s="36">
        <v>77812</v>
      </c>
      <c r="BW65" s="36">
        <v>11944</v>
      </c>
      <c r="BX65" s="36">
        <v>4700</v>
      </c>
      <c r="BY65" s="36">
        <v>86450</v>
      </c>
      <c r="BZ65" s="36">
        <v>7547</v>
      </c>
      <c r="CA65" s="36">
        <v>4667</v>
      </c>
      <c r="CB65" s="36">
        <v>83736</v>
      </c>
      <c r="CC65" s="36">
        <v>5419</v>
      </c>
      <c r="CD65" s="36">
        <v>4678</v>
      </c>
      <c r="CE65" s="36">
        <v>84162</v>
      </c>
      <c r="CF65" s="36">
        <v>5172</v>
      </c>
      <c r="CG65" s="36">
        <v>4571</v>
      </c>
      <c r="CH65" s="36">
        <v>86113</v>
      </c>
      <c r="CI65" s="36">
        <v>5074</v>
      </c>
      <c r="CJ65" s="70">
        <v>4743</v>
      </c>
      <c r="CK65" s="70">
        <v>89422</v>
      </c>
      <c r="CL65" s="70">
        <v>5487</v>
      </c>
      <c r="CM65" s="36">
        <v>5569</v>
      </c>
      <c r="CN65" s="36">
        <v>93367</v>
      </c>
      <c r="CO65" s="36">
        <v>5731</v>
      </c>
      <c r="CP65" s="36">
        <v>6573</v>
      </c>
      <c r="CQ65" s="36">
        <v>100204</v>
      </c>
      <c r="CR65" s="36">
        <v>6495</v>
      </c>
      <c r="CS65" s="36">
        <v>5954</v>
      </c>
      <c r="CT65" s="36">
        <v>-1427.747307731767</v>
      </c>
      <c r="CU65" s="36">
        <v>-7967.9030166000002</v>
      </c>
      <c r="CV65" s="36">
        <v>8248.4404774518862</v>
      </c>
      <c r="CW65" s="36">
        <v>28132</v>
      </c>
      <c r="CX65" s="36">
        <v>4365.3176313085187</v>
      </c>
      <c r="CY65" s="36">
        <v>-5110.3901460099996</v>
      </c>
      <c r="CZ65" s="36">
        <v>8905.3825182105466</v>
      </c>
      <c r="DA65" s="36">
        <v>26283</v>
      </c>
      <c r="DB65" s="36">
        <v>2658.7147415035661</v>
      </c>
      <c r="DC65" s="36">
        <v>-8667.228414199999</v>
      </c>
      <c r="DD65" s="36">
        <v>8676.6469382228915</v>
      </c>
      <c r="DE65" s="36">
        <v>25211</v>
      </c>
      <c r="DF65" s="36">
        <v>7516.4866214913891</v>
      </c>
      <c r="DG65" s="36">
        <v>-12564</v>
      </c>
      <c r="DH65" s="36">
        <v>10124.072233350656</v>
      </c>
      <c r="DI65" s="36">
        <v>33532</v>
      </c>
      <c r="DJ65" s="36">
        <v>16325</v>
      </c>
      <c r="DK65" s="36">
        <v>-9398</v>
      </c>
      <c r="DL65" s="36">
        <v>9039</v>
      </c>
      <c r="DM65" s="36">
        <v>31388</v>
      </c>
      <c r="DN65" s="36">
        <v>4410</v>
      </c>
      <c r="DO65" s="69">
        <v>-14930</v>
      </c>
      <c r="DP65" s="36">
        <v>9357</v>
      </c>
      <c r="DQ65" s="36">
        <v>40694</v>
      </c>
      <c r="DR65" s="36">
        <v>3384</v>
      </c>
      <c r="DS65" s="36">
        <v>-10267</v>
      </c>
      <c r="DT65" s="36">
        <v>9759</v>
      </c>
      <c r="DU65" s="36">
        <v>49023</v>
      </c>
      <c r="DV65" s="36">
        <v>6486</v>
      </c>
      <c r="DW65" s="71">
        <v>-7176</v>
      </c>
      <c r="DX65" s="39">
        <v>10240</v>
      </c>
      <c r="DY65" s="71">
        <v>59804</v>
      </c>
      <c r="DZ65" s="70">
        <v>8020</v>
      </c>
      <c r="EA65" s="35">
        <v>-9970</v>
      </c>
      <c r="EB65" s="35">
        <v>10267</v>
      </c>
      <c r="EC65" s="38">
        <v>61396</v>
      </c>
      <c r="ED65" s="38">
        <v>12220</v>
      </c>
      <c r="EE65" s="38">
        <v>-13675</v>
      </c>
      <c r="EF65" s="38">
        <v>9434</v>
      </c>
      <c r="EG65" s="73">
        <v>60981</v>
      </c>
      <c r="EH65" s="73">
        <v>10921</v>
      </c>
      <c r="EI65" s="73">
        <v>-15649</v>
      </c>
      <c r="EJ65" s="73">
        <v>10262</v>
      </c>
      <c r="EK65" s="73">
        <v>66570</v>
      </c>
      <c r="EL65" s="73">
        <v>149369.88393351194</v>
      </c>
      <c r="EM65" s="73">
        <v>-9096.2758147443619</v>
      </c>
      <c r="EN65" s="73">
        <v>150317.11833534317</v>
      </c>
      <c r="EO65" s="73">
        <v>-4171.7333279513196</v>
      </c>
      <c r="EP65" s="73">
        <v>154892.67087472859</v>
      </c>
      <c r="EQ65" s="73">
        <v>-6009.5228003962511</v>
      </c>
      <c r="ER65" s="73">
        <v>167710.7773141397</v>
      </c>
      <c r="ES65" s="73">
        <v>-3790.1149228101513</v>
      </c>
      <c r="ET65" s="73">
        <v>177442</v>
      </c>
      <c r="EU65" s="73">
        <v>7845</v>
      </c>
      <c r="EV65" s="73">
        <v>186909</v>
      </c>
      <c r="EW65" s="73">
        <v>-4261</v>
      </c>
      <c r="EX65" s="73">
        <v>198276</v>
      </c>
      <c r="EY65" s="73">
        <v>-6103</v>
      </c>
      <c r="EZ65" s="73">
        <v>170630</v>
      </c>
      <c r="FA65" s="73">
        <v>-3664</v>
      </c>
      <c r="FB65" s="73">
        <v>180030</v>
      </c>
      <c r="FC65" s="73">
        <v>-3082</v>
      </c>
      <c r="FD65" s="73">
        <v>187356</v>
      </c>
      <c r="FE65" s="73">
        <v>2962</v>
      </c>
      <c r="FF65" s="73">
        <v>204563</v>
      </c>
      <c r="FG65" s="73">
        <v>4190</v>
      </c>
      <c r="FH65" s="73">
        <v>-18355</v>
      </c>
      <c r="FI65" s="73">
        <v>-14165</v>
      </c>
      <c r="FJ65" s="79">
        <v>38211</v>
      </c>
      <c r="FK65" s="80">
        <v>114313</v>
      </c>
      <c r="FL65" s="80">
        <v>64545</v>
      </c>
      <c r="FM65" s="80">
        <v>40764</v>
      </c>
      <c r="FN65" s="76">
        <v>4215</v>
      </c>
      <c r="FO65" s="80">
        <v>103215</v>
      </c>
      <c r="FP65" s="80">
        <v>4947</v>
      </c>
      <c r="FQ65" s="80">
        <v>6151</v>
      </c>
      <c r="FR65" s="80">
        <v>10459</v>
      </c>
      <c r="FS65" s="81">
        <v>-15638</v>
      </c>
      <c r="FT65" s="76">
        <v>9866</v>
      </c>
      <c r="FU65" s="76">
        <v>70890</v>
      </c>
      <c r="FV65" s="76">
        <v>15638</v>
      </c>
      <c r="FW65" s="80">
        <v>212026</v>
      </c>
      <c r="FX65" s="80">
        <v>688</v>
      </c>
      <c r="FY65" s="73">
        <v>38157</v>
      </c>
      <c r="FZ65" s="73">
        <v>122978</v>
      </c>
      <c r="GA65" s="73">
        <v>69302</v>
      </c>
      <c r="GB65" s="73">
        <v>41365</v>
      </c>
      <c r="GC65" s="73">
        <v>2799</v>
      </c>
      <c r="GD65" s="73">
        <v>109114</v>
      </c>
      <c r="GE65" s="73">
        <v>5502</v>
      </c>
      <c r="GF65" s="73">
        <v>8362</v>
      </c>
      <c r="GG65" s="73">
        <v>17120</v>
      </c>
      <c r="GH65" s="73">
        <v>-15752</v>
      </c>
      <c r="GI65" s="73">
        <v>10545</v>
      </c>
      <c r="GJ65" s="73">
        <v>68370</v>
      </c>
      <c r="GK65" s="73">
        <v>15752</v>
      </c>
      <c r="GL65" s="73">
        <v>218401</v>
      </c>
      <c r="GM65" s="73">
        <v>6562</v>
      </c>
      <c r="GN65" s="73">
        <v>-13288</v>
      </c>
      <c r="GO65" s="77">
        <v>20</v>
      </c>
      <c r="GP65" s="78">
        <v>38045</v>
      </c>
      <c r="GQ65" s="73">
        <v>121831</v>
      </c>
      <c r="GR65" s="65">
        <v>71049</v>
      </c>
      <c r="GS65" s="65">
        <v>41335</v>
      </c>
      <c r="GT65" s="65">
        <v>4378</v>
      </c>
      <c r="GU65" s="65">
        <v>107426</v>
      </c>
      <c r="GV65" s="65">
        <v>5894</v>
      </c>
      <c r="GW65" s="65">
        <v>8511</v>
      </c>
      <c r="GX65" s="65">
        <v>8484</v>
      </c>
      <c r="GY65" s="65">
        <v>-19718</v>
      </c>
      <c r="GZ65" s="65">
        <v>11242</v>
      </c>
      <c r="HA65" s="65">
        <v>71523</v>
      </c>
      <c r="HB65" s="65">
        <v>19718</v>
      </c>
      <c r="HC65" s="65">
        <v>228980</v>
      </c>
      <c r="HD65" s="65">
        <v>-2435</v>
      </c>
      <c r="HE65" s="78">
        <v>37973</v>
      </c>
      <c r="HF65" s="73">
        <v>122620</v>
      </c>
      <c r="HG65" s="65">
        <v>75072</v>
      </c>
      <c r="HH65" s="65">
        <v>43342</v>
      </c>
      <c r="HI65" s="65">
        <v>6034</v>
      </c>
      <c r="HJ65" s="65">
        <v>109631</v>
      </c>
      <c r="HK65" s="65">
        <v>4329</v>
      </c>
      <c r="HL65" s="65">
        <v>8660</v>
      </c>
      <c r="HM65" s="65">
        <v>8155</v>
      </c>
      <c r="HN65" s="65">
        <v>-18749</v>
      </c>
      <c r="HO65" s="65">
        <v>11919</v>
      </c>
      <c r="HP65" s="65">
        <v>82271</v>
      </c>
      <c r="HQ65" s="65">
        <v>18749</v>
      </c>
      <c r="HR65" s="65">
        <v>237707</v>
      </c>
      <c r="HS65" s="65">
        <v>284</v>
      </c>
      <c r="HT65" s="65">
        <v>-15439</v>
      </c>
      <c r="HU65" s="77">
        <v>20</v>
      </c>
      <c r="HV65" s="180">
        <v>130</v>
      </c>
      <c r="HW65" s="30" t="s">
        <v>752</v>
      </c>
    </row>
    <row r="66" spans="1:231" ht="15" x14ac:dyDescent="0.25">
      <c r="A66" s="27">
        <v>208</v>
      </c>
      <c r="B66" s="27" t="s">
        <v>195</v>
      </c>
      <c r="C66" s="27">
        <v>17</v>
      </c>
      <c r="D66" s="27" t="s">
        <v>117</v>
      </c>
      <c r="E66" s="27">
        <v>4</v>
      </c>
      <c r="F66" s="27" t="s">
        <v>100</v>
      </c>
      <c r="G66" s="29" t="s">
        <v>132</v>
      </c>
      <c r="H66" s="27" t="s">
        <v>99</v>
      </c>
      <c r="I66" s="31" t="s">
        <v>117</v>
      </c>
      <c r="J66" s="69">
        <v>12496</v>
      </c>
      <c r="K66" s="69">
        <v>12451</v>
      </c>
      <c r="L66" s="36">
        <v>12376</v>
      </c>
      <c r="M66" s="36">
        <v>12275</v>
      </c>
      <c r="N66" s="36">
        <v>12219</v>
      </c>
      <c r="O66" s="36">
        <v>12231</v>
      </c>
      <c r="P66" s="36">
        <v>12265</v>
      </c>
      <c r="Q66" s="36">
        <v>12282</v>
      </c>
      <c r="R66" s="69">
        <v>12318</v>
      </c>
      <c r="S66" s="69">
        <v>12487</v>
      </c>
      <c r="T66" s="71">
        <v>12535</v>
      </c>
      <c r="U66" s="36">
        <v>20596</v>
      </c>
      <c r="V66" s="36">
        <v>13842</v>
      </c>
      <c r="W66" s="36">
        <v>7589</v>
      </c>
      <c r="X66" s="36">
        <v>669.05157146389092</v>
      </c>
      <c r="Y66" s="36">
        <v>20486</v>
      </c>
      <c r="Z66" s="36">
        <v>13715</v>
      </c>
      <c r="AA66" s="36">
        <v>7709</v>
      </c>
      <c r="AB66" s="36">
        <v>1187.0703849653448</v>
      </c>
      <c r="AC66" s="36">
        <v>19356</v>
      </c>
      <c r="AD66" s="36">
        <v>14570</v>
      </c>
      <c r="AE66" s="36">
        <v>7951</v>
      </c>
      <c r="AF66" s="36">
        <v>581.59384970390511</v>
      </c>
      <c r="AG66" s="36">
        <v>22530</v>
      </c>
      <c r="AH66" s="36">
        <v>17104</v>
      </c>
      <c r="AI66" s="36">
        <v>8351</v>
      </c>
      <c r="AJ66" s="36">
        <v>590.50780980636523</v>
      </c>
      <c r="AK66" s="36">
        <v>24112</v>
      </c>
      <c r="AL66" s="36">
        <v>17282</v>
      </c>
      <c r="AM66" s="36">
        <v>9387</v>
      </c>
      <c r="AN66" s="36">
        <v>506</v>
      </c>
      <c r="AO66" s="36">
        <v>22637</v>
      </c>
      <c r="AP66" s="36">
        <v>17042</v>
      </c>
      <c r="AQ66" s="36">
        <v>9408</v>
      </c>
      <c r="AR66" s="36">
        <v>885</v>
      </c>
      <c r="AS66" s="36">
        <v>23668</v>
      </c>
      <c r="AT66" s="36">
        <v>17710</v>
      </c>
      <c r="AU66" s="36">
        <v>10953</v>
      </c>
      <c r="AV66" s="36">
        <v>747</v>
      </c>
      <c r="AW66" s="36">
        <v>23948</v>
      </c>
      <c r="AX66" s="69">
        <v>18270</v>
      </c>
      <c r="AY66" s="36">
        <v>11151</v>
      </c>
      <c r="AZ66" s="36">
        <v>937</v>
      </c>
      <c r="BA66" s="36">
        <v>25398</v>
      </c>
      <c r="BB66" s="36">
        <v>18918</v>
      </c>
      <c r="BC66" s="36">
        <v>12018</v>
      </c>
      <c r="BD66" s="36">
        <v>799</v>
      </c>
      <c r="BE66" s="70">
        <v>28154</v>
      </c>
      <c r="BF66" s="70">
        <v>20007</v>
      </c>
      <c r="BG66" s="70">
        <v>13206</v>
      </c>
      <c r="BH66" s="70">
        <v>1917</v>
      </c>
      <c r="BI66" s="36">
        <v>30656</v>
      </c>
      <c r="BJ66" s="36">
        <v>22075</v>
      </c>
      <c r="BK66" s="36">
        <v>13172</v>
      </c>
      <c r="BL66" s="36">
        <v>8</v>
      </c>
      <c r="BM66" s="36">
        <v>17425.110121044851</v>
      </c>
      <c r="BN66" s="36">
        <v>2601.8672223595754</v>
      </c>
      <c r="BO66" s="36">
        <v>554.51559354360188</v>
      </c>
      <c r="BP66" s="36">
        <v>17429.987570912235</v>
      </c>
      <c r="BQ66" s="36">
        <v>2467.316881190367</v>
      </c>
      <c r="BR66" s="36">
        <v>575.20270849836777</v>
      </c>
      <c r="BS66" s="36">
        <v>16313.05155128134</v>
      </c>
      <c r="BT66" s="36">
        <v>2356.481037652231</v>
      </c>
      <c r="BU66" s="36">
        <v>673.08808169896724</v>
      </c>
      <c r="BV66" s="36">
        <v>19754</v>
      </c>
      <c r="BW66" s="36">
        <v>2053</v>
      </c>
      <c r="BX66" s="36">
        <v>710</v>
      </c>
      <c r="BY66" s="36">
        <v>21425</v>
      </c>
      <c r="BZ66" s="36">
        <v>1911</v>
      </c>
      <c r="CA66" s="36">
        <v>772</v>
      </c>
      <c r="CB66" s="36">
        <v>20856</v>
      </c>
      <c r="CC66" s="36">
        <v>886</v>
      </c>
      <c r="CD66" s="36">
        <v>891</v>
      </c>
      <c r="CE66" s="36">
        <v>21376</v>
      </c>
      <c r="CF66" s="36">
        <v>1278</v>
      </c>
      <c r="CG66" s="36">
        <v>1010</v>
      </c>
      <c r="CH66" s="36">
        <v>21487</v>
      </c>
      <c r="CI66" s="36">
        <v>1372</v>
      </c>
      <c r="CJ66" s="70">
        <v>1085</v>
      </c>
      <c r="CK66" s="70">
        <v>22786</v>
      </c>
      <c r="CL66" s="70">
        <v>1465</v>
      </c>
      <c r="CM66" s="36">
        <v>1147</v>
      </c>
      <c r="CN66" s="36">
        <v>25071</v>
      </c>
      <c r="CO66" s="36">
        <v>1852</v>
      </c>
      <c r="CP66" s="36">
        <v>1231</v>
      </c>
      <c r="CQ66" s="36">
        <v>27251</v>
      </c>
      <c r="CR66" s="36">
        <v>2061</v>
      </c>
      <c r="CS66" s="36">
        <v>1344</v>
      </c>
      <c r="CT66" s="36">
        <v>3632.5228357157148</v>
      </c>
      <c r="CU66" s="36">
        <v>-5443.9068041</v>
      </c>
      <c r="CV66" s="36">
        <v>2536.9466827454326</v>
      </c>
      <c r="CW66" s="36">
        <v>12579</v>
      </c>
      <c r="CX66" s="36">
        <v>2695.8842732515604</v>
      </c>
      <c r="CY66" s="36">
        <v>8419.4875979999997</v>
      </c>
      <c r="CZ66" s="36">
        <v>2771.5688401592402</v>
      </c>
      <c r="DA66" s="36">
        <v>10866</v>
      </c>
      <c r="DB66" s="36">
        <v>-66.602418878758357</v>
      </c>
      <c r="DC66" s="36">
        <v>-6978.9580083000001</v>
      </c>
      <c r="DD66" s="36">
        <v>2898.3825367112195</v>
      </c>
      <c r="DE66" s="36">
        <v>16928</v>
      </c>
      <c r="DF66" s="36">
        <v>3342.5668504960704</v>
      </c>
      <c r="DG66" s="36">
        <v>-8355</v>
      </c>
      <c r="DH66" s="36">
        <v>3010.0593198816632</v>
      </c>
      <c r="DI66" s="36">
        <v>21702</v>
      </c>
      <c r="DJ66" s="36">
        <v>6038</v>
      </c>
      <c r="DK66" s="36">
        <v>-2909</v>
      </c>
      <c r="DL66" s="36">
        <v>3220</v>
      </c>
      <c r="DM66" s="36">
        <v>19584</v>
      </c>
      <c r="DN66" s="36">
        <v>3332</v>
      </c>
      <c r="DO66" s="69">
        <v>-4287</v>
      </c>
      <c r="DP66" s="36">
        <v>3470</v>
      </c>
      <c r="DQ66" s="36">
        <v>19851</v>
      </c>
      <c r="DR66" s="36">
        <v>2941</v>
      </c>
      <c r="DS66" s="36">
        <v>-5672</v>
      </c>
      <c r="DT66" s="36">
        <v>3580</v>
      </c>
      <c r="DU66" s="36">
        <v>21670</v>
      </c>
      <c r="DV66" s="36">
        <v>2087</v>
      </c>
      <c r="DW66" s="71">
        <v>-5275</v>
      </c>
      <c r="DX66" s="39">
        <v>3245</v>
      </c>
      <c r="DY66" s="71">
        <v>24200</v>
      </c>
      <c r="DZ66" s="70">
        <v>2833</v>
      </c>
      <c r="EA66" s="35">
        <v>-4081</v>
      </c>
      <c r="EB66" s="35">
        <v>3288</v>
      </c>
      <c r="EC66" s="38">
        <v>26695</v>
      </c>
      <c r="ED66" s="38">
        <v>5958</v>
      </c>
      <c r="EE66" s="38">
        <v>-201</v>
      </c>
      <c r="EF66" s="38">
        <v>3399</v>
      </c>
      <c r="EG66" s="73">
        <v>23328</v>
      </c>
      <c r="EH66" s="73">
        <v>3140</v>
      </c>
      <c r="EI66" s="73">
        <v>-8958</v>
      </c>
      <c r="EJ66" s="73">
        <v>3374</v>
      </c>
      <c r="EK66" s="73">
        <v>26073</v>
      </c>
      <c r="EL66" s="73">
        <v>36463.9833964879</v>
      </c>
      <c r="EM66" s="73">
        <v>1034.3557477382928</v>
      </c>
      <c r="EN66" s="73">
        <v>37946.559968246118</v>
      </c>
      <c r="EO66" s="73">
        <v>1372.9180437053144</v>
      </c>
      <c r="EP66" s="73">
        <v>39614.311447038461</v>
      </c>
      <c r="EQ66" s="73">
        <v>-2378.1772801657662</v>
      </c>
      <c r="ER66" s="73">
        <v>41808.827511508258</v>
      </c>
      <c r="ES66" s="73">
        <v>211.91678734150389</v>
      </c>
      <c r="ET66" s="73">
        <v>43958</v>
      </c>
      <c r="EU66" s="73">
        <v>2867</v>
      </c>
      <c r="EV66" s="73">
        <v>45736</v>
      </c>
      <c r="EW66" s="73">
        <v>-12</v>
      </c>
      <c r="EX66" s="73">
        <v>49292</v>
      </c>
      <c r="EY66" s="73">
        <v>-571</v>
      </c>
      <c r="EZ66" s="73">
        <v>51480</v>
      </c>
      <c r="FA66" s="73">
        <v>-1058</v>
      </c>
      <c r="FB66" s="73">
        <v>53257</v>
      </c>
      <c r="FC66" s="73">
        <v>114</v>
      </c>
      <c r="FD66" s="73">
        <v>56103</v>
      </c>
      <c r="FE66" s="73">
        <v>2721</v>
      </c>
      <c r="FF66" s="73">
        <v>61163</v>
      </c>
      <c r="FG66" s="73">
        <v>-162</v>
      </c>
      <c r="FH66" s="73">
        <v>8617</v>
      </c>
      <c r="FI66" s="73">
        <v>8453</v>
      </c>
      <c r="FJ66" s="79">
        <v>12540</v>
      </c>
      <c r="FK66" s="80">
        <v>30271</v>
      </c>
      <c r="FL66" s="80">
        <v>24487</v>
      </c>
      <c r="FM66" s="80">
        <v>19123</v>
      </c>
      <c r="FN66" s="76">
        <v>852</v>
      </c>
      <c r="FO66" s="80">
        <v>27010</v>
      </c>
      <c r="FP66" s="80">
        <v>1846</v>
      </c>
      <c r="FQ66" s="80">
        <v>1415</v>
      </c>
      <c r="FR66" s="80">
        <v>3316</v>
      </c>
      <c r="FS66" s="81">
        <v>-6939</v>
      </c>
      <c r="FT66" s="76">
        <v>3649</v>
      </c>
      <c r="FU66" s="76">
        <v>32991</v>
      </c>
      <c r="FV66" s="76">
        <v>6939</v>
      </c>
      <c r="FW66" s="80">
        <v>70825</v>
      </c>
      <c r="FX66" s="80">
        <v>-287</v>
      </c>
      <c r="FY66" s="73">
        <v>12562</v>
      </c>
      <c r="FZ66" s="73">
        <v>30723</v>
      </c>
      <c r="GA66" s="73">
        <v>26296</v>
      </c>
      <c r="GB66" s="73">
        <v>21556</v>
      </c>
      <c r="GC66" s="73">
        <v>349</v>
      </c>
      <c r="GD66" s="73">
        <v>26664</v>
      </c>
      <c r="GE66" s="73">
        <v>2373</v>
      </c>
      <c r="GF66" s="73">
        <v>1686</v>
      </c>
      <c r="GG66" s="73">
        <v>5558</v>
      </c>
      <c r="GH66" s="73">
        <v>-2546</v>
      </c>
      <c r="GI66" s="73">
        <v>4664</v>
      </c>
      <c r="GJ66" s="73">
        <v>31894</v>
      </c>
      <c r="GK66" s="73">
        <v>2546</v>
      </c>
      <c r="GL66" s="73">
        <v>73051</v>
      </c>
      <c r="GM66" s="73">
        <v>55</v>
      </c>
      <c r="GN66" s="73">
        <v>8220</v>
      </c>
      <c r="GO66" s="77">
        <v>19</v>
      </c>
      <c r="GP66" s="78">
        <v>12616</v>
      </c>
      <c r="GQ66" s="73">
        <v>33396</v>
      </c>
      <c r="GR66" s="65">
        <v>27787</v>
      </c>
      <c r="GS66" s="65">
        <v>22613</v>
      </c>
      <c r="GT66" s="65">
        <v>439</v>
      </c>
      <c r="GU66" s="65">
        <v>29024</v>
      </c>
      <c r="GV66" s="65">
        <v>2631</v>
      </c>
      <c r="GW66" s="65">
        <v>1741</v>
      </c>
      <c r="GX66" s="65">
        <v>6534</v>
      </c>
      <c r="GY66" s="65">
        <v>-5191</v>
      </c>
      <c r="GZ66" s="65">
        <v>4167</v>
      </c>
      <c r="HA66" s="65">
        <v>30442</v>
      </c>
      <c r="HB66" s="65">
        <v>5191</v>
      </c>
      <c r="HC66" s="65">
        <v>77308</v>
      </c>
      <c r="HD66" s="65">
        <v>2440</v>
      </c>
      <c r="HE66" s="78">
        <v>12625</v>
      </c>
      <c r="HF66" s="73">
        <v>34375</v>
      </c>
      <c r="HG66" s="65">
        <v>27943</v>
      </c>
      <c r="HH66" s="65">
        <v>23955</v>
      </c>
      <c r="HI66" s="65">
        <v>296</v>
      </c>
      <c r="HJ66" s="65">
        <v>30872</v>
      </c>
      <c r="HK66" s="65">
        <v>1683</v>
      </c>
      <c r="HL66" s="65">
        <v>1820</v>
      </c>
      <c r="HM66" s="65">
        <v>4939</v>
      </c>
      <c r="HN66" s="65">
        <v>-7855</v>
      </c>
      <c r="HO66" s="65">
        <v>4289</v>
      </c>
      <c r="HP66" s="65">
        <v>34157</v>
      </c>
      <c r="HQ66" s="65">
        <v>7855</v>
      </c>
      <c r="HR66" s="65">
        <v>81305</v>
      </c>
      <c r="HS66" s="65">
        <v>723</v>
      </c>
      <c r="HT66" s="65">
        <v>11382</v>
      </c>
      <c r="HU66" s="77">
        <v>19.5</v>
      </c>
      <c r="HV66" s="180">
        <v>230</v>
      </c>
      <c r="HW66" s="30" t="s">
        <v>756</v>
      </c>
    </row>
    <row r="67" spans="1:231" ht="15" x14ac:dyDescent="0.25">
      <c r="A67" s="27">
        <v>211</v>
      </c>
      <c r="B67" s="27" t="s">
        <v>196</v>
      </c>
      <c r="C67" s="27">
        <v>6</v>
      </c>
      <c r="D67" s="27" t="s">
        <v>114</v>
      </c>
      <c r="E67" s="27">
        <v>5</v>
      </c>
      <c r="F67" s="27" t="s">
        <v>101</v>
      </c>
      <c r="G67" s="29" t="s">
        <v>141</v>
      </c>
      <c r="H67" s="27" t="s">
        <v>97</v>
      </c>
      <c r="I67" s="31" t="s">
        <v>114</v>
      </c>
      <c r="J67" s="69">
        <v>25133</v>
      </c>
      <c r="K67" s="69">
        <v>25285</v>
      </c>
      <c r="L67" s="36">
        <v>25630</v>
      </c>
      <c r="M67" s="36">
        <v>25922</v>
      </c>
      <c r="N67" s="36">
        <v>26341</v>
      </c>
      <c r="O67" s="36">
        <v>26778</v>
      </c>
      <c r="P67" s="36">
        <v>27303</v>
      </c>
      <c r="Q67" s="36">
        <v>27927</v>
      </c>
      <c r="R67" s="69">
        <v>28407</v>
      </c>
      <c r="S67" s="69">
        <v>28809</v>
      </c>
      <c r="T67" s="71">
        <v>29287</v>
      </c>
      <c r="U67" s="36">
        <v>51441</v>
      </c>
      <c r="V67" s="36">
        <v>12167</v>
      </c>
      <c r="W67" s="36">
        <v>8871</v>
      </c>
      <c r="X67" s="36">
        <v>1926.4245096901473</v>
      </c>
      <c r="Y67" s="36">
        <v>52691</v>
      </c>
      <c r="Z67" s="36">
        <v>12195</v>
      </c>
      <c r="AA67" s="36">
        <v>9436</v>
      </c>
      <c r="AB67" s="36">
        <v>2547.0379583331228</v>
      </c>
      <c r="AC67" s="36">
        <v>53269</v>
      </c>
      <c r="AD67" s="36">
        <v>13478</v>
      </c>
      <c r="AE67" s="36">
        <v>9958</v>
      </c>
      <c r="AF67" s="36">
        <v>2172.4834461033379</v>
      </c>
      <c r="AG67" s="36">
        <v>59270</v>
      </c>
      <c r="AH67" s="36">
        <v>15581</v>
      </c>
      <c r="AI67" s="36">
        <v>10317</v>
      </c>
      <c r="AJ67" s="36">
        <v>1525.128117152982</v>
      </c>
      <c r="AK67" s="36">
        <v>64819</v>
      </c>
      <c r="AL67" s="36">
        <v>17656</v>
      </c>
      <c r="AM67" s="36">
        <v>10455</v>
      </c>
      <c r="AN67" s="36">
        <v>770</v>
      </c>
      <c r="AO67" s="36">
        <v>64413</v>
      </c>
      <c r="AP67" s="36">
        <v>16955</v>
      </c>
      <c r="AQ67" s="36">
        <v>11430</v>
      </c>
      <c r="AR67" s="36">
        <v>613</v>
      </c>
      <c r="AS67" s="36">
        <v>67934</v>
      </c>
      <c r="AT67" s="36">
        <v>18150</v>
      </c>
      <c r="AU67" s="36">
        <v>11416</v>
      </c>
      <c r="AV67" s="36">
        <v>1249</v>
      </c>
      <c r="AW67" s="36">
        <v>70788</v>
      </c>
      <c r="AX67" s="69">
        <v>19678</v>
      </c>
      <c r="AY67" s="36">
        <v>13897</v>
      </c>
      <c r="AZ67" s="36">
        <v>1661</v>
      </c>
      <c r="BA67" s="36">
        <v>76379</v>
      </c>
      <c r="BB67" s="36">
        <v>20888</v>
      </c>
      <c r="BC67" s="36">
        <v>14742</v>
      </c>
      <c r="BD67" s="36">
        <v>1003</v>
      </c>
      <c r="BE67" s="70">
        <v>83903</v>
      </c>
      <c r="BF67" s="70">
        <v>23244</v>
      </c>
      <c r="BG67" s="70">
        <v>14977</v>
      </c>
      <c r="BH67" s="70">
        <v>2839</v>
      </c>
      <c r="BI67" s="36">
        <v>92816</v>
      </c>
      <c r="BJ67" s="36">
        <v>26615</v>
      </c>
      <c r="BK67" s="36">
        <v>16543</v>
      </c>
      <c r="BL67" s="36">
        <v>559</v>
      </c>
      <c r="BM67" s="36">
        <v>44688.877564235168</v>
      </c>
      <c r="BN67" s="36">
        <v>4838.0938925918263</v>
      </c>
      <c r="BO67" s="36">
        <v>1866.0450440904647</v>
      </c>
      <c r="BP67" s="36">
        <v>45976.5243292245</v>
      </c>
      <c r="BQ67" s="36">
        <v>4470.6032732734247</v>
      </c>
      <c r="BR67" s="36">
        <v>2203.2618366457946</v>
      </c>
      <c r="BS67" s="36">
        <v>45478.183503119042</v>
      </c>
      <c r="BT67" s="36">
        <v>5468.4622409695703</v>
      </c>
      <c r="BU67" s="36">
        <v>2283.8238534208581</v>
      </c>
      <c r="BV67" s="36">
        <v>52746</v>
      </c>
      <c r="BW67" s="36">
        <v>4016</v>
      </c>
      <c r="BX67" s="36">
        <v>2470</v>
      </c>
      <c r="BY67" s="36">
        <v>58710</v>
      </c>
      <c r="BZ67" s="36">
        <v>3491</v>
      </c>
      <c r="CA67" s="36">
        <v>2581</v>
      </c>
      <c r="CB67" s="36">
        <v>59797</v>
      </c>
      <c r="CC67" s="36">
        <v>1811</v>
      </c>
      <c r="CD67" s="36">
        <v>2768</v>
      </c>
      <c r="CE67" s="36">
        <v>62677</v>
      </c>
      <c r="CF67" s="36">
        <v>2378</v>
      </c>
      <c r="CG67" s="36">
        <v>2843</v>
      </c>
      <c r="CH67" s="36">
        <v>65017</v>
      </c>
      <c r="CI67" s="36">
        <v>2695</v>
      </c>
      <c r="CJ67" s="70">
        <v>3042</v>
      </c>
      <c r="CK67" s="70">
        <v>70332</v>
      </c>
      <c r="CL67" s="70">
        <v>2767</v>
      </c>
      <c r="CM67" s="36">
        <v>3238</v>
      </c>
      <c r="CN67" s="36">
        <v>77149</v>
      </c>
      <c r="CO67" s="36">
        <v>3289</v>
      </c>
      <c r="CP67" s="36">
        <v>3426</v>
      </c>
      <c r="CQ67" s="36">
        <v>85673</v>
      </c>
      <c r="CR67" s="36">
        <v>3397</v>
      </c>
      <c r="CS67" s="36">
        <v>3708</v>
      </c>
      <c r="CT67" s="36">
        <v>3312.4612116594594</v>
      </c>
      <c r="CU67" s="36">
        <v>-5694.8431903000001</v>
      </c>
      <c r="CV67" s="36">
        <v>2846.9170312139972</v>
      </c>
      <c r="CW67" s="36">
        <v>13671</v>
      </c>
      <c r="CX67" s="36">
        <v>4081.9209752208726</v>
      </c>
      <c r="CY67" s="36">
        <v>-3329.6163802000005</v>
      </c>
      <c r="CZ67" s="36">
        <v>3276.6371833231578</v>
      </c>
      <c r="DA67" s="36">
        <v>13602</v>
      </c>
      <c r="DB67" s="36">
        <v>3655.5645816409415</v>
      </c>
      <c r="DC67" s="36">
        <v>-8499.0404882000003</v>
      </c>
      <c r="DD67" s="36">
        <v>3501.6726289286598</v>
      </c>
      <c r="DE67" s="36">
        <v>13089</v>
      </c>
      <c r="DF67" s="36">
        <v>5862.3583647424284</v>
      </c>
      <c r="DG67" s="36">
        <v>-6585</v>
      </c>
      <c r="DH67" s="36">
        <v>3905.8282162156711</v>
      </c>
      <c r="DI67" s="36">
        <v>13894</v>
      </c>
      <c r="DJ67" s="36">
        <v>11869</v>
      </c>
      <c r="DK67" s="36">
        <v>-10831</v>
      </c>
      <c r="DL67" s="36">
        <v>4137</v>
      </c>
      <c r="DM67" s="36">
        <v>14841</v>
      </c>
      <c r="DN67" s="36">
        <v>6265</v>
      </c>
      <c r="DO67" s="69">
        <v>-7690</v>
      </c>
      <c r="DP67" s="36">
        <v>4549</v>
      </c>
      <c r="DQ67" s="36">
        <v>14998</v>
      </c>
      <c r="DR67" s="36">
        <v>5169</v>
      </c>
      <c r="DS67" s="36">
        <v>-8281</v>
      </c>
      <c r="DT67" s="36">
        <v>4968</v>
      </c>
      <c r="DU67" s="36">
        <v>18269</v>
      </c>
      <c r="DV67" s="36">
        <v>4190</v>
      </c>
      <c r="DW67" s="71">
        <v>-9662</v>
      </c>
      <c r="DX67" s="39">
        <v>5793</v>
      </c>
      <c r="DY67" s="71">
        <v>20670</v>
      </c>
      <c r="DZ67" s="70">
        <v>4343</v>
      </c>
      <c r="EA67" s="35">
        <v>-6624</v>
      </c>
      <c r="EB67" s="35">
        <v>6762</v>
      </c>
      <c r="EC67" s="38">
        <v>22333</v>
      </c>
      <c r="ED67" s="38">
        <v>6446</v>
      </c>
      <c r="EE67" s="38">
        <v>-4336</v>
      </c>
      <c r="EF67" s="38">
        <v>6312</v>
      </c>
      <c r="EG67" s="73">
        <v>26580</v>
      </c>
      <c r="EH67" s="73">
        <v>7093</v>
      </c>
      <c r="EI67" s="73">
        <v>-16245</v>
      </c>
      <c r="EJ67" s="73">
        <v>7279</v>
      </c>
      <c r="EK67" s="73">
        <v>36379</v>
      </c>
      <c r="EL67" s="73">
        <v>66609.819147522678</v>
      </c>
      <c r="EM67" s="73">
        <v>254.13195688334315</v>
      </c>
      <c r="EN67" s="73">
        <v>68395.806738617466</v>
      </c>
      <c r="EO67" s="73">
        <v>1381.3274400283901</v>
      </c>
      <c r="EP67" s="73">
        <v>70604.450588910026</v>
      </c>
      <c r="EQ67" s="73">
        <v>344.11249754025164</v>
      </c>
      <c r="ER67" s="73">
        <v>75819.285436775637</v>
      </c>
      <c r="ES67" s="73">
        <v>1950.4753831741434</v>
      </c>
      <c r="ET67" s="73">
        <v>81114</v>
      </c>
      <c r="EU67" s="73">
        <v>7590</v>
      </c>
      <c r="EV67" s="73">
        <v>86549</v>
      </c>
      <c r="EW67" s="73">
        <v>1216</v>
      </c>
      <c r="EX67" s="73">
        <v>93080</v>
      </c>
      <c r="EY67" s="73">
        <v>323</v>
      </c>
      <c r="EZ67" s="73">
        <v>101425</v>
      </c>
      <c r="FA67" s="73">
        <v>-1555</v>
      </c>
      <c r="FB67" s="73">
        <v>108197</v>
      </c>
      <c r="FC67" s="73">
        <v>-2409</v>
      </c>
      <c r="FD67" s="73">
        <v>117569</v>
      </c>
      <c r="FE67" s="73">
        <v>691</v>
      </c>
      <c r="FF67" s="73">
        <v>128690</v>
      </c>
      <c r="FG67" s="73">
        <v>-131</v>
      </c>
      <c r="FH67" s="73">
        <v>15235</v>
      </c>
      <c r="FI67" s="73">
        <v>15104</v>
      </c>
      <c r="FJ67" s="79">
        <v>29522</v>
      </c>
      <c r="FK67" s="80">
        <v>95616</v>
      </c>
      <c r="FL67" s="80">
        <v>28559</v>
      </c>
      <c r="FM67" s="80">
        <v>26051</v>
      </c>
      <c r="FN67" s="76">
        <v>2123</v>
      </c>
      <c r="FO67" s="80">
        <v>88835</v>
      </c>
      <c r="FP67" s="80">
        <v>2841</v>
      </c>
      <c r="FQ67" s="80">
        <v>3905</v>
      </c>
      <c r="FR67" s="80">
        <v>9552</v>
      </c>
      <c r="FS67" s="81">
        <v>-19665</v>
      </c>
      <c r="FT67" s="76">
        <v>8669</v>
      </c>
      <c r="FU67" s="76">
        <v>44235</v>
      </c>
      <c r="FV67" s="76">
        <v>19665</v>
      </c>
      <c r="FW67" s="80">
        <v>139749</v>
      </c>
      <c r="FX67" s="80">
        <v>1029</v>
      </c>
      <c r="FY67" s="73">
        <v>29675</v>
      </c>
      <c r="FZ67" s="73">
        <v>100461</v>
      </c>
      <c r="GA67" s="73">
        <v>31664</v>
      </c>
      <c r="GB67" s="73">
        <v>29621</v>
      </c>
      <c r="GC67" s="73">
        <v>4059</v>
      </c>
      <c r="GD67" s="73">
        <v>91287</v>
      </c>
      <c r="GE67" s="73">
        <v>3739</v>
      </c>
      <c r="GF67" s="73">
        <v>5401</v>
      </c>
      <c r="GG67" s="73">
        <v>16941</v>
      </c>
      <c r="GH67" s="73">
        <v>-11232</v>
      </c>
      <c r="GI67" s="73">
        <v>9324</v>
      </c>
      <c r="GJ67" s="73">
        <v>51333</v>
      </c>
      <c r="GK67" s="73">
        <v>11232</v>
      </c>
      <c r="GL67" s="73">
        <v>147636</v>
      </c>
      <c r="GM67" s="73">
        <v>7654</v>
      </c>
      <c r="GN67" s="73">
        <v>34766</v>
      </c>
      <c r="GO67" s="77">
        <v>20</v>
      </c>
      <c r="GP67" s="78">
        <v>29891</v>
      </c>
      <c r="GQ67" s="73">
        <v>103757</v>
      </c>
      <c r="GR67" s="65">
        <v>33424</v>
      </c>
      <c r="GS67" s="65">
        <v>46667</v>
      </c>
      <c r="GT67" s="65">
        <v>0</v>
      </c>
      <c r="GU67" s="65">
        <v>93633</v>
      </c>
      <c r="GV67" s="65">
        <v>4466</v>
      </c>
      <c r="GW67" s="65">
        <v>5658</v>
      </c>
      <c r="GX67" s="65">
        <v>15231</v>
      </c>
      <c r="GY67" s="65">
        <v>-12039</v>
      </c>
      <c r="GZ67" s="65">
        <v>9831</v>
      </c>
      <c r="HA67" s="65">
        <v>50092</v>
      </c>
      <c r="HB67" s="65">
        <v>12039</v>
      </c>
      <c r="HC67" s="65">
        <v>164700</v>
      </c>
      <c r="HD67" s="65">
        <v>5440</v>
      </c>
      <c r="HE67" s="78">
        <v>30126</v>
      </c>
      <c r="HF67" s="73">
        <v>107941</v>
      </c>
      <c r="HG67" s="65">
        <v>33844</v>
      </c>
      <c r="HH67" s="65">
        <v>47059</v>
      </c>
      <c r="HI67" s="65">
        <v>660</v>
      </c>
      <c r="HJ67" s="65">
        <v>99239</v>
      </c>
      <c r="HK67" s="65">
        <v>2797</v>
      </c>
      <c r="HL67" s="65">
        <v>5905</v>
      </c>
      <c r="HM67" s="65">
        <v>10010</v>
      </c>
      <c r="HN67" s="65">
        <v>-19037</v>
      </c>
      <c r="HO67" s="65">
        <v>11275</v>
      </c>
      <c r="HP67" s="65">
        <v>54753</v>
      </c>
      <c r="HQ67" s="65">
        <v>19037</v>
      </c>
      <c r="HR67" s="65">
        <v>178061</v>
      </c>
      <c r="HS67" s="65">
        <v>-1256</v>
      </c>
      <c r="HT67" s="65">
        <v>38851</v>
      </c>
      <c r="HU67" s="77">
        <v>20</v>
      </c>
      <c r="HV67" s="180">
        <v>120</v>
      </c>
      <c r="HW67" s="30" t="s">
        <v>751</v>
      </c>
    </row>
    <row r="68" spans="1:231" ht="15" x14ac:dyDescent="0.25">
      <c r="A68" s="27">
        <v>213</v>
      </c>
      <c r="B68" s="27" t="s">
        <v>197</v>
      </c>
      <c r="C68" s="27">
        <v>10</v>
      </c>
      <c r="D68" s="27" t="s">
        <v>107</v>
      </c>
      <c r="E68" s="27">
        <v>3</v>
      </c>
      <c r="F68" s="27" t="s">
        <v>743</v>
      </c>
      <c r="G68" s="29" t="s">
        <v>130</v>
      </c>
      <c r="H68" s="27" t="s">
        <v>98</v>
      </c>
      <c r="I68" s="31" t="s">
        <v>107</v>
      </c>
      <c r="J68" s="69">
        <v>6881</v>
      </c>
      <c r="K68" s="69">
        <v>6730</v>
      </c>
      <c r="L68" s="36">
        <v>6679</v>
      </c>
      <c r="M68" s="36">
        <v>6587</v>
      </c>
      <c r="N68" s="36">
        <v>6494</v>
      </c>
      <c r="O68" s="36">
        <v>6419</v>
      </c>
      <c r="P68" s="36">
        <v>6315</v>
      </c>
      <c r="Q68" s="36">
        <v>6251</v>
      </c>
      <c r="R68" s="69">
        <v>6215</v>
      </c>
      <c r="S68" s="69">
        <v>6131</v>
      </c>
      <c r="T68" s="71">
        <v>6091</v>
      </c>
      <c r="U68" s="36">
        <v>12852</v>
      </c>
      <c r="V68" s="36">
        <v>8108</v>
      </c>
      <c r="W68" s="36">
        <v>4324</v>
      </c>
      <c r="X68" s="36">
        <v>359.08122299532607</v>
      </c>
      <c r="Y68" s="36">
        <v>12427</v>
      </c>
      <c r="Z68" s="36">
        <v>7609</v>
      </c>
      <c r="AA68" s="36">
        <v>4591</v>
      </c>
      <c r="AB68" s="36">
        <v>366.64967968609403</v>
      </c>
      <c r="AC68" s="36">
        <v>12310</v>
      </c>
      <c r="AD68" s="36">
        <v>7515</v>
      </c>
      <c r="AE68" s="36">
        <v>4560</v>
      </c>
      <c r="AF68" s="36">
        <v>421.31075578608505</v>
      </c>
      <c r="AG68" s="36">
        <v>12382</v>
      </c>
      <c r="AH68" s="36">
        <v>9295</v>
      </c>
      <c r="AI68" s="36">
        <v>4389</v>
      </c>
      <c r="AJ68" s="36">
        <v>401.12820461070379</v>
      </c>
      <c r="AK68" s="36">
        <v>12630</v>
      </c>
      <c r="AL68" s="36">
        <v>10110</v>
      </c>
      <c r="AM68" s="36">
        <v>5420</v>
      </c>
      <c r="AN68" s="36">
        <v>302</v>
      </c>
      <c r="AO68" s="36">
        <v>11368</v>
      </c>
      <c r="AP68" s="36">
        <v>10769</v>
      </c>
      <c r="AQ68" s="36">
        <v>5512</v>
      </c>
      <c r="AR68" s="36">
        <v>395</v>
      </c>
      <c r="AS68" s="36">
        <v>12019</v>
      </c>
      <c r="AT68" s="36">
        <v>12415</v>
      </c>
      <c r="AU68" s="36">
        <v>6108</v>
      </c>
      <c r="AV68" s="36">
        <v>285</v>
      </c>
      <c r="AW68" s="36">
        <v>12911</v>
      </c>
      <c r="AX68" s="69">
        <v>11714</v>
      </c>
      <c r="AY68" s="36">
        <v>6702</v>
      </c>
      <c r="AZ68" s="36">
        <v>245</v>
      </c>
      <c r="BA68" s="36">
        <v>13959</v>
      </c>
      <c r="BB68" s="36">
        <v>12275</v>
      </c>
      <c r="BC68" s="36">
        <v>6633</v>
      </c>
      <c r="BD68" s="36">
        <v>146</v>
      </c>
      <c r="BE68" s="70">
        <v>14303</v>
      </c>
      <c r="BF68" s="70">
        <v>13698</v>
      </c>
      <c r="BG68" s="70">
        <v>6464</v>
      </c>
      <c r="BH68" s="70">
        <v>284</v>
      </c>
      <c r="BI68" s="36">
        <v>14714</v>
      </c>
      <c r="BJ68" s="36">
        <v>15204</v>
      </c>
      <c r="BK68" s="36">
        <v>6523</v>
      </c>
      <c r="BL68" s="36">
        <v>287</v>
      </c>
      <c r="BM68" s="36">
        <v>8498.36773617369</v>
      </c>
      <c r="BN68" s="36">
        <v>3827.7890183375293</v>
      </c>
      <c r="BO68" s="36">
        <v>525.92364604514501</v>
      </c>
      <c r="BP68" s="36">
        <v>8489.7901519241532</v>
      </c>
      <c r="BQ68" s="36">
        <v>3305.397318748076</v>
      </c>
      <c r="BR68" s="36">
        <v>631.71385178943547</v>
      </c>
      <c r="BS68" s="36">
        <v>8053.6788586094553</v>
      </c>
      <c r="BT68" s="36">
        <v>3560.2020273372655</v>
      </c>
      <c r="BU68" s="36">
        <v>695.96163969773261</v>
      </c>
      <c r="BV68" s="36">
        <v>9081</v>
      </c>
      <c r="BW68" s="36">
        <v>2558</v>
      </c>
      <c r="BX68" s="36">
        <v>743</v>
      </c>
      <c r="BY68" s="36">
        <v>9885</v>
      </c>
      <c r="BZ68" s="36">
        <v>1980</v>
      </c>
      <c r="CA68" s="36">
        <v>765</v>
      </c>
      <c r="CB68" s="36">
        <v>9583</v>
      </c>
      <c r="CC68" s="36">
        <v>1020</v>
      </c>
      <c r="CD68" s="36">
        <v>765</v>
      </c>
      <c r="CE68" s="36">
        <v>9726</v>
      </c>
      <c r="CF68" s="36">
        <v>1521</v>
      </c>
      <c r="CG68" s="36">
        <v>772</v>
      </c>
      <c r="CH68" s="36">
        <v>10018</v>
      </c>
      <c r="CI68" s="36">
        <v>2065</v>
      </c>
      <c r="CJ68" s="70">
        <v>828</v>
      </c>
      <c r="CK68" s="70">
        <v>10724</v>
      </c>
      <c r="CL68" s="70">
        <v>2375</v>
      </c>
      <c r="CM68" s="36">
        <v>860</v>
      </c>
      <c r="CN68" s="36">
        <v>10847</v>
      </c>
      <c r="CO68" s="36">
        <v>2568</v>
      </c>
      <c r="CP68" s="36">
        <v>888</v>
      </c>
      <c r="CQ68" s="36">
        <v>11492</v>
      </c>
      <c r="CR68" s="36">
        <v>2278</v>
      </c>
      <c r="CS68" s="36">
        <v>944</v>
      </c>
      <c r="CT68" s="36">
        <v>773.15989794356619</v>
      </c>
      <c r="CU68" s="36">
        <v>-1285.292134</v>
      </c>
      <c r="CV68" s="36">
        <v>911.41037349492831</v>
      </c>
      <c r="CW68" s="36">
        <v>4721</v>
      </c>
      <c r="CX68" s="36">
        <v>900.14178242200705</v>
      </c>
      <c r="CY68" s="36">
        <v>-1418.328784</v>
      </c>
      <c r="CZ68" s="36">
        <v>1159.9921288050416</v>
      </c>
      <c r="DA68" s="36">
        <v>6212</v>
      </c>
      <c r="DB68" s="36">
        <v>-64.920539614143237</v>
      </c>
      <c r="DC68" s="36">
        <v>-1718.5442330000001</v>
      </c>
      <c r="DD68" s="36">
        <v>1063.7886348690572</v>
      </c>
      <c r="DE68" s="36">
        <v>7556</v>
      </c>
      <c r="DF68" s="36">
        <v>-58.529398408605836</v>
      </c>
      <c r="DG68" s="36">
        <v>-1611</v>
      </c>
      <c r="DH68" s="36">
        <v>738.17680923957187</v>
      </c>
      <c r="DI68" s="36">
        <v>8728</v>
      </c>
      <c r="DJ68" s="36">
        <v>1248</v>
      </c>
      <c r="DK68" s="36">
        <v>-1237</v>
      </c>
      <c r="DL68" s="36">
        <v>712</v>
      </c>
      <c r="DM68" s="36">
        <v>9470</v>
      </c>
      <c r="DN68" s="36">
        <v>145</v>
      </c>
      <c r="DO68" s="69">
        <v>-1297</v>
      </c>
      <c r="DP68" s="36">
        <v>724</v>
      </c>
      <c r="DQ68" s="36">
        <v>9662</v>
      </c>
      <c r="DR68" s="36">
        <v>1246</v>
      </c>
      <c r="DS68" s="36">
        <v>-2640</v>
      </c>
      <c r="DT68" s="36">
        <v>789</v>
      </c>
      <c r="DU68" s="36">
        <v>9981</v>
      </c>
      <c r="DV68" s="36">
        <v>68</v>
      </c>
      <c r="DW68" s="71">
        <v>-2305</v>
      </c>
      <c r="DX68" s="39">
        <v>835</v>
      </c>
      <c r="DY68" s="71">
        <v>12442</v>
      </c>
      <c r="DZ68" s="70">
        <v>895</v>
      </c>
      <c r="EA68" s="35">
        <v>-1282</v>
      </c>
      <c r="EB68" s="35">
        <v>849</v>
      </c>
      <c r="EC68" s="38">
        <v>12252</v>
      </c>
      <c r="ED68" s="38">
        <v>1270</v>
      </c>
      <c r="EE68" s="38">
        <v>-817</v>
      </c>
      <c r="EF68" s="38">
        <v>914</v>
      </c>
      <c r="EG68" s="73">
        <v>13080</v>
      </c>
      <c r="EH68" s="73">
        <v>1564</v>
      </c>
      <c r="EI68" s="73">
        <v>-2448</v>
      </c>
      <c r="EJ68" s="73">
        <v>924</v>
      </c>
      <c r="EK68" s="73">
        <v>13453</v>
      </c>
      <c r="EL68" s="73">
        <v>23531.004603303547</v>
      </c>
      <c r="EM68" s="73">
        <v>-31.955706027687096</v>
      </c>
      <c r="EN68" s="73">
        <v>22794.173297475667</v>
      </c>
      <c r="EO68" s="73">
        <v>-133.70940153690125</v>
      </c>
      <c r="EP68" s="73">
        <v>23413.945806486336</v>
      </c>
      <c r="EQ68" s="73">
        <v>-1128.7091744832005</v>
      </c>
      <c r="ER68" s="73">
        <v>24880.712713157172</v>
      </c>
      <c r="ES68" s="73">
        <v>-796.70620764817772</v>
      </c>
      <c r="ET68" s="73">
        <v>26752</v>
      </c>
      <c r="EU68" s="73">
        <v>911</v>
      </c>
      <c r="EV68" s="73">
        <v>27394</v>
      </c>
      <c r="EW68" s="73">
        <v>-433</v>
      </c>
      <c r="EX68" s="73">
        <v>29161</v>
      </c>
      <c r="EY68" s="73">
        <v>332</v>
      </c>
      <c r="EZ68" s="73">
        <v>31156</v>
      </c>
      <c r="FA68" s="73">
        <v>-1072</v>
      </c>
      <c r="FB68" s="73">
        <v>31789</v>
      </c>
      <c r="FC68" s="73">
        <v>46</v>
      </c>
      <c r="FD68" s="73">
        <v>32968</v>
      </c>
      <c r="FE68" s="73">
        <v>356</v>
      </c>
      <c r="FF68" s="73">
        <v>34655</v>
      </c>
      <c r="FG68" s="73">
        <v>685</v>
      </c>
      <c r="FH68" s="73">
        <v>-669</v>
      </c>
      <c r="FI68" s="73">
        <v>16</v>
      </c>
      <c r="FJ68" s="79">
        <v>6024</v>
      </c>
      <c r="FK68" s="80">
        <v>14537</v>
      </c>
      <c r="FL68" s="80">
        <v>16555</v>
      </c>
      <c r="FM68" s="80">
        <v>6365</v>
      </c>
      <c r="FN68" s="76">
        <v>166</v>
      </c>
      <c r="FO68" s="80">
        <v>11804</v>
      </c>
      <c r="FP68" s="80">
        <v>1716</v>
      </c>
      <c r="FQ68" s="80">
        <v>1017</v>
      </c>
      <c r="FR68" s="80">
        <v>2127</v>
      </c>
      <c r="FS68" s="81">
        <v>-1718</v>
      </c>
      <c r="FT68" s="76">
        <v>951</v>
      </c>
      <c r="FU68" s="76">
        <v>12941</v>
      </c>
      <c r="FV68" s="76">
        <v>1718</v>
      </c>
      <c r="FW68" s="80">
        <v>35141</v>
      </c>
      <c r="FX68" s="80">
        <v>1176</v>
      </c>
      <c r="FY68" s="73">
        <v>5964</v>
      </c>
      <c r="FZ68" s="73">
        <v>15019</v>
      </c>
      <c r="GA68" s="73">
        <v>18214</v>
      </c>
      <c r="GB68" s="73">
        <v>6762</v>
      </c>
      <c r="GC68" s="73">
        <v>160</v>
      </c>
      <c r="GD68" s="73">
        <v>11692</v>
      </c>
      <c r="GE68" s="73">
        <v>2190</v>
      </c>
      <c r="GF68" s="73">
        <v>1137</v>
      </c>
      <c r="GG68" s="73">
        <v>3078</v>
      </c>
      <c r="GH68" s="73">
        <v>-1716</v>
      </c>
      <c r="GI68" s="73">
        <v>989</v>
      </c>
      <c r="GJ68" s="73">
        <v>12699</v>
      </c>
      <c r="GK68" s="73">
        <v>1716</v>
      </c>
      <c r="GL68" s="73">
        <v>36840</v>
      </c>
      <c r="GM68" s="73">
        <v>1912</v>
      </c>
      <c r="GN68" s="73">
        <v>3104</v>
      </c>
      <c r="GO68" s="77">
        <v>19.5</v>
      </c>
      <c r="GP68" s="78">
        <v>5865</v>
      </c>
      <c r="GQ68" s="73">
        <v>15660</v>
      </c>
      <c r="GR68" s="65">
        <v>18270</v>
      </c>
      <c r="GS68" s="65">
        <v>4943</v>
      </c>
      <c r="GT68" s="65">
        <v>243</v>
      </c>
      <c r="GU68" s="65">
        <v>12097</v>
      </c>
      <c r="GV68" s="65">
        <v>2349</v>
      </c>
      <c r="GW68" s="65">
        <v>1214</v>
      </c>
      <c r="GX68" s="65">
        <v>1292</v>
      </c>
      <c r="GY68" s="65">
        <v>-3095</v>
      </c>
      <c r="GZ68" s="65">
        <v>1069</v>
      </c>
      <c r="HA68" s="65">
        <v>12899</v>
      </c>
      <c r="HB68" s="65">
        <v>3095</v>
      </c>
      <c r="HC68" s="65">
        <v>37524</v>
      </c>
      <c r="HD68" s="65">
        <v>266</v>
      </c>
      <c r="HE68" s="78">
        <v>5839</v>
      </c>
      <c r="HF68" s="73">
        <v>15106</v>
      </c>
      <c r="HG68" s="65">
        <v>19232</v>
      </c>
      <c r="HH68" s="65">
        <v>5353</v>
      </c>
      <c r="HI68" s="65">
        <v>149</v>
      </c>
      <c r="HJ68" s="65">
        <v>12275</v>
      </c>
      <c r="HK68" s="65">
        <v>1581</v>
      </c>
      <c r="HL68" s="65">
        <v>1250</v>
      </c>
      <c r="HM68" s="65">
        <v>1967</v>
      </c>
      <c r="HN68" s="65">
        <v>-475</v>
      </c>
      <c r="HO68" s="65">
        <v>1387</v>
      </c>
      <c r="HP68" s="65">
        <v>11700</v>
      </c>
      <c r="HQ68" s="65">
        <v>475</v>
      </c>
      <c r="HR68" s="65">
        <v>37703</v>
      </c>
      <c r="HS68" s="65">
        <v>580</v>
      </c>
      <c r="HT68" s="65">
        <v>3948</v>
      </c>
      <c r="HU68" s="77">
        <v>19.5</v>
      </c>
      <c r="HV68" s="180">
        <v>340</v>
      </c>
      <c r="HW68" s="30" t="s">
        <v>761</v>
      </c>
    </row>
    <row r="69" spans="1:231" ht="15" x14ac:dyDescent="0.25">
      <c r="A69" s="27">
        <v>214</v>
      </c>
      <c r="B69" s="27" t="s">
        <v>198</v>
      </c>
      <c r="C69" s="27">
        <v>4</v>
      </c>
      <c r="D69" s="27" t="s">
        <v>120</v>
      </c>
      <c r="E69" s="27">
        <v>4</v>
      </c>
      <c r="F69" s="27" t="s">
        <v>100</v>
      </c>
      <c r="G69" s="29" t="s">
        <v>132</v>
      </c>
      <c r="H69" s="27" t="s">
        <v>99</v>
      </c>
      <c r="I69" s="31" t="s">
        <v>120</v>
      </c>
      <c r="J69" s="69">
        <v>13261</v>
      </c>
      <c r="K69" s="69">
        <v>13159</v>
      </c>
      <c r="L69" s="36">
        <v>13018</v>
      </c>
      <c r="M69" s="36">
        <v>13001</v>
      </c>
      <c r="N69" s="36">
        <v>12848</v>
      </c>
      <c r="O69" s="36">
        <v>12782</v>
      </c>
      <c r="P69" s="36">
        <v>12692</v>
      </c>
      <c r="Q69" s="36">
        <v>12618</v>
      </c>
      <c r="R69" s="69">
        <v>12578</v>
      </c>
      <c r="S69" s="69">
        <v>12405</v>
      </c>
      <c r="T69" s="71">
        <v>12314</v>
      </c>
      <c r="U69" s="36">
        <v>24721</v>
      </c>
      <c r="V69" s="36">
        <v>10936</v>
      </c>
      <c r="W69" s="36">
        <v>6117</v>
      </c>
      <c r="X69" s="36">
        <v>546.10619722052627</v>
      </c>
      <c r="Y69" s="36">
        <v>24228</v>
      </c>
      <c r="Z69" s="36">
        <v>11870</v>
      </c>
      <c r="AA69" s="36">
        <v>5860</v>
      </c>
      <c r="AB69" s="36">
        <v>690.57962605096429</v>
      </c>
      <c r="AC69" s="36">
        <v>24740</v>
      </c>
      <c r="AD69" s="36">
        <v>13770</v>
      </c>
      <c r="AE69" s="36">
        <v>6387</v>
      </c>
      <c r="AF69" s="36">
        <v>861.62674726232103</v>
      </c>
      <c r="AG69" s="36">
        <v>25450</v>
      </c>
      <c r="AH69" s="36">
        <v>14357</v>
      </c>
      <c r="AI69" s="36">
        <v>7176</v>
      </c>
      <c r="AJ69" s="36">
        <v>683.51573313958079</v>
      </c>
      <c r="AK69" s="36">
        <v>27455</v>
      </c>
      <c r="AL69" s="36">
        <v>17547</v>
      </c>
      <c r="AM69" s="36">
        <v>7734</v>
      </c>
      <c r="AN69" s="36">
        <v>628</v>
      </c>
      <c r="AO69" s="36">
        <v>26476</v>
      </c>
      <c r="AP69" s="36">
        <v>17405</v>
      </c>
      <c r="AQ69" s="36">
        <v>7422</v>
      </c>
      <c r="AR69" s="36">
        <v>3254</v>
      </c>
      <c r="AS69" s="36">
        <v>27242</v>
      </c>
      <c r="AT69" s="36">
        <v>17649</v>
      </c>
      <c r="AU69" s="36">
        <v>7666</v>
      </c>
      <c r="AV69" s="36">
        <v>976</v>
      </c>
      <c r="AW69" s="36">
        <v>28089</v>
      </c>
      <c r="AX69" s="69">
        <v>18239</v>
      </c>
      <c r="AY69" s="36">
        <v>7937</v>
      </c>
      <c r="AZ69" s="36">
        <v>801</v>
      </c>
      <c r="BA69" s="36">
        <v>29241</v>
      </c>
      <c r="BB69" s="36">
        <v>19367</v>
      </c>
      <c r="BC69" s="36">
        <v>8952</v>
      </c>
      <c r="BD69" s="36">
        <v>1005</v>
      </c>
      <c r="BE69" s="70">
        <v>30670</v>
      </c>
      <c r="BF69" s="70">
        <v>19456</v>
      </c>
      <c r="BG69" s="70">
        <v>9737</v>
      </c>
      <c r="BH69" s="70">
        <v>1403</v>
      </c>
      <c r="BI69" s="36">
        <v>32608</v>
      </c>
      <c r="BJ69" s="36">
        <v>22508</v>
      </c>
      <c r="BK69" s="36">
        <v>9259</v>
      </c>
      <c r="BL69" s="36">
        <v>1414</v>
      </c>
      <c r="BM69" s="36">
        <v>20210.974934953319</v>
      </c>
      <c r="BN69" s="36">
        <v>3425.9880620209792</v>
      </c>
      <c r="BO69" s="36">
        <v>1072.5344070450558</v>
      </c>
      <c r="BP69" s="36">
        <v>20069.69707672565</v>
      </c>
      <c r="BQ69" s="36">
        <v>3072.1206647459603</v>
      </c>
      <c r="BR69" s="36">
        <v>1086.1576290884382</v>
      </c>
      <c r="BS69" s="36">
        <v>19602.975580794955</v>
      </c>
      <c r="BT69" s="36">
        <v>3845.280562689527</v>
      </c>
      <c r="BU69" s="36">
        <v>1291.6832752244047</v>
      </c>
      <c r="BV69" s="36">
        <v>22153</v>
      </c>
      <c r="BW69" s="36">
        <v>1919</v>
      </c>
      <c r="BX69" s="36">
        <v>1377</v>
      </c>
      <c r="BY69" s="36">
        <v>24124</v>
      </c>
      <c r="BZ69" s="36">
        <v>1923</v>
      </c>
      <c r="CA69" s="36">
        <v>1408</v>
      </c>
      <c r="CB69" s="36">
        <v>24129</v>
      </c>
      <c r="CC69" s="36">
        <v>940</v>
      </c>
      <c r="CD69" s="36">
        <v>1407</v>
      </c>
      <c r="CE69" s="36">
        <v>24666</v>
      </c>
      <c r="CF69" s="36">
        <v>1143</v>
      </c>
      <c r="CG69" s="36">
        <v>1433</v>
      </c>
      <c r="CH69" s="36">
        <v>25183</v>
      </c>
      <c r="CI69" s="36">
        <v>1425</v>
      </c>
      <c r="CJ69" s="70">
        <v>1481</v>
      </c>
      <c r="CK69" s="70">
        <v>26100</v>
      </c>
      <c r="CL69" s="70">
        <v>1647</v>
      </c>
      <c r="CM69" s="36">
        <v>1494</v>
      </c>
      <c r="CN69" s="36">
        <v>27007</v>
      </c>
      <c r="CO69" s="36">
        <v>2125</v>
      </c>
      <c r="CP69" s="36">
        <v>1538</v>
      </c>
      <c r="CQ69" s="36">
        <v>28626</v>
      </c>
      <c r="CR69" s="36">
        <v>2353</v>
      </c>
      <c r="CS69" s="36">
        <v>1629</v>
      </c>
      <c r="CT69" s="36">
        <v>551.99277464667921</v>
      </c>
      <c r="CU69" s="36">
        <v>-1617.463289</v>
      </c>
      <c r="CV69" s="36">
        <v>1662.3694651455751</v>
      </c>
      <c r="CW69" s="36">
        <v>18585</v>
      </c>
      <c r="CX69" s="36">
        <v>419.46068859500843</v>
      </c>
      <c r="CY69" s="36">
        <v>-2027.3372659999998</v>
      </c>
      <c r="CZ69" s="36">
        <v>1716.1896016132584</v>
      </c>
      <c r="DA69" s="36">
        <v>19777</v>
      </c>
      <c r="DB69" s="36">
        <v>1866.7177957963108</v>
      </c>
      <c r="DC69" s="36">
        <v>-2684.1111179999998</v>
      </c>
      <c r="DD69" s="36">
        <v>1781.6147050067864</v>
      </c>
      <c r="DE69" s="36">
        <v>18025</v>
      </c>
      <c r="DF69" s="36">
        <v>100.57638002398359</v>
      </c>
      <c r="DG69" s="36">
        <v>-2935</v>
      </c>
      <c r="DH69" s="36">
        <v>1897.8325621916904</v>
      </c>
      <c r="DI69" s="36">
        <v>18578</v>
      </c>
      <c r="DJ69" s="36">
        <v>5215</v>
      </c>
      <c r="DK69" s="36">
        <v>-1659</v>
      </c>
      <c r="DL69" s="36">
        <v>2169</v>
      </c>
      <c r="DM69" s="36">
        <v>18085</v>
      </c>
      <c r="DN69" s="36">
        <v>2279</v>
      </c>
      <c r="DO69" s="69">
        <v>-1325</v>
      </c>
      <c r="DP69" s="36">
        <v>2174</v>
      </c>
      <c r="DQ69" s="36">
        <v>18072</v>
      </c>
      <c r="DR69" s="36">
        <v>2613</v>
      </c>
      <c r="DS69" s="36">
        <v>-1614</v>
      </c>
      <c r="DT69" s="36">
        <v>2090</v>
      </c>
      <c r="DU69" s="36">
        <v>15584</v>
      </c>
      <c r="DV69" s="36">
        <v>1512</v>
      </c>
      <c r="DW69" s="71">
        <v>-1769</v>
      </c>
      <c r="DX69" s="39">
        <v>2064</v>
      </c>
      <c r="DY69" s="71">
        <v>15157</v>
      </c>
      <c r="DZ69" s="70">
        <v>923</v>
      </c>
      <c r="EA69" s="35">
        <v>-3350</v>
      </c>
      <c r="EB69" s="35">
        <v>2084</v>
      </c>
      <c r="EC69" s="38">
        <v>15572</v>
      </c>
      <c r="ED69" s="38">
        <v>-853</v>
      </c>
      <c r="EE69" s="38">
        <v>-2826</v>
      </c>
      <c r="EF69" s="38">
        <v>2365</v>
      </c>
      <c r="EG69" s="73">
        <v>18357</v>
      </c>
      <c r="EH69" s="73">
        <v>1568</v>
      </c>
      <c r="EI69" s="73">
        <v>-2879</v>
      </c>
      <c r="EJ69" s="84">
        <v>2259</v>
      </c>
      <c r="EK69" s="73">
        <v>19115</v>
      </c>
      <c r="EL69" s="73">
        <v>38591.392478299553</v>
      </c>
      <c r="EM69" s="73">
        <v>-963.0440669186122</v>
      </c>
      <c r="EN69" s="73">
        <v>39228.151967882834</v>
      </c>
      <c r="EO69" s="73">
        <v>-1044.9515871053679</v>
      </c>
      <c r="EP69" s="73">
        <v>40821.228007326266</v>
      </c>
      <c r="EQ69" s="73">
        <v>353.02645764271165</v>
      </c>
      <c r="ER69" s="73">
        <v>44267.230432596167</v>
      </c>
      <c r="ES69" s="73">
        <v>-1206.9165602878031</v>
      </c>
      <c r="ET69" s="73">
        <v>47390</v>
      </c>
      <c r="EU69" s="73">
        <v>3257</v>
      </c>
      <c r="EV69" s="73">
        <v>49134</v>
      </c>
      <c r="EW69" s="73">
        <v>283</v>
      </c>
      <c r="EX69" s="73">
        <v>50469</v>
      </c>
      <c r="EY69" s="73">
        <v>10</v>
      </c>
      <c r="EZ69" s="73">
        <v>53395</v>
      </c>
      <c r="FA69" s="73">
        <v>-552</v>
      </c>
      <c r="FB69" s="73">
        <v>57324</v>
      </c>
      <c r="FC69" s="73">
        <v>-1744</v>
      </c>
      <c r="FD69" s="73">
        <v>61025</v>
      </c>
      <c r="FE69" s="73">
        <v>-3218</v>
      </c>
      <c r="FF69" s="73">
        <v>63474</v>
      </c>
      <c r="FG69" s="73">
        <v>-691</v>
      </c>
      <c r="FH69" s="73">
        <v>-2914</v>
      </c>
      <c r="FI69" s="73">
        <v>-3605</v>
      </c>
      <c r="FJ69" s="79">
        <v>12224</v>
      </c>
      <c r="FK69" s="80">
        <v>34177</v>
      </c>
      <c r="FL69" s="80">
        <v>22530</v>
      </c>
      <c r="FM69" s="80">
        <v>8159</v>
      </c>
      <c r="FN69" s="76">
        <v>1930</v>
      </c>
      <c r="FO69" s="80">
        <v>30617</v>
      </c>
      <c r="FP69" s="80">
        <v>1864</v>
      </c>
      <c r="FQ69" s="80">
        <v>1696</v>
      </c>
      <c r="FR69" s="80">
        <v>4516</v>
      </c>
      <c r="FS69" s="81">
        <v>-4946</v>
      </c>
      <c r="FT69" s="76">
        <v>2104</v>
      </c>
      <c r="FU69" s="76">
        <v>20594</v>
      </c>
      <c r="FV69" s="76">
        <v>4946</v>
      </c>
      <c r="FW69" s="80">
        <v>60973</v>
      </c>
      <c r="FX69" s="80">
        <v>3265</v>
      </c>
      <c r="FY69" s="73">
        <v>12135</v>
      </c>
      <c r="FZ69" s="73">
        <v>34467</v>
      </c>
      <c r="GA69" s="73">
        <v>23062</v>
      </c>
      <c r="GB69" s="73">
        <v>10003</v>
      </c>
      <c r="GC69" s="73">
        <v>980</v>
      </c>
      <c r="GD69" s="73">
        <v>30080</v>
      </c>
      <c r="GE69" s="73">
        <v>2362</v>
      </c>
      <c r="GF69" s="73">
        <v>2025</v>
      </c>
      <c r="GG69" s="73">
        <v>4399</v>
      </c>
      <c r="GH69" s="73">
        <v>-3292</v>
      </c>
      <c r="GI69" s="73">
        <v>2180</v>
      </c>
      <c r="GJ69" s="73">
        <v>20869</v>
      </c>
      <c r="GK69" s="73">
        <v>3292</v>
      </c>
      <c r="GL69" s="73">
        <v>63820</v>
      </c>
      <c r="GM69" s="73">
        <v>2219</v>
      </c>
      <c r="GN69" s="73">
        <v>1879</v>
      </c>
      <c r="GO69" s="77">
        <v>20</v>
      </c>
      <c r="GP69" s="78">
        <v>12078</v>
      </c>
      <c r="GQ69" s="73">
        <v>34992</v>
      </c>
      <c r="GR69" s="65">
        <v>24007</v>
      </c>
      <c r="GS69" s="65">
        <v>9350</v>
      </c>
      <c r="GT69" s="65">
        <v>1171</v>
      </c>
      <c r="GU69" s="65">
        <v>30111</v>
      </c>
      <c r="GV69" s="65">
        <v>2796</v>
      </c>
      <c r="GW69" s="65">
        <v>2085</v>
      </c>
      <c r="GX69" s="65">
        <v>-577</v>
      </c>
      <c r="GY69" s="65">
        <v>-4559</v>
      </c>
      <c r="GZ69" s="65">
        <v>2241</v>
      </c>
      <c r="HA69" s="65">
        <v>24700</v>
      </c>
      <c r="HB69" s="65">
        <v>4559</v>
      </c>
      <c r="HC69" s="65">
        <v>69721</v>
      </c>
      <c r="HD69" s="65">
        <v>-2818</v>
      </c>
      <c r="HE69" s="78">
        <v>11957</v>
      </c>
      <c r="HF69" s="73">
        <v>36309</v>
      </c>
      <c r="HG69" s="65">
        <v>25962</v>
      </c>
      <c r="HH69" s="65">
        <v>9223</v>
      </c>
      <c r="HI69" s="65">
        <v>1179</v>
      </c>
      <c r="HJ69" s="65">
        <v>32088</v>
      </c>
      <c r="HK69" s="65">
        <v>2078</v>
      </c>
      <c r="HL69" s="65">
        <v>2143</v>
      </c>
      <c r="HM69" s="65">
        <v>979</v>
      </c>
      <c r="HN69" s="65">
        <v>-3646</v>
      </c>
      <c r="HO69" s="65">
        <v>2374</v>
      </c>
      <c r="HP69" s="65">
        <v>24970</v>
      </c>
      <c r="HQ69" s="65">
        <v>3646</v>
      </c>
      <c r="HR69" s="65">
        <v>71300</v>
      </c>
      <c r="HS69" s="65">
        <v>1497</v>
      </c>
      <c r="HT69" s="65">
        <v>558</v>
      </c>
      <c r="HU69" s="77">
        <v>20.5</v>
      </c>
      <c r="HV69" s="180">
        <v>230</v>
      </c>
      <c r="HW69" s="30" t="s">
        <v>756</v>
      </c>
    </row>
    <row r="70" spans="1:231" ht="15" x14ac:dyDescent="0.25">
      <c r="A70" s="27">
        <v>216</v>
      </c>
      <c r="B70" s="27" t="s">
        <v>199</v>
      </c>
      <c r="C70" s="27">
        <v>13</v>
      </c>
      <c r="D70" s="27" t="s">
        <v>111</v>
      </c>
      <c r="E70" s="27">
        <v>1</v>
      </c>
      <c r="F70" s="27" t="s">
        <v>103</v>
      </c>
      <c r="G70" s="29" t="s">
        <v>130</v>
      </c>
      <c r="H70" s="27" t="s">
        <v>98</v>
      </c>
      <c r="I70" s="31" t="s">
        <v>111</v>
      </c>
      <c r="J70" s="69">
        <v>1783</v>
      </c>
      <c r="K70" s="69">
        <v>1759</v>
      </c>
      <c r="L70" s="36">
        <v>1741</v>
      </c>
      <c r="M70" s="36">
        <v>1689</v>
      </c>
      <c r="N70" s="36">
        <v>1664</v>
      </c>
      <c r="O70" s="36">
        <v>1634</v>
      </c>
      <c r="P70" s="36">
        <v>1630</v>
      </c>
      <c r="Q70" s="36">
        <v>1627</v>
      </c>
      <c r="R70" s="69">
        <v>1645</v>
      </c>
      <c r="S70" s="69">
        <v>1610</v>
      </c>
      <c r="T70" s="71">
        <v>1609</v>
      </c>
      <c r="U70" s="36">
        <v>3706</v>
      </c>
      <c r="V70" s="36">
        <v>2557</v>
      </c>
      <c r="W70" s="36">
        <v>2108</v>
      </c>
      <c r="X70" s="36">
        <v>106.631145376598</v>
      </c>
      <c r="Y70" s="36">
        <v>3357</v>
      </c>
      <c r="Z70" s="36">
        <v>2444</v>
      </c>
      <c r="AA70" s="36">
        <v>2220</v>
      </c>
      <c r="AB70" s="36">
        <v>171.21530913781822</v>
      </c>
      <c r="AC70" s="36">
        <v>3618</v>
      </c>
      <c r="AD70" s="36">
        <v>2242</v>
      </c>
      <c r="AE70" s="36">
        <v>2282</v>
      </c>
      <c r="AF70" s="36">
        <v>394.40068755224337</v>
      </c>
      <c r="AG70" s="36">
        <v>3542</v>
      </c>
      <c r="AH70" s="36">
        <v>2487</v>
      </c>
      <c r="AI70" s="36">
        <v>2698</v>
      </c>
      <c r="AJ70" s="36">
        <v>248.74994323657481</v>
      </c>
      <c r="AK70" s="36">
        <v>2792</v>
      </c>
      <c r="AL70" s="36">
        <v>2471</v>
      </c>
      <c r="AM70" s="36">
        <v>2737</v>
      </c>
      <c r="AN70" s="36">
        <v>214</v>
      </c>
      <c r="AO70" s="36">
        <v>2831</v>
      </c>
      <c r="AP70" s="36">
        <v>3574</v>
      </c>
      <c r="AQ70" s="36">
        <v>2528</v>
      </c>
      <c r="AR70" s="36">
        <v>334</v>
      </c>
      <c r="AS70" s="36">
        <v>3033</v>
      </c>
      <c r="AT70" s="36">
        <v>3436</v>
      </c>
      <c r="AU70" s="36">
        <v>2544</v>
      </c>
      <c r="AV70" s="36">
        <v>421</v>
      </c>
      <c r="AW70" s="36">
        <v>3072</v>
      </c>
      <c r="AX70" s="69">
        <v>3594</v>
      </c>
      <c r="AY70" s="36">
        <v>3227</v>
      </c>
      <c r="AZ70" s="36">
        <v>293</v>
      </c>
      <c r="BA70" s="36">
        <v>3190</v>
      </c>
      <c r="BB70" s="36">
        <v>3974</v>
      </c>
      <c r="BC70" s="36">
        <v>3880</v>
      </c>
      <c r="BD70" s="36">
        <v>90</v>
      </c>
      <c r="BE70" s="70">
        <v>3676</v>
      </c>
      <c r="BF70" s="70">
        <v>4332</v>
      </c>
      <c r="BG70" s="70">
        <v>4446</v>
      </c>
      <c r="BH70" s="70">
        <v>288</v>
      </c>
      <c r="BI70" s="36">
        <v>3793</v>
      </c>
      <c r="BJ70" s="36">
        <v>4830</v>
      </c>
      <c r="BK70" s="36">
        <v>4398</v>
      </c>
      <c r="BL70" s="36">
        <v>0</v>
      </c>
      <c r="BM70" s="36">
        <v>2063.6658576827404</v>
      </c>
      <c r="BN70" s="36">
        <v>1495.0224783163715</v>
      </c>
      <c r="BO70" s="36">
        <v>146.82805980089913</v>
      </c>
      <c r="BP70" s="36">
        <v>2088.2212949461209</v>
      </c>
      <c r="BQ70" s="36">
        <v>1112.2267576899724</v>
      </c>
      <c r="BR70" s="36">
        <v>156.58295953566676</v>
      </c>
      <c r="BS70" s="36">
        <v>1928.4427648076855</v>
      </c>
      <c r="BT70" s="36">
        <v>1523.7826137412899</v>
      </c>
      <c r="BU70" s="36">
        <v>165.49691963812685</v>
      </c>
      <c r="BV70" s="36">
        <v>2385</v>
      </c>
      <c r="BW70" s="36">
        <v>1009</v>
      </c>
      <c r="BX70" s="36">
        <v>148</v>
      </c>
      <c r="BY70" s="36">
        <v>2418</v>
      </c>
      <c r="BZ70" s="36">
        <v>189</v>
      </c>
      <c r="CA70" s="36">
        <v>185</v>
      </c>
      <c r="CB70" s="36">
        <v>2397</v>
      </c>
      <c r="CC70" s="36">
        <v>220</v>
      </c>
      <c r="CD70" s="36">
        <v>214</v>
      </c>
      <c r="CE70" s="36">
        <v>2512</v>
      </c>
      <c r="CF70" s="36">
        <v>308</v>
      </c>
      <c r="CG70" s="36">
        <v>213</v>
      </c>
      <c r="CH70" s="36">
        <v>2416</v>
      </c>
      <c r="CI70" s="36">
        <v>433</v>
      </c>
      <c r="CJ70" s="70">
        <v>223</v>
      </c>
      <c r="CK70" s="70">
        <v>2511</v>
      </c>
      <c r="CL70" s="70">
        <v>453</v>
      </c>
      <c r="CM70" s="36">
        <v>226</v>
      </c>
      <c r="CN70" s="36">
        <v>2905</v>
      </c>
      <c r="CO70" s="36">
        <v>535</v>
      </c>
      <c r="CP70" s="36">
        <v>236</v>
      </c>
      <c r="CQ70" s="36">
        <v>2958</v>
      </c>
      <c r="CR70" s="36">
        <v>588</v>
      </c>
      <c r="CS70" s="36">
        <v>247</v>
      </c>
      <c r="CT70" s="36">
        <v>819.24338979402023</v>
      </c>
      <c r="CU70" s="36">
        <v>-613.71774370000003</v>
      </c>
      <c r="CV70" s="36">
        <v>279.52833377903136</v>
      </c>
      <c r="CW70" s="36">
        <v>1506</v>
      </c>
      <c r="CX70" s="36">
        <v>593.36700455621087</v>
      </c>
      <c r="CY70" s="36">
        <v>-702.68915679999998</v>
      </c>
      <c r="CZ70" s="36">
        <v>305.26108652764253</v>
      </c>
      <c r="DA70" s="36">
        <v>1573</v>
      </c>
      <c r="DB70" s="36">
        <v>66.097855099373831</v>
      </c>
      <c r="DC70" s="36">
        <v>3996.817884</v>
      </c>
      <c r="DD70" s="36">
        <v>317.37061723287133</v>
      </c>
      <c r="DE70" s="36">
        <v>1693</v>
      </c>
      <c r="DF70" s="36">
        <v>-95.867118083061285</v>
      </c>
      <c r="DG70" s="36">
        <v>-179</v>
      </c>
      <c r="DH70" s="36">
        <v>342.09424242271342</v>
      </c>
      <c r="DI70" s="36">
        <v>1687</v>
      </c>
      <c r="DJ70" s="36">
        <v>-919</v>
      </c>
      <c r="DK70" s="36">
        <v>-422</v>
      </c>
      <c r="DL70" s="36">
        <v>366</v>
      </c>
      <c r="DM70" s="36">
        <v>2311</v>
      </c>
      <c r="DN70" s="36">
        <v>406</v>
      </c>
      <c r="DO70" s="69">
        <v>-782</v>
      </c>
      <c r="DP70" s="36">
        <v>335</v>
      </c>
      <c r="DQ70" s="36">
        <v>3048</v>
      </c>
      <c r="DR70" s="36">
        <v>309</v>
      </c>
      <c r="DS70" s="36">
        <v>-4612</v>
      </c>
      <c r="DT70" s="36">
        <v>366</v>
      </c>
      <c r="DU70" s="36">
        <v>6213</v>
      </c>
      <c r="DV70" s="36">
        <v>376</v>
      </c>
      <c r="DW70" s="71">
        <v>-986</v>
      </c>
      <c r="DX70" s="39">
        <v>475</v>
      </c>
      <c r="DY70" s="71">
        <v>6622</v>
      </c>
      <c r="DZ70" s="70">
        <v>524</v>
      </c>
      <c r="EA70" s="35">
        <v>-79</v>
      </c>
      <c r="EB70" s="35">
        <v>489</v>
      </c>
      <c r="EC70" s="38">
        <v>5893</v>
      </c>
      <c r="ED70" s="38">
        <v>1280</v>
      </c>
      <c r="EE70" s="38">
        <v>-712</v>
      </c>
      <c r="EF70" s="38">
        <v>550</v>
      </c>
      <c r="EG70" s="73">
        <v>5659</v>
      </c>
      <c r="EH70" s="73">
        <v>320</v>
      </c>
      <c r="EI70" s="73">
        <v>-1988</v>
      </c>
      <c r="EJ70" s="73">
        <v>556</v>
      </c>
      <c r="EK70" s="73">
        <v>6558</v>
      </c>
      <c r="EL70" s="73">
        <v>7275.4733228720443</v>
      </c>
      <c r="EM70" s="73">
        <v>148.1735632125912</v>
      </c>
      <c r="EN70" s="73">
        <v>7253.2725165791244</v>
      </c>
      <c r="EO70" s="73">
        <v>297.52444191041303</v>
      </c>
      <c r="EP70" s="73">
        <v>7792.4830088147291</v>
      </c>
      <c r="EQ70" s="73">
        <v>4775.0234201687599</v>
      </c>
      <c r="ER70" s="73">
        <v>8382.4862548417095</v>
      </c>
      <c r="ES70" s="73">
        <v>-474.96270432730716</v>
      </c>
      <c r="ET70" s="73">
        <v>8677</v>
      </c>
      <c r="EU70" s="73">
        <v>-1285</v>
      </c>
      <c r="EV70" s="73">
        <v>8717</v>
      </c>
      <c r="EW70" s="73">
        <v>71</v>
      </c>
      <c r="EX70" s="73">
        <v>8963</v>
      </c>
      <c r="EY70" s="73">
        <v>-56</v>
      </c>
      <c r="EZ70" s="73">
        <v>9584</v>
      </c>
      <c r="FA70" s="73">
        <v>-90</v>
      </c>
      <c r="FB70" s="73">
        <v>10510</v>
      </c>
      <c r="FC70" s="73">
        <v>36</v>
      </c>
      <c r="FD70" s="73">
        <v>11185</v>
      </c>
      <c r="FE70" s="73">
        <v>694</v>
      </c>
      <c r="FF70" s="73">
        <v>12189</v>
      </c>
      <c r="FG70" s="73">
        <v>-236</v>
      </c>
      <c r="FH70" s="73">
        <v>4545</v>
      </c>
      <c r="FI70" s="73">
        <v>4309</v>
      </c>
      <c r="FJ70" s="79">
        <v>1587</v>
      </c>
      <c r="FK70" s="80">
        <v>3755</v>
      </c>
      <c r="FL70" s="80">
        <v>5254</v>
      </c>
      <c r="FM70" s="80">
        <v>4463</v>
      </c>
      <c r="FN70" s="76">
        <v>252</v>
      </c>
      <c r="FO70" s="80">
        <v>3004</v>
      </c>
      <c r="FP70" s="80">
        <v>496</v>
      </c>
      <c r="FQ70" s="80">
        <v>255</v>
      </c>
      <c r="FR70" s="80">
        <v>1528</v>
      </c>
      <c r="FS70" s="81">
        <v>-606</v>
      </c>
      <c r="FT70" s="76">
        <v>590</v>
      </c>
      <c r="FU70" s="76">
        <v>6460</v>
      </c>
      <c r="FV70" s="76">
        <v>606</v>
      </c>
      <c r="FW70" s="80">
        <v>12065</v>
      </c>
      <c r="FX70" s="80">
        <v>939</v>
      </c>
      <c r="FY70" s="73">
        <v>1577</v>
      </c>
      <c r="FZ70" s="73">
        <v>3892</v>
      </c>
      <c r="GA70" s="73">
        <v>5525</v>
      </c>
      <c r="GB70" s="73">
        <v>4690</v>
      </c>
      <c r="GC70" s="73">
        <v>122</v>
      </c>
      <c r="GD70" s="73">
        <v>2971</v>
      </c>
      <c r="GE70" s="73">
        <v>622</v>
      </c>
      <c r="GF70" s="73">
        <v>299</v>
      </c>
      <c r="GG70" s="73">
        <v>2034</v>
      </c>
      <c r="GH70" s="73">
        <v>-1113</v>
      </c>
      <c r="GI70" s="73">
        <v>637</v>
      </c>
      <c r="GJ70" s="73">
        <v>6518</v>
      </c>
      <c r="GK70" s="73">
        <v>1113</v>
      </c>
      <c r="GL70" s="73">
        <v>12129</v>
      </c>
      <c r="GM70" s="73">
        <v>1398</v>
      </c>
      <c r="GN70" s="73">
        <v>7653</v>
      </c>
      <c r="GO70" s="77">
        <v>19.5</v>
      </c>
      <c r="GP70" s="78">
        <v>1544</v>
      </c>
      <c r="GQ70" s="73">
        <v>3861</v>
      </c>
      <c r="GR70" s="65">
        <v>5630</v>
      </c>
      <c r="GS70" s="65">
        <v>5000</v>
      </c>
      <c r="GT70" s="65">
        <v>46</v>
      </c>
      <c r="GU70" s="65">
        <v>2962</v>
      </c>
      <c r="GV70" s="65">
        <v>597</v>
      </c>
      <c r="GW70" s="65">
        <v>302</v>
      </c>
      <c r="GX70" s="65">
        <v>1578</v>
      </c>
      <c r="GY70" s="65">
        <v>-3147</v>
      </c>
      <c r="GZ70" s="65">
        <v>676</v>
      </c>
      <c r="HA70" s="65">
        <v>8212</v>
      </c>
      <c r="HB70" s="65">
        <v>3147</v>
      </c>
      <c r="HC70" s="65">
        <v>12853</v>
      </c>
      <c r="HD70" s="65">
        <v>902</v>
      </c>
      <c r="HE70" s="78">
        <v>1553</v>
      </c>
      <c r="HF70" s="73">
        <v>3529</v>
      </c>
      <c r="HG70" s="65">
        <v>5950</v>
      </c>
      <c r="HH70" s="65">
        <v>5168</v>
      </c>
      <c r="HI70" s="65">
        <v>269</v>
      </c>
      <c r="HJ70" s="65">
        <v>2891</v>
      </c>
      <c r="HK70" s="65">
        <v>345</v>
      </c>
      <c r="HL70" s="65">
        <v>293</v>
      </c>
      <c r="HM70" s="65">
        <v>1086</v>
      </c>
      <c r="HN70" s="65">
        <v>-3487</v>
      </c>
      <c r="HO70" s="65">
        <v>855</v>
      </c>
      <c r="HP70" s="65">
        <v>8729</v>
      </c>
      <c r="HQ70" s="65">
        <v>3487</v>
      </c>
      <c r="HR70" s="65">
        <v>13714</v>
      </c>
      <c r="HS70" s="65">
        <v>181</v>
      </c>
      <c r="HT70" s="65">
        <v>8737</v>
      </c>
      <c r="HU70" s="77">
        <v>19.5</v>
      </c>
      <c r="HV70" s="180">
        <v>340</v>
      </c>
      <c r="HW70" s="30" t="s">
        <v>761</v>
      </c>
    </row>
    <row r="71" spans="1:231" ht="15" x14ac:dyDescent="0.25">
      <c r="A71" s="27">
        <v>217</v>
      </c>
      <c r="B71" s="27" t="s">
        <v>200</v>
      </c>
      <c r="C71" s="27">
        <v>16</v>
      </c>
      <c r="D71" s="27" t="s">
        <v>110</v>
      </c>
      <c r="E71" s="27">
        <v>3</v>
      </c>
      <c r="F71" s="27" t="s">
        <v>743</v>
      </c>
      <c r="G71" s="29" t="s">
        <v>132</v>
      </c>
      <c r="H71" s="27" t="s">
        <v>99</v>
      </c>
      <c r="I71" s="31" t="s">
        <v>110</v>
      </c>
      <c r="J71" s="69">
        <v>6234</v>
      </c>
      <c r="K71" s="69">
        <v>6175</v>
      </c>
      <c r="L71" s="36">
        <v>6106</v>
      </c>
      <c r="M71" s="36">
        <v>6047</v>
      </c>
      <c r="N71" s="36">
        <v>6047</v>
      </c>
      <c r="O71" s="36">
        <v>5982</v>
      </c>
      <c r="P71" s="36">
        <v>5961</v>
      </c>
      <c r="Q71" s="36">
        <v>5933</v>
      </c>
      <c r="R71" s="69">
        <v>5892</v>
      </c>
      <c r="S71" s="69">
        <v>5844</v>
      </c>
      <c r="T71" s="71">
        <v>5745</v>
      </c>
      <c r="U71" s="36">
        <v>10440</v>
      </c>
      <c r="V71" s="36">
        <v>7293</v>
      </c>
      <c r="W71" s="36">
        <v>3397</v>
      </c>
      <c r="X71" s="36">
        <v>290.1241731461065</v>
      </c>
      <c r="Y71" s="36">
        <v>11158</v>
      </c>
      <c r="Z71" s="36">
        <v>7254</v>
      </c>
      <c r="AA71" s="36">
        <v>3332</v>
      </c>
      <c r="AB71" s="36">
        <v>282.55571645533854</v>
      </c>
      <c r="AC71" s="36">
        <v>10744</v>
      </c>
      <c r="AD71" s="36">
        <v>7635</v>
      </c>
      <c r="AE71" s="36">
        <v>3481</v>
      </c>
      <c r="AF71" s="36">
        <v>91.157856142138968</v>
      </c>
      <c r="AG71" s="36">
        <v>12243</v>
      </c>
      <c r="AH71" s="36">
        <v>9332</v>
      </c>
      <c r="AI71" s="36">
        <v>3465</v>
      </c>
      <c r="AJ71" s="36">
        <v>91.494231995061995</v>
      </c>
      <c r="AK71" s="36">
        <v>13108</v>
      </c>
      <c r="AL71" s="36">
        <v>9360</v>
      </c>
      <c r="AM71" s="36">
        <v>3478</v>
      </c>
      <c r="AN71" s="36">
        <v>41</v>
      </c>
      <c r="AO71" s="36">
        <v>12930</v>
      </c>
      <c r="AP71" s="36">
        <v>9518</v>
      </c>
      <c r="AQ71" s="36">
        <v>3733</v>
      </c>
      <c r="AR71" s="36">
        <v>23</v>
      </c>
      <c r="AS71" s="36">
        <v>12872</v>
      </c>
      <c r="AT71" s="36">
        <v>9281</v>
      </c>
      <c r="AU71" s="36">
        <v>2935</v>
      </c>
      <c r="AV71" s="36">
        <v>61</v>
      </c>
      <c r="AW71" s="36">
        <v>12981</v>
      </c>
      <c r="AX71" s="69">
        <v>9420</v>
      </c>
      <c r="AY71" s="36">
        <v>2986</v>
      </c>
      <c r="AZ71" s="36">
        <v>33</v>
      </c>
      <c r="BA71" s="36">
        <v>13536</v>
      </c>
      <c r="BB71" s="36">
        <v>10042</v>
      </c>
      <c r="BC71" s="36">
        <v>3321</v>
      </c>
      <c r="BD71" s="36">
        <v>16</v>
      </c>
      <c r="BE71" s="70">
        <v>14602</v>
      </c>
      <c r="BF71" s="70">
        <v>10782</v>
      </c>
      <c r="BG71" s="70">
        <v>3507</v>
      </c>
      <c r="BH71" s="70">
        <v>47</v>
      </c>
      <c r="BI71" s="36">
        <v>15265</v>
      </c>
      <c r="BJ71" s="36">
        <v>11742</v>
      </c>
      <c r="BK71" s="36">
        <v>3837</v>
      </c>
      <c r="BL71" s="36">
        <v>19</v>
      </c>
      <c r="BM71" s="36">
        <v>9033.8780940271427</v>
      </c>
      <c r="BN71" s="36">
        <v>1034.5239356647544</v>
      </c>
      <c r="BO71" s="36">
        <v>371.69531747993938</v>
      </c>
      <c r="BP71" s="36">
        <v>9669.2920801987311</v>
      </c>
      <c r="BQ71" s="36">
        <v>1082.6256826327465</v>
      </c>
      <c r="BR71" s="36">
        <v>406.5102182574721</v>
      </c>
      <c r="BS71" s="36">
        <v>9410.7872372273887</v>
      </c>
      <c r="BT71" s="36">
        <v>894.5915808487772</v>
      </c>
      <c r="BU71" s="36">
        <v>438.2977363586977</v>
      </c>
      <c r="BV71" s="36">
        <v>10760</v>
      </c>
      <c r="BW71" s="36">
        <v>1001</v>
      </c>
      <c r="BX71" s="36">
        <v>482</v>
      </c>
      <c r="BY71" s="36">
        <v>11818</v>
      </c>
      <c r="BZ71" s="36">
        <v>469</v>
      </c>
      <c r="CA71" s="36">
        <v>821</v>
      </c>
      <c r="CB71" s="36">
        <v>11766</v>
      </c>
      <c r="CC71" s="36">
        <v>353</v>
      </c>
      <c r="CD71" s="36">
        <v>811</v>
      </c>
      <c r="CE71" s="36">
        <v>11820</v>
      </c>
      <c r="CF71" s="36">
        <v>364</v>
      </c>
      <c r="CG71" s="36">
        <v>688</v>
      </c>
      <c r="CH71" s="36">
        <v>11856</v>
      </c>
      <c r="CI71" s="36">
        <v>411</v>
      </c>
      <c r="CJ71" s="70">
        <v>714</v>
      </c>
      <c r="CK71" s="70">
        <v>12221</v>
      </c>
      <c r="CL71" s="70">
        <v>562</v>
      </c>
      <c r="CM71" s="36">
        <v>753</v>
      </c>
      <c r="CN71" s="36">
        <v>12959</v>
      </c>
      <c r="CO71" s="36">
        <v>874</v>
      </c>
      <c r="CP71" s="36">
        <v>769</v>
      </c>
      <c r="CQ71" s="36">
        <v>13483</v>
      </c>
      <c r="CR71" s="36">
        <v>1064</v>
      </c>
      <c r="CS71" s="36">
        <v>718</v>
      </c>
      <c r="CT71" s="36">
        <v>1132.5774967918153</v>
      </c>
      <c r="CU71" s="36">
        <v>-477.99008700000002</v>
      </c>
      <c r="CV71" s="36">
        <v>502.20914841407193</v>
      </c>
      <c r="CW71" s="36">
        <v>12282</v>
      </c>
      <c r="CX71" s="36">
        <v>1328.8528069723986</v>
      </c>
      <c r="CY71" s="36">
        <v>-694.95251210000004</v>
      </c>
      <c r="CZ71" s="36">
        <v>552.8337142789868</v>
      </c>
      <c r="DA71" s="36">
        <v>11482</v>
      </c>
      <c r="DB71" s="36">
        <v>-148.1735632125912</v>
      </c>
      <c r="DC71" s="36">
        <v>-802.92916090000006</v>
      </c>
      <c r="DD71" s="36">
        <v>549.97451952914105</v>
      </c>
      <c r="DE71" s="36">
        <v>11137</v>
      </c>
      <c r="DF71" s="36">
        <v>1628.0591281474267</v>
      </c>
      <c r="DG71" s="36">
        <v>-982</v>
      </c>
      <c r="DH71" s="36">
        <v>627.84552948082069</v>
      </c>
      <c r="DI71" s="36">
        <v>9603</v>
      </c>
      <c r="DJ71" s="36">
        <v>1447</v>
      </c>
      <c r="DK71" s="36">
        <v>-1217</v>
      </c>
      <c r="DL71" s="36">
        <v>554</v>
      </c>
      <c r="DM71" s="36">
        <v>7281</v>
      </c>
      <c r="DN71" s="36">
        <v>2931</v>
      </c>
      <c r="DO71" s="69">
        <v>-949</v>
      </c>
      <c r="DP71" s="36">
        <v>599</v>
      </c>
      <c r="DQ71" s="36">
        <v>6110</v>
      </c>
      <c r="DR71" s="36">
        <v>1336</v>
      </c>
      <c r="DS71" s="36">
        <v>-1505</v>
      </c>
      <c r="DT71" s="36">
        <v>636</v>
      </c>
      <c r="DU71" s="36">
        <v>5451</v>
      </c>
      <c r="DV71" s="36">
        <v>765</v>
      </c>
      <c r="DW71" s="71">
        <v>-1558</v>
      </c>
      <c r="DX71" s="39">
        <v>688</v>
      </c>
      <c r="DY71" s="71">
        <v>6266</v>
      </c>
      <c r="DZ71" s="70">
        <v>809</v>
      </c>
      <c r="EA71" s="35">
        <v>-2436</v>
      </c>
      <c r="EB71" s="35">
        <v>720</v>
      </c>
      <c r="EC71" s="38">
        <v>7676</v>
      </c>
      <c r="ED71" s="38">
        <v>1548</v>
      </c>
      <c r="EE71" s="38">
        <v>-1053</v>
      </c>
      <c r="EF71" s="38">
        <v>769</v>
      </c>
      <c r="EG71" s="73">
        <v>6697</v>
      </c>
      <c r="EH71" s="73">
        <v>2175</v>
      </c>
      <c r="EI71" s="73">
        <v>-115</v>
      </c>
      <c r="EJ71" s="73">
        <v>822</v>
      </c>
      <c r="EK71" s="73">
        <v>5760</v>
      </c>
      <c r="EL71" s="73">
        <v>18474.098218385294</v>
      </c>
      <c r="EM71" s="73">
        <v>209.89853222396576</v>
      </c>
      <c r="EN71" s="73">
        <v>18477.461976914525</v>
      </c>
      <c r="EO71" s="73">
        <v>797.37895935402378</v>
      </c>
      <c r="EP71" s="73">
        <v>19980.389287774586</v>
      </c>
      <c r="EQ71" s="73">
        <v>-698.14808274173231</v>
      </c>
      <c r="ER71" s="73">
        <v>20928.464629238126</v>
      </c>
      <c r="ES71" s="73">
        <v>1000.2135986666061</v>
      </c>
      <c r="ET71" s="73">
        <v>22007</v>
      </c>
      <c r="EU71" s="73">
        <v>893</v>
      </c>
      <c r="EV71" s="73">
        <v>23031</v>
      </c>
      <c r="EW71" s="73">
        <v>650</v>
      </c>
      <c r="EX71" s="73">
        <v>23654</v>
      </c>
      <c r="EY71" s="73">
        <v>700</v>
      </c>
      <c r="EZ71" s="73">
        <v>24478</v>
      </c>
      <c r="FA71" s="73">
        <v>-113</v>
      </c>
      <c r="FB71" s="73">
        <v>25886</v>
      </c>
      <c r="FC71" s="73">
        <v>2</v>
      </c>
      <c r="FD71" s="73">
        <v>27074</v>
      </c>
      <c r="FE71" s="73">
        <v>832</v>
      </c>
      <c r="FF71" s="73">
        <v>28420</v>
      </c>
      <c r="FG71" s="73">
        <v>1218</v>
      </c>
      <c r="FH71" s="73">
        <v>3575</v>
      </c>
      <c r="FI71" s="73">
        <v>4793</v>
      </c>
      <c r="FJ71" s="79">
        <v>5793</v>
      </c>
      <c r="FK71" s="80">
        <v>15382</v>
      </c>
      <c r="FL71" s="80">
        <v>12286</v>
      </c>
      <c r="FM71" s="80">
        <v>2307</v>
      </c>
      <c r="FN71" s="76">
        <v>4</v>
      </c>
      <c r="FO71" s="80">
        <v>13764</v>
      </c>
      <c r="FP71" s="80">
        <v>878</v>
      </c>
      <c r="FQ71" s="80">
        <v>740</v>
      </c>
      <c r="FR71" s="80">
        <v>2110</v>
      </c>
      <c r="FS71" s="81">
        <v>-629</v>
      </c>
      <c r="FT71" s="76">
        <v>745</v>
      </c>
      <c r="FU71" s="76">
        <v>4825</v>
      </c>
      <c r="FV71" s="76">
        <v>629</v>
      </c>
      <c r="FW71" s="80">
        <v>27817</v>
      </c>
      <c r="FX71" s="80">
        <v>864</v>
      </c>
      <c r="FY71" s="73">
        <v>5737</v>
      </c>
      <c r="FZ71" s="73">
        <v>15286</v>
      </c>
      <c r="GA71" s="73">
        <v>12475</v>
      </c>
      <c r="GB71" s="73">
        <v>2563</v>
      </c>
      <c r="GC71" s="73">
        <v>0</v>
      </c>
      <c r="GD71" s="73">
        <v>13468</v>
      </c>
      <c r="GE71" s="73">
        <v>1088</v>
      </c>
      <c r="GF71" s="73">
        <v>730</v>
      </c>
      <c r="GG71" s="73">
        <v>1088</v>
      </c>
      <c r="GH71" s="73">
        <v>-1399</v>
      </c>
      <c r="GI71" s="73">
        <v>689</v>
      </c>
      <c r="GJ71" s="73">
        <v>4702</v>
      </c>
      <c r="GK71" s="73">
        <v>1399</v>
      </c>
      <c r="GL71" s="73">
        <v>29221</v>
      </c>
      <c r="GM71" s="73">
        <v>483</v>
      </c>
      <c r="GN71" s="73">
        <v>6140</v>
      </c>
      <c r="GO71" s="77">
        <v>19.5</v>
      </c>
      <c r="GP71" s="78">
        <v>5697</v>
      </c>
      <c r="GQ71" s="73">
        <v>15649</v>
      </c>
      <c r="GR71" s="65">
        <v>12888</v>
      </c>
      <c r="GS71" s="65">
        <v>2838</v>
      </c>
      <c r="GT71" s="65">
        <v>29</v>
      </c>
      <c r="GU71" s="65">
        <v>13596</v>
      </c>
      <c r="GV71" s="65">
        <v>1301</v>
      </c>
      <c r="GW71" s="65">
        <v>752</v>
      </c>
      <c r="GX71" s="65">
        <v>-107</v>
      </c>
      <c r="GY71" s="65">
        <v>-3064</v>
      </c>
      <c r="GZ71" s="65">
        <v>666</v>
      </c>
      <c r="HA71" s="65">
        <v>6531</v>
      </c>
      <c r="HB71" s="65">
        <v>3064</v>
      </c>
      <c r="HC71" s="65">
        <v>31453</v>
      </c>
      <c r="HD71" s="65">
        <v>-687</v>
      </c>
      <c r="HE71" s="78">
        <v>5736</v>
      </c>
      <c r="HF71" s="73">
        <v>15958</v>
      </c>
      <c r="HG71" s="65">
        <v>13456</v>
      </c>
      <c r="HH71" s="65">
        <v>3106</v>
      </c>
      <c r="HI71" s="65">
        <v>6</v>
      </c>
      <c r="HJ71" s="65">
        <v>14090</v>
      </c>
      <c r="HK71" s="65">
        <v>967</v>
      </c>
      <c r="HL71" s="65">
        <v>901</v>
      </c>
      <c r="HM71" s="65">
        <v>-372</v>
      </c>
      <c r="HN71" s="65">
        <v>-2710</v>
      </c>
      <c r="HO71" s="65">
        <v>769</v>
      </c>
      <c r="HP71" s="65">
        <v>9368</v>
      </c>
      <c r="HQ71" s="65">
        <v>2710</v>
      </c>
      <c r="HR71" s="65">
        <v>32872</v>
      </c>
      <c r="HS71" s="65">
        <v>-1024</v>
      </c>
      <c r="HT71" s="65">
        <v>4428</v>
      </c>
      <c r="HU71" s="77">
        <v>19.5</v>
      </c>
      <c r="HV71" s="180">
        <v>330</v>
      </c>
      <c r="HW71" s="30" t="s">
        <v>760</v>
      </c>
    </row>
    <row r="72" spans="1:231" ht="15" x14ac:dyDescent="0.25">
      <c r="A72" s="27">
        <v>218</v>
      </c>
      <c r="B72" s="27" t="s">
        <v>201</v>
      </c>
      <c r="C72" s="27">
        <v>14</v>
      </c>
      <c r="D72" s="27" t="s">
        <v>106</v>
      </c>
      <c r="E72" s="27">
        <v>1</v>
      </c>
      <c r="F72" s="27" t="s">
        <v>103</v>
      </c>
      <c r="G72" s="29" t="s">
        <v>130</v>
      </c>
      <c r="H72" s="27" t="s">
        <v>98</v>
      </c>
      <c r="I72" s="31" t="s">
        <v>106</v>
      </c>
      <c r="J72" s="69">
        <v>1840</v>
      </c>
      <c r="K72" s="69">
        <v>1797</v>
      </c>
      <c r="L72" s="36">
        <v>1760</v>
      </c>
      <c r="M72" s="36">
        <v>1736</v>
      </c>
      <c r="N72" s="36">
        <v>1707</v>
      </c>
      <c r="O72" s="36">
        <v>1686</v>
      </c>
      <c r="P72" s="36">
        <v>1693</v>
      </c>
      <c r="Q72" s="36">
        <v>1673</v>
      </c>
      <c r="R72" s="69">
        <v>1617</v>
      </c>
      <c r="S72" s="69">
        <v>1579</v>
      </c>
      <c r="T72" s="71">
        <v>1574</v>
      </c>
      <c r="U72" s="36">
        <v>2781</v>
      </c>
      <c r="V72" s="36">
        <v>2154</v>
      </c>
      <c r="W72" s="36">
        <v>1079</v>
      </c>
      <c r="X72" s="36">
        <v>168.52430231443404</v>
      </c>
      <c r="Y72" s="36">
        <v>2769</v>
      </c>
      <c r="Z72" s="36">
        <v>2240</v>
      </c>
      <c r="AA72" s="36">
        <v>1099</v>
      </c>
      <c r="AB72" s="36">
        <v>177.10188656397111</v>
      </c>
      <c r="AC72" s="36">
        <v>2813</v>
      </c>
      <c r="AD72" s="36">
        <v>2552</v>
      </c>
      <c r="AE72" s="36">
        <v>1096</v>
      </c>
      <c r="AF72" s="36">
        <v>162.3013490353581</v>
      </c>
      <c r="AG72" s="36">
        <v>2994</v>
      </c>
      <c r="AH72" s="36">
        <v>2643</v>
      </c>
      <c r="AI72" s="36">
        <v>1009</v>
      </c>
      <c r="AJ72" s="36">
        <v>162.97410074120418</v>
      </c>
      <c r="AK72" s="36">
        <v>2936</v>
      </c>
      <c r="AL72" s="36">
        <v>2722</v>
      </c>
      <c r="AM72" s="36">
        <v>1054</v>
      </c>
      <c r="AN72" s="36">
        <v>91</v>
      </c>
      <c r="AO72" s="36">
        <v>2853</v>
      </c>
      <c r="AP72" s="36">
        <v>2871</v>
      </c>
      <c r="AQ72" s="36">
        <v>1006</v>
      </c>
      <c r="AR72" s="36">
        <v>91</v>
      </c>
      <c r="AS72" s="36">
        <v>2975</v>
      </c>
      <c r="AT72" s="36">
        <v>2867</v>
      </c>
      <c r="AU72" s="36">
        <v>740</v>
      </c>
      <c r="AV72" s="36">
        <v>94</v>
      </c>
      <c r="AW72" s="36">
        <v>3155</v>
      </c>
      <c r="AX72" s="69">
        <v>2978</v>
      </c>
      <c r="AY72" s="36">
        <v>686</v>
      </c>
      <c r="AZ72" s="36">
        <v>76</v>
      </c>
      <c r="BA72" s="36">
        <v>3217</v>
      </c>
      <c r="BB72" s="36">
        <v>3110</v>
      </c>
      <c r="BC72" s="36">
        <v>770</v>
      </c>
      <c r="BD72" s="36">
        <v>32</v>
      </c>
      <c r="BE72" s="70">
        <v>3489</v>
      </c>
      <c r="BF72" s="70">
        <v>3076</v>
      </c>
      <c r="BG72" s="70">
        <v>818</v>
      </c>
      <c r="BH72" s="70">
        <v>93</v>
      </c>
      <c r="BI72" s="36">
        <v>3743</v>
      </c>
      <c r="BJ72" s="36">
        <v>3310</v>
      </c>
      <c r="BK72" s="36">
        <v>898</v>
      </c>
      <c r="BL72" s="36">
        <v>38</v>
      </c>
      <c r="BM72" s="36">
        <v>2130.2682765614986</v>
      </c>
      <c r="BN72" s="36">
        <v>570.66163448390694</v>
      </c>
      <c r="BO72" s="36">
        <v>80.562016775063782</v>
      </c>
      <c r="BP72" s="36">
        <v>2256.7455972605549</v>
      </c>
      <c r="BQ72" s="36">
        <v>432.74753478546785</v>
      </c>
      <c r="BR72" s="36">
        <v>79.04832543691019</v>
      </c>
      <c r="BS72" s="36">
        <v>2254.7273421430168</v>
      </c>
      <c r="BT72" s="36">
        <v>482.36297309161364</v>
      </c>
      <c r="BU72" s="36">
        <v>75.684566907679965</v>
      </c>
      <c r="BV72" s="36">
        <v>2586</v>
      </c>
      <c r="BW72" s="36">
        <v>323</v>
      </c>
      <c r="BX72" s="36">
        <v>84</v>
      </c>
      <c r="BY72" s="36">
        <v>2651</v>
      </c>
      <c r="BZ72" s="36">
        <v>173</v>
      </c>
      <c r="CA72" s="36">
        <v>112</v>
      </c>
      <c r="CB72" s="36">
        <v>2639</v>
      </c>
      <c r="CC72" s="36">
        <v>104</v>
      </c>
      <c r="CD72" s="36">
        <v>110</v>
      </c>
      <c r="CE72" s="36">
        <v>2730</v>
      </c>
      <c r="CF72" s="36">
        <v>138</v>
      </c>
      <c r="CG72" s="36">
        <v>107</v>
      </c>
      <c r="CH72" s="36">
        <v>2863</v>
      </c>
      <c r="CI72" s="36">
        <v>174</v>
      </c>
      <c r="CJ72" s="70">
        <v>118</v>
      </c>
      <c r="CK72" s="70">
        <v>2868</v>
      </c>
      <c r="CL72" s="70">
        <v>212</v>
      </c>
      <c r="CM72" s="36">
        <v>137</v>
      </c>
      <c r="CN72" s="36">
        <v>3065</v>
      </c>
      <c r="CO72" s="36">
        <v>297</v>
      </c>
      <c r="CP72" s="36">
        <v>127</v>
      </c>
      <c r="CQ72" s="36">
        <v>3325</v>
      </c>
      <c r="CR72" s="36">
        <v>282</v>
      </c>
      <c r="CS72" s="36">
        <v>136</v>
      </c>
      <c r="CT72" s="36">
        <v>236.13584875196148</v>
      </c>
      <c r="CU72" s="36">
        <v>-144.8098047</v>
      </c>
      <c r="CV72" s="36">
        <v>155.74201990335922</v>
      </c>
      <c r="CW72" s="36">
        <v>1401</v>
      </c>
      <c r="CX72" s="36">
        <v>103.94013855321381</v>
      </c>
      <c r="CY72" s="36">
        <v>-199.4708808</v>
      </c>
      <c r="CZ72" s="36">
        <v>149.3508786978218</v>
      </c>
      <c r="DA72" s="36">
        <v>1077</v>
      </c>
      <c r="DB72" s="36">
        <v>554.1792176906788</v>
      </c>
      <c r="DC72" s="36">
        <v>-397.09169439999999</v>
      </c>
      <c r="DD72" s="36">
        <v>143.12792541874589</v>
      </c>
      <c r="DE72" s="36">
        <v>846</v>
      </c>
      <c r="DF72" s="36">
        <v>103.26738684736777</v>
      </c>
      <c r="DG72" s="36">
        <v>-433</v>
      </c>
      <c r="DH72" s="36">
        <v>154.39651649166711</v>
      </c>
      <c r="DI72" s="36">
        <v>713</v>
      </c>
      <c r="DJ72" s="36">
        <v>191</v>
      </c>
      <c r="DK72" s="36">
        <v>-163</v>
      </c>
      <c r="DL72" s="36">
        <v>168</v>
      </c>
      <c r="DM72" s="36">
        <v>600</v>
      </c>
      <c r="DN72" s="36">
        <v>71</v>
      </c>
      <c r="DO72" s="69">
        <v>-456</v>
      </c>
      <c r="DP72" s="36">
        <v>173</v>
      </c>
      <c r="DQ72" s="36">
        <v>1287</v>
      </c>
      <c r="DR72" s="36">
        <v>-309</v>
      </c>
      <c r="DS72" s="36">
        <v>-347</v>
      </c>
      <c r="DT72" s="36">
        <v>180</v>
      </c>
      <c r="DU72" s="36">
        <v>1745</v>
      </c>
      <c r="DV72" s="36">
        <v>-313</v>
      </c>
      <c r="DW72" s="71">
        <v>-207</v>
      </c>
      <c r="DX72" s="39">
        <v>185</v>
      </c>
      <c r="DY72" s="71">
        <v>2239</v>
      </c>
      <c r="DZ72" s="70">
        <v>218</v>
      </c>
      <c r="EA72" s="35">
        <v>-2</v>
      </c>
      <c r="EB72" s="35">
        <v>195</v>
      </c>
      <c r="EC72" s="38">
        <v>2426</v>
      </c>
      <c r="ED72" s="38">
        <v>356</v>
      </c>
      <c r="EE72" s="38">
        <v>-129</v>
      </c>
      <c r="EF72" s="38">
        <v>192</v>
      </c>
      <c r="EG72" s="73">
        <v>2071</v>
      </c>
      <c r="EH72" s="73">
        <v>407</v>
      </c>
      <c r="EI72" s="73">
        <v>-315</v>
      </c>
      <c r="EJ72" s="73">
        <v>386</v>
      </c>
      <c r="EK72" s="73">
        <v>1754</v>
      </c>
      <c r="EL72" s="73">
        <v>5594.7713737421645</v>
      </c>
      <c r="EM72" s="73">
        <v>181.30658472550888</v>
      </c>
      <c r="EN72" s="73">
        <v>5839.4848067436633</v>
      </c>
      <c r="EO72" s="73">
        <v>-13.455034116920883</v>
      </c>
      <c r="EP72" s="73">
        <v>5730.3308424701427</v>
      </c>
      <c r="EQ72" s="73">
        <v>411.05129227193294</v>
      </c>
      <c r="ER72" s="73">
        <v>6351.7852307454259</v>
      </c>
      <c r="ES72" s="73">
        <v>-99.90362831813755</v>
      </c>
      <c r="ET72" s="73">
        <v>6582</v>
      </c>
      <c r="EU72" s="73">
        <v>23</v>
      </c>
      <c r="EV72" s="73">
        <v>6721</v>
      </c>
      <c r="EW72" s="73">
        <v>-102</v>
      </c>
      <c r="EX72" s="73">
        <v>6945</v>
      </c>
      <c r="EY72" s="73">
        <v>-435</v>
      </c>
      <c r="EZ72" s="73">
        <v>7157</v>
      </c>
      <c r="FA72" s="73">
        <v>-498</v>
      </c>
      <c r="FB72" s="73">
        <v>6884</v>
      </c>
      <c r="FC72" s="73">
        <v>23</v>
      </c>
      <c r="FD72" s="73">
        <v>7031</v>
      </c>
      <c r="FE72" s="73">
        <v>164</v>
      </c>
      <c r="FF72" s="73">
        <v>7552</v>
      </c>
      <c r="FG72" s="73">
        <v>21</v>
      </c>
      <c r="FH72" s="73">
        <v>652</v>
      </c>
      <c r="FI72" s="73">
        <v>673</v>
      </c>
      <c r="FJ72" s="79">
        <v>1529</v>
      </c>
      <c r="FK72" s="80">
        <v>3593</v>
      </c>
      <c r="FL72" s="80">
        <v>3430</v>
      </c>
      <c r="FM72" s="80">
        <v>995</v>
      </c>
      <c r="FN72" s="76">
        <v>25</v>
      </c>
      <c r="FO72" s="80">
        <v>3241</v>
      </c>
      <c r="FP72" s="80">
        <v>208</v>
      </c>
      <c r="FQ72" s="80">
        <v>144</v>
      </c>
      <c r="FR72" s="80">
        <v>433</v>
      </c>
      <c r="FS72" s="81">
        <v>-346</v>
      </c>
      <c r="FT72" s="76">
        <v>199</v>
      </c>
      <c r="FU72" s="76">
        <v>1935</v>
      </c>
      <c r="FV72" s="76">
        <v>346</v>
      </c>
      <c r="FW72" s="80">
        <v>7577</v>
      </c>
      <c r="FX72" s="80">
        <v>234</v>
      </c>
      <c r="FY72" s="73">
        <v>1521</v>
      </c>
      <c r="FZ72" s="73">
        <v>3697</v>
      </c>
      <c r="GA72" s="73">
        <v>4078</v>
      </c>
      <c r="GB72" s="73">
        <v>1053</v>
      </c>
      <c r="GC72" s="73">
        <v>17</v>
      </c>
      <c r="GD72" s="73">
        <v>3246</v>
      </c>
      <c r="GE72" s="73">
        <v>290</v>
      </c>
      <c r="GF72" s="73">
        <v>161</v>
      </c>
      <c r="GG72" s="73">
        <v>604</v>
      </c>
      <c r="GH72" s="73">
        <v>4</v>
      </c>
      <c r="GI72" s="73">
        <v>203</v>
      </c>
      <c r="GJ72" s="73">
        <v>1593</v>
      </c>
      <c r="GK72" s="73">
        <v>-4</v>
      </c>
      <c r="GL72" s="73">
        <v>8224</v>
      </c>
      <c r="GM72" s="73">
        <v>401</v>
      </c>
      <c r="GN72" s="73">
        <v>1309</v>
      </c>
      <c r="GO72" s="77">
        <v>20</v>
      </c>
      <c r="GP72" s="78">
        <v>1527</v>
      </c>
      <c r="GQ72" s="73">
        <v>3618</v>
      </c>
      <c r="GR72" s="65">
        <v>4145</v>
      </c>
      <c r="GS72" s="65">
        <v>959</v>
      </c>
      <c r="GT72" s="65">
        <v>9</v>
      </c>
      <c r="GU72" s="65">
        <v>3081</v>
      </c>
      <c r="GV72" s="65">
        <v>374</v>
      </c>
      <c r="GW72" s="65">
        <v>163</v>
      </c>
      <c r="GX72" s="65">
        <v>68</v>
      </c>
      <c r="GY72" s="65">
        <v>-278</v>
      </c>
      <c r="GZ72" s="65">
        <v>201</v>
      </c>
      <c r="HA72" s="65">
        <v>1250</v>
      </c>
      <c r="HB72" s="65">
        <v>278</v>
      </c>
      <c r="HC72" s="65">
        <v>8652</v>
      </c>
      <c r="HD72" s="65">
        <v>-133</v>
      </c>
      <c r="HE72" s="78">
        <v>1514</v>
      </c>
      <c r="HF72" s="73">
        <v>4002</v>
      </c>
      <c r="HG72" s="65">
        <v>4346</v>
      </c>
      <c r="HH72" s="65">
        <v>1032</v>
      </c>
      <c r="HI72" s="65">
        <v>9</v>
      </c>
      <c r="HJ72" s="65">
        <v>3571</v>
      </c>
      <c r="HK72" s="65">
        <v>255</v>
      </c>
      <c r="HL72" s="65">
        <v>176</v>
      </c>
      <c r="HM72" s="65">
        <v>96</v>
      </c>
      <c r="HN72" s="65">
        <v>-318</v>
      </c>
      <c r="HO72" s="65">
        <v>207</v>
      </c>
      <c r="HP72" s="65">
        <v>1477</v>
      </c>
      <c r="HQ72" s="65">
        <v>318</v>
      </c>
      <c r="HR72" s="65">
        <v>9279</v>
      </c>
      <c r="HS72" s="65">
        <v>-111</v>
      </c>
      <c r="HT72" s="65">
        <v>1064</v>
      </c>
      <c r="HU72" s="77">
        <v>20.5</v>
      </c>
      <c r="HV72" s="180">
        <v>340</v>
      </c>
      <c r="HW72" s="30" t="s">
        <v>761</v>
      </c>
    </row>
    <row r="73" spans="1:231" ht="15" x14ac:dyDescent="0.25">
      <c r="A73" s="27">
        <v>224</v>
      </c>
      <c r="B73" s="27" t="s">
        <v>202</v>
      </c>
      <c r="C73" s="27">
        <v>1</v>
      </c>
      <c r="D73" s="27" t="s">
        <v>121</v>
      </c>
      <c r="E73" s="27">
        <v>3</v>
      </c>
      <c r="F73" s="27" t="s">
        <v>743</v>
      </c>
      <c r="G73" s="29" t="s">
        <v>132</v>
      </c>
      <c r="H73" s="27" t="s">
        <v>99</v>
      </c>
      <c r="I73" s="31" t="s">
        <v>121</v>
      </c>
      <c r="J73" s="69">
        <v>8659</v>
      </c>
      <c r="K73" s="69">
        <v>8741</v>
      </c>
      <c r="L73" s="36">
        <v>8753</v>
      </c>
      <c r="M73" s="36">
        <v>8746</v>
      </c>
      <c r="N73" s="36">
        <v>8765</v>
      </c>
      <c r="O73" s="36">
        <v>8764</v>
      </c>
      <c r="P73" s="36">
        <v>8802</v>
      </c>
      <c r="Q73" s="36">
        <v>8807</v>
      </c>
      <c r="R73" s="69">
        <v>8920</v>
      </c>
      <c r="S73" s="69">
        <v>8996</v>
      </c>
      <c r="T73" s="71">
        <v>9076</v>
      </c>
      <c r="U73" s="36">
        <v>18929</v>
      </c>
      <c r="V73" s="36">
        <v>6106</v>
      </c>
      <c r="W73" s="36">
        <v>6055</v>
      </c>
      <c r="X73" s="36">
        <v>356.72659202486489</v>
      </c>
      <c r="Y73" s="36">
        <v>19393</v>
      </c>
      <c r="Z73" s="36">
        <v>6156</v>
      </c>
      <c r="AA73" s="36">
        <v>6613</v>
      </c>
      <c r="AB73" s="36">
        <v>452.76189803438768</v>
      </c>
      <c r="AC73" s="36">
        <v>20030</v>
      </c>
      <c r="AD73" s="36">
        <v>7120</v>
      </c>
      <c r="AE73" s="36">
        <v>6599</v>
      </c>
      <c r="AF73" s="36">
        <v>471.43075787161541</v>
      </c>
      <c r="AG73" s="36">
        <v>21505</v>
      </c>
      <c r="AH73" s="36">
        <v>7558</v>
      </c>
      <c r="AI73" s="36">
        <v>6537</v>
      </c>
      <c r="AJ73" s="36">
        <v>325.27544977656231</v>
      </c>
      <c r="AK73" s="36">
        <v>22754</v>
      </c>
      <c r="AL73" s="36">
        <v>7773</v>
      </c>
      <c r="AM73" s="36">
        <v>6810</v>
      </c>
      <c r="AN73" s="36">
        <v>280</v>
      </c>
      <c r="AO73" s="36">
        <v>21722</v>
      </c>
      <c r="AP73" s="36">
        <v>7845</v>
      </c>
      <c r="AQ73" s="36">
        <v>5848</v>
      </c>
      <c r="AR73" s="36">
        <v>384</v>
      </c>
      <c r="AS73" s="36">
        <v>21801</v>
      </c>
      <c r="AT73" s="36">
        <v>8474</v>
      </c>
      <c r="AU73" s="36">
        <v>6442</v>
      </c>
      <c r="AV73" s="36">
        <v>186</v>
      </c>
      <c r="AW73" s="36">
        <v>23066</v>
      </c>
      <c r="AX73" s="69">
        <v>9113</v>
      </c>
      <c r="AY73" s="36">
        <v>6704</v>
      </c>
      <c r="AZ73" s="36">
        <v>148</v>
      </c>
      <c r="BA73" s="36">
        <v>24952</v>
      </c>
      <c r="BB73" s="36">
        <v>9479</v>
      </c>
      <c r="BC73" s="36">
        <v>7545</v>
      </c>
      <c r="BD73" s="36">
        <v>100</v>
      </c>
      <c r="BE73" s="70">
        <v>26124</v>
      </c>
      <c r="BF73" s="70">
        <v>9764</v>
      </c>
      <c r="BG73" s="70">
        <v>7348</v>
      </c>
      <c r="BH73" s="70">
        <v>455</v>
      </c>
      <c r="BI73" s="36">
        <v>28050</v>
      </c>
      <c r="BJ73" s="36">
        <v>12196</v>
      </c>
      <c r="BK73" s="36">
        <v>7821</v>
      </c>
      <c r="BL73" s="36">
        <v>138</v>
      </c>
      <c r="BM73" s="36">
        <v>15985.085094681393</v>
      </c>
      <c r="BN73" s="36">
        <v>2182.406533764567</v>
      </c>
      <c r="BO73" s="36">
        <v>741.20419191587905</v>
      </c>
      <c r="BP73" s="36">
        <v>16688.447003143432</v>
      </c>
      <c r="BQ73" s="36">
        <v>1963.9304172910643</v>
      </c>
      <c r="BR73" s="36">
        <v>740.69962813649454</v>
      </c>
      <c r="BS73" s="36">
        <v>17088.061516415983</v>
      </c>
      <c r="BT73" s="36">
        <v>2202.0845211605638</v>
      </c>
      <c r="BU73" s="36">
        <v>739.85868850418706</v>
      </c>
      <c r="BV73" s="36">
        <v>18861</v>
      </c>
      <c r="BW73" s="36">
        <v>1847</v>
      </c>
      <c r="BX73" s="36">
        <v>797</v>
      </c>
      <c r="BY73" s="36">
        <v>20645</v>
      </c>
      <c r="BZ73" s="36">
        <v>1308</v>
      </c>
      <c r="CA73" s="36">
        <v>801</v>
      </c>
      <c r="CB73" s="36">
        <v>20188</v>
      </c>
      <c r="CC73" s="36">
        <v>735</v>
      </c>
      <c r="CD73" s="36">
        <v>799</v>
      </c>
      <c r="CE73" s="36">
        <v>20059</v>
      </c>
      <c r="CF73" s="36">
        <v>945</v>
      </c>
      <c r="CG73" s="36">
        <v>797</v>
      </c>
      <c r="CH73" s="36">
        <v>21181</v>
      </c>
      <c r="CI73" s="36">
        <v>1079</v>
      </c>
      <c r="CJ73" s="70">
        <v>806</v>
      </c>
      <c r="CK73" s="70">
        <v>22896</v>
      </c>
      <c r="CL73" s="70">
        <v>1141</v>
      </c>
      <c r="CM73" s="36">
        <v>915</v>
      </c>
      <c r="CN73" s="36">
        <v>23682</v>
      </c>
      <c r="CO73" s="36">
        <v>1466</v>
      </c>
      <c r="CP73" s="36">
        <v>976</v>
      </c>
      <c r="CQ73" s="36">
        <v>25435</v>
      </c>
      <c r="CR73" s="36">
        <v>1567</v>
      </c>
      <c r="CS73" s="36">
        <v>1048</v>
      </c>
      <c r="CT73" s="36">
        <v>2626.590847549418</v>
      </c>
      <c r="CU73" s="36">
        <v>-1569.3615420000001</v>
      </c>
      <c r="CV73" s="36">
        <v>1232.6493130364142</v>
      </c>
      <c r="CW73" s="36">
        <v>41021</v>
      </c>
      <c r="CX73" s="36">
        <v>2647.2779625041835</v>
      </c>
      <c r="CY73" s="36">
        <v>-1317.7524040000001</v>
      </c>
      <c r="CZ73" s="36">
        <v>1258.213877858564</v>
      </c>
      <c r="DA73" s="36">
        <v>40337</v>
      </c>
      <c r="DB73" s="36">
        <v>3125.0998615813364</v>
      </c>
      <c r="DC73" s="36">
        <v>-1136.445819</v>
      </c>
      <c r="DD73" s="36">
        <v>1258.88662956441</v>
      </c>
      <c r="DE73" s="36">
        <v>38128</v>
      </c>
      <c r="DF73" s="36">
        <v>3075.6526112016522</v>
      </c>
      <c r="DG73" s="36">
        <v>-1104</v>
      </c>
      <c r="DH73" s="36">
        <v>1271.8370999019464</v>
      </c>
      <c r="DI73" s="36">
        <v>36707</v>
      </c>
      <c r="DJ73" s="36">
        <v>4023</v>
      </c>
      <c r="DK73" s="36">
        <v>1700</v>
      </c>
      <c r="DL73" s="36">
        <v>1301</v>
      </c>
      <c r="DM73" s="36">
        <v>29162</v>
      </c>
      <c r="DN73" s="36">
        <v>2067</v>
      </c>
      <c r="DO73" s="69">
        <v>-2442</v>
      </c>
      <c r="DP73" s="36">
        <v>1342</v>
      </c>
      <c r="DQ73" s="36">
        <v>25787</v>
      </c>
      <c r="DR73" s="36">
        <v>1148</v>
      </c>
      <c r="DS73" s="36">
        <v>-1625</v>
      </c>
      <c r="DT73" s="36">
        <v>1346</v>
      </c>
      <c r="DU73" s="36">
        <v>28558</v>
      </c>
      <c r="DV73" s="36">
        <v>818</v>
      </c>
      <c r="DW73" s="71">
        <v>-615</v>
      </c>
      <c r="DX73" s="39">
        <v>1371</v>
      </c>
      <c r="DY73" s="71">
        <v>28159</v>
      </c>
      <c r="DZ73" s="70">
        <v>1593</v>
      </c>
      <c r="EA73" s="35">
        <v>-1571</v>
      </c>
      <c r="EB73" s="35">
        <v>1394</v>
      </c>
      <c r="EC73" s="38">
        <v>28823</v>
      </c>
      <c r="ED73" s="38">
        <v>-412</v>
      </c>
      <c r="EE73" s="38">
        <v>-2223</v>
      </c>
      <c r="EF73" s="38">
        <v>1384</v>
      </c>
      <c r="EG73" s="73">
        <v>30155</v>
      </c>
      <c r="EH73" s="73">
        <v>1656</v>
      </c>
      <c r="EI73" s="73">
        <v>-2630</v>
      </c>
      <c r="EJ73" s="73">
        <v>1410</v>
      </c>
      <c r="EK73" s="73">
        <v>32210</v>
      </c>
      <c r="EL73" s="73">
        <v>25612.162005338283</v>
      </c>
      <c r="EM73" s="73">
        <v>1394.109722439465</v>
      </c>
      <c r="EN73" s="73">
        <v>27136.112807006037</v>
      </c>
      <c r="EO73" s="73">
        <v>1420.3470389674605</v>
      </c>
      <c r="EP73" s="73">
        <v>28233.707215093855</v>
      </c>
      <c r="EQ73" s="73">
        <v>1866.381419943388</v>
      </c>
      <c r="ER73" s="73">
        <v>29923.659500179114</v>
      </c>
      <c r="ES73" s="73">
        <v>1803.8155112997058</v>
      </c>
      <c r="ET73" s="73">
        <v>32511</v>
      </c>
      <c r="EU73" s="73">
        <v>3380</v>
      </c>
      <c r="EV73" s="73">
        <v>33173</v>
      </c>
      <c r="EW73" s="73">
        <v>725</v>
      </c>
      <c r="EX73" s="73">
        <v>35254</v>
      </c>
      <c r="EY73" s="73">
        <v>-198</v>
      </c>
      <c r="EZ73" s="73">
        <v>37739</v>
      </c>
      <c r="FA73" s="73">
        <v>-553</v>
      </c>
      <c r="FB73" s="73">
        <v>39934</v>
      </c>
      <c r="FC73" s="73">
        <v>199</v>
      </c>
      <c r="FD73" s="73">
        <v>43313</v>
      </c>
      <c r="FE73" s="73">
        <v>-1796</v>
      </c>
      <c r="FF73" s="73">
        <v>45548</v>
      </c>
      <c r="FG73" s="73">
        <v>246</v>
      </c>
      <c r="FH73" s="73">
        <v>102</v>
      </c>
      <c r="FI73" s="73">
        <v>184</v>
      </c>
      <c r="FJ73" s="79">
        <v>9109</v>
      </c>
      <c r="FK73" s="80">
        <v>28517</v>
      </c>
      <c r="FL73" s="80">
        <v>12960</v>
      </c>
      <c r="FM73" s="80">
        <v>6604</v>
      </c>
      <c r="FN73" s="76">
        <v>156</v>
      </c>
      <c r="FO73" s="80">
        <v>26270</v>
      </c>
      <c r="FP73" s="80">
        <v>1148</v>
      </c>
      <c r="FQ73" s="80">
        <v>1099</v>
      </c>
      <c r="FR73" s="80">
        <v>1571</v>
      </c>
      <c r="FS73" s="81">
        <v>-3505</v>
      </c>
      <c r="FT73" s="76">
        <v>1435</v>
      </c>
      <c r="FU73" s="76">
        <v>35767</v>
      </c>
      <c r="FV73" s="76">
        <v>3505</v>
      </c>
      <c r="FW73" s="80">
        <v>46092</v>
      </c>
      <c r="FX73" s="80">
        <v>136</v>
      </c>
      <c r="FY73" s="73">
        <v>9209</v>
      </c>
      <c r="FZ73" s="73">
        <v>28270</v>
      </c>
      <c r="GA73" s="73">
        <v>12675</v>
      </c>
      <c r="GB73" s="73">
        <v>7078</v>
      </c>
      <c r="GC73" s="73">
        <v>135</v>
      </c>
      <c r="GD73" s="73">
        <v>25079</v>
      </c>
      <c r="GE73" s="73">
        <v>1435</v>
      </c>
      <c r="GF73" s="73">
        <v>1756</v>
      </c>
      <c r="GG73" s="73">
        <v>-126</v>
      </c>
      <c r="GH73" s="73">
        <v>-1901</v>
      </c>
      <c r="GI73" s="73">
        <v>1641</v>
      </c>
      <c r="GJ73" s="73">
        <v>37204</v>
      </c>
      <c r="GK73" s="73">
        <v>1901</v>
      </c>
      <c r="GL73" s="73">
        <v>47826</v>
      </c>
      <c r="GM73" s="73">
        <v>-1769</v>
      </c>
      <c r="GN73" s="73">
        <v>-1450</v>
      </c>
      <c r="GO73" s="77">
        <v>20.25</v>
      </c>
      <c r="GP73" s="78">
        <v>9190</v>
      </c>
      <c r="GQ73" s="73">
        <v>29958</v>
      </c>
      <c r="GR73" s="65">
        <v>15231</v>
      </c>
      <c r="GS73" s="65">
        <v>7487</v>
      </c>
      <c r="GT73" s="65">
        <v>184</v>
      </c>
      <c r="GU73" s="65">
        <v>26423</v>
      </c>
      <c r="GV73" s="65">
        <v>1773</v>
      </c>
      <c r="GW73" s="65">
        <v>1762</v>
      </c>
      <c r="GX73" s="65">
        <v>2528</v>
      </c>
      <c r="GY73" s="65">
        <v>-2422</v>
      </c>
      <c r="GZ73" s="65">
        <v>1876</v>
      </c>
      <c r="HA73" s="65">
        <v>36403</v>
      </c>
      <c r="HB73" s="65">
        <v>2422</v>
      </c>
      <c r="HC73" s="65">
        <v>49408</v>
      </c>
      <c r="HD73" s="65">
        <v>652</v>
      </c>
      <c r="HE73" s="78">
        <v>9119</v>
      </c>
      <c r="HF73" s="73">
        <v>29948</v>
      </c>
      <c r="HG73" s="65">
        <v>14764</v>
      </c>
      <c r="HH73" s="65">
        <v>7525</v>
      </c>
      <c r="HI73" s="65">
        <v>141</v>
      </c>
      <c r="HJ73" s="65">
        <v>26942</v>
      </c>
      <c r="HK73" s="65">
        <v>1226</v>
      </c>
      <c r="HL73" s="65">
        <v>1780</v>
      </c>
      <c r="HM73" s="65">
        <v>833</v>
      </c>
      <c r="HN73" s="65">
        <v>-3799</v>
      </c>
      <c r="HO73" s="65">
        <v>1655</v>
      </c>
      <c r="HP73" s="65">
        <v>39602</v>
      </c>
      <c r="HQ73" s="65">
        <v>3799</v>
      </c>
      <c r="HR73" s="65">
        <v>50711</v>
      </c>
      <c r="HS73" s="65">
        <v>-822</v>
      </c>
      <c r="HT73" s="65">
        <v>-1620</v>
      </c>
      <c r="HU73" s="77">
        <v>20.25</v>
      </c>
      <c r="HV73" s="180">
        <v>230</v>
      </c>
      <c r="HW73" s="30" t="s">
        <v>756</v>
      </c>
    </row>
    <row r="74" spans="1:231" ht="15" x14ac:dyDescent="0.25">
      <c r="A74" s="27">
        <v>226</v>
      </c>
      <c r="B74" s="27" t="s">
        <v>203</v>
      </c>
      <c r="C74" s="27">
        <v>13</v>
      </c>
      <c r="D74" s="27" t="s">
        <v>111</v>
      </c>
      <c r="E74" s="27">
        <v>2</v>
      </c>
      <c r="F74" s="27" t="s">
        <v>744</v>
      </c>
      <c r="G74" s="29" t="s">
        <v>130</v>
      </c>
      <c r="H74" s="27" t="s">
        <v>98</v>
      </c>
      <c r="I74" s="31" t="s">
        <v>111</v>
      </c>
      <c r="J74" s="69">
        <v>5302</v>
      </c>
      <c r="K74" s="69">
        <v>5261</v>
      </c>
      <c r="L74" s="36">
        <v>5137</v>
      </c>
      <c r="M74" s="36">
        <v>5039</v>
      </c>
      <c r="N74" s="36">
        <v>4957</v>
      </c>
      <c r="O74" s="36">
        <v>4904</v>
      </c>
      <c r="P74" s="36">
        <v>4858</v>
      </c>
      <c r="Q74" s="36">
        <v>4801</v>
      </c>
      <c r="R74" s="69">
        <v>4739</v>
      </c>
      <c r="S74" s="69">
        <v>4691</v>
      </c>
      <c r="T74" s="71">
        <v>4618</v>
      </c>
      <c r="U74" s="36">
        <v>9473</v>
      </c>
      <c r="V74" s="36">
        <v>6837</v>
      </c>
      <c r="W74" s="36">
        <v>3189</v>
      </c>
      <c r="X74" s="36">
        <v>208.55302881227365</v>
      </c>
      <c r="Y74" s="36">
        <v>9184</v>
      </c>
      <c r="Z74" s="36">
        <v>6677</v>
      </c>
      <c r="AA74" s="36">
        <v>3482</v>
      </c>
      <c r="AB74" s="36">
        <v>488.58592637068955</v>
      </c>
      <c r="AC74" s="36">
        <v>8852</v>
      </c>
      <c r="AD74" s="36">
        <v>6631</v>
      </c>
      <c r="AE74" s="36">
        <v>3545</v>
      </c>
      <c r="AF74" s="36">
        <v>579.57559458636706</v>
      </c>
      <c r="AG74" s="36">
        <v>9395</v>
      </c>
      <c r="AH74" s="36">
        <v>7492</v>
      </c>
      <c r="AI74" s="36">
        <v>4195</v>
      </c>
      <c r="AJ74" s="36">
        <v>602.95371636451705</v>
      </c>
      <c r="AK74" s="36">
        <v>9268</v>
      </c>
      <c r="AL74" s="36">
        <v>8567</v>
      </c>
      <c r="AM74" s="36">
        <v>4495</v>
      </c>
      <c r="AN74" s="36">
        <v>493</v>
      </c>
      <c r="AO74" s="36">
        <v>8907</v>
      </c>
      <c r="AP74" s="36">
        <v>8688</v>
      </c>
      <c r="AQ74" s="36">
        <v>4658</v>
      </c>
      <c r="AR74" s="36">
        <v>590</v>
      </c>
      <c r="AS74" s="36">
        <v>9051</v>
      </c>
      <c r="AT74" s="36">
        <v>9171</v>
      </c>
      <c r="AU74" s="36">
        <v>5024</v>
      </c>
      <c r="AV74" s="36">
        <v>572</v>
      </c>
      <c r="AW74" s="36">
        <v>9128</v>
      </c>
      <c r="AX74" s="69">
        <v>8893</v>
      </c>
      <c r="AY74" s="36">
        <v>4809</v>
      </c>
      <c r="AZ74" s="36">
        <v>758</v>
      </c>
      <c r="BA74" s="36">
        <v>9541</v>
      </c>
      <c r="BB74" s="36">
        <v>10545</v>
      </c>
      <c r="BC74" s="36">
        <v>5697</v>
      </c>
      <c r="BD74" s="36">
        <v>314</v>
      </c>
      <c r="BE74" s="70">
        <v>10093</v>
      </c>
      <c r="BF74" s="70">
        <v>10807</v>
      </c>
      <c r="BG74" s="70">
        <v>6019</v>
      </c>
      <c r="BH74" s="70">
        <v>533</v>
      </c>
      <c r="BI74" s="36">
        <v>11041</v>
      </c>
      <c r="BJ74" s="36">
        <v>12208</v>
      </c>
      <c r="BK74" s="36">
        <v>5494</v>
      </c>
      <c r="BL74" s="36">
        <v>47</v>
      </c>
      <c r="BM74" s="36">
        <v>7124.9451286889916</v>
      </c>
      <c r="BN74" s="36">
        <v>2023.3007553319776</v>
      </c>
      <c r="BO74" s="36">
        <v>324.6026980707162</v>
      </c>
      <c r="BP74" s="36">
        <v>7145.9686194966807</v>
      </c>
      <c r="BQ74" s="36">
        <v>1709.7984604077212</v>
      </c>
      <c r="BR74" s="36">
        <v>328.63920830579252</v>
      </c>
      <c r="BS74" s="36">
        <v>6595.3213482616929</v>
      </c>
      <c r="BT74" s="36">
        <v>1874.6226283400019</v>
      </c>
      <c r="BU74" s="36">
        <v>382.29115684701458</v>
      </c>
      <c r="BV74" s="36">
        <v>7624</v>
      </c>
      <c r="BW74" s="36">
        <v>1351</v>
      </c>
      <c r="BX74" s="36">
        <v>420</v>
      </c>
      <c r="BY74" s="36">
        <v>8159</v>
      </c>
      <c r="BZ74" s="36">
        <v>690</v>
      </c>
      <c r="CA74" s="36">
        <v>419</v>
      </c>
      <c r="CB74" s="36">
        <v>8010</v>
      </c>
      <c r="CC74" s="36">
        <v>469</v>
      </c>
      <c r="CD74" s="36">
        <v>428</v>
      </c>
      <c r="CE74" s="36">
        <v>8032</v>
      </c>
      <c r="CF74" s="36">
        <v>581</v>
      </c>
      <c r="CG74" s="36">
        <v>438</v>
      </c>
      <c r="CH74" s="36">
        <v>7950</v>
      </c>
      <c r="CI74" s="36">
        <v>724</v>
      </c>
      <c r="CJ74" s="70">
        <v>454</v>
      </c>
      <c r="CK74" s="70">
        <v>8230</v>
      </c>
      <c r="CL74" s="70">
        <v>843</v>
      </c>
      <c r="CM74" s="36">
        <v>468</v>
      </c>
      <c r="CN74" s="36">
        <v>8495</v>
      </c>
      <c r="CO74" s="36">
        <v>1135</v>
      </c>
      <c r="CP74" s="36">
        <v>463</v>
      </c>
      <c r="CQ74" s="36">
        <v>9286</v>
      </c>
      <c r="CR74" s="36">
        <v>1262</v>
      </c>
      <c r="CS74" s="36">
        <v>493</v>
      </c>
      <c r="CT74" s="36">
        <v>401.12820461070379</v>
      </c>
      <c r="CU74" s="36">
        <v>-960.35306009999999</v>
      </c>
      <c r="CV74" s="36">
        <v>815.87963126478996</v>
      </c>
      <c r="CW74" s="36">
        <v>4211</v>
      </c>
      <c r="CX74" s="36">
        <v>143.96886505105343</v>
      </c>
      <c r="CY74" s="36">
        <v>-1634.4502690000002</v>
      </c>
      <c r="CZ74" s="36">
        <v>871.04527114416567</v>
      </c>
      <c r="DA74" s="36">
        <v>6038</v>
      </c>
      <c r="DB74" s="36">
        <v>-641.30056359774153</v>
      </c>
      <c r="DC74" s="36">
        <v>11326.61591</v>
      </c>
      <c r="DD74" s="36">
        <v>849.34902863063064</v>
      </c>
      <c r="DE74" s="36">
        <v>6108</v>
      </c>
      <c r="DF74" s="36">
        <v>-459.32122716638662</v>
      </c>
      <c r="DG74" s="36">
        <v>-1214</v>
      </c>
      <c r="DH74" s="36">
        <v>830.00741708755709</v>
      </c>
      <c r="DI74" s="36">
        <v>6989</v>
      </c>
      <c r="DJ74" s="36">
        <v>848</v>
      </c>
      <c r="DK74" s="36">
        <v>-534</v>
      </c>
      <c r="DL74" s="36">
        <v>892</v>
      </c>
      <c r="DM74" s="36">
        <v>7638</v>
      </c>
      <c r="DN74" s="36">
        <v>172</v>
      </c>
      <c r="DO74" s="69">
        <v>-1216</v>
      </c>
      <c r="DP74" s="36">
        <v>859</v>
      </c>
      <c r="DQ74" s="36">
        <v>7632</v>
      </c>
      <c r="DR74" s="36">
        <v>-397</v>
      </c>
      <c r="DS74" s="36">
        <v>-607</v>
      </c>
      <c r="DT74" s="36">
        <v>846</v>
      </c>
      <c r="DU74" s="36">
        <v>8409</v>
      </c>
      <c r="DV74" s="36">
        <v>-1281</v>
      </c>
      <c r="DW74" s="71">
        <v>-2400</v>
      </c>
      <c r="DX74" s="39">
        <v>894</v>
      </c>
      <c r="DY74" s="71">
        <v>11877</v>
      </c>
      <c r="DZ74" s="70">
        <v>680</v>
      </c>
      <c r="EA74" s="35">
        <v>-1318</v>
      </c>
      <c r="EB74" s="35">
        <v>1000</v>
      </c>
      <c r="EC74" s="38">
        <v>12788</v>
      </c>
      <c r="ED74" s="38">
        <v>710</v>
      </c>
      <c r="EE74" s="38">
        <v>-1101</v>
      </c>
      <c r="EF74" s="38">
        <v>1082</v>
      </c>
      <c r="EG74" s="73">
        <v>12188</v>
      </c>
      <c r="EH74" s="73">
        <v>920</v>
      </c>
      <c r="EI74" s="73">
        <v>-1556</v>
      </c>
      <c r="EJ74" s="73">
        <v>1206</v>
      </c>
      <c r="EK74" s="73">
        <v>13015</v>
      </c>
      <c r="EL74" s="73">
        <v>18202.474717149955</v>
      </c>
      <c r="EM74" s="73">
        <v>-78.375573731064136</v>
      </c>
      <c r="EN74" s="73">
        <v>18442.983451989916</v>
      </c>
      <c r="EO74" s="73">
        <v>-390.70055317009013</v>
      </c>
      <c r="EP74" s="73">
        <v>19024.577301693818</v>
      </c>
      <c r="EQ74" s="73">
        <v>867.84970054139694</v>
      </c>
      <c r="ER74" s="73">
        <v>20469.479777924658</v>
      </c>
      <c r="ES74" s="73">
        <v>-807.63842286817601</v>
      </c>
      <c r="ET74" s="73">
        <v>21281</v>
      </c>
      <c r="EU74" s="73">
        <v>551</v>
      </c>
      <c r="EV74" s="73">
        <v>22418</v>
      </c>
      <c r="EW74" s="73">
        <v>134</v>
      </c>
      <c r="EX74" s="73">
        <v>23949</v>
      </c>
      <c r="EY74" s="73">
        <v>-802</v>
      </c>
      <c r="EZ74" s="73">
        <v>24611</v>
      </c>
      <c r="FA74" s="73">
        <v>-741</v>
      </c>
      <c r="FB74" s="73">
        <v>25417</v>
      </c>
      <c r="FC74" s="73">
        <v>984</v>
      </c>
      <c r="FD74" s="73">
        <v>26140</v>
      </c>
      <c r="FE74" s="73">
        <v>383</v>
      </c>
      <c r="FF74" s="73">
        <v>27783</v>
      </c>
      <c r="FG74" s="73">
        <v>440</v>
      </c>
      <c r="FH74" s="73">
        <v>272</v>
      </c>
      <c r="FI74" s="73">
        <v>702</v>
      </c>
      <c r="FJ74" s="79">
        <v>4564</v>
      </c>
      <c r="FK74" s="80">
        <v>10842</v>
      </c>
      <c r="FL74" s="80">
        <v>12845</v>
      </c>
      <c r="FM74" s="80">
        <v>5302</v>
      </c>
      <c r="FN74" s="76">
        <v>142</v>
      </c>
      <c r="FO74" s="80">
        <v>9238</v>
      </c>
      <c r="FP74" s="80">
        <v>1086</v>
      </c>
      <c r="FQ74" s="80">
        <v>518</v>
      </c>
      <c r="FR74" s="80">
        <v>647</v>
      </c>
      <c r="FS74" s="81">
        <v>-1372</v>
      </c>
      <c r="FT74" s="76">
        <v>1287</v>
      </c>
      <c r="FU74" s="76">
        <v>13521</v>
      </c>
      <c r="FV74" s="76">
        <v>1372</v>
      </c>
      <c r="FW74" s="80">
        <v>28484</v>
      </c>
      <c r="FX74" s="80">
        <v>-640</v>
      </c>
      <c r="FY74" s="73">
        <v>4507</v>
      </c>
      <c r="FZ74" s="73">
        <v>10685</v>
      </c>
      <c r="GA74" s="73">
        <v>13386</v>
      </c>
      <c r="GB74" s="73">
        <v>5578</v>
      </c>
      <c r="GC74" s="73">
        <v>198</v>
      </c>
      <c r="GD74" s="73">
        <v>8772</v>
      </c>
      <c r="GE74" s="73">
        <v>1328</v>
      </c>
      <c r="GF74" s="73">
        <v>585</v>
      </c>
      <c r="GG74" s="73">
        <v>885</v>
      </c>
      <c r="GH74" s="73">
        <v>-1933</v>
      </c>
      <c r="GI74" s="73">
        <v>1330</v>
      </c>
      <c r="GJ74" s="73">
        <v>14027</v>
      </c>
      <c r="GK74" s="73">
        <v>1933</v>
      </c>
      <c r="GL74" s="73">
        <v>28962</v>
      </c>
      <c r="GM74" s="73">
        <v>-445</v>
      </c>
      <c r="GN74" s="73">
        <v>-382</v>
      </c>
      <c r="GO74" s="77">
        <v>18.5</v>
      </c>
      <c r="GP74" s="78">
        <v>4462</v>
      </c>
      <c r="GQ74" s="73">
        <v>10755</v>
      </c>
      <c r="GR74" s="65">
        <v>13800</v>
      </c>
      <c r="GS74" s="65">
        <v>9443</v>
      </c>
      <c r="GT74" s="65">
        <v>39</v>
      </c>
      <c r="GU74" s="65">
        <v>8795</v>
      </c>
      <c r="GV74" s="65">
        <v>1372</v>
      </c>
      <c r="GW74" s="65">
        <v>588</v>
      </c>
      <c r="GX74" s="65">
        <v>879</v>
      </c>
      <c r="GY74" s="65">
        <v>-919</v>
      </c>
      <c r="GZ74" s="65">
        <v>1310</v>
      </c>
      <c r="HA74" s="65">
        <v>13936</v>
      </c>
      <c r="HB74" s="65">
        <v>919</v>
      </c>
      <c r="HC74" s="65">
        <v>33156</v>
      </c>
      <c r="HD74" s="65">
        <v>539</v>
      </c>
      <c r="HE74" s="78">
        <v>4376</v>
      </c>
      <c r="HF74" s="73">
        <v>10600</v>
      </c>
      <c r="HG74" s="65">
        <v>14566</v>
      </c>
      <c r="HH74" s="65">
        <v>9495</v>
      </c>
      <c r="HI74" s="65">
        <v>197</v>
      </c>
      <c r="HJ74" s="65">
        <v>8978</v>
      </c>
      <c r="HK74" s="65">
        <v>956</v>
      </c>
      <c r="HL74" s="65">
        <v>666</v>
      </c>
      <c r="HM74" s="65">
        <v>282</v>
      </c>
      <c r="HN74" s="65">
        <v>-2207</v>
      </c>
      <c r="HO74" s="65">
        <v>1350</v>
      </c>
      <c r="HP74" s="65">
        <v>13414</v>
      </c>
      <c r="HQ74" s="65">
        <v>2207</v>
      </c>
      <c r="HR74" s="65">
        <v>34576</v>
      </c>
      <c r="HS74" s="65">
        <v>-154</v>
      </c>
      <c r="HT74" s="65">
        <v>4</v>
      </c>
      <c r="HU74" s="77">
        <v>18.5</v>
      </c>
      <c r="HV74" s="180">
        <v>340</v>
      </c>
      <c r="HW74" s="30" t="s">
        <v>761</v>
      </c>
    </row>
    <row r="75" spans="1:231" ht="15" x14ac:dyDescent="0.25">
      <c r="A75" s="27">
        <v>230</v>
      </c>
      <c r="B75" s="27" t="s">
        <v>204</v>
      </c>
      <c r="C75" s="27">
        <v>4</v>
      </c>
      <c r="D75" s="27" t="s">
        <v>120</v>
      </c>
      <c r="E75" s="27">
        <v>2</v>
      </c>
      <c r="F75" s="27" t="s">
        <v>744</v>
      </c>
      <c r="G75" s="29" t="s">
        <v>130</v>
      </c>
      <c r="H75" s="27" t="s">
        <v>98</v>
      </c>
      <c r="I75" s="31" t="s">
        <v>120</v>
      </c>
      <c r="J75" s="69">
        <v>3109</v>
      </c>
      <c r="K75" s="69">
        <v>3059</v>
      </c>
      <c r="L75" s="36">
        <v>3008</v>
      </c>
      <c r="M75" s="36">
        <v>2974</v>
      </c>
      <c r="N75" s="36">
        <v>2954</v>
      </c>
      <c r="O75" s="36">
        <v>2914</v>
      </c>
      <c r="P75" s="36">
        <v>2875</v>
      </c>
      <c r="Q75" s="36">
        <v>2825</v>
      </c>
      <c r="R75" s="69">
        <v>2779</v>
      </c>
      <c r="S75" s="69">
        <v>2776</v>
      </c>
      <c r="T75" s="71">
        <v>2728</v>
      </c>
      <c r="U75" s="36">
        <v>4685</v>
      </c>
      <c r="V75" s="36">
        <v>3268</v>
      </c>
      <c r="W75" s="36">
        <v>1888</v>
      </c>
      <c r="X75" s="36">
        <v>145.98712016859156</v>
      </c>
      <c r="Y75" s="36">
        <v>4678</v>
      </c>
      <c r="Z75" s="36">
        <v>3785</v>
      </c>
      <c r="AA75" s="36">
        <v>1762</v>
      </c>
      <c r="AB75" s="36">
        <v>91.326044068600496</v>
      </c>
      <c r="AC75" s="36">
        <v>4233</v>
      </c>
      <c r="AD75" s="36">
        <v>3790</v>
      </c>
      <c r="AE75" s="36">
        <v>1595</v>
      </c>
      <c r="AF75" s="36">
        <v>104.10832647967533</v>
      </c>
      <c r="AG75" s="36">
        <v>4896</v>
      </c>
      <c r="AH75" s="36">
        <v>4745</v>
      </c>
      <c r="AI75" s="36">
        <v>1884</v>
      </c>
      <c r="AJ75" s="36">
        <v>76.357318613526004</v>
      </c>
      <c r="AK75" s="36">
        <v>4739</v>
      </c>
      <c r="AL75" s="36">
        <v>4915</v>
      </c>
      <c r="AM75" s="36">
        <v>2019</v>
      </c>
      <c r="AN75" s="36">
        <v>151</v>
      </c>
      <c r="AO75" s="36">
        <v>4770</v>
      </c>
      <c r="AP75" s="36">
        <v>5277</v>
      </c>
      <c r="AQ75" s="36">
        <v>1927</v>
      </c>
      <c r="AR75" s="36">
        <v>1006</v>
      </c>
      <c r="AS75" s="36">
        <v>4679</v>
      </c>
      <c r="AT75" s="36">
        <v>5297</v>
      </c>
      <c r="AU75" s="36">
        <v>2640</v>
      </c>
      <c r="AV75" s="36">
        <v>442</v>
      </c>
      <c r="AW75" s="36">
        <v>5168</v>
      </c>
      <c r="AX75" s="69">
        <v>5598</v>
      </c>
      <c r="AY75" s="36">
        <v>2910</v>
      </c>
      <c r="AZ75" s="36">
        <v>272</v>
      </c>
      <c r="BA75" s="36">
        <v>5049</v>
      </c>
      <c r="BB75" s="36">
        <v>5679</v>
      </c>
      <c r="BC75" s="36">
        <v>3270</v>
      </c>
      <c r="BD75" s="36">
        <v>321</v>
      </c>
      <c r="BE75" s="70">
        <v>5501</v>
      </c>
      <c r="BF75" s="70">
        <v>6481</v>
      </c>
      <c r="BG75" s="70">
        <v>3238</v>
      </c>
      <c r="BH75" s="70">
        <v>494</v>
      </c>
      <c r="BI75" s="36">
        <v>6011</v>
      </c>
      <c r="BJ75" s="36">
        <v>7144</v>
      </c>
      <c r="BK75" s="36">
        <v>3227</v>
      </c>
      <c r="BL75" s="36">
        <v>532</v>
      </c>
      <c r="BM75" s="36">
        <v>3556.1655171021898</v>
      </c>
      <c r="BN75" s="36">
        <v>1007.4456795044509</v>
      </c>
      <c r="BO75" s="36">
        <v>120.92711912582644</v>
      </c>
      <c r="BP75" s="36">
        <v>3743.0223034009277</v>
      </c>
      <c r="BQ75" s="36">
        <v>797.04258350110081</v>
      </c>
      <c r="BR75" s="36">
        <v>137.57772384551603</v>
      </c>
      <c r="BS75" s="36">
        <v>3271.2551696763894</v>
      </c>
      <c r="BT75" s="36">
        <v>800.40634203033096</v>
      </c>
      <c r="BU75" s="36">
        <v>161.79678525597362</v>
      </c>
      <c r="BV75" s="36">
        <v>4168</v>
      </c>
      <c r="BW75" s="36">
        <v>552</v>
      </c>
      <c r="BX75" s="36">
        <v>175</v>
      </c>
      <c r="BY75" s="36">
        <v>4322</v>
      </c>
      <c r="BZ75" s="36">
        <v>237</v>
      </c>
      <c r="CA75" s="36">
        <v>180</v>
      </c>
      <c r="CB75" s="36">
        <v>4428</v>
      </c>
      <c r="CC75" s="36">
        <v>165</v>
      </c>
      <c r="CD75" s="36">
        <v>177</v>
      </c>
      <c r="CE75" s="36">
        <v>4288</v>
      </c>
      <c r="CF75" s="36">
        <v>213</v>
      </c>
      <c r="CG75" s="36">
        <v>178</v>
      </c>
      <c r="CH75" s="36">
        <v>4677</v>
      </c>
      <c r="CI75" s="36">
        <v>299</v>
      </c>
      <c r="CJ75" s="70">
        <v>192</v>
      </c>
      <c r="CK75" s="70">
        <v>4512</v>
      </c>
      <c r="CL75" s="70">
        <v>337</v>
      </c>
      <c r="CM75" s="36">
        <v>200</v>
      </c>
      <c r="CN75" s="36">
        <v>4849</v>
      </c>
      <c r="CO75" s="36">
        <v>449</v>
      </c>
      <c r="CP75" s="36">
        <v>203</v>
      </c>
      <c r="CQ75" s="36">
        <v>5244</v>
      </c>
      <c r="CR75" s="36">
        <v>557</v>
      </c>
      <c r="CS75" s="36">
        <v>210</v>
      </c>
      <c r="CT75" s="36">
        <v>-57.183894996913743</v>
      </c>
      <c r="CU75" s="36">
        <v>-406.8465941</v>
      </c>
      <c r="CV75" s="36">
        <v>425.51545394762292</v>
      </c>
      <c r="CW75" s="36">
        <v>3253</v>
      </c>
      <c r="CX75" s="36">
        <v>251.60913798642054</v>
      </c>
      <c r="CY75" s="36">
        <v>-537.69680089999997</v>
      </c>
      <c r="CZ75" s="36">
        <v>422.8244471242387</v>
      </c>
      <c r="DA75" s="36">
        <v>2837</v>
      </c>
      <c r="DB75" s="36">
        <v>-172.5608125495103</v>
      </c>
      <c r="DC75" s="36">
        <v>-531.64203550000002</v>
      </c>
      <c r="DD75" s="36">
        <v>416.43330591870131</v>
      </c>
      <c r="DE75" s="36">
        <v>2976</v>
      </c>
      <c r="DF75" s="36">
        <v>722.03076829926681</v>
      </c>
      <c r="DG75" s="36">
        <v>-595</v>
      </c>
      <c r="DH75" s="36">
        <v>378.59102246486128</v>
      </c>
      <c r="DI75" s="36">
        <v>2804</v>
      </c>
      <c r="DJ75" s="36">
        <v>848</v>
      </c>
      <c r="DK75" s="36">
        <v>-325</v>
      </c>
      <c r="DL75" s="36">
        <v>385</v>
      </c>
      <c r="DM75" s="36">
        <v>2343</v>
      </c>
      <c r="DN75" s="36">
        <v>2061</v>
      </c>
      <c r="DO75" s="69">
        <v>-553</v>
      </c>
      <c r="DP75" s="36">
        <v>394</v>
      </c>
      <c r="DQ75" s="36">
        <v>1872</v>
      </c>
      <c r="DR75" s="36">
        <v>771</v>
      </c>
      <c r="DS75" s="36">
        <v>-332</v>
      </c>
      <c r="DT75" s="36">
        <v>400</v>
      </c>
      <c r="DU75" s="36">
        <v>1425</v>
      </c>
      <c r="DV75" s="36">
        <v>804</v>
      </c>
      <c r="DW75" s="71">
        <v>-341</v>
      </c>
      <c r="DX75" s="39">
        <v>431</v>
      </c>
      <c r="DY75" s="71">
        <v>977</v>
      </c>
      <c r="DZ75" s="70">
        <v>565</v>
      </c>
      <c r="EA75" s="35">
        <v>-514</v>
      </c>
      <c r="EB75" s="35">
        <v>416</v>
      </c>
      <c r="EC75" s="38">
        <v>530</v>
      </c>
      <c r="ED75" s="38">
        <v>1509</v>
      </c>
      <c r="EE75" s="38">
        <v>-712</v>
      </c>
      <c r="EF75" s="38">
        <v>437</v>
      </c>
      <c r="EG75" s="73">
        <v>270</v>
      </c>
      <c r="EH75" s="73">
        <v>1577</v>
      </c>
      <c r="EI75" s="73">
        <v>-896</v>
      </c>
      <c r="EJ75" s="73">
        <v>465</v>
      </c>
      <c r="EK75" s="73">
        <v>152</v>
      </c>
      <c r="EL75" s="73">
        <v>9396.4912634781595</v>
      </c>
      <c r="EM75" s="73">
        <v>-349.66269911348144</v>
      </c>
      <c r="EN75" s="73">
        <v>9447.4522051959975</v>
      </c>
      <c r="EO75" s="73">
        <v>179.79289338735529</v>
      </c>
      <c r="EP75" s="73">
        <v>9215.6892425320348</v>
      </c>
      <c r="EQ75" s="73">
        <v>-471.26256994515393</v>
      </c>
      <c r="ER75" s="73">
        <v>10198.411296846643</v>
      </c>
      <c r="ES75" s="73">
        <v>482.1947851651521</v>
      </c>
      <c r="ET75" s="73">
        <v>10858</v>
      </c>
      <c r="EU75" s="73">
        <v>487</v>
      </c>
      <c r="EV75" s="73">
        <v>10833</v>
      </c>
      <c r="EW75" s="73">
        <v>1692</v>
      </c>
      <c r="EX75" s="73">
        <v>12227</v>
      </c>
      <c r="EY75" s="73">
        <v>396</v>
      </c>
      <c r="EZ75" s="73">
        <v>13099</v>
      </c>
      <c r="FA75" s="73">
        <v>398</v>
      </c>
      <c r="FB75" s="73">
        <v>13741</v>
      </c>
      <c r="FC75" s="73">
        <v>174</v>
      </c>
      <c r="FD75" s="73">
        <v>14185</v>
      </c>
      <c r="FE75" s="73">
        <v>1091</v>
      </c>
      <c r="FF75" s="73">
        <v>15337</v>
      </c>
      <c r="FG75" s="73">
        <v>1112</v>
      </c>
      <c r="FH75" s="73">
        <v>4594</v>
      </c>
      <c r="FI75" s="73">
        <v>5706</v>
      </c>
      <c r="FJ75" s="79">
        <v>2672</v>
      </c>
      <c r="FK75" s="80">
        <v>5961</v>
      </c>
      <c r="FL75" s="80">
        <v>7660</v>
      </c>
      <c r="FM75" s="80">
        <v>2706</v>
      </c>
      <c r="FN75" s="76">
        <v>694</v>
      </c>
      <c r="FO75" s="80">
        <v>5273</v>
      </c>
      <c r="FP75" s="80">
        <v>467</v>
      </c>
      <c r="FQ75" s="80">
        <v>221</v>
      </c>
      <c r="FR75" s="80">
        <v>2063</v>
      </c>
      <c r="FS75" s="81">
        <v>-2706</v>
      </c>
      <c r="FT75" s="76">
        <v>481</v>
      </c>
      <c r="FU75" s="76">
        <v>68</v>
      </c>
      <c r="FV75" s="76">
        <v>2706</v>
      </c>
      <c r="FW75" s="80">
        <v>14701</v>
      </c>
      <c r="FX75" s="80">
        <v>1839</v>
      </c>
      <c r="FY75" s="73">
        <v>2643</v>
      </c>
      <c r="FZ75" s="73">
        <v>5888</v>
      </c>
      <c r="GA75" s="73">
        <v>7817</v>
      </c>
      <c r="GB75" s="73">
        <v>3166</v>
      </c>
      <c r="GC75" s="73">
        <v>390</v>
      </c>
      <c r="GD75" s="73">
        <v>4990</v>
      </c>
      <c r="GE75" s="73">
        <v>611</v>
      </c>
      <c r="GF75" s="73">
        <v>287</v>
      </c>
      <c r="GG75" s="73">
        <v>1544</v>
      </c>
      <c r="GH75" s="73">
        <v>-2012</v>
      </c>
      <c r="GI75" s="73">
        <v>572</v>
      </c>
      <c r="GJ75" s="73">
        <v>17</v>
      </c>
      <c r="GK75" s="73">
        <v>2012</v>
      </c>
      <c r="GL75" s="73">
        <v>15717</v>
      </c>
      <c r="GM75" s="73">
        <v>974</v>
      </c>
      <c r="GN75" s="73">
        <v>8520</v>
      </c>
      <c r="GO75" s="77">
        <v>19</v>
      </c>
      <c r="GP75" s="78">
        <v>2599</v>
      </c>
      <c r="GQ75" s="73">
        <v>5769</v>
      </c>
      <c r="GR75" s="65">
        <v>7889</v>
      </c>
      <c r="GS75" s="65">
        <v>1167</v>
      </c>
      <c r="GT75" s="65">
        <v>434</v>
      </c>
      <c r="GU75" s="65">
        <v>4816</v>
      </c>
      <c r="GV75" s="65">
        <v>678</v>
      </c>
      <c r="GW75" s="65">
        <v>275</v>
      </c>
      <c r="GX75" s="65">
        <v>816</v>
      </c>
      <c r="GY75" s="65">
        <v>-1457</v>
      </c>
      <c r="GZ75" s="65">
        <v>633</v>
      </c>
      <c r="HA75" s="65">
        <v>400</v>
      </c>
      <c r="HB75" s="65">
        <v>1457</v>
      </c>
      <c r="HC75" s="65">
        <v>14443</v>
      </c>
      <c r="HD75" s="65">
        <v>183</v>
      </c>
      <c r="HE75" s="78">
        <v>2545</v>
      </c>
      <c r="HF75" s="73">
        <v>6008</v>
      </c>
      <c r="HG75" s="65">
        <v>8317</v>
      </c>
      <c r="HH75" s="65">
        <v>1226</v>
      </c>
      <c r="HI75" s="65">
        <v>421</v>
      </c>
      <c r="HJ75" s="65">
        <v>5297</v>
      </c>
      <c r="HK75" s="65">
        <v>418</v>
      </c>
      <c r="HL75" s="65">
        <v>293</v>
      </c>
      <c r="HM75" s="65">
        <v>671</v>
      </c>
      <c r="HN75" s="65">
        <v>-847</v>
      </c>
      <c r="HO75" s="65">
        <v>784</v>
      </c>
      <c r="HP75" s="65">
        <v>650</v>
      </c>
      <c r="HQ75" s="65">
        <v>847</v>
      </c>
      <c r="HR75" s="65">
        <v>15299</v>
      </c>
      <c r="HS75" s="65">
        <v>-113</v>
      </c>
      <c r="HT75" s="65">
        <v>8593</v>
      </c>
      <c r="HU75" s="77">
        <v>19.75</v>
      </c>
      <c r="HV75" s="180">
        <v>340</v>
      </c>
      <c r="HW75" s="30" t="s">
        <v>761</v>
      </c>
    </row>
    <row r="76" spans="1:231" ht="15" x14ac:dyDescent="0.25">
      <c r="A76" s="27">
        <v>231</v>
      </c>
      <c r="B76" s="27" t="s">
        <v>205</v>
      </c>
      <c r="C76" s="27">
        <v>15</v>
      </c>
      <c r="D76" s="27" t="s">
        <v>115</v>
      </c>
      <c r="E76" s="27">
        <v>1</v>
      </c>
      <c r="F76" s="27" t="s">
        <v>103</v>
      </c>
      <c r="G76" s="29" t="s">
        <v>141</v>
      </c>
      <c r="H76" s="27" t="s">
        <v>97</v>
      </c>
      <c r="I76" s="31" t="s">
        <v>115</v>
      </c>
      <c r="J76" s="69">
        <v>1534</v>
      </c>
      <c r="K76" s="69">
        <v>1503</v>
      </c>
      <c r="L76" s="36">
        <v>1564</v>
      </c>
      <c r="M76" s="36">
        <v>1552</v>
      </c>
      <c r="N76" s="36">
        <v>1543</v>
      </c>
      <c r="O76" s="36">
        <v>1558</v>
      </c>
      <c r="P76" s="36">
        <v>1519</v>
      </c>
      <c r="Q76" s="36">
        <v>1482</v>
      </c>
      <c r="R76" s="69">
        <v>1505</v>
      </c>
      <c r="S76" s="69">
        <v>1485</v>
      </c>
      <c r="T76" s="71">
        <v>1478</v>
      </c>
      <c r="U76" s="36">
        <v>4238</v>
      </c>
      <c r="V76" s="36">
        <v>526</v>
      </c>
      <c r="W76" s="36">
        <v>1578</v>
      </c>
      <c r="X76" s="36">
        <v>87.289533833524217</v>
      </c>
      <c r="Y76" s="36">
        <v>4258</v>
      </c>
      <c r="Z76" s="36">
        <v>384</v>
      </c>
      <c r="AA76" s="36">
        <v>1867</v>
      </c>
      <c r="AB76" s="36">
        <v>124.79544143444117</v>
      </c>
      <c r="AC76" s="36">
        <v>5155</v>
      </c>
      <c r="AD76" s="36">
        <v>390</v>
      </c>
      <c r="AE76" s="36">
        <v>1983</v>
      </c>
      <c r="AF76" s="36">
        <v>52.811008908914474</v>
      </c>
      <c r="AG76" s="36">
        <v>8698</v>
      </c>
      <c r="AH76" s="36">
        <v>308</v>
      </c>
      <c r="AI76" s="36">
        <v>2081</v>
      </c>
      <c r="AJ76" s="36">
        <v>334.02122195256089</v>
      </c>
      <c r="AK76" s="36">
        <v>5528</v>
      </c>
      <c r="AL76" s="36">
        <v>313</v>
      </c>
      <c r="AM76" s="36">
        <v>2397</v>
      </c>
      <c r="AN76" s="36">
        <v>154</v>
      </c>
      <c r="AO76" s="36">
        <v>6740</v>
      </c>
      <c r="AP76" s="36">
        <v>-382</v>
      </c>
      <c r="AQ76" s="36">
        <v>2639</v>
      </c>
      <c r="AR76" s="36">
        <v>123</v>
      </c>
      <c r="AS76" s="36">
        <v>6096</v>
      </c>
      <c r="AT76" s="36">
        <v>-91</v>
      </c>
      <c r="AU76" s="36">
        <v>2814</v>
      </c>
      <c r="AV76" s="36">
        <v>95</v>
      </c>
      <c r="AW76" s="36">
        <v>5429</v>
      </c>
      <c r="AX76" s="69">
        <v>-83</v>
      </c>
      <c r="AY76" s="36">
        <v>2987</v>
      </c>
      <c r="AZ76" s="36">
        <v>24</v>
      </c>
      <c r="BA76" s="36">
        <v>5994</v>
      </c>
      <c r="BB76" s="36">
        <v>299</v>
      </c>
      <c r="BC76" s="36">
        <v>3756</v>
      </c>
      <c r="BD76" s="36">
        <v>20</v>
      </c>
      <c r="BE76" s="70">
        <v>6944</v>
      </c>
      <c r="BF76" s="70">
        <v>396</v>
      </c>
      <c r="BG76" s="70">
        <v>3642</v>
      </c>
      <c r="BH76" s="70">
        <v>399</v>
      </c>
      <c r="BI76" s="36">
        <v>7769</v>
      </c>
      <c r="BJ76" s="36">
        <v>380</v>
      </c>
      <c r="BK76" s="36">
        <v>3795</v>
      </c>
      <c r="BL76" s="36">
        <v>405</v>
      </c>
      <c r="BM76" s="36">
        <v>3431.8746394471323</v>
      </c>
      <c r="BN76" s="36">
        <v>612.37224024636168</v>
      </c>
      <c r="BO76" s="36">
        <v>193.58430335719919</v>
      </c>
      <c r="BP76" s="36">
        <v>3588.1212231298764</v>
      </c>
      <c r="BQ76" s="36">
        <v>471.43075787161541</v>
      </c>
      <c r="BR76" s="36">
        <v>198.29356529812151</v>
      </c>
      <c r="BS76" s="36">
        <v>3265.7049681031585</v>
      </c>
      <c r="BT76" s="36">
        <v>1684.0657076591101</v>
      </c>
      <c r="BU76" s="36">
        <v>205.52564613596647</v>
      </c>
      <c r="BV76" s="36">
        <v>4098</v>
      </c>
      <c r="BW76" s="36">
        <v>4360</v>
      </c>
      <c r="BX76" s="36">
        <v>240</v>
      </c>
      <c r="BY76" s="36">
        <v>4087</v>
      </c>
      <c r="BZ76" s="36">
        <v>1193</v>
      </c>
      <c r="CA76" s="36">
        <v>248</v>
      </c>
      <c r="CB76" s="36">
        <v>4236</v>
      </c>
      <c r="CC76" s="36">
        <v>2253</v>
      </c>
      <c r="CD76" s="36">
        <v>251</v>
      </c>
      <c r="CE76" s="36">
        <v>4184</v>
      </c>
      <c r="CF76" s="36">
        <v>1651</v>
      </c>
      <c r="CG76" s="36">
        <v>261</v>
      </c>
      <c r="CH76" s="36">
        <v>3936</v>
      </c>
      <c r="CI76" s="36">
        <v>1211</v>
      </c>
      <c r="CJ76" s="70">
        <v>282</v>
      </c>
      <c r="CK76" s="70">
        <v>4080</v>
      </c>
      <c r="CL76" s="70">
        <v>1468</v>
      </c>
      <c r="CM76" s="36">
        <v>446</v>
      </c>
      <c r="CN76" s="36">
        <v>4444</v>
      </c>
      <c r="CO76" s="36">
        <v>2008</v>
      </c>
      <c r="CP76" s="36">
        <v>492</v>
      </c>
      <c r="CQ76" s="36">
        <v>4741</v>
      </c>
      <c r="CR76" s="36">
        <v>2522</v>
      </c>
      <c r="CS76" s="36">
        <v>506</v>
      </c>
      <c r="CT76" s="36">
        <v>677.29277986050488</v>
      </c>
      <c r="CU76" s="36">
        <v>-1700.8845000000003</v>
      </c>
      <c r="CV76" s="36">
        <v>379.93652587655339</v>
      </c>
      <c r="CW76" s="36">
        <v>1284</v>
      </c>
      <c r="CX76" s="36">
        <v>725.22633890203554</v>
      </c>
      <c r="CY76" s="36">
        <v>-1735.194837</v>
      </c>
      <c r="CZ76" s="36">
        <v>437.62498465285177</v>
      </c>
      <c r="DA76" s="36">
        <v>2967</v>
      </c>
      <c r="DB76" s="36">
        <v>1000.2135986666061</v>
      </c>
      <c r="DC76" s="36">
        <v>-1058.9111849999999</v>
      </c>
      <c r="DD76" s="36">
        <v>476.64458359192218</v>
      </c>
      <c r="DE76" s="36">
        <v>2965</v>
      </c>
      <c r="DF76" s="36">
        <v>4849.1942957382862</v>
      </c>
      <c r="DG76" s="36">
        <v>-1657</v>
      </c>
      <c r="DH76" s="36">
        <v>536.85586126514318</v>
      </c>
      <c r="DI76" s="36">
        <v>2359</v>
      </c>
      <c r="DJ76" s="36">
        <v>1430</v>
      </c>
      <c r="DK76" s="36">
        <v>-2329</v>
      </c>
      <c r="DL76" s="36">
        <v>583</v>
      </c>
      <c r="DM76" s="36">
        <v>2161</v>
      </c>
      <c r="DN76" s="36">
        <v>1268</v>
      </c>
      <c r="DO76" s="69">
        <v>-1111</v>
      </c>
      <c r="DP76" s="36">
        <v>762</v>
      </c>
      <c r="DQ76" s="36">
        <v>1211</v>
      </c>
      <c r="DR76" s="36">
        <v>760</v>
      </c>
      <c r="DS76" s="36">
        <v>-3670</v>
      </c>
      <c r="DT76" s="36">
        <v>714</v>
      </c>
      <c r="DU76" s="36">
        <v>3577</v>
      </c>
      <c r="DV76" s="36">
        <v>20</v>
      </c>
      <c r="DW76" s="71">
        <v>-4318</v>
      </c>
      <c r="DX76" s="39">
        <v>996</v>
      </c>
      <c r="DY76" s="71">
        <v>7619</v>
      </c>
      <c r="DZ76" s="70">
        <v>1224</v>
      </c>
      <c r="EA76" s="35">
        <v>-242</v>
      </c>
      <c r="EB76" s="35">
        <v>850</v>
      </c>
      <c r="EC76" s="38">
        <v>6067</v>
      </c>
      <c r="ED76" s="38">
        <v>1889</v>
      </c>
      <c r="EE76" s="38">
        <v>-204</v>
      </c>
      <c r="EF76" s="38">
        <v>859</v>
      </c>
      <c r="EG76" s="73">
        <v>4995</v>
      </c>
      <c r="EH76" s="73">
        <v>2886</v>
      </c>
      <c r="EI76" s="73">
        <v>-1376</v>
      </c>
      <c r="EJ76" s="73">
        <v>864</v>
      </c>
      <c r="EK76" s="73">
        <v>4068</v>
      </c>
      <c r="EL76" s="73">
        <v>5453.9980792938795</v>
      </c>
      <c r="EM76" s="73">
        <v>297.35625398395149</v>
      </c>
      <c r="EN76" s="73">
        <v>5594.2668099627799</v>
      </c>
      <c r="EO76" s="73">
        <v>300.21544873379719</v>
      </c>
      <c r="EP76" s="73">
        <v>6216.0575740909862</v>
      </c>
      <c r="EQ76" s="73">
        <v>19.005235690150748</v>
      </c>
      <c r="ER76" s="73">
        <v>6203.948043385758</v>
      </c>
      <c r="ES76" s="73">
        <v>2629.4500422992633</v>
      </c>
      <c r="ET76" s="73">
        <v>6869</v>
      </c>
      <c r="EU76" s="73">
        <v>82</v>
      </c>
      <c r="EV76" s="73">
        <v>7727</v>
      </c>
      <c r="EW76" s="73">
        <v>45</v>
      </c>
      <c r="EX76" s="73">
        <v>8115</v>
      </c>
      <c r="EY76" s="73">
        <v>118</v>
      </c>
      <c r="EZ76" s="73">
        <v>8198</v>
      </c>
      <c r="FA76" s="73">
        <v>14</v>
      </c>
      <c r="FB76" s="73">
        <v>8653</v>
      </c>
      <c r="FC76" s="73">
        <v>464</v>
      </c>
      <c r="FD76" s="73">
        <v>8859</v>
      </c>
      <c r="FE76" s="73">
        <v>3730</v>
      </c>
      <c r="FF76" s="73">
        <v>8863</v>
      </c>
      <c r="FG76" s="73">
        <v>2405</v>
      </c>
      <c r="FH76" s="73">
        <v>8368</v>
      </c>
      <c r="FI76" s="73">
        <v>10773</v>
      </c>
      <c r="FJ76" s="79">
        <v>1442</v>
      </c>
      <c r="FK76" s="80">
        <v>7911</v>
      </c>
      <c r="FL76" s="80">
        <v>158</v>
      </c>
      <c r="FM76" s="80">
        <v>2570</v>
      </c>
      <c r="FN76" s="76">
        <v>302</v>
      </c>
      <c r="FO76" s="80">
        <v>4931</v>
      </c>
      <c r="FP76" s="80">
        <v>2465</v>
      </c>
      <c r="FQ76" s="80">
        <v>515</v>
      </c>
      <c r="FR76" s="80">
        <v>1809</v>
      </c>
      <c r="FS76" s="81">
        <v>543</v>
      </c>
      <c r="FT76" s="76">
        <v>822</v>
      </c>
      <c r="FU76" s="76">
        <v>4068</v>
      </c>
      <c r="FV76" s="76">
        <v>-543</v>
      </c>
      <c r="FW76" s="80">
        <v>8764</v>
      </c>
      <c r="FX76" s="80">
        <v>1264</v>
      </c>
      <c r="FY76" s="73">
        <v>1429</v>
      </c>
      <c r="FZ76" s="73">
        <v>7648</v>
      </c>
      <c r="GA76" s="73">
        <v>151</v>
      </c>
      <c r="GB76" s="73">
        <v>3046</v>
      </c>
      <c r="GC76" s="73">
        <v>17</v>
      </c>
      <c r="GD76" s="73">
        <v>5105</v>
      </c>
      <c r="GE76" s="73">
        <v>1817</v>
      </c>
      <c r="GF76" s="73">
        <v>726</v>
      </c>
      <c r="GG76" s="73">
        <v>1691</v>
      </c>
      <c r="GH76" s="73">
        <v>-1751</v>
      </c>
      <c r="GI76" s="73">
        <v>998</v>
      </c>
      <c r="GJ76" s="73">
        <v>3068</v>
      </c>
      <c r="GK76" s="73">
        <v>1751</v>
      </c>
      <c r="GL76" s="73">
        <v>9132</v>
      </c>
      <c r="GM76" s="73">
        <v>528</v>
      </c>
      <c r="GN76" s="73">
        <v>12566</v>
      </c>
      <c r="GO76" s="77">
        <v>20</v>
      </c>
      <c r="GP76" s="78">
        <v>1404</v>
      </c>
      <c r="GQ76" s="73">
        <v>5048</v>
      </c>
      <c r="GR76" s="65">
        <v>186</v>
      </c>
      <c r="GS76" s="65">
        <v>3071</v>
      </c>
      <c r="GT76" s="65">
        <v>45</v>
      </c>
      <c r="GU76" s="65">
        <v>4111</v>
      </c>
      <c r="GV76" s="65">
        <v>683</v>
      </c>
      <c r="GW76" s="65">
        <v>254</v>
      </c>
      <c r="GX76" s="65">
        <v>-1147</v>
      </c>
      <c r="GY76" s="65">
        <v>-1696</v>
      </c>
      <c r="GZ76" s="65">
        <v>979</v>
      </c>
      <c r="HA76" s="65">
        <v>3068</v>
      </c>
      <c r="HB76" s="65">
        <v>1696</v>
      </c>
      <c r="HC76" s="65">
        <v>9412</v>
      </c>
      <c r="HD76" s="65">
        <v>-2093</v>
      </c>
      <c r="HE76" s="78">
        <v>1382</v>
      </c>
      <c r="HF76" s="73">
        <v>5271</v>
      </c>
      <c r="HG76" s="65">
        <v>1740</v>
      </c>
      <c r="HH76" s="65">
        <v>2933</v>
      </c>
      <c r="HI76" s="65">
        <v>280</v>
      </c>
      <c r="HJ76" s="65">
        <v>4459</v>
      </c>
      <c r="HK76" s="65">
        <v>490</v>
      </c>
      <c r="HL76" s="65">
        <v>322</v>
      </c>
      <c r="HM76" s="65">
        <v>-51</v>
      </c>
      <c r="HN76" s="65">
        <v>-54</v>
      </c>
      <c r="HO76" s="65">
        <v>949</v>
      </c>
      <c r="HP76" s="65">
        <v>3068</v>
      </c>
      <c r="HQ76" s="65">
        <v>54</v>
      </c>
      <c r="HR76" s="65">
        <v>9939</v>
      </c>
      <c r="HS76" s="65">
        <v>-731</v>
      </c>
      <c r="HT76" s="65">
        <v>9740</v>
      </c>
      <c r="HU76" s="77">
        <v>20</v>
      </c>
      <c r="HV76" s="180">
        <v>140</v>
      </c>
      <c r="HW76" s="30" t="s">
        <v>753</v>
      </c>
    </row>
    <row r="77" spans="1:231" ht="15" x14ac:dyDescent="0.25">
      <c r="A77" s="27">
        <v>232</v>
      </c>
      <c r="B77" s="27" t="s">
        <v>206</v>
      </c>
      <c r="C77" s="27">
        <v>14</v>
      </c>
      <c r="D77" s="27" t="s">
        <v>106</v>
      </c>
      <c r="E77" s="27">
        <v>4</v>
      </c>
      <c r="F77" s="27" t="s">
        <v>100</v>
      </c>
      <c r="G77" s="29" t="s">
        <v>132</v>
      </c>
      <c r="H77" s="27" t="s">
        <v>99</v>
      </c>
      <c r="I77" s="31" t="s">
        <v>106</v>
      </c>
      <c r="J77" s="69">
        <v>15095</v>
      </c>
      <c r="K77" s="36">
        <v>15028</v>
      </c>
      <c r="L77" s="36">
        <v>14831</v>
      </c>
      <c r="M77" s="36">
        <v>14716</v>
      </c>
      <c r="N77" s="36">
        <v>14676</v>
      </c>
      <c r="O77" s="36">
        <v>14596</v>
      </c>
      <c r="P77" s="36">
        <v>14544</v>
      </c>
      <c r="Q77" s="36">
        <v>14465</v>
      </c>
      <c r="R77" s="69">
        <v>14457</v>
      </c>
      <c r="S77" s="69">
        <v>14428</v>
      </c>
      <c r="T77" s="71">
        <v>14379</v>
      </c>
      <c r="U77" s="36">
        <v>23611</v>
      </c>
      <c r="V77" s="36">
        <v>16095</v>
      </c>
      <c r="W77" s="36">
        <v>9016</v>
      </c>
      <c r="X77" s="36">
        <v>1111.5540059841264</v>
      </c>
      <c r="Y77" s="36">
        <v>24119</v>
      </c>
      <c r="Z77" s="36">
        <v>16715</v>
      </c>
      <c r="AA77" s="36">
        <v>8634</v>
      </c>
      <c r="AB77" s="36">
        <v>998.02715562260653</v>
      </c>
      <c r="AC77" s="36">
        <v>23843</v>
      </c>
      <c r="AD77" s="36">
        <v>18594</v>
      </c>
      <c r="AE77" s="36">
        <v>8810</v>
      </c>
      <c r="AF77" s="36">
        <v>615.06324706974578</v>
      </c>
      <c r="AG77" s="36">
        <v>26563</v>
      </c>
      <c r="AH77" s="36">
        <v>20462</v>
      </c>
      <c r="AI77" s="36">
        <v>9367</v>
      </c>
      <c r="AJ77" s="36">
        <v>724.38539926972805</v>
      </c>
      <c r="AK77" s="36">
        <v>27256</v>
      </c>
      <c r="AL77" s="36">
        <v>21648</v>
      </c>
      <c r="AM77" s="36">
        <v>9990</v>
      </c>
      <c r="AN77" s="36">
        <v>450</v>
      </c>
      <c r="AO77" s="36">
        <v>25994</v>
      </c>
      <c r="AP77" s="36">
        <v>22910</v>
      </c>
      <c r="AQ77" s="36">
        <v>11490</v>
      </c>
      <c r="AR77" s="36">
        <v>505</v>
      </c>
      <c r="AS77" s="36">
        <v>26550</v>
      </c>
      <c r="AT77" s="36">
        <v>23931</v>
      </c>
      <c r="AU77" s="36">
        <v>9193</v>
      </c>
      <c r="AV77" s="36">
        <v>837</v>
      </c>
      <c r="AW77" s="36">
        <v>27990</v>
      </c>
      <c r="AX77" s="69">
        <v>24763</v>
      </c>
      <c r="AY77" s="36">
        <v>9433</v>
      </c>
      <c r="AZ77" s="36">
        <v>5236</v>
      </c>
      <c r="BA77" s="36">
        <v>30206</v>
      </c>
      <c r="BB77" s="36">
        <v>25703</v>
      </c>
      <c r="BC77" s="36">
        <v>9867</v>
      </c>
      <c r="BD77" s="36">
        <v>1634</v>
      </c>
      <c r="BE77" s="70">
        <v>33300</v>
      </c>
      <c r="BF77" s="70">
        <v>26094</v>
      </c>
      <c r="BG77" s="70">
        <v>9983</v>
      </c>
      <c r="BH77" s="70">
        <v>3967</v>
      </c>
      <c r="BI77" s="36">
        <v>36443</v>
      </c>
      <c r="BJ77" s="36">
        <v>29339</v>
      </c>
      <c r="BK77" s="36">
        <v>11855</v>
      </c>
      <c r="BL77" s="36">
        <v>679</v>
      </c>
      <c r="BM77" s="36">
        <v>18451.392848312989</v>
      </c>
      <c r="BN77" s="36">
        <v>4362.1220607057503</v>
      </c>
      <c r="BO77" s="36">
        <v>797.54714728048532</v>
      </c>
      <c r="BP77" s="36">
        <v>19246.24898877009</v>
      </c>
      <c r="BQ77" s="36">
        <v>4074.6888943830277</v>
      </c>
      <c r="BR77" s="36">
        <v>798.05171105986983</v>
      </c>
      <c r="BS77" s="36">
        <v>18997.499045533514</v>
      </c>
      <c r="BT77" s="36">
        <v>3960.4892923156617</v>
      </c>
      <c r="BU77" s="36">
        <v>884.83668111400948</v>
      </c>
      <c r="BV77" s="36">
        <v>22223</v>
      </c>
      <c r="BW77" s="36">
        <v>3426</v>
      </c>
      <c r="BX77" s="36">
        <v>914</v>
      </c>
      <c r="BY77" s="36">
        <v>24023</v>
      </c>
      <c r="BZ77" s="36">
        <v>2283</v>
      </c>
      <c r="CA77" s="36">
        <v>950</v>
      </c>
      <c r="CB77" s="36">
        <v>23579</v>
      </c>
      <c r="CC77" s="36">
        <v>1323</v>
      </c>
      <c r="CD77" s="36">
        <v>1092</v>
      </c>
      <c r="CE77" s="36">
        <v>23772</v>
      </c>
      <c r="CF77" s="36">
        <v>1703</v>
      </c>
      <c r="CG77" s="36">
        <v>1075</v>
      </c>
      <c r="CH77" s="36">
        <v>24792</v>
      </c>
      <c r="CI77" s="36">
        <v>2055</v>
      </c>
      <c r="CJ77" s="70">
        <v>1143</v>
      </c>
      <c r="CK77" s="70">
        <v>26925</v>
      </c>
      <c r="CL77" s="70">
        <v>2083</v>
      </c>
      <c r="CM77" s="36">
        <v>1198</v>
      </c>
      <c r="CN77" s="36">
        <v>29297</v>
      </c>
      <c r="CO77" s="36">
        <v>2601</v>
      </c>
      <c r="CP77" s="36">
        <v>1402</v>
      </c>
      <c r="CQ77" s="36">
        <v>31992</v>
      </c>
      <c r="CR77" s="36">
        <v>2966</v>
      </c>
      <c r="CS77" s="36">
        <v>1485</v>
      </c>
      <c r="CT77" s="36">
        <v>-1145.1915912764287</v>
      </c>
      <c r="CU77" s="36">
        <v>-5516.3958000000002</v>
      </c>
      <c r="CV77" s="36">
        <v>3046.2197240708879</v>
      </c>
      <c r="CW77" s="36">
        <v>287</v>
      </c>
      <c r="CX77" s="36">
        <v>-25.396376895688164</v>
      </c>
      <c r="CY77" s="36">
        <v>-3962.8439229999999</v>
      </c>
      <c r="CZ77" s="36">
        <v>3118.3723445228761</v>
      </c>
      <c r="DA77" s="36">
        <v>235</v>
      </c>
      <c r="DB77" s="36">
        <v>1334.7393843985515</v>
      </c>
      <c r="DC77" s="36">
        <v>-4254.8181640000003</v>
      </c>
      <c r="DD77" s="36">
        <v>2750.2089734986284</v>
      </c>
      <c r="DE77" s="36">
        <v>183</v>
      </c>
      <c r="DF77" s="36">
        <v>2471.8579552048277</v>
      </c>
      <c r="DG77" s="36">
        <v>-5064</v>
      </c>
      <c r="DH77" s="36">
        <v>2802.5154186281584</v>
      </c>
      <c r="DI77" s="36">
        <v>2134</v>
      </c>
      <c r="DJ77" s="36">
        <v>4179</v>
      </c>
      <c r="DK77" s="36">
        <v>-5573</v>
      </c>
      <c r="DL77" s="36">
        <v>2747</v>
      </c>
      <c r="DM77" s="36">
        <v>5386</v>
      </c>
      <c r="DN77" s="36">
        <v>2484</v>
      </c>
      <c r="DO77" s="69">
        <v>-5308</v>
      </c>
      <c r="DP77" s="36">
        <v>2786</v>
      </c>
      <c r="DQ77" s="36">
        <v>6593</v>
      </c>
      <c r="DR77" s="36">
        <v>103</v>
      </c>
      <c r="DS77" s="36">
        <v>-4277</v>
      </c>
      <c r="DT77" s="36">
        <v>2869</v>
      </c>
      <c r="DU77" s="36">
        <v>9593</v>
      </c>
      <c r="DV77" s="36">
        <v>4595</v>
      </c>
      <c r="DW77" s="71">
        <v>-4268</v>
      </c>
      <c r="DX77" s="39">
        <v>2842</v>
      </c>
      <c r="DY77" s="71">
        <v>12668</v>
      </c>
      <c r="DZ77" s="70">
        <v>1947</v>
      </c>
      <c r="EA77" s="35">
        <v>-6016</v>
      </c>
      <c r="EB77" s="35">
        <v>3074</v>
      </c>
      <c r="EC77" s="38">
        <v>17945</v>
      </c>
      <c r="ED77" s="38">
        <v>3956</v>
      </c>
      <c r="EE77" s="38">
        <v>-5014</v>
      </c>
      <c r="EF77" s="38">
        <v>3116</v>
      </c>
      <c r="EG77" s="73">
        <v>19404</v>
      </c>
      <c r="EH77" s="73">
        <v>1406</v>
      </c>
      <c r="EI77" s="73">
        <v>-7126</v>
      </c>
      <c r="EJ77" s="73">
        <v>3078</v>
      </c>
      <c r="EK77" s="73">
        <v>21938</v>
      </c>
      <c r="EL77" s="73">
        <v>48457.968996237636</v>
      </c>
      <c r="EM77" s="73">
        <v>-4328.4844754134474</v>
      </c>
      <c r="EN77" s="73">
        <v>48044.899448848162</v>
      </c>
      <c r="EO77" s="73">
        <v>-2698.07071629556</v>
      </c>
      <c r="EP77" s="73">
        <v>47964.169244146637</v>
      </c>
      <c r="EQ77" s="73">
        <v>-1247.9544143444118</v>
      </c>
      <c r="ER77" s="73">
        <v>52018.507399427828</v>
      </c>
      <c r="ES77" s="73">
        <v>-134.38215324274731</v>
      </c>
      <c r="ET77" s="73">
        <v>55018</v>
      </c>
      <c r="EU77" s="73">
        <v>1603</v>
      </c>
      <c r="EV77" s="73">
        <v>58159</v>
      </c>
      <c r="EW77" s="73">
        <v>-141</v>
      </c>
      <c r="EX77" s="73">
        <v>59903</v>
      </c>
      <c r="EY77" s="73">
        <v>-2613</v>
      </c>
      <c r="EZ77" s="73">
        <v>62725</v>
      </c>
      <c r="FA77" s="73">
        <v>1899</v>
      </c>
      <c r="FB77" s="73">
        <v>65156</v>
      </c>
      <c r="FC77" s="73">
        <v>-909</v>
      </c>
      <c r="FD77" s="73">
        <v>68721</v>
      </c>
      <c r="FE77" s="73">
        <v>1053</v>
      </c>
      <c r="FF77" s="73">
        <v>76148</v>
      </c>
      <c r="FG77" s="73">
        <v>-1464</v>
      </c>
      <c r="FH77" s="73">
        <v>1066</v>
      </c>
      <c r="FI77" s="73">
        <v>-398</v>
      </c>
      <c r="FJ77" s="79">
        <v>14384</v>
      </c>
      <c r="FK77" s="80">
        <v>36870</v>
      </c>
      <c r="FL77" s="80">
        <v>31370</v>
      </c>
      <c r="FM77" s="80">
        <v>38600</v>
      </c>
      <c r="FN77" s="76">
        <v>2180</v>
      </c>
      <c r="FO77" s="80">
        <v>32979</v>
      </c>
      <c r="FP77" s="80">
        <v>2340</v>
      </c>
      <c r="FQ77" s="80">
        <v>1551</v>
      </c>
      <c r="FR77" s="80">
        <v>1016</v>
      </c>
      <c r="FS77" s="81">
        <v>-8792</v>
      </c>
      <c r="FT77" s="76">
        <v>3398</v>
      </c>
      <c r="FU77" s="76">
        <v>30314</v>
      </c>
      <c r="FV77" s="76">
        <v>8792</v>
      </c>
      <c r="FW77" s="80">
        <v>107319</v>
      </c>
      <c r="FX77" s="80">
        <v>-2260</v>
      </c>
      <c r="FY77" s="73">
        <v>14269</v>
      </c>
      <c r="FZ77" s="73">
        <v>38798</v>
      </c>
      <c r="GA77" s="73">
        <v>33618</v>
      </c>
      <c r="GB77" s="73">
        <v>39274</v>
      </c>
      <c r="GC77" s="73">
        <v>1575</v>
      </c>
      <c r="GD77" s="73">
        <v>33833</v>
      </c>
      <c r="GE77" s="73">
        <v>3200</v>
      </c>
      <c r="GF77" s="73">
        <v>1765</v>
      </c>
      <c r="GG77" s="73">
        <v>2491</v>
      </c>
      <c r="GH77" s="73">
        <v>-7578</v>
      </c>
      <c r="GI77" s="73">
        <v>3888</v>
      </c>
      <c r="GJ77" s="73">
        <v>36906</v>
      </c>
      <c r="GK77" s="73">
        <v>7578</v>
      </c>
      <c r="GL77" s="73">
        <v>110008</v>
      </c>
      <c r="GM77" s="73">
        <v>-1336</v>
      </c>
      <c r="GN77" s="73">
        <v>-3994</v>
      </c>
      <c r="GO77" s="77">
        <v>21</v>
      </c>
      <c r="GP77" s="78">
        <v>14191</v>
      </c>
      <c r="GQ77" s="73">
        <v>40033</v>
      </c>
      <c r="GR77" s="65">
        <v>34943</v>
      </c>
      <c r="GS77" s="65">
        <v>44389</v>
      </c>
      <c r="GT77" s="65">
        <v>590</v>
      </c>
      <c r="GU77" s="65">
        <v>33971</v>
      </c>
      <c r="GV77" s="65">
        <v>4225</v>
      </c>
      <c r="GW77" s="65">
        <v>1837</v>
      </c>
      <c r="GX77" s="65">
        <v>84</v>
      </c>
      <c r="GY77" s="65">
        <v>-6166</v>
      </c>
      <c r="GZ77" s="65">
        <v>3718</v>
      </c>
      <c r="HA77" s="65">
        <v>44979</v>
      </c>
      <c r="HB77" s="65">
        <v>6166</v>
      </c>
      <c r="HC77" s="65">
        <v>118883</v>
      </c>
      <c r="HD77" s="65">
        <v>-3577</v>
      </c>
      <c r="HE77" s="78">
        <v>14167</v>
      </c>
      <c r="HF77" s="73">
        <v>40610</v>
      </c>
      <c r="HG77" s="65">
        <v>36196</v>
      </c>
      <c r="HH77" s="65">
        <v>45173</v>
      </c>
      <c r="HI77" s="65">
        <v>1837</v>
      </c>
      <c r="HJ77" s="65">
        <v>35314</v>
      </c>
      <c r="HK77" s="65">
        <v>3032</v>
      </c>
      <c r="HL77" s="65">
        <v>2264</v>
      </c>
      <c r="HM77" s="65">
        <v>-275</v>
      </c>
      <c r="HN77" s="65">
        <v>-6518</v>
      </c>
      <c r="HO77" s="65">
        <v>4423</v>
      </c>
      <c r="HP77" s="65">
        <v>52456</v>
      </c>
      <c r="HQ77" s="65">
        <v>6518</v>
      </c>
      <c r="HR77" s="65">
        <v>123012</v>
      </c>
      <c r="HS77" s="65">
        <v>-4643</v>
      </c>
      <c r="HT77" s="65">
        <v>-11955</v>
      </c>
      <c r="HU77" s="77">
        <v>21</v>
      </c>
      <c r="HV77" s="180">
        <v>240</v>
      </c>
      <c r="HW77" s="30" t="s">
        <v>757</v>
      </c>
    </row>
    <row r="78" spans="1:231" ht="15" x14ac:dyDescent="0.25">
      <c r="A78" s="27">
        <v>233</v>
      </c>
      <c r="B78" s="27" t="s">
        <v>207</v>
      </c>
      <c r="C78" s="27">
        <v>14</v>
      </c>
      <c r="D78" s="27" t="s">
        <v>106</v>
      </c>
      <c r="E78" s="27">
        <v>4</v>
      </c>
      <c r="F78" s="27" t="s">
        <v>100</v>
      </c>
      <c r="G78" s="29" t="s">
        <v>132</v>
      </c>
      <c r="H78" s="27" t="s">
        <v>99</v>
      </c>
      <c r="I78" s="31" t="s">
        <v>106</v>
      </c>
      <c r="J78" s="69">
        <v>19328</v>
      </c>
      <c r="K78" s="69">
        <v>19226</v>
      </c>
      <c r="L78" s="36">
        <v>18967</v>
      </c>
      <c r="M78" s="36">
        <v>18788</v>
      </c>
      <c r="N78" s="36">
        <v>18606</v>
      </c>
      <c r="O78" s="36">
        <v>18495</v>
      </c>
      <c r="P78" s="36">
        <v>18453</v>
      </c>
      <c r="Q78" s="36">
        <v>18248</v>
      </c>
      <c r="R78" s="69">
        <v>18077</v>
      </c>
      <c r="S78" s="69">
        <v>17974</v>
      </c>
      <c r="T78" s="71">
        <v>17773</v>
      </c>
      <c r="U78" s="36">
        <v>34952</v>
      </c>
      <c r="V78" s="36">
        <v>20328</v>
      </c>
      <c r="W78" s="36">
        <v>10242</v>
      </c>
      <c r="X78" s="36">
        <v>1022.9189687389101</v>
      </c>
      <c r="Y78" s="36">
        <v>34950</v>
      </c>
      <c r="Z78" s="36">
        <v>20152</v>
      </c>
      <c r="AA78" s="36">
        <v>10234</v>
      </c>
      <c r="AB78" s="36">
        <v>1296.3925371653268</v>
      </c>
      <c r="AC78" s="36">
        <v>33150</v>
      </c>
      <c r="AD78" s="36">
        <v>22057</v>
      </c>
      <c r="AE78" s="36">
        <v>10540</v>
      </c>
      <c r="AF78" s="36">
        <v>808.31117457402206</v>
      </c>
      <c r="AG78" s="36">
        <v>37947</v>
      </c>
      <c r="AH78" s="36">
        <v>26520</v>
      </c>
      <c r="AI78" s="36">
        <v>10754</v>
      </c>
      <c r="AJ78" s="36">
        <v>847.33077351309248</v>
      </c>
      <c r="AK78" s="36">
        <v>39905</v>
      </c>
      <c r="AL78" s="36">
        <v>27083</v>
      </c>
      <c r="AM78" s="36">
        <v>12353</v>
      </c>
      <c r="AN78" s="36">
        <v>558</v>
      </c>
      <c r="AO78" s="36">
        <v>37651</v>
      </c>
      <c r="AP78" s="36">
        <v>27601</v>
      </c>
      <c r="AQ78" s="36">
        <v>11989</v>
      </c>
      <c r="AR78" s="36">
        <v>675</v>
      </c>
      <c r="AS78" s="36">
        <v>37614</v>
      </c>
      <c r="AT78" s="36">
        <v>29131</v>
      </c>
      <c r="AU78" s="36">
        <v>12711</v>
      </c>
      <c r="AV78" s="36">
        <v>878</v>
      </c>
      <c r="AW78" s="36">
        <v>38788</v>
      </c>
      <c r="AX78" s="69">
        <v>30951</v>
      </c>
      <c r="AY78" s="36">
        <v>12886</v>
      </c>
      <c r="AZ78" s="36">
        <v>1696</v>
      </c>
      <c r="BA78" s="36">
        <v>40427</v>
      </c>
      <c r="BB78" s="36">
        <v>31740</v>
      </c>
      <c r="BC78" s="36">
        <v>12937</v>
      </c>
      <c r="BD78" s="36">
        <v>990</v>
      </c>
      <c r="BE78" s="70">
        <v>44423</v>
      </c>
      <c r="BF78" s="70">
        <v>32928</v>
      </c>
      <c r="BG78" s="70">
        <v>15868</v>
      </c>
      <c r="BH78" s="70">
        <v>958</v>
      </c>
      <c r="BI78" s="36">
        <v>47032</v>
      </c>
      <c r="BJ78" s="36">
        <v>35422</v>
      </c>
      <c r="BK78" s="36">
        <v>16539</v>
      </c>
      <c r="BL78" s="36">
        <v>266</v>
      </c>
      <c r="BM78" s="36">
        <v>29169.168462072779</v>
      </c>
      <c r="BN78" s="36">
        <v>4896.4551030739703</v>
      </c>
      <c r="BO78" s="36">
        <v>887.52768793739369</v>
      </c>
      <c r="BP78" s="36">
        <v>28489.521051241813</v>
      </c>
      <c r="BQ78" s="36">
        <v>5447.9433139412649</v>
      </c>
      <c r="BR78" s="36">
        <v>1012.6595052247579</v>
      </c>
      <c r="BS78" s="36">
        <v>27381.498991713379</v>
      </c>
      <c r="BT78" s="36">
        <v>4488.7675693312676</v>
      </c>
      <c r="BU78" s="36">
        <v>1280.4146841514835</v>
      </c>
      <c r="BV78" s="36">
        <v>32261</v>
      </c>
      <c r="BW78" s="36">
        <v>4219</v>
      </c>
      <c r="BX78" s="36">
        <v>1467</v>
      </c>
      <c r="BY78" s="36">
        <v>35273</v>
      </c>
      <c r="BZ78" s="36">
        <v>3061</v>
      </c>
      <c r="CA78" s="36">
        <v>1571</v>
      </c>
      <c r="CB78" s="36">
        <v>34293</v>
      </c>
      <c r="CC78" s="36">
        <v>1787</v>
      </c>
      <c r="CD78" s="36">
        <v>1571</v>
      </c>
      <c r="CE78" s="36">
        <v>33955</v>
      </c>
      <c r="CF78" s="36">
        <v>2025</v>
      </c>
      <c r="CG78" s="36">
        <v>1634</v>
      </c>
      <c r="CH78" s="36">
        <v>34927</v>
      </c>
      <c r="CI78" s="36">
        <v>2158</v>
      </c>
      <c r="CJ78" s="70">
        <v>1703</v>
      </c>
      <c r="CK78" s="70">
        <v>35964</v>
      </c>
      <c r="CL78" s="70">
        <v>2370</v>
      </c>
      <c r="CM78" s="36">
        <v>2093</v>
      </c>
      <c r="CN78" s="36">
        <v>39341</v>
      </c>
      <c r="CO78" s="36">
        <v>2969</v>
      </c>
      <c r="CP78" s="36">
        <v>2113</v>
      </c>
      <c r="CQ78" s="36">
        <v>41681</v>
      </c>
      <c r="CR78" s="36">
        <v>3089</v>
      </c>
      <c r="CS78" s="36">
        <v>2262</v>
      </c>
      <c r="CT78" s="36">
        <v>2500.4499027032839</v>
      </c>
      <c r="CU78" s="36">
        <v>-5068.1749758999995</v>
      </c>
      <c r="CV78" s="36">
        <v>2440.2386250300633</v>
      </c>
      <c r="CW78" s="36">
        <v>14093</v>
      </c>
      <c r="CX78" s="36">
        <v>1606.5310735603534</v>
      </c>
      <c r="CY78" s="36">
        <v>-5371.9223713000001</v>
      </c>
      <c r="CZ78" s="36">
        <v>2507.1774197617451</v>
      </c>
      <c r="DA78" s="36">
        <v>17638</v>
      </c>
      <c r="DB78" s="36">
        <v>-1110.8812542782805</v>
      </c>
      <c r="DC78" s="36">
        <v>-4510.4638126999998</v>
      </c>
      <c r="DD78" s="36">
        <v>2691.8477630164839</v>
      </c>
      <c r="DE78" s="36">
        <v>21339</v>
      </c>
      <c r="DF78" s="36">
        <v>3315.4885943357667</v>
      </c>
      <c r="DG78" s="36">
        <v>-5993</v>
      </c>
      <c r="DH78" s="36">
        <v>2683.6065546198697</v>
      </c>
      <c r="DI78" s="36">
        <v>22888</v>
      </c>
      <c r="DJ78" s="36">
        <v>7196</v>
      </c>
      <c r="DK78" s="36">
        <v>-2897</v>
      </c>
      <c r="DL78" s="36">
        <v>2769</v>
      </c>
      <c r="DM78" s="36">
        <v>20563</v>
      </c>
      <c r="DN78" s="36">
        <v>1632</v>
      </c>
      <c r="DO78" s="69">
        <v>-4072</v>
      </c>
      <c r="DP78" s="36">
        <v>2698</v>
      </c>
      <c r="DQ78" s="36">
        <v>21258</v>
      </c>
      <c r="DR78" s="36">
        <v>-43</v>
      </c>
      <c r="DS78" s="36">
        <v>-4082</v>
      </c>
      <c r="DT78" s="36">
        <v>2832</v>
      </c>
      <c r="DU78" s="36">
        <v>25280</v>
      </c>
      <c r="DV78" s="36">
        <v>850</v>
      </c>
      <c r="DW78" s="71">
        <v>-1571</v>
      </c>
      <c r="DX78" s="39">
        <v>2724</v>
      </c>
      <c r="DY78" s="71">
        <v>26133</v>
      </c>
      <c r="DZ78" s="70">
        <v>463</v>
      </c>
      <c r="EA78" s="35">
        <v>-2577</v>
      </c>
      <c r="EB78" s="35">
        <v>2762</v>
      </c>
      <c r="EC78" s="38">
        <v>26963</v>
      </c>
      <c r="ED78" s="38">
        <v>2630</v>
      </c>
      <c r="EE78" s="38">
        <v>-2385</v>
      </c>
      <c r="EF78" s="38">
        <v>2765</v>
      </c>
      <c r="EG78" s="73">
        <v>28595</v>
      </c>
      <c r="EH78" s="73">
        <v>2487</v>
      </c>
      <c r="EI78" s="73">
        <v>-2489</v>
      </c>
      <c r="EJ78" s="73">
        <v>2894</v>
      </c>
      <c r="EK78" s="73">
        <v>28269</v>
      </c>
      <c r="EL78" s="73">
        <v>60022.234443878217</v>
      </c>
      <c r="EM78" s="73">
        <v>-95.530742230138259</v>
      </c>
      <c r="EN78" s="73">
        <v>61000.415424178354</v>
      </c>
      <c r="EO78" s="73">
        <v>-630.5365363042049</v>
      </c>
      <c r="EP78" s="73">
        <v>63303.749077068758</v>
      </c>
      <c r="EQ78" s="73">
        <v>-4099.0761437199462</v>
      </c>
      <c r="ER78" s="73">
        <v>67825.313292060004</v>
      </c>
      <c r="ES78" s="73">
        <v>631.88203971589701</v>
      </c>
      <c r="ET78" s="73">
        <v>71598</v>
      </c>
      <c r="EU78" s="73">
        <v>5324</v>
      </c>
      <c r="EV78" s="73">
        <v>75439</v>
      </c>
      <c r="EW78" s="73">
        <v>-1224</v>
      </c>
      <c r="EX78" s="73">
        <v>79474</v>
      </c>
      <c r="EY78" s="73">
        <v>-2903</v>
      </c>
      <c r="EZ78" s="73">
        <v>81928</v>
      </c>
      <c r="FA78" s="73">
        <v>-1294</v>
      </c>
      <c r="FB78" s="73">
        <v>84241</v>
      </c>
      <c r="FC78" s="73">
        <v>-1624</v>
      </c>
      <c r="FD78" s="73">
        <v>90163</v>
      </c>
      <c r="FE78" s="73">
        <v>264</v>
      </c>
      <c r="FF78" s="73">
        <v>95728</v>
      </c>
      <c r="FG78" s="73">
        <v>-398</v>
      </c>
      <c r="FH78" s="73">
        <v>546</v>
      </c>
      <c r="FI78" s="73">
        <v>118</v>
      </c>
      <c r="FJ78" s="79">
        <v>17545</v>
      </c>
      <c r="FK78" s="80">
        <v>46546</v>
      </c>
      <c r="FL78" s="80">
        <v>38672</v>
      </c>
      <c r="FM78" s="80">
        <v>15856</v>
      </c>
      <c r="FN78" s="76">
        <v>386</v>
      </c>
      <c r="FO78" s="80">
        <v>41925</v>
      </c>
      <c r="FP78" s="80">
        <v>2338</v>
      </c>
      <c r="FQ78" s="80">
        <v>2283</v>
      </c>
      <c r="FR78" s="80">
        <v>8314</v>
      </c>
      <c r="FS78" s="81">
        <v>-2315</v>
      </c>
      <c r="FT78" s="76">
        <v>3366</v>
      </c>
      <c r="FU78" s="76">
        <v>24102</v>
      </c>
      <c r="FV78" s="76">
        <v>2315</v>
      </c>
      <c r="FW78" s="80">
        <v>92150</v>
      </c>
      <c r="FX78" s="80">
        <v>5068</v>
      </c>
      <c r="FY78" s="73">
        <v>17308</v>
      </c>
      <c r="FZ78" s="73">
        <v>45393</v>
      </c>
      <c r="GA78" s="73">
        <v>40697</v>
      </c>
      <c r="GB78" s="73">
        <v>16099</v>
      </c>
      <c r="GC78" s="73">
        <v>93</v>
      </c>
      <c r="GD78" s="73">
        <v>39899</v>
      </c>
      <c r="GE78" s="73">
        <v>2960</v>
      </c>
      <c r="GF78" s="73">
        <v>2534</v>
      </c>
      <c r="GG78" s="73">
        <v>7884</v>
      </c>
      <c r="GH78" s="73">
        <v>-3667</v>
      </c>
      <c r="GI78" s="73">
        <v>3443</v>
      </c>
      <c r="GJ78" s="73">
        <v>24091</v>
      </c>
      <c r="GK78" s="73">
        <v>3667</v>
      </c>
      <c r="GL78" s="73">
        <v>94045</v>
      </c>
      <c r="GM78" s="73">
        <v>4815</v>
      </c>
      <c r="GN78" s="73">
        <v>5958</v>
      </c>
      <c r="GO78" s="77">
        <v>19.75</v>
      </c>
      <c r="GP78" s="78">
        <v>17265</v>
      </c>
      <c r="GQ78" s="73">
        <v>47835</v>
      </c>
      <c r="GR78" s="65">
        <v>42721</v>
      </c>
      <c r="GS78" s="65">
        <v>14861</v>
      </c>
      <c r="GT78" s="65">
        <v>201</v>
      </c>
      <c r="GU78" s="65">
        <v>41732</v>
      </c>
      <c r="GV78" s="65">
        <v>3522</v>
      </c>
      <c r="GW78" s="65">
        <v>2581</v>
      </c>
      <c r="GX78" s="65">
        <v>6202</v>
      </c>
      <c r="GY78" s="65">
        <v>-3367</v>
      </c>
      <c r="GZ78" s="65">
        <v>3038</v>
      </c>
      <c r="HA78" s="65">
        <v>23455</v>
      </c>
      <c r="HB78" s="65">
        <v>3367</v>
      </c>
      <c r="HC78" s="65">
        <v>99083</v>
      </c>
      <c r="HD78" s="65">
        <v>1294</v>
      </c>
      <c r="HE78" s="78">
        <v>17202</v>
      </c>
      <c r="HF78" s="73">
        <v>49451</v>
      </c>
      <c r="HG78" s="65">
        <v>43554</v>
      </c>
      <c r="HH78" s="65">
        <v>11988</v>
      </c>
      <c r="HI78" s="65">
        <v>98</v>
      </c>
      <c r="HJ78" s="65">
        <v>44265</v>
      </c>
      <c r="HK78" s="65">
        <v>2572</v>
      </c>
      <c r="HL78" s="65">
        <v>2614</v>
      </c>
      <c r="HM78" s="65">
        <v>2630</v>
      </c>
      <c r="HN78" s="65">
        <v>-5209</v>
      </c>
      <c r="HO78" s="65">
        <v>3194</v>
      </c>
      <c r="HP78" s="65">
        <v>24363</v>
      </c>
      <c r="HQ78" s="65">
        <v>5209</v>
      </c>
      <c r="HR78" s="65">
        <v>102159</v>
      </c>
      <c r="HS78" s="65">
        <v>-130</v>
      </c>
      <c r="HT78" s="65">
        <v>6313</v>
      </c>
      <c r="HU78" s="77">
        <v>20.25</v>
      </c>
      <c r="HV78" s="180">
        <v>240</v>
      </c>
      <c r="HW78" s="30" t="s">
        <v>757</v>
      </c>
    </row>
    <row r="79" spans="1:231" ht="15" x14ac:dyDescent="0.25">
      <c r="A79" s="27">
        <v>235</v>
      </c>
      <c r="B79" s="27" t="s">
        <v>208</v>
      </c>
      <c r="C79" s="27">
        <v>1</v>
      </c>
      <c r="D79" s="27" t="s">
        <v>121</v>
      </c>
      <c r="E79" s="27">
        <v>3</v>
      </c>
      <c r="F79" s="27" t="s">
        <v>743</v>
      </c>
      <c r="G79" s="29" t="s">
        <v>141</v>
      </c>
      <c r="H79" s="27" t="s">
        <v>97</v>
      </c>
      <c r="I79" s="31" t="s">
        <v>121</v>
      </c>
      <c r="J79" s="69">
        <v>8530</v>
      </c>
      <c r="K79" s="69">
        <v>8549</v>
      </c>
      <c r="L79" s="36">
        <v>8532</v>
      </c>
      <c r="M79" s="36">
        <v>8543</v>
      </c>
      <c r="N79" s="36">
        <v>8582</v>
      </c>
      <c r="O79" s="36">
        <v>8622</v>
      </c>
      <c r="P79" s="36">
        <v>8465</v>
      </c>
      <c r="Q79" s="36">
        <v>8457</v>
      </c>
      <c r="R79" s="69">
        <v>8469</v>
      </c>
      <c r="S79" s="69">
        <v>8511</v>
      </c>
      <c r="T79" s="71">
        <v>8545</v>
      </c>
      <c r="U79" s="36">
        <v>29869</v>
      </c>
      <c r="V79" s="36">
        <v>1349</v>
      </c>
      <c r="W79" s="36">
        <v>5721</v>
      </c>
      <c r="X79" s="36">
        <v>1097.930783940744</v>
      </c>
      <c r="Y79" s="36">
        <v>29332</v>
      </c>
      <c r="Z79" s="36">
        <v>1493</v>
      </c>
      <c r="AA79" s="36">
        <v>5019</v>
      </c>
      <c r="AB79" s="36">
        <v>898.45990315739186</v>
      </c>
      <c r="AC79" s="36">
        <v>43956</v>
      </c>
      <c r="AD79" s="36">
        <v>1413</v>
      </c>
      <c r="AE79" s="36">
        <v>4843</v>
      </c>
      <c r="AF79" s="36">
        <v>896.60983596631536</v>
      </c>
      <c r="AG79" s="36">
        <v>44241</v>
      </c>
      <c r="AH79" s="36">
        <v>706</v>
      </c>
      <c r="AI79" s="36">
        <v>5296</v>
      </c>
      <c r="AJ79" s="36">
        <v>1301.7745508120954</v>
      </c>
      <c r="AK79" s="36">
        <v>34971</v>
      </c>
      <c r="AL79" s="36">
        <v>-3218</v>
      </c>
      <c r="AM79" s="36">
        <v>5356</v>
      </c>
      <c r="AN79" s="36">
        <v>1195</v>
      </c>
      <c r="AO79" s="36">
        <v>38014</v>
      </c>
      <c r="AP79" s="36">
        <v>182</v>
      </c>
      <c r="AQ79" s="36">
        <v>5722</v>
      </c>
      <c r="AR79" s="36">
        <v>2476</v>
      </c>
      <c r="AS79" s="36">
        <v>33646</v>
      </c>
      <c r="AT79" s="36">
        <v>802</v>
      </c>
      <c r="AU79" s="36">
        <v>8274</v>
      </c>
      <c r="AV79" s="36">
        <v>563</v>
      </c>
      <c r="AW79" s="36">
        <v>41339</v>
      </c>
      <c r="AX79" s="69">
        <v>2970</v>
      </c>
      <c r="AY79" s="36">
        <v>6015</v>
      </c>
      <c r="AZ79" s="36">
        <v>754</v>
      </c>
      <c r="BA79" s="36">
        <v>40590</v>
      </c>
      <c r="BB79" s="36">
        <v>3099</v>
      </c>
      <c r="BC79" s="36">
        <v>10117</v>
      </c>
      <c r="BD79" s="36">
        <v>123</v>
      </c>
      <c r="BE79" s="70">
        <v>47034</v>
      </c>
      <c r="BF79" s="70">
        <v>3205</v>
      </c>
      <c r="BG79" s="70">
        <v>8396</v>
      </c>
      <c r="BH79" s="70">
        <v>339</v>
      </c>
      <c r="BI79" s="36">
        <v>49165</v>
      </c>
      <c r="BJ79" s="36">
        <v>3633</v>
      </c>
      <c r="BK79" s="36">
        <v>8220</v>
      </c>
      <c r="BL79" s="36">
        <v>228</v>
      </c>
      <c r="BM79" s="36">
        <v>24880.880901083634</v>
      </c>
      <c r="BN79" s="36">
        <v>4208.0619200670062</v>
      </c>
      <c r="BO79" s="36">
        <v>765.59144125279818</v>
      </c>
      <c r="BP79" s="36">
        <v>25321.028704633409</v>
      </c>
      <c r="BQ79" s="36">
        <v>3240.1404032810101</v>
      </c>
      <c r="BR79" s="36">
        <v>770.9734548995666</v>
      </c>
      <c r="BS79" s="36">
        <v>39127.071024079465</v>
      </c>
      <c r="BT79" s="36">
        <v>3713.5894162701634</v>
      </c>
      <c r="BU79" s="36">
        <v>1101.9672941758204</v>
      </c>
      <c r="BV79" s="36">
        <v>41101</v>
      </c>
      <c r="BW79" s="36">
        <v>1985</v>
      </c>
      <c r="BX79" s="36">
        <v>1141</v>
      </c>
      <c r="BY79" s="36">
        <v>32939</v>
      </c>
      <c r="BZ79" s="36">
        <v>869</v>
      </c>
      <c r="CA79" s="36">
        <v>1150</v>
      </c>
      <c r="CB79" s="36">
        <v>36131</v>
      </c>
      <c r="CC79" s="36">
        <v>628</v>
      </c>
      <c r="CD79" s="36">
        <v>1243</v>
      </c>
      <c r="CE79" s="36">
        <v>31703</v>
      </c>
      <c r="CF79" s="36">
        <v>646</v>
      </c>
      <c r="CG79" s="36">
        <v>1286</v>
      </c>
      <c r="CH79" s="36">
        <v>39273</v>
      </c>
      <c r="CI79" s="36">
        <v>723</v>
      </c>
      <c r="CJ79" s="70">
        <v>1333</v>
      </c>
      <c r="CK79" s="70">
        <v>38009</v>
      </c>
      <c r="CL79" s="70">
        <v>872</v>
      </c>
      <c r="CM79" s="36">
        <v>1699</v>
      </c>
      <c r="CN79" s="36">
        <v>43936</v>
      </c>
      <c r="CO79" s="36">
        <v>1035</v>
      </c>
      <c r="CP79" s="36">
        <v>2053</v>
      </c>
      <c r="CQ79" s="36">
        <v>45958</v>
      </c>
      <c r="CR79" s="36">
        <v>1168</v>
      </c>
      <c r="CS79" s="36">
        <v>2039</v>
      </c>
      <c r="CT79" s="36">
        <v>5032.3509476548716</v>
      </c>
      <c r="CU79" s="36">
        <v>-3003.8363669999999</v>
      </c>
      <c r="CV79" s="36">
        <v>2643.2414522691074</v>
      </c>
      <c r="CW79" s="36">
        <v>100</v>
      </c>
      <c r="CX79" s="36">
        <v>2244.1315027759415</v>
      </c>
      <c r="CY79" s="36">
        <v>-2920.0787789999999</v>
      </c>
      <c r="CZ79" s="36">
        <v>2335.6257347710039</v>
      </c>
      <c r="DA79" s="36">
        <v>99</v>
      </c>
      <c r="DB79" s="36">
        <v>15772.15917978112</v>
      </c>
      <c r="DC79" s="36">
        <v>-2441.079565</v>
      </c>
      <c r="DD79" s="36">
        <v>2481.4446670131338</v>
      </c>
      <c r="DE79" s="36">
        <v>75</v>
      </c>
      <c r="DF79" s="36">
        <v>12714.502676710848</v>
      </c>
      <c r="DG79" s="36">
        <v>-8541</v>
      </c>
      <c r="DH79" s="36">
        <v>2567.3886974349657</v>
      </c>
      <c r="DI79" s="36">
        <v>60</v>
      </c>
      <c r="DJ79" s="36">
        <v>-2772</v>
      </c>
      <c r="DK79" s="36">
        <v>-11124</v>
      </c>
      <c r="DL79" s="36">
        <v>3128</v>
      </c>
      <c r="DM79" s="36">
        <v>61</v>
      </c>
      <c r="DN79" s="36">
        <v>4558</v>
      </c>
      <c r="DO79" s="69">
        <v>-10750</v>
      </c>
      <c r="DP79" s="36">
        <v>3735</v>
      </c>
      <c r="DQ79" s="36">
        <v>39</v>
      </c>
      <c r="DR79" s="36">
        <v>-393</v>
      </c>
      <c r="DS79" s="36">
        <v>-2877</v>
      </c>
      <c r="DT79" s="36">
        <v>4004</v>
      </c>
      <c r="DU79" s="36">
        <v>14</v>
      </c>
      <c r="DV79" s="36">
        <v>5000</v>
      </c>
      <c r="DW79" s="71">
        <v>-4024</v>
      </c>
      <c r="DX79" s="39">
        <v>4140</v>
      </c>
      <c r="DY79" s="71">
        <v>7</v>
      </c>
      <c r="DZ79" s="70">
        <v>5376</v>
      </c>
      <c r="EA79" s="35">
        <v>-1200</v>
      </c>
      <c r="EB79" s="35">
        <v>4290</v>
      </c>
      <c r="EC79" s="38">
        <v>0</v>
      </c>
      <c r="ED79" s="38">
        <v>7686</v>
      </c>
      <c r="EE79" s="38">
        <v>-4647</v>
      </c>
      <c r="EF79" s="38">
        <v>4240</v>
      </c>
      <c r="EG79" s="73">
        <v>2</v>
      </c>
      <c r="EH79" s="73">
        <v>6739</v>
      </c>
      <c r="EI79" s="73">
        <v>-8240</v>
      </c>
      <c r="EJ79" s="73">
        <v>4302</v>
      </c>
      <c r="EK79" s="73">
        <v>0</v>
      </c>
      <c r="EL79" s="73">
        <v>31732.857025125595</v>
      </c>
      <c r="EM79" s="73">
        <v>2389.1094953857641</v>
      </c>
      <c r="EN79" s="73">
        <v>32311.255304226728</v>
      </c>
      <c r="EO79" s="73">
        <v>-91.494231995061995</v>
      </c>
      <c r="EP79" s="73">
        <v>33767.93093530988</v>
      </c>
      <c r="EQ79" s="73">
        <v>16320.283632119184</v>
      </c>
      <c r="ER79" s="73">
        <v>36989.570666680112</v>
      </c>
      <c r="ES79" s="73">
        <v>10147.113979275884</v>
      </c>
      <c r="ET79" s="73">
        <v>40569</v>
      </c>
      <c r="EU79" s="73">
        <v>-4232</v>
      </c>
      <c r="EV79" s="73">
        <v>41716</v>
      </c>
      <c r="EW79" s="73">
        <v>823</v>
      </c>
      <c r="EX79" s="73">
        <v>43515</v>
      </c>
      <c r="EY79" s="73">
        <v>-4397</v>
      </c>
      <c r="EZ79" s="73">
        <v>46038</v>
      </c>
      <c r="FA79" s="73">
        <v>860</v>
      </c>
      <c r="FB79" s="73">
        <v>48553</v>
      </c>
      <c r="FC79" s="73">
        <v>1073</v>
      </c>
      <c r="FD79" s="73">
        <v>51275</v>
      </c>
      <c r="FE79" s="73">
        <v>3446</v>
      </c>
      <c r="FF79" s="73">
        <v>54325</v>
      </c>
      <c r="FG79" s="73">
        <v>2437</v>
      </c>
      <c r="FH79" s="73">
        <v>31189</v>
      </c>
      <c r="FI79" s="73">
        <v>33628</v>
      </c>
      <c r="FJ79" s="79">
        <v>8617</v>
      </c>
      <c r="FK79" s="80">
        <v>47214</v>
      </c>
      <c r="FL79" s="80">
        <v>3319</v>
      </c>
      <c r="FM79" s="80">
        <v>8332</v>
      </c>
      <c r="FN79" s="76">
        <v>449</v>
      </c>
      <c r="FO79" s="80">
        <v>43968</v>
      </c>
      <c r="FP79" s="80">
        <v>1100</v>
      </c>
      <c r="FQ79" s="80">
        <v>2146</v>
      </c>
      <c r="FR79" s="80">
        <v>3106</v>
      </c>
      <c r="FS79" s="81">
        <v>-7841</v>
      </c>
      <c r="FT79" s="76">
        <v>5851</v>
      </c>
      <c r="FU79" s="76">
        <v>4000</v>
      </c>
      <c r="FV79" s="76">
        <v>7841</v>
      </c>
      <c r="FW79" s="80">
        <v>56208</v>
      </c>
      <c r="FX79" s="80">
        <v>-2745</v>
      </c>
      <c r="FY79" s="73">
        <v>8689</v>
      </c>
      <c r="FZ79" s="73">
        <v>48989</v>
      </c>
      <c r="GA79" s="73">
        <v>2668</v>
      </c>
      <c r="GB79" s="73">
        <v>11110</v>
      </c>
      <c r="GC79" s="73">
        <v>4446</v>
      </c>
      <c r="GD79" s="73">
        <v>45212</v>
      </c>
      <c r="GE79" s="73">
        <v>1150</v>
      </c>
      <c r="GF79" s="73">
        <v>2627</v>
      </c>
      <c r="GG79" s="73">
        <v>7412</v>
      </c>
      <c r="GH79" s="73">
        <v>-3152</v>
      </c>
      <c r="GI79" s="73">
        <v>5151</v>
      </c>
      <c r="GJ79" s="73">
        <v>0</v>
      </c>
      <c r="GK79" s="73">
        <v>3152</v>
      </c>
      <c r="GL79" s="73">
        <v>56890</v>
      </c>
      <c r="GM79" s="73">
        <v>5104</v>
      </c>
      <c r="GN79" s="73">
        <v>35988</v>
      </c>
      <c r="GO79" s="77">
        <v>16.5</v>
      </c>
      <c r="GP79" s="78">
        <v>8807</v>
      </c>
      <c r="GQ79" s="73">
        <v>52330</v>
      </c>
      <c r="GR79" s="65">
        <v>3029</v>
      </c>
      <c r="GS79" s="65">
        <v>12761</v>
      </c>
      <c r="GT79" s="65">
        <v>833</v>
      </c>
      <c r="GU79" s="65">
        <v>48347</v>
      </c>
      <c r="GV79" s="65">
        <v>1278</v>
      </c>
      <c r="GW79" s="65">
        <v>2705</v>
      </c>
      <c r="GX79" s="65">
        <v>8034</v>
      </c>
      <c r="GY79" s="65">
        <v>-4838</v>
      </c>
      <c r="GZ79" s="65">
        <v>5890</v>
      </c>
      <c r="HA79" s="65">
        <v>0</v>
      </c>
      <c r="HB79" s="65">
        <v>4838</v>
      </c>
      <c r="HC79" s="65">
        <v>60457</v>
      </c>
      <c r="HD79" s="65">
        <v>2606</v>
      </c>
      <c r="HE79" s="78">
        <v>8910</v>
      </c>
      <c r="HF79" s="73">
        <v>54174</v>
      </c>
      <c r="HG79" s="65">
        <v>3750</v>
      </c>
      <c r="HH79" s="65">
        <v>10894</v>
      </c>
      <c r="HI79" s="65">
        <v>1973</v>
      </c>
      <c r="HJ79" s="65">
        <v>50512</v>
      </c>
      <c r="HK79" s="65">
        <v>922</v>
      </c>
      <c r="HL79" s="65">
        <v>2740</v>
      </c>
      <c r="HM79" s="65">
        <v>6497</v>
      </c>
      <c r="HN79" s="65">
        <v>-9195</v>
      </c>
      <c r="HO79" s="65">
        <v>6308</v>
      </c>
      <c r="HP79" s="65">
        <v>1000</v>
      </c>
      <c r="HQ79" s="65">
        <v>9195</v>
      </c>
      <c r="HR79" s="65">
        <v>62730</v>
      </c>
      <c r="HS79" s="65">
        <v>1753</v>
      </c>
      <c r="HT79" s="65">
        <v>40347</v>
      </c>
      <c r="HU79" s="77">
        <v>16.5</v>
      </c>
      <c r="HV79" s="180">
        <v>110</v>
      </c>
      <c r="HW79" s="30" t="s">
        <v>750</v>
      </c>
    </row>
    <row r="80" spans="1:231" ht="15" x14ac:dyDescent="0.25">
      <c r="A80" s="27">
        <v>236</v>
      </c>
      <c r="B80" s="27" t="s">
        <v>209</v>
      </c>
      <c r="C80" s="27">
        <v>16</v>
      </c>
      <c r="D80" s="27" t="s">
        <v>110</v>
      </c>
      <c r="E80" s="27">
        <v>2</v>
      </c>
      <c r="F80" s="27" t="s">
        <v>744</v>
      </c>
      <c r="G80" s="29" t="s">
        <v>130</v>
      </c>
      <c r="H80" s="27" t="s">
        <v>98</v>
      </c>
      <c r="I80" s="31" t="s">
        <v>110</v>
      </c>
      <c r="J80" s="69">
        <v>4508</v>
      </c>
      <c r="K80" s="69">
        <v>4437</v>
      </c>
      <c r="L80" s="36">
        <v>4414</v>
      </c>
      <c r="M80" s="36">
        <v>4438</v>
      </c>
      <c r="N80" s="36">
        <v>4432</v>
      </c>
      <c r="O80" s="36">
        <v>4432</v>
      </c>
      <c r="P80" s="36">
        <v>4393</v>
      </c>
      <c r="Q80" s="36">
        <v>4348</v>
      </c>
      <c r="R80" s="69">
        <v>4332</v>
      </c>
      <c r="S80" s="69">
        <v>4298</v>
      </c>
      <c r="T80" s="71">
        <v>4313</v>
      </c>
      <c r="U80" s="36">
        <v>7205</v>
      </c>
      <c r="V80" s="36">
        <v>4788</v>
      </c>
      <c r="W80" s="36">
        <v>2978</v>
      </c>
      <c r="X80" s="36">
        <v>138.58685140428508</v>
      </c>
      <c r="Y80" s="36">
        <v>7185</v>
      </c>
      <c r="Z80" s="36">
        <v>5374</v>
      </c>
      <c r="AA80" s="36">
        <v>3076</v>
      </c>
      <c r="AB80" s="36">
        <v>111.84497109690483</v>
      </c>
      <c r="AC80" s="36">
        <v>6748</v>
      </c>
      <c r="AD80" s="36">
        <v>5829</v>
      </c>
      <c r="AE80" s="36">
        <v>3128</v>
      </c>
      <c r="AF80" s="36">
        <v>44.906176365223445</v>
      </c>
      <c r="AG80" s="36">
        <v>8515</v>
      </c>
      <c r="AH80" s="36">
        <v>7189</v>
      </c>
      <c r="AI80" s="36">
        <v>3151</v>
      </c>
      <c r="AJ80" s="36">
        <v>41.374229909531714</v>
      </c>
      <c r="AK80" s="36">
        <v>9307</v>
      </c>
      <c r="AL80" s="36">
        <v>6904</v>
      </c>
      <c r="AM80" s="36">
        <v>3200</v>
      </c>
      <c r="AN80" s="36">
        <v>80</v>
      </c>
      <c r="AO80" s="36">
        <v>8570</v>
      </c>
      <c r="AP80" s="36">
        <v>6477</v>
      </c>
      <c r="AQ80" s="36">
        <v>3377</v>
      </c>
      <c r="AR80" s="36">
        <v>55</v>
      </c>
      <c r="AS80" s="36">
        <v>8799</v>
      </c>
      <c r="AT80" s="36">
        <v>6949</v>
      </c>
      <c r="AU80" s="36">
        <v>6105</v>
      </c>
      <c r="AV80" s="36">
        <v>19</v>
      </c>
      <c r="AW80" s="36">
        <v>9278</v>
      </c>
      <c r="AX80" s="69">
        <v>6919</v>
      </c>
      <c r="AY80" s="36">
        <v>6179</v>
      </c>
      <c r="AZ80" s="36">
        <v>48</v>
      </c>
      <c r="BA80" s="36">
        <v>9437</v>
      </c>
      <c r="BB80" s="36">
        <v>6872</v>
      </c>
      <c r="BC80" s="36">
        <v>6390</v>
      </c>
      <c r="BD80" s="36">
        <v>10</v>
      </c>
      <c r="BE80" s="70">
        <v>10672</v>
      </c>
      <c r="BF80" s="70">
        <v>7280</v>
      </c>
      <c r="BG80" s="70">
        <v>6787</v>
      </c>
      <c r="BH80" s="70">
        <v>26</v>
      </c>
      <c r="BI80" s="36">
        <v>10851</v>
      </c>
      <c r="BJ80" s="36">
        <v>7624</v>
      </c>
      <c r="BK80" s="36">
        <v>7143</v>
      </c>
      <c r="BL80" s="36">
        <v>11</v>
      </c>
      <c r="BM80" s="36">
        <v>6035.4237410713231</v>
      </c>
      <c r="BN80" s="36">
        <v>948.91628109584519</v>
      </c>
      <c r="BO80" s="36">
        <v>212.75772697381146</v>
      </c>
      <c r="BP80" s="36">
        <v>6032.7327342479384</v>
      </c>
      <c r="BQ80" s="36">
        <v>928.56554199400239</v>
      </c>
      <c r="BR80" s="36">
        <v>215.44873379719564</v>
      </c>
      <c r="BS80" s="36">
        <v>5777.0870860264422</v>
      </c>
      <c r="BT80" s="36">
        <v>662.66043025835347</v>
      </c>
      <c r="BU80" s="36">
        <v>297.69262983687452</v>
      </c>
      <c r="BV80" s="36">
        <v>7364</v>
      </c>
      <c r="BW80" s="36">
        <v>821</v>
      </c>
      <c r="BX80" s="36">
        <v>319</v>
      </c>
      <c r="BY80" s="36">
        <v>8017</v>
      </c>
      <c r="BZ80" s="36">
        <v>951</v>
      </c>
      <c r="CA80" s="36">
        <v>329</v>
      </c>
      <c r="CB80" s="36">
        <v>7866</v>
      </c>
      <c r="CC80" s="36">
        <v>375</v>
      </c>
      <c r="CD80" s="36">
        <v>329</v>
      </c>
      <c r="CE80" s="36">
        <v>7873</v>
      </c>
      <c r="CF80" s="36">
        <v>602</v>
      </c>
      <c r="CG80" s="36">
        <v>324</v>
      </c>
      <c r="CH80" s="36">
        <v>8351</v>
      </c>
      <c r="CI80" s="36">
        <v>588</v>
      </c>
      <c r="CJ80" s="70">
        <v>339</v>
      </c>
      <c r="CK80" s="70">
        <v>8449</v>
      </c>
      <c r="CL80" s="70">
        <v>540</v>
      </c>
      <c r="CM80" s="36">
        <v>448</v>
      </c>
      <c r="CN80" s="36">
        <v>9546</v>
      </c>
      <c r="CO80" s="36">
        <v>663</v>
      </c>
      <c r="CP80" s="36">
        <v>463</v>
      </c>
      <c r="CQ80" s="36">
        <v>9631</v>
      </c>
      <c r="CR80" s="36">
        <v>718</v>
      </c>
      <c r="CS80" s="36">
        <v>502</v>
      </c>
      <c r="CT80" s="36">
        <v>-488.75411429715098</v>
      </c>
      <c r="CU80" s="36">
        <v>-1187.5749490000001</v>
      </c>
      <c r="CV80" s="36">
        <v>453.43464974023374</v>
      </c>
      <c r="CW80" s="36">
        <v>5508</v>
      </c>
      <c r="CX80" s="36">
        <v>384.98216367039873</v>
      </c>
      <c r="CY80" s="36">
        <v>-1041.9242039999999</v>
      </c>
      <c r="CZ80" s="36">
        <v>455.62109278423333</v>
      </c>
      <c r="DA80" s="36">
        <v>6225</v>
      </c>
      <c r="DB80" s="36">
        <v>-166.16967134397291</v>
      </c>
      <c r="DC80" s="36">
        <v>-2208.6438499999999</v>
      </c>
      <c r="DD80" s="36">
        <v>524.07357885406839</v>
      </c>
      <c r="DE80" s="36">
        <v>8120</v>
      </c>
      <c r="DF80" s="36">
        <v>2161.8876067362626</v>
      </c>
      <c r="DG80" s="36">
        <v>-655</v>
      </c>
      <c r="DH80" s="36">
        <v>564.43868120483103</v>
      </c>
      <c r="DI80" s="36">
        <v>7802</v>
      </c>
      <c r="DJ80" s="36">
        <v>2810</v>
      </c>
      <c r="DK80" s="36">
        <v>-879</v>
      </c>
      <c r="DL80" s="36">
        <v>550</v>
      </c>
      <c r="DM80" s="36">
        <v>6214</v>
      </c>
      <c r="DN80" s="36">
        <v>981</v>
      </c>
      <c r="DO80" s="69">
        <v>-1034</v>
      </c>
      <c r="DP80" s="36">
        <v>679</v>
      </c>
      <c r="DQ80" s="36">
        <v>4853</v>
      </c>
      <c r="DR80" s="36">
        <v>726</v>
      </c>
      <c r="DS80" s="36">
        <v>-1582</v>
      </c>
      <c r="DT80" s="36">
        <v>621</v>
      </c>
      <c r="DU80" s="36">
        <v>5726</v>
      </c>
      <c r="DV80" s="36">
        <v>633</v>
      </c>
      <c r="DW80" s="71">
        <v>-1423</v>
      </c>
      <c r="DX80" s="39">
        <v>640</v>
      </c>
      <c r="DY80" s="71">
        <v>5583</v>
      </c>
      <c r="DZ80" s="70">
        <v>-402</v>
      </c>
      <c r="EA80" s="35">
        <v>-1258</v>
      </c>
      <c r="EB80" s="35">
        <v>668</v>
      </c>
      <c r="EC80" s="38">
        <v>7784</v>
      </c>
      <c r="ED80" s="38">
        <v>623</v>
      </c>
      <c r="EE80" s="38">
        <v>-2115</v>
      </c>
      <c r="EF80" s="38">
        <v>733</v>
      </c>
      <c r="EG80" s="73">
        <v>9851</v>
      </c>
      <c r="EH80" s="73">
        <v>-793</v>
      </c>
      <c r="EI80" s="73">
        <v>-2094</v>
      </c>
      <c r="EJ80" s="73">
        <v>766</v>
      </c>
      <c r="EK80" s="73">
        <v>12217</v>
      </c>
      <c r="EL80" s="73">
        <v>14613.512554387771</v>
      </c>
      <c r="EM80" s="73">
        <v>-942.18876403738477</v>
      </c>
      <c r="EN80" s="73">
        <v>14362.912543960119</v>
      </c>
      <c r="EO80" s="73">
        <v>-70.638929113834635</v>
      </c>
      <c r="EP80" s="73">
        <v>14882.276860873264</v>
      </c>
      <c r="EQ80" s="73">
        <v>-690.24325019804121</v>
      </c>
      <c r="ER80" s="73">
        <v>15520.381853868235</v>
      </c>
      <c r="ES80" s="73">
        <v>1439.856838436996</v>
      </c>
      <c r="ET80" s="73">
        <v>16346</v>
      </c>
      <c r="EU80" s="73">
        <v>2260</v>
      </c>
      <c r="EV80" s="73">
        <v>17256</v>
      </c>
      <c r="EW80" s="73">
        <v>302</v>
      </c>
      <c r="EX80" s="73">
        <v>20958</v>
      </c>
      <c r="EY80" s="73">
        <v>105</v>
      </c>
      <c r="EZ80" s="73">
        <v>21592</v>
      </c>
      <c r="FA80" s="73">
        <v>-7</v>
      </c>
      <c r="FB80" s="73">
        <v>22868</v>
      </c>
      <c r="FC80" s="73">
        <v>-1070</v>
      </c>
      <c r="FD80" s="73">
        <v>23793</v>
      </c>
      <c r="FE80" s="73">
        <v>-110</v>
      </c>
      <c r="FF80" s="73">
        <v>26019</v>
      </c>
      <c r="FG80" s="73">
        <v>-1559</v>
      </c>
      <c r="FH80" s="73">
        <v>1597</v>
      </c>
      <c r="FI80" s="73">
        <v>38</v>
      </c>
      <c r="FJ80" s="79">
        <v>4298</v>
      </c>
      <c r="FK80" s="80">
        <v>11141</v>
      </c>
      <c r="FL80" s="80">
        <v>9004</v>
      </c>
      <c r="FM80" s="80">
        <v>6770</v>
      </c>
      <c r="FN80" s="76">
        <v>12</v>
      </c>
      <c r="FO80" s="80">
        <v>10098</v>
      </c>
      <c r="FP80" s="80">
        <v>509</v>
      </c>
      <c r="FQ80" s="80">
        <v>534</v>
      </c>
      <c r="FR80" s="80">
        <v>428</v>
      </c>
      <c r="FS80" s="81">
        <v>-1061</v>
      </c>
      <c r="FT80" s="76">
        <v>765</v>
      </c>
      <c r="FU80" s="76">
        <v>13156</v>
      </c>
      <c r="FV80" s="76">
        <v>1061</v>
      </c>
      <c r="FW80" s="80">
        <v>26101</v>
      </c>
      <c r="FX80" s="80">
        <v>-337</v>
      </c>
      <c r="FY80" s="73">
        <v>4302</v>
      </c>
      <c r="FZ80" s="73">
        <v>11313</v>
      </c>
      <c r="GA80" s="73">
        <v>9299</v>
      </c>
      <c r="GB80" s="73">
        <v>7648</v>
      </c>
      <c r="GC80" s="73">
        <v>-1</v>
      </c>
      <c r="GD80" s="73">
        <v>10149</v>
      </c>
      <c r="GE80" s="73">
        <v>564</v>
      </c>
      <c r="GF80" s="73">
        <v>600</v>
      </c>
      <c r="GG80" s="73">
        <v>767</v>
      </c>
      <c r="GH80" s="73">
        <v>-978</v>
      </c>
      <c r="GI80" s="73">
        <v>867</v>
      </c>
      <c r="GJ80" s="73">
        <v>15113</v>
      </c>
      <c r="GK80" s="73">
        <v>978</v>
      </c>
      <c r="GL80" s="73">
        <v>27176</v>
      </c>
      <c r="GM80" s="73">
        <v>-446</v>
      </c>
      <c r="GN80" s="73">
        <v>-745</v>
      </c>
      <c r="GO80" s="77">
        <v>20.5</v>
      </c>
      <c r="GP80" s="78">
        <v>4280</v>
      </c>
      <c r="GQ80" s="73">
        <v>12760</v>
      </c>
      <c r="GR80" s="65">
        <v>9925</v>
      </c>
      <c r="GS80" s="65">
        <v>8348</v>
      </c>
      <c r="GT80" s="65">
        <v>20</v>
      </c>
      <c r="GU80" s="65">
        <v>11464</v>
      </c>
      <c r="GV80" s="65">
        <v>671</v>
      </c>
      <c r="GW80" s="65">
        <v>625</v>
      </c>
      <c r="GX80" s="65">
        <v>1844</v>
      </c>
      <c r="GY80" s="65">
        <v>-2125</v>
      </c>
      <c r="GZ80" s="65">
        <v>921</v>
      </c>
      <c r="HA80" s="65">
        <v>15610</v>
      </c>
      <c r="HB80" s="65">
        <v>2125</v>
      </c>
      <c r="HC80" s="65">
        <v>28826</v>
      </c>
      <c r="HD80" s="65">
        <v>923</v>
      </c>
      <c r="HE80" s="78">
        <v>4287</v>
      </c>
      <c r="HF80" s="73">
        <v>12204</v>
      </c>
      <c r="HG80" s="65">
        <v>9195</v>
      </c>
      <c r="HH80" s="65">
        <v>8793</v>
      </c>
      <c r="HI80" s="65">
        <v>8</v>
      </c>
      <c r="HJ80" s="65">
        <v>10987</v>
      </c>
      <c r="HK80" s="65">
        <v>585</v>
      </c>
      <c r="HL80" s="65">
        <v>632</v>
      </c>
      <c r="HM80" s="65">
        <v>-977</v>
      </c>
      <c r="HN80" s="65">
        <v>-1582</v>
      </c>
      <c r="HO80" s="65">
        <v>1062</v>
      </c>
      <c r="HP80" s="65">
        <v>14638</v>
      </c>
      <c r="HQ80" s="65">
        <v>1582</v>
      </c>
      <c r="HR80" s="65">
        <v>30804</v>
      </c>
      <c r="HS80" s="65">
        <v>-2039</v>
      </c>
      <c r="HT80" s="65">
        <v>-1861</v>
      </c>
      <c r="HU80" s="77">
        <v>20.5</v>
      </c>
      <c r="HV80" s="180">
        <v>330</v>
      </c>
      <c r="HW80" s="30" t="s">
        <v>760</v>
      </c>
    </row>
    <row r="81" spans="1:231" ht="15" x14ac:dyDescent="0.25">
      <c r="A81" s="27">
        <v>239</v>
      </c>
      <c r="B81" s="27" t="s">
        <v>210</v>
      </c>
      <c r="C81" s="27">
        <v>11</v>
      </c>
      <c r="D81" s="27" t="s">
        <v>118</v>
      </c>
      <c r="E81" s="27">
        <v>2</v>
      </c>
      <c r="F81" s="27" t="s">
        <v>744</v>
      </c>
      <c r="G81" s="29" t="s">
        <v>130</v>
      </c>
      <c r="H81" s="27" t="s">
        <v>98</v>
      </c>
      <c r="I81" s="31" t="s">
        <v>118</v>
      </c>
      <c r="J81" s="69">
        <v>3044</v>
      </c>
      <c r="K81" s="69">
        <v>3005</v>
      </c>
      <c r="L81" s="36">
        <v>2972</v>
      </c>
      <c r="M81" s="36">
        <v>2943</v>
      </c>
      <c r="N81" s="36">
        <v>2916</v>
      </c>
      <c r="O81" s="36">
        <v>2831</v>
      </c>
      <c r="P81" s="36">
        <v>2803</v>
      </c>
      <c r="Q81" s="36">
        <v>2760</v>
      </c>
      <c r="R81" s="69">
        <v>2692</v>
      </c>
      <c r="S81" s="69">
        <v>2642</v>
      </c>
      <c r="T81" s="71">
        <v>2618</v>
      </c>
      <c r="U81" s="36">
        <v>5580</v>
      </c>
      <c r="V81" s="36">
        <v>3573</v>
      </c>
      <c r="W81" s="36">
        <v>2015</v>
      </c>
      <c r="X81" s="36">
        <v>164.8241679322808</v>
      </c>
      <c r="Y81" s="36">
        <v>5621</v>
      </c>
      <c r="Z81" s="36">
        <v>3693</v>
      </c>
      <c r="AA81" s="36">
        <v>2209</v>
      </c>
      <c r="AB81" s="36">
        <v>258.33665504488096</v>
      </c>
      <c r="AC81" s="36">
        <v>5370</v>
      </c>
      <c r="AD81" s="36">
        <v>3790</v>
      </c>
      <c r="AE81" s="36">
        <v>1687</v>
      </c>
      <c r="AF81" s="36">
        <v>168.35611438797255</v>
      </c>
      <c r="AG81" s="36">
        <v>5850</v>
      </c>
      <c r="AH81" s="36">
        <v>3952</v>
      </c>
      <c r="AI81" s="36">
        <v>1664</v>
      </c>
      <c r="AJ81" s="36">
        <v>100.07181624459906</v>
      </c>
      <c r="AK81" s="36">
        <v>5299</v>
      </c>
      <c r="AL81" s="36">
        <v>4413</v>
      </c>
      <c r="AM81" s="36">
        <v>1731</v>
      </c>
      <c r="AN81" s="36">
        <v>65</v>
      </c>
      <c r="AO81" s="36">
        <v>5613</v>
      </c>
      <c r="AP81" s="36">
        <v>5372</v>
      </c>
      <c r="AQ81" s="36">
        <v>1792</v>
      </c>
      <c r="AR81" s="36">
        <v>139</v>
      </c>
      <c r="AS81" s="36">
        <v>5368</v>
      </c>
      <c r="AT81" s="36">
        <v>4781</v>
      </c>
      <c r="AU81" s="36">
        <v>1842</v>
      </c>
      <c r="AV81" s="36">
        <v>137</v>
      </c>
      <c r="AW81" s="36">
        <v>5616</v>
      </c>
      <c r="AX81" s="69">
        <v>4988</v>
      </c>
      <c r="AY81" s="36">
        <v>2042</v>
      </c>
      <c r="AZ81" s="36">
        <v>157</v>
      </c>
      <c r="BA81" s="36">
        <v>5904</v>
      </c>
      <c r="BB81" s="36">
        <v>5682</v>
      </c>
      <c r="BC81" s="36">
        <v>2079</v>
      </c>
      <c r="BD81" s="36">
        <v>97</v>
      </c>
      <c r="BE81" s="70">
        <v>6472</v>
      </c>
      <c r="BF81" s="70">
        <v>5883</v>
      </c>
      <c r="BG81" s="70">
        <v>2293</v>
      </c>
      <c r="BH81" s="70">
        <v>248</v>
      </c>
      <c r="BI81" s="36">
        <v>6780</v>
      </c>
      <c r="BJ81" s="36">
        <v>6280</v>
      </c>
      <c r="BK81" s="36">
        <v>2108</v>
      </c>
      <c r="BL81" s="36">
        <v>188</v>
      </c>
      <c r="BM81" s="36">
        <v>3975.1216419178127</v>
      </c>
      <c r="BN81" s="36">
        <v>1424.3835492025369</v>
      </c>
      <c r="BO81" s="36">
        <v>180.80202094612434</v>
      </c>
      <c r="BP81" s="36">
        <v>4013.973052930422</v>
      </c>
      <c r="BQ81" s="36">
        <v>1373.2544195582375</v>
      </c>
      <c r="BR81" s="36">
        <v>233.27665400211581</v>
      </c>
      <c r="BS81" s="36">
        <v>3862.7721070415237</v>
      </c>
      <c r="BT81" s="36">
        <v>1269.8188447844082</v>
      </c>
      <c r="BU81" s="36">
        <v>236.97678838426904</v>
      </c>
      <c r="BV81" s="36">
        <v>4440</v>
      </c>
      <c r="BW81" s="36">
        <v>1163</v>
      </c>
      <c r="BX81" s="36">
        <v>247</v>
      </c>
      <c r="BY81" s="36">
        <v>4717</v>
      </c>
      <c r="BZ81" s="36">
        <v>325</v>
      </c>
      <c r="CA81" s="36">
        <v>257</v>
      </c>
      <c r="CB81" s="36">
        <v>4905</v>
      </c>
      <c r="CC81" s="36">
        <v>366</v>
      </c>
      <c r="CD81" s="36">
        <v>342</v>
      </c>
      <c r="CE81" s="36">
        <v>4659</v>
      </c>
      <c r="CF81" s="36">
        <v>371</v>
      </c>
      <c r="CG81" s="36">
        <v>338</v>
      </c>
      <c r="CH81" s="36">
        <v>4740</v>
      </c>
      <c r="CI81" s="36">
        <v>521</v>
      </c>
      <c r="CJ81" s="70">
        <v>355</v>
      </c>
      <c r="CK81" s="70">
        <v>4857</v>
      </c>
      <c r="CL81" s="70">
        <v>690</v>
      </c>
      <c r="CM81" s="36">
        <v>357</v>
      </c>
      <c r="CN81" s="36">
        <v>5145</v>
      </c>
      <c r="CO81" s="36">
        <v>903</v>
      </c>
      <c r="CP81" s="36">
        <v>424</v>
      </c>
      <c r="CQ81" s="36">
        <v>5495</v>
      </c>
      <c r="CR81" s="36">
        <v>887</v>
      </c>
      <c r="CS81" s="36">
        <v>398</v>
      </c>
      <c r="CT81" s="36">
        <v>212.25316319442695</v>
      </c>
      <c r="CU81" s="36">
        <v>-1495.0224780000001</v>
      </c>
      <c r="CV81" s="36">
        <v>483.54028857684415</v>
      </c>
      <c r="CW81" s="36">
        <v>5113</v>
      </c>
      <c r="CX81" s="36">
        <v>214.27141831196505</v>
      </c>
      <c r="CY81" s="36">
        <v>515.66418250000004</v>
      </c>
      <c r="CZ81" s="36">
        <v>527.94190116268317</v>
      </c>
      <c r="DA81" s="36">
        <v>5830</v>
      </c>
      <c r="DB81" s="36">
        <v>-387.50498256732146</v>
      </c>
      <c r="DC81" s="36">
        <v>-185.17490699999999</v>
      </c>
      <c r="DD81" s="36">
        <v>562.75680194021595</v>
      </c>
      <c r="DE81" s="36">
        <v>4609</v>
      </c>
      <c r="DF81" s="36">
        <v>-436.2794812411596</v>
      </c>
      <c r="DG81" s="36">
        <v>-1057</v>
      </c>
      <c r="DH81" s="36">
        <v>495.14525550268849</v>
      </c>
      <c r="DI81" s="36">
        <v>5807</v>
      </c>
      <c r="DJ81" s="36">
        <v>-234</v>
      </c>
      <c r="DK81" s="36">
        <v>-230</v>
      </c>
      <c r="DL81" s="36">
        <v>497</v>
      </c>
      <c r="DM81" s="36">
        <v>5376</v>
      </c>
      <c r="DN81" s="36">
        <v>1167</v>
      </c>
      <c r="DO81" s="69">
        <v>-241</v>
      </c>
      <c r="DP81" s="36">
        <v>552</v>
      </c>
      <c r="DQ81" s="36">
        <v>5494</v>
      </c>
      <c r="DR81" s="36">
        <v>188</v>
      </c>
      <c r="DS81" s="36">
        <v>-296</v>
      </c>
      <c r="DT81" s="36">
        <v>480</v>
      </c>
      <c r="DU81" s="36">
        <v>5103</v>
      </c>
      <c r="DV81" s="36">
        <v>224</v>
      </c>
      <c r="DW81" s="71">
        <v>-109</v>
      </c>
      <c r="DX81" s="39">
        <v>581</v>
      </c>
      <c r="DY81" s="71">
        <v>4929</v>
      </c>
      <c r="DZ81" s="70">
        <v>730</v>
      </c>
      <c r="EA81" s="35">
        <v>-581</v>
      </c>
      <c r="EB81" s="35">
        <v>462</v>
      </c>
      <c r="EC81" s="38">
        <v>4694</v>
      </c>
      <c r="ED81" s="38">
        <v>982</v>
      </c>
      <c r="EE81" s="38">
        <v>325</v>
      </c>
      <c r="EF81" s="38">
        <v>438</v>
      </c>
      <c r="EG81" s="73">
        <v>3759</v>
      </c>
      <c r="EH81" s="73">
        <v>899</v>
      </c>
      <c r="EI81" s="73">
        <v>-773</v>
      </c>
      <c r="EJ81" s="73">
        <v>407</v>
      </c>
      <c r="EK81" s="73">
        <v>2819</v>
      </c>
      <c r="EL81" s="73">
        <v>10341.034658486005</v>
      </c>
      <c r="EM81" s="73">
        <v>-290.79692485195255</v>
      </c>
      <c r="EN81" s="73">
        <v>10767.559239992397</v>
      </c>
      <c r="EO81" s="73">
        <v>981.37655090291685</v>
      </c>
      <c r="EP81" s="73">
        <v>10673.542189100413</v>
      </c>
      <c r="EQ81" s="73">
        <v>-865.32688164447427</v>
      </c>
      <c r="ER81" s="73">
        <v>11048.769453036044</v>
      </c>
      <c r="ES81" s="73">
        <v>-931.42473674384803</v>
      </c>
      <c r="ET81" s="73">
        <v>11402</v>
      </c>
      <c r="EU81" s="73">
        <v>-731</v>
      </c>
      <c r="EV81" s="73">
        <v>11557</v>
      </c>
      <c r="EW81" s="73">
        <v>615</v>
      </c>
      <c r="EX81" s="73">
        <v>11815</v>
      </c>
      <c r="EY81" s="73">
        <v>-321</v>
      </c>
      <c r="EZ81" s="73">
        <v>12450</v>
      </c>
      <c r="FA81" s="73">
        <v>-408</v>
      </c>
      <c r="FB81" s="73">
        <v>12898</v>
      </c>
      <c r="FC81" s="73">
        <v>268</v>
      </c>
      <c r="FD81" s="73">
        <v>13592</v>
      </c>
      <c r="FE81" s="73">
        <v>674</v>
      </c>
      <c r="FF81" s="73">
        <v>14309</v>
      </c>
      <c r="FG81" s="73">
        <v>492</v>
      </c>
      <c r="FH81" s="73">
        <v>480</v>
      </c>
      <c r="FI81" s="73">
        <v>972</v>
      </c>
      <c r="FJ81" s="79">
        <v>2563</v>
      </c>
      <c r="FK81" s="80">
        <v>6444</v>
      </c>
      <c r="FL81" s="80">
        <v>6437</v>
      </c>
      <c r="FM81" s="80">
        <v>2131</v>
      </c>
      <c r="FN81" s="76">
        <v>189</v>
      </c>
      <c r="FO81" s="80">
        <v>5325</v>
      </c>
      <c r="FP81" s="80">
        <v>710</v>
      </c>
      <c r="FQ81" s="80">
        <v>409</v>
      </c>
      <c r="FR81" s="80">
        <v>694</v>
      </c>
      <c r="FS81" s="81">
        <v>-415</v>
      </c>
      <c r="FT81" s="76">
        <v>418</v>
      </c>
      <c r="FU81" s="76">
        <v>2658</v>
      </c>
      <c r="FV81" s="76">
        <v>415</v>
      </c>
      <c r="FW81" s="80">
        <v>14420</v>
      </c>
      <c r="FX81" s="80">
        <v>276</v>
      </c>
      <c r="FY81" s="73">
        <v>2542</v>
      </c>
      <c r="FZ81" s="73">
        <v>6431</v>
      </c>
      <c r="GA81" s="73">
        <v>6963</v>
      </c>
      <c r="GB81" s="73">
        <v>2242</v>
      </c>
      <c r="GC81" s="73">
        <v>174</v>
      </c>
      <c r="GD81" s="73">
        <v>5143</v>
      </c>
      <c r="GE81" s="73">
        <v>887</v>
      </c>
      <c r="GF81" s="73">
        <v>401</v>
      </c>
      <c r="GG81" s="73">
        <v>314</v>
      </c>
      <c r="GH81" s="73">
        <v>-542</v>
      </c>
      <c r="GI81" s="73">
        <v>429</v>
      </c>
      <c r="GJ81" s="73">
        <v>2622</v>
      </c>
      <c r="GK81" s="73">
        <v>542</v>
      </c>
      <c r="GL81" s="73">
        <v>15473</v>
      </c>
      <c r="GM81" s="73">
        <v>-116</v>
      </c>
      <c r="GN81" s="73">
        <v>1137</v>
      </c>
      <c r="GO81" s="77">
        <v>18.5</v>
      </c>
      <c r="GP81" s="78">
        <v>2524</v>
      </c>
      <c r="GQ81" s="73">
        <v>6681</v>
      </c>
      <c r="GR81" s="65">
        <v>7025</v>
      </c>
      <c r="GS81" s="65">
        <v>2250</v>
      </c>
      <c r="GT81" s="65">
        <v>143</v>
      </c>
      <c r="GU81" s="65">
        <v>5503</v>
      </c>
      <c r="GV81" s="65">
        <v>782</v>
      </c>
      <c r="GW81" s="65">
        <v>396</v>
      </c>
      <c r="GX81" s="65">
        <v>-65</v>
      </c>
      <c r="GY81" s="65">
        <v>-525</v>
      </c>
      <c r="GZ81" s="65">
        <v>472</v>
      </c>
      <c r="HA81" s="65">
        <v>3697</v>
      </c>
      <c r="HB81" s="65">
        <v>525</v>
      </c>
      <c r="HC81" s="65">
        <v>16118</v>
      </c>
      <c r="HD81" s="65">
        <v>-537</v>
      </c>
      <c r="HE81" s="78">
        <v>2476</v>
      </c>
      <c r="HF81" s="73">
        <v>6591</v>
      </c>
      <c r="HG81" s="65">
        <v>7124</v>
      </c>
      <c r="HH81" s="65">
        <v>2944</v>
      </c>
      <c r="HI81" s="65">
        <v>184</v>
      </c>
      <c r="HJ81" s="65">
        <v>5734</v>
      </c>
      <c r="HK81" s="65">
        <v>453</v>
      </c>
      <c r="HL81" s="65">
        <v>404</v>
      </c>
      <c r="HM81" s="65">
        <v>3</v>
      </c>
      <c r="HN81" s="65">
        <v>-692</v>
      </c>
      <c r="HO81" s="65">
        <v>516</v>
      </c>
      <c r="HP81" s="65">
        <v>4636</v>
      </c>
      <c r="HQ81" s="65">
        <v>692</v>
      </c>
      <c r="HR81" s="65">
        <v>16812</v>
      </c>
      <c r="HS81" s="65">
        <v>-513</v>
      </c>
      <c r="HT81" s="65">
        <v>87</v>
      </c>
      <c r="HU81" s="77">
        <v>19.5</v>
      </c>
      <c r="HV81" s="180">
        <v>340</v>
      </c>
      <c r="HW81" s="30" t="s">
        <v>761</v>
      </c>
    </row>
    <row r="82" spans="1:231" ht="15" x14ac:dyDescent="0.25">
      <c r="A82" s="27">
        <v>240</v>
      </c>
      <c r="B82" s="27" t="s">
        <v>211</v>
      </c>
      <c r="C82" s="27">
        <v>19</v>
      </c>
      <c r="D82" s="27" t="s">
        <v>113</v>
      </c>
      <c r="E82" s="27">
        <v>5</v>
      </c>
      <c r="F82" s="27" t="s">
        <v>101</v>
      </c>
      <c r="G82" s="29" t="s">
        <v>141</v>
      </c>
      <c r="H82" s="27" t="s">
        <v>97</v>
      </c>
      <c r="I82" s="31" t="s">
        <v>113</v>
      </c>
      <c r="J82" s="71">
        <v>24122</v>
      </c>
      <c r="K82" s="71">
        <v>23967</v>
      </c>
      <c r="L82" s="71">
        <v>23689</v>
      </c>
      <c r="M82" s="71">
        <v>23424</v>
      </c>
      <c r="N82" s="71">
        <v>23236</v>
      </c>
      <c r="O82" s="71">
        <v>23056</v>
      </c>
      <c r="P82" s="71">
        <v>22907</v>
      </c>
      <c r="Q82" s="71">
        <v>22831</v>
      </c>
      <c r="R82" s="71">
        <v>22771</v>
      </c>
      <c r="S82" s="71">
        <v>22669</v>
      </c>
      <c r="T82" s="71">
        <v>22594</v>
      </c>
      <c r="U82" s="71">
        <v>55591</v>
      </c>
      <c r="V82" s="71">
        <v>19168</v>
      </c>
      <c r="W82" s="71">
        <v>34550</v>
      </c>
      <c r="X82" s="71">
        <v>688.05680715404162</v>
      </c>
      <c r="Y82" s="71">
        <v>56587</v>
      </c>
      <c r="Z82" s="71">
        <v>17137</v>
      </c>
      <c r="AA82" s="71">
        <v>34851</v>
      </c>
      <c r="AB82" s="71">
        <v>1298.0744164299422</v>
      </c>
      <c r="AC82" s="71">
        <v>59164</v>
      </c>
      <c r="AD82" s="71">
        <v>17057</v>
      </c>
      <c r="AE82" s="71">
        <v>24718</v>
      </c>
      <c r="AF82" s="71">
        <v>904.34648058354492</v>
      </c>
      <c r="AG82" s="71">
        <v>70882</v>
      </c>
      <c r="AH82" s="71">
        <v>16506</v>
      </c>
      <c r="AI82" s="71">
        <v>25271</v>
      </c>
      <c r="AJ82" s="71">
        <v>943.70245537553842</v>
      </c>
      <c r="AK82" s="71">
        <v>69071</v>
      </c>
      <c r="AL82" s="71">
        <v>17178</v>
      </c>
      <c r="AM82" s="71">
        <v>27256</v>
      </c>
      <c r="AN82" s="71">
        <v>813</v>
      </c>
      <c r="AO82" s="71">
        <v>65831</v>
      </c>
      <c r="AP82" s="71">
        <v>16861</v>
      </c>
      <c r="AQ82" s="71">
        <v>29067</v>
      </c>
      <c r="AR82" s="71">
        <v>624</v>
      </c>
      <c r="AS82" s="71">
        <v>65542</v>
      </c>
      <c r="AT82" s="71">
        <v>21943</v>
      </c>
      <c r="AU82" s="71">
        <v>29063</v>
      </c>
      <c r="AV82" s="71">
        <v>754</v>
      </c>
      <c r="AW82" s="71">
        <v>62891</v>
      </c>
      <c r="AX82" s="71">
        <v>21459</v>
      </c>
      <c r="AY82" s="71">
        <v>27432</v>
      </c>
      <c r="AZ82" s="71">
        <v>15027</v>
      </c>
      <c r="BA82" s="71">
        <v>67255</v>
      </c>
      <c r="BB82" s="71">
        <v>26303</v>
      </c>
      <c r="BC82" s="71">
        <v>24425</v>
      </c>
      <c r="BD82" s="71">
        <v>534</v>
      </c>
      <c r="BE82" s="71">
        <v>69312</v>
      </c>
      <c r="BF82" s="71">
        <v>28598</v>
      </c>
      <c r="BG82" s="71">
        <v>26941</v>
      </c>
      <c r="BH82" s="71">
        <v>2880</v>
      </c>
      <c r="BI82" s="71">
        <v>76317</v>
      </c>
      <c r="BJ82" s="71">
        <v>32357</v>
      </c>
      <c r="BK82" s="71">
        <v>29240</v>
      </c>
      <c r="BL82" s="71">
        <v>830</v>
      </c>
      <c r="BM82" s="71">
        <v>47948.191391132787</v>
      </c>
      <c r="BN82" s="71">
        <v>5456.6890861172642</v>
      </c>
      <c r="BO82" s="71">
        <v>2130.4364644879602</v>
      </c>
      <c r="BP82" s="71">
        <v>47358.86089681166</v>
      </c>
      <c r="BQ82" s="71">
        <v>5615.290300770469</v>
      </c>
      <c r="BR82" s="71">
        <v>3572.4797459689557</v>
      </c>
      <c r="BS82" s="71">
        <v>43591.451344073816</v>
      </c>
      <c r="BT82" s="71">
        <v>11842.280090081453</v>
      </c>
      <c r="BU82" s="71">
        <v>3683.9883412129375</v>
      </c>
      <c r="BV82" s="71">
        <v>49841</v>
      </c>
      <c r="BW82" s="71">
        <v>17296</v>
      </c>
      <c r="BX82" s="71">
        <v>3702</v>
      </c>
      <c r="BY82" s="71">
        <v>55653</v>
      </c>
      <c r="BZ82" s="71">
        <v>9671</v>
      </c>
      <c r="CA82" s="71">
        <v>3738</v>
      </c>
      <c r="CB82" s="71">
        <v>55076</v>
      </c>
      <c r="CC82" s="71">
        <v>6899</v>
      </c>
      <c r="CD82" s="71">
        <v>3856</v>
      </c>
      <c r="CE82" s="71">
        <v>55887</v>
      </c>
      <c r="CF82" s="71">
        <v>6107</v>
      </c>
      <c r="CG82" s="71">
        <v>3548</v>
      </c>
      <c r="CH82" s="71">
        <v>55106</v>
      </c>
      <c r="CI82" s="71">
        <v>4070</v>
      </c>
      <c r="CJ82" s="71">
        <v>3715</v>
      </c>
      <c r="CK82" s="71">
        <v>59072</v>
      </c>
      <c r="CL82" s="71">
        <v>4062</v>
      </c>
      <c r="CM82" s="71">
        <v>4121</v>
      </c>
      <c r="CN82" s="71">
        <v>60476</v>
      </c>
      <c r="CO82" s="71">
        <v>4305</v>
      </c>
      <c r="CP82" s="71">
        <v>4531</v>
      </c>
      <c r="CQ82" s="71">
        <v>66715</v>
      </c>
      <c r="CR82" s="71">
        <v>4565</v>
      </c>
      <c r="CS82" s="71">
        <v>5037</v>
      </c>
      <c r="CT82" s="71">
        <v>1743.2678577735619</v>
      </c>
      <c r="CU82" s="71">
        <v>-6316.8021419999995</v>
      </c>
      <c r="CV82" s="71">
        <v>7234.4354688154353</v>
      </c>
      <c r="CW82" s="71">
        <v>44986</v>
      </c>
      <c r="CX82" s="71">
        <v>2225.462642938714</v>
      </c>
      <c r="CY82" s="71">
        <v>-5150.082496</v>
      </c>
      <c r="CZ82" s="71">
        <v>7373.3586960726434</v>
      </c>
      <c r="DA82" s="71">
        <v>49269</v>
      </c>
      <c r="DB82" s="71">
        <v>1800.4517527704759</v>
      </c>
      <c r="DC82" s="71">
        <v>-1298.7471680000001</v>
      </c>
      <c r="DD82" s="71">
        <v>4997.7042348038003</v>
      </c>
      <c r="DE82" s="71">
        <v>41586</v>
      </c>
      <c r="DF82" s="71">
        <v>8133.2317478257501</v>
      </c>
      <c r="DG82" s="71">
        <v>-3465</v>
      </c>
      <c r="DH82" s="71">
        <v>4897.8006064856627</v>
      </c>
      <c r="DI82" s="71">
        <v>45185</v>
      </c>
      <c r="DJ82" s="71">
        <v>7276</v>
      </c>
      <c r="DK82" s="71">
        <v>-4421</v>
      </c>
      <c r="DL82" s="71">
        <v>4881</v>
      </c>
      <c r="DM82" s="71">
        <v>38746</v>
      </c>
      <c r="DN82" s="71">
        <v>-749</v>
      </c>
      <c r="DO82" s="71">
        <v>-13090</v>
      </c>
      <c r="DP82" s="71">
        <v>5616</v>
      </c>
      <c r="DQ82" s="71">
        <v>52978</v>
      </c>
      <c r="DR82" s="71">
        <v>3309</v>
      </c>
      <c r="DS82" s="71">
        <v>-10656</v>
      </c>
      <c r="DT82" s="71">
        <v>5441</v>
      </c>
      <c r="DU82" s="71">
        <v>64450</v>
      </c>
      <c r="DV82" s="71">
        <v>-5101</v>
      </c>
      <c r="DW82" s="71">
        <v>6707</v>
      </c>
      <c r="DX82" s="39">
        <v>5516</v>
      </c>
      <c r="DY82" s="71">
        <v>80157</v>
      </c>
      <c r="DZ82" s="70">
        <v>-965</v>
      </c>
      <c r="EA82" s="35">
        <v>-8274</v>
      </c>
      <c r="EB82" s="35">
        <v>5082</v>
      </c>
      <c r="EC82" s="38">
        <v>87951</v>
      </c>
      <c r="ED82" s="38">
        <v>1446</v>
      </c>
      <c r="EE82" s="38">
        <v>-5514</v>
      </c>
      <c r="EF82" s="38">
        <v>5266</v>
      </c>
      <c r="EG82" s="73">
        <v>91062</v>
      </c>
      <c r="EH82" s="73">
        <v>8966</v>
      </c>
      <c r="EI82" s="73">
        <v>-990</v>
      </c>
      <c r="EJ82" s="73">
        <v>5400</v>
      </c>
      <c r="EK82" s="73">
        <v>87238</v>
      </c>
      <c r="EL82" s="73">
        <v>101558.2611386659</v>
      </c>
      <c r="EM82" s="73">
        <v>-5687.1065453695337</v>
      </c>
      <c r="EN82" s="73">
        <v>101419.50609933515</v>
      </c>
      <c r="EO82" s="73">
        <v>-5775.0688309089046</v>
      </c>
      <c r="EP82" s="73">
        <v>94008.809683588057</v>
      </c>
      <c r="EQ82" s="73">
        <v>13194.006455052617</v>
      </c>
      <c r="ER82" s="73">
        <v>99307.906682610861</v>
      </c>
      <c r="ES82" s="73">
        <v>3286.8966468373101</v>
      </c>
      <c r="ET82" s="73">
        <v>105251</v>
      </c>
      <c r="EU82" s="73">
        <v>2255</v>
      </c>
      <c r="EV82" s="73">
        <v>111431</v>
      </c>
      <c r="EW82" s="73">
        <v>-6452</v>
      </c>
      <c r="EX82" s="73">
        <v>112080</v>
      </c>
      <c r="EY82" s="73">
        <v>-2296</v>
      </c>
      <c r="EZ82" s="73">
        <v>116273</v>
      </c>
      <c r="FA82" s="73">
        <v>4015</v>
      </c>
      <c r="FB82" s="73">
        <v>117734</v>
      </c>
      <c r="FC82" s="73">
        <v>-6237</v>
      </c>
      <c r="FD82" s="73">
        <v>121108</v>
      </c>
      <c r="FE82" s="73">
        <v>-3798</v>
      </c>
      <c r="FF82" s="73">
        <v>126463</v>
      </c>
      <c r="FG82" s="73">
        <v>3612</v>
      </c>
      <c r="FH82" s="73">
        <v>-16329</v>
      </c>
      <c r="FI82" s="73">
        <v>-12718</v>
      </c>
      <c r="FJ82" s="79">
        <v>22580</v>
      </c>
      <c r="FK82" s="80">
        <v>77128</v>
      </c>
      <c r="FL82" s="80">
        <v>34416</v>
      </c>
      <c r="FM82" s="80">
        <v>26002</v>
      </c>
      <c r="FN82" s="76">
        <v>731</v>
      </c>
      <c r="FO82" s="80">
        <v>67837</v>
      </c>
      <c r="FP82" s="80">
        <v>4045</v>
      </c>
      <c r="FQ82" s="80">
        <v>5246</v>
      </c>
      <c r="FR82" s="80">
        <v>6705</v>
      </c>
      <c r="FS82" s="81">
        <v>-4585</v>
      </c>
      <c r="FT82" s="76">
        <v>5338</v>
      </c>
      <c r="FU82" s="76">
        <v>86929</v>
      </c>
      <c r="FV82" s="76">
        <v>4585</v>
      </c>
      <c r="FW82" s="80">
        <v>129167</v>
      </c>
      <c r="FX82" s="80">
        <v>1884</v>
      </c>
      <c r="FY82" s="73">
        <v>22537</v>
      </c>
      <c r="FZ82" s="73">
        <v>76192</v>
      </c>
      <c r="GA82" s="73">
        <v>37066</v>
      </c>
      <c r="GB82" s="73">
        <v>27045</v>
      </c>
      <c r="GC82" s="73">
        <v>1107</v>
      </c>
      <c r="GD82" s="73">
        <v>66575</v>
      </c>
      <c r="GE82" s="73">
        <v>3735</v>
      </c>
      <c r="GF82" s="73">
        <v>5843</v>
      </c>
      <c r="GG82" s="73">
        <v>5494</v>
      </c>
      <c r="GH82" s="73">
        <v>-5692</v>
      </c>
      <c r="GI82" s="73">
        <v>5196</v>
      </c>
      <c r="GJ82" s="73">
        <v>85943</v>
      </c>
      <c r="GK82" s="73">
        <v>5692</v>
      </c>
      <c r="GL82" s="73">
        <v>133016</v>
      </c>
      <c r="GM82" s="73">
        <v>577</v>
      </c>
      <c r="GN82" s="73">
        <v>-10257</v>
      </c>
      <c r="GO82" s="77">
        <v>20.75</v>
      </c>
      <c r="GP82" s="78">
        <v>22399</v>
      </c>
      <c r="GQ82" s="73">
        <v>77909</v>
      </c>
      <c r="GR82" s="65">
        <v>40447</v>
      </c>
      <c r="GS82" s="65">
        <v>28156</v>
      </c>
      <c r="GT82" s="65">
        <v>21589</v>
      </c>
      <c r="GU82" s="65">
        <v>68727</v>
      </c>
      <c r="GV82" s="65">
        <v>3298</v>
      </c>
      <c r="GW82" s="65">
        <v>5884</v>
      </c>
      <c r="GX82" s="65">
        <v>3720</v>
      </c>
      <c r="GY82" s="65">
        <v>-160</v>
      </c>
      <c r="GZ82" s="65">
        <v>5220</v>
      </c>
      <c r="HA82" s="65">
        <v>80959</v>
      </c>
      <c r="HB82" s="65">
        <v>160</v>
      </c>
      <c r="HC82" s="65">
        <v>140138</v>
      </c>
      <c r="HD82" s="65">
        <v>18798</v>
      </c>
      <c r="HE82" s="78">
        <v>22257</v>
      </c>
      <c r="HF82" s="73">
        <v>80798</v>
      </c>
      <c r="HG82" s="65">
        <v>43287</v>
      </c>
      <c r="HH82" s="65">
        <v>22483</v>
      </c>
      <c r="HI82" s="65">
        <v>1389</v>
      </c>
      <c r="HJ82" s="65">
        <v>70167</v>
      </c>
      <c r="HK82" s="65">
        <v>4923</v>
      </c>
      <c r="HL82" s="65">
        <v>5708</v>
      </c>
      <c r="HM82" s="65">
        <v>5037</v>
      </c>
      <c r="HN82" s="65">
        <v>-3108</v>
      </c>
      <c r="HO82" s="65">
        <v>4287</v>
      </c>
      <c r="HP82" s="65">
        <v>79612</v>
      </c>
      <c r="HQ82" s="65">
        <v>3108</v>
      </c>
      <c r="HR82" s="65">
        <v>139783</v>
      </c>
      <c r="HS82" s="65">
        <v>559</v>
      </c>
      <c r="HT82" s="65">
        <v>9101</v>
      </c>
      <c r="HU82" s="77">
        <v>20.75</v>
      </c>
      <c r="HV82" s="180">
        <v>140</v>
      </c>
      <c r="HW82" s="30" t="s">
        <v>753</v>
      </c>
    </row>
    <row r="83" spans="1:231" ht="15" x14ac:dyDescent="0.25">
      <c r="A83" s="27">
        <v>320</v>
      </c>
      <c r="B83" s="27" t="s">
        <v>212</v>
      </c>
      <c r="C83" s="27">
        <v>19</v>
      </c>
      <c r="D83" s="27" t="s">
        <v>113</v>
      </c>
      <c r="E83" s="27">
        <v>3</v>
      </c>
      <c r="F83" s="27" t="s">
        <v>743</v>
      </c>
      <c r="G83" s="29" t="s">
        <v>132</v>
      </c>
      <c r="H83" s="27" t="s">
        <v>99</v>
      </c>
      <c r="I83" s="31" t="s">
        <v>113</v>
      </c>
      <c r="J83" s="69">
        <v>11036</v>
      </c>
      <c r="K83" s="69">
        <v>10743</v>
      </c>
      <c r="L83" s="36">
        <v>10484</v>
      </c>
      <c r="M83" s="36">
        <v>10138</v>
      </c>
      <c r="N83" s="36">
        <v>9936</v>
      </c>
      <c r="O83" s="36">
        <v>9759</v>
      </c>
      <c r="P83" s="36">
        <v>9529</v>
      </c>
      <c r="Q83" s="36">
        <v>9293</v>
      </c>
      <c r="R83" s="69">
        <v>9065</v>
      </c>
      <c r="S83" s="69">
        <v>8882</v>
      </c>
      <c r="T83" s="71">
        <v>8658</v>
      </c>
      <c r="U83" s="36">
        <v>24407</v>
      </c>
      <c r="V83" s="36">
        <v>15891</v>
      </c>
      <c r="W83" s="36">
        <v>10174</v>
      </c>
      <c r="X83" s="36">
        <v>506.41384657560968</v>
      </c>
      <c r="Y83" s="36">
        <v>26093</v>
      </c>
      <c r="Z83" s="36">
        <v>16779</v>
      </c>
      <c r="AA83" s="36">
        <v>10032</v>
      </c>
      <c r="AB83" s="36">
        <v>457.63934790177149</v>
      </c>
      <c r="AC83" s="36">
        <v>28169</v>
      </c>
      <c r="AD83" s="36">
        <v>15939</v>
      </c>
      <c r="AE83" s="36">
        <v>11245</v>
      </c>
      <c r="AF83" s="36">
        <v>455.62109278423338</v>
      </c>
      <c r="AG83" s="36">
        <v>24113</v>
      </c>
      <c r="AH83" s="36">
        <v>13432</v>
      </c>
      <c r="AI83" s="36">
        <v>11132</v>
      </c>
      <c r="AJ83" s="36">
        <v>469.07612690115428</v>
      </c>
      <c r="AK83" s="36">
        <v>25697</v>
      </c>
      <c r="AL83" s="36">
        <v>16951</v>
      </c>
      <c r="AM83" s="36">
        <v>11552</v>
      </c>
      <c r="AN83" s="36">
        <v>229</v>
      </c>
      <c r="AO83" s="36">
        <v>23802</v>
      </c>
      <c r="AP83" s="36">
        <v>17054</v>
      </c>
      <c r="AQ83" s="36">
        <v>12082</v>
      </c>
      <c r="AR83" s="36">
        <v>639</v>
      </c>
      <c r="AS83" s="36">
        <v>23171</v>
      </c>
      <c r="AT83" s="36">
        <v>16203</v>
      </c>
      <c r="AU83" s="36">
        <v>11871</v>
      </c>
      <c r="AV83" s="36">
        <v>1565</v>
      </c>
      <c r="AW83" s="36">
        <v>22795</v>
      </c>
      <c r="AX83" s="69">
        <v>17411</v>
      </c>
      <c r="AY83" s="36">
        <v>11989</v>
      </c>
      <c r="AZ83" s="36">
        <v>2758</v>
      </c>
      <c r="BA83" s="36">
        <v>23795</v>
      </c>
      <c r="BB83" s="36">
        <v>19889</v>
      </c>
      <c r="BC83" s="36">
        <v>11688</v>
      </c>
      <c r="BD83" s="36">
        <v>955</v>
      </c>
      <c r="BE83" s="70">
        <v>25507</v>
      </c>
      <c r="BF83" s="70">
        <v>21797</v>
      </c>
      <c r="BG83" s="70">
        <v>11428</v>
      </c>
      <c r="BH83" s="70">
        <v>2205</v>
      </c>
      <c r="BI83" s="36">
        <v>26295</v>
      </c>
      <c r="BJ83" s="36">
        <v>24806</v>
      </c>
      <c r="BK83" s="36">
        <v>11753</v>
      </c>
      <c r="BL83" s="36">
        <v>1763</v>
      </c>
      <c r="BM83" s="36">
        <v>19822.79720068015</v>
      </c>
      <c r="BN83" s="36">
        <v>2918.9014637395239</v>
      </c>
      <c r="BO83" s="36">
        <v>1652.1100016314228</v>
      </c>
      <c r="BP83" s="36">
        <v>19563.619606002962</v>
      </c>
      <c r="BQ83" s="36">
        <v>4690.0885173056968</v>
      </c>
      <c r="BR83" s="36">
        <v>1826.0163175926252</v>
      </c>
      <c r="BS83" s="36">
        <v>19011.795019282745</v>
      </c>
      <c r="BT83" s="36">
        <v>7306.4199013409625</v>
      </c>
      <c r="BU83" s="36">
        <v>1838.462224150777</v>
      </c>
      <c r="BV83" s="36">
        <v>20611</v>
      </c>
      <c r="BW83" s="36">
        <v>1610</v>
      </c>
      <c r="BX83" s="36">
        <v>1880</v>
      </c>
      <c r="BY83" s="36">
        <v>21520</v>
      </c>
      <c r="BZ83" s="36">
        <v>2276</v>
      </c>
      <c r="CA83" s="36">
        <v>1889</v>
      </c>
      <c r="CB83" s="36">
        <v>20429</v>
      </c>
      <c r="CC83" s="36">
        <v>1560</v>
      </c>
      <c r="CD83" s="36">
        <v>1802</v>
      </c>
      <c r="CE83" s="36">
        <v>20158</v>
      </c>
      <c r="CF83" s="36">
        <v>949</v>
      </c>
      <c r="CG83" s="36">
        <v>2050</v>
      </c>
      <c r="CH83" s="36">
        <v>19598</v>
      </c>
      <c r="CI83" s="36">
        <v>1037</v>
      </c>
      <c r="CJ83" s="70">
        <v>2147</v>
      </c>
      <c r="CK83" s="70">
        <v>19771</v>
      </c>
      <c r="CL83" s="70">
        <v>1261</v>
      </c>
      <c r="CM83" s="36">
        <v>2750</v>
      </c>
      <c r="CN83" s="36">
        <v>21169</v>
      </c>
      <c r="CO83" s="36">
        <v>1555</v>
      </c>
      <c r="CP83" s="36">
        <v>2783</v>
      </c>
      <c r="CQ83" s="36">
        <v>21943</v>
      </c>
      <c r="CR83" s="36">
        <v>1420</v>
      </c>
      <c r="CS83" s="36">
        <v>2932</v>
      </c>
      <c r="CT83" s="36">
        <v>555.69290902883245</v>
      </c>
      <c r="CU83" s="36">
        <v>-3075.4844229999999</v>
      </c>
      <c r="CV83" s="36">
        <v>1492.8360352723719</v>
      </c>
      <c r="CW83" s="36">
        <v>8193</v>
      </c>
      <c r="CX83" s="36">
        <v>1322.7980416197843</v>
      </c>
      <c r="CY83" s="36">
        <v>-3302.5381240000002</v>
      </c>
      <c r="CZ83" s="36">
        <v>1604.5128184428152</v>
      </c>
      <c r="DA83" s="36">
        <v>8678</v>
      </c>
      <c r="DB83" s="36">
        <v>3637.2320976566375</v>
      </c>
      <c r="DC83" s="36">
        <v>-3084.2301950000001</v>
      </c>
      <c r="DD83" s="36">
        <v>1718.2078567307967</v>
      </c>
      <c r="DE83" s="36">
        <v>7337</v>
      </c>
      <c r="DF83" s="36">
        <v>-3422.4561155652877</v>
      </c>
      <c r="DG83" s="36">
        <v>-1831</v>
      </c>
      <c r="DH83" s="36">
        <v>1777.9145706246331</v>
      </c>
      <c r="DI83" s="36">
        <v>12074</v>
      </c>
      <c r="DJ83" s="36">
        <v>3564</v>
      </c>
      <c r="DK83" s="36">
        <v>-1665</v>
      </c>
      <c r="DL83" s="36">
        <v>1897</v>
      </c>
      <c r="DM83" s="36">
        <v>11408</v>
      </c>
      <c r="DN83" s="36">
        <v>1173</v>
      </c>
      <c r="DO83" s="69">
        <v>-2445</v>
      </c>
      <c r="DP83" s="36">
        <v>1903</v>
      </c>
      <c r="DQ83" s="36">
        <v>12623</v>
      </c>
      <c r="DR83" s="36">
        <v>-887</v>
      </c>
      <c r="DS83" s="36">
        <v>-3250</v>
      </c>
      <c r="DT83" s="36">
        <v>1934</v>
      </c>
      <c r="DU83" s="36">
        <v>17007</v>
      </c>
      <c r="DV83" s="36">
        <v>-944</v>
      </c>
      <c r="DW83" s="71">
        <v>-1695</v>
      </c>
      <c r="DX83" s="39">
        <v>1755</v>
      </c>
      <c r="DY83" s="71">
        <v>20395</v>
      </c>
      <c r="DZ83" s="70">
        <v>294</v>
      </c>
      <c r="EA83" s="35">
        <v>-3820</v>
      </c>
      <c r="EB83" s="35">
        <v>2071</v>
      </c>
      <c r="EC83" s="38">
        <v>21328</v>
      </c>
      <c r="ED83" s="38">
        <v>3209</v>
      </c>
      <c r="EE83" s="38">
        <v>-5230</v>
      </c>
      <c r="EF83" s="38">
        <v>2383</v>
      </c>
      <c r="EG83" s="73">
        <v>24429</v>
      </c>
      <c r="EH83" s="73">
        <v>3354</v>
      </c>
      <c r="EI83" s="73">
        <v>-3984</v>
      </c>
      <c r="EJ83" s="73">
        <v>2601</v>
      </c>
      <c r="EK83" s="73">
        <v>25657</v>
      </c>
      <c r="EL83" s="73">
        <v>48338.723756376421</v>
      </c>
      <c r="EM83" s="73">
        <v>-440.48417940269741</v>
      </c>
      <c r="EN83" s="73">
        <v>50020.098457212152</v>
      </c>
      <c r="EO83" s="73">
        <v>-385.99129122916781</v>
      </c>
      <c r="EP83" s="73">
        <v>50019.425705506306</v>
      </c>
      <c r="EQ83" s="73">
        <v>1963.0894776587568</v>
      </c>
      <c r="ER83" s="73">
        <v>50350.924108561936</v>
      </c>
      <c r="ES83" s="73">
        <v>-5174.8061213677711</v>
      </c>
      <c r="ET83" s="73">
        <v>50425</v>
      </c>
      <c r="EU83" s="73">
        <v>4527</v>
      </c>
      <c r="EV83" s="73">
        <v>51831</v>
      </c>
      <c r="EW83" s="73">
        <v>-737</v>
      </c>
      <c r="EX83" s="73">
        <v>52524</v>
      </c>
      <c r="EY83" s="73">
        <v>-2461</v>
      </c>
      <c r="EZ83" s="73">
        <v>53758</v>
      </c>
      <c r="FA83" s="73">
        <v>-1318</v>
      </c>
      <c r="FB83" s="73">
        <v>55445</v>
      </c>
      <c r="FC83" s="73">
        <v>-1802</v>
      </c>
      <c r="FD83" s="73">
        <v>55557</v>
      </c>
      <c r="FE83" s="73">
        <v>966</v>
      </c>
      <c r="FF83" s="73">
        <v>60151</v>
      </c>
      <c r="FG83" s="73">
        <v>828</v>
      </c>
      <c r="FH83" s="73">
        <v>-2571</v>
      </c>
      <c r="FI83" s="73">
        <v>-1743</v>
      </c>
      <c r="FJ83" s="79">
        <v>8519</v>
      </c>
      <c r="FK83" s="80">
        <v>25851</v>
      </c>
      <c r="FL83" s="80">
        <v>25973</v>
      </c>
      <c r="FM83" s="80">
        <v>12247</v>
      </c>
      <c r="FN83" s="76">
        <v>1348</v>
      </c>
      <c r="FO83" s="80">
        <v>21901</v>
      </c>
      <c r="FP83" s="80">
        <v>902</v>
      </c>
      <c r="FQ83" s="80">
        <v>3048</v>
      </c>
      <c r="FR83" s="80">
        <v>3540</v>
      </c>
      <c r="FS83" s="81">
        <v>-3967</v>
      </c>
      <c r="FT83" s="76">
        <v>2586</v>
      </c>
      <c r="FU83" s="76">
        <v>26933</v>
      </c>
      <c r="FV83" s="76">
        <v>3967</v>
      </c>
      <c r="FW83" s="80">
        <v>61002</v>
      </c>
      <c r="FX83" s="80">
        <v>981</v>
      </c>
      <c r="FY83" s="73">
        <v>8418</v>
      </c>
      <c r="FZ83" s="73">
        <v>25709</v>
      </c>
      <c r="GA83" s="73">
        <v>27330</v>
      </c>
      <c r="GB83" s="73">
        <v>12661</v>
      </c>
      <c r="GC83" s="73">
        <v>1879</v>
      </c>
      <c r="GD83" s="73">
        <v>21075</v>
      </c>
      <c r="GE83" s="73">
        <v>1195</v>
      </c>
      <c r="GF83" s="73">
        <v>3439</v>
      </c>
      <c r="GG83" s="73">
        <v>3494</v>
      </c>
      <c r="GH83" s="73">
        <v>-3321</v>
      </c>
      <c r="GI83" s="73">
        <v>2641</v>
      </c>
      <c r="GJ83" s="73">
        <v>27481</v>
      </c>
      <c r="GK83" s="73">
        <v>3321</v>
      </c>
      <c r="GL83" s="73">
        <v>63493</v>
      </c>
      <c r="GM83" s="73">
        <v>813</v>
      </c>
      <c r="GN83" s="73">
        <v>51</v>
      </c>
      <c r="GO83" s="77">
        <v>19.5</v>
      </c>
      <c r="GP83" s="78">
        <v>8295</v>
      </c>
      <c r="GQ83" s="73">
        <v>26353</v>
      </c>
      <c r="GR83" s="65">
        <v>28126</v>
      </c>
      <c r="GS83" s="65">
        <v>12529</v>
      </c>
      <c r="GT83" s="65">
        <v>1646</v>
      </c>
      <c r="GU83" s="65">
        <v>21669</v>
      </c>
      <c r="GV83" s="65">
        <v>1404</v>
      </c>
      <c r="GW83" s="65">
        <v>3280</v>
      </c>
      <c r="GX83" s="65">
        <v>2955</v>
      </c>
      <c r="GY83" s="65">
        <v>-2619</v>
      </c>
      <c r="GZ83" s="65">
        <v>2526</v>
      </c>
      <c r="HA83" s="65">
        <v>27579</v>
      </c>
      <c r="HB83" s="65">
        <v>2619</v>
      </c>
      <c r="HC83" s="65">
        <v>65058</v>
      </c>
      <c r="HD83" s="65">
        <v>428</v>
      </c>
      <c r="HE83" s="78">
        <v>8093</v>
      </c>
      <c r="HF83" s="73">
        <v>26392</v>
      </c>
      <c r="HG83" s="65">
        <v>29774</v>
      </c>
      <c r="HH83" s="65">
        <v>13012</v>
      </c>
      <c r="HI83" s="65">
        <v>1342</v>
      </c>
      <c r="HJ83" s="65">
        <v>22067</v>
      </c>
      <c r="HK83" s="65">
        <v>903</v>
      </c>
      <c r="HL83" s="65">
        <v>3422</v>
      </c>
      <c r="HM83" s="65">
        <v>1839</v>
      </c>
      <c r="HN83" s="65">
        <v>-4155</v>
      </c>
      <c r="HO83" s="65">
        <v>2748</v>
      </c>
      <c r="HP83" s="65">
        <v>28227</v>
      </c>
      <c r="HQ83" s="65">
        <v>4155</v>
      </c>
      <c r="HR83" s="65">
        <v>68041</v>
      </c>
      <c r="HS83" s="65">
        <v>-909</v>
      </c>
      <c r="HT83" s="65">
        <v>-631</v>
      </c>
      <c r="HU83" s="77">
        <v>20</v>
      </c>
      <c r="HV83" s="180">
        <v>240</v>
      </c>
      <c r="HW83" s="30" t="s">
        <v>757</v>
      </c>
    </row>
    <row r="84" spans="1:231" ht="15" x14ac:dyDescent="0.25">
      <c r="A84" s="27">
        <v>241</v>
      </c>
      <c r="B84" s="27" t="s">
        <v>213</v>
      </c>
      <c r="C84" s="27">
        <v>19</v>
      </c>
      <c r="D84" s="27" t="s">
        <v>113</v>
      </c>
      <c r="E84" s="27">
        <v>3</v>
      </c>
      <c r="F84" s="27" t="s">
        <v>743</v>
      </c>
      <c r="G84" s="29" t="s">
        <v>132</v>
      </c>
      <c r="H84" s="27" t="s">
        <v>99</v>
      </c>
      <c r="I84" s="31" t="s">
        <v>113</v>
      </c>
      <c r="J84" s="69">
        <v>9199</v>
      </c>
      <c r="K84" s="69">
        <v>9027</v>
      </c>
      <c r="L84" s="36">
        <v>8930</v>
      </c>
      <c r="M84" s="36">
        <v>8861</v>
      </c>
      <c r="N84" s="36">
        <v>8898</v>
      </c>
      <c r="O84" s="36">
        <v>8889</v>
      </c>
      <c r="P84" s="36">
        <v>8863</v>
      </c>
      <c r="Q84" s="36">
        <v>8926</v>
      </c>
      <c r="R84" s="69">
        <v>8829</v>
      </c>
      <c r="S84" s="69">
        <v>8712</v>
      </c>
      <c r="T84" s="71">
        <v>8636</v>
      </c>
      <c r="U84" s="36">
        <v>19108</v>
      </c>
      <c r="V84" s="36">
        <v>6396</v>
      </c>
      <c r="W84" s="36">
        <v>4194</v>
      </c>
      <c r="X84" s="36">
        <v>360.25853848055664</v>
      </c>
      <c r="Y84" s="36">
        <v>19459</v>
      </c>
      <c r="Z84" s="36">
        <v>5665</v>
      </c>
      <c r="AA84" s="36">
        <v>4229</v>
      </c>
      <c r="AB84" s="36">
        <v>403.819211434088</v>
      </c>
      <c r="AC84" s="36">
        <v>18970</v>
      </c>
      <c r="AD84" s="36">
        <v>6413</v>
      </c>
      <c r="AE84" s="36">
        <v>3889</v>
      </c>
      <c r="AF84" s="36">
        <v>217.97155269411829</v>
      </c>
      <c r="AG84" s="36">
        <v>21493</v>
      </c>
      <c r="AH84" s="36">
        <v>7274</v>
      </c>
      <c r="AI84" s="36">
        <v>4091</v>
      </c>
      <c r="AJ84" s="36">
        <v>279.19195792610833</v>
      </c>
      <c r="AK84" s="36">
        <v>22984</v>
      </c>
      <c r="AL84" s="36">
        <v>7557</v>
      </c>
      <c r="AM84" s="36">
        <v>4331</v>
      </c>
      <c r="AN84" s="36">
        <v>395</v>
      </c>
      <c r="AO84" s="36">
        <v>22882</v>
      </c>
      <c r="AP84" s="36">
        <v>8313</v>
      </c>
      <c r="AQ84" s="36">
        <v>4751</v>
      </c>
      <c r="AR84" s="36">
        <v>380</v>
      </c>
      <c r="AS84" s="36">
        <v>22666</v>
      </c>
      <c r="AT84" s="36">
        <v>7768</v>
      </c>
      <c r="AU84" s="36">
        <v>4816</v>
      </c>
      <c r="AV84" s="36">
        <v>328</v>
      </c>
      <c r="AW84" s="36">
        <v>23621</v>
      </c>
      <c r="AX84" s="69">
        <v>9672</v>
      </c>
      <c r="AY84" s="36">
        <v>5126</v>
      </c>
      <c r="AZ84" s="36">
        <v>4964</v>
      </c>
      <c r="BA84" s="36">
        <v>24777</v>
      </c>
      <c r="BB84" s="36">
        <v>9415</v>
      </c>
      <c r="BC84" s="36">
        <v>4281</v>
      </c>
      <c r="BD84" s="36">
        <v>280</v>
      </c>
      <c r="BE84" s="70">
        <v>27608</v>
      </c>
      <c r="BF84" s="70">
        <v>10841</v>
      </c>
      <c r="BG84" s="70">
        <v>3898</v>
      </c>
      <c r="BH84" s="70">
        <v>554</v>
      </c>
      <c r="BI84" s="36">
        <v>29710</v>
      </c>
      <c r="BJ84" s="36">
        <v>11074</v>
      </c>
      <c r="BK84" s="36">
        <v>4772</v>
      </c>
      <c r="BL84" s="36">
        <v>418</v>
      </c>
      <c r="BM84" s="36">
        <v>16319.947256266261</v>
      </c>
      <c r="BN84" s="36">
        <v>1744.7815491117153</v>
      </c>
      <c r="BO84" s="36">
        <v>1043.6060836936758</v>
      </c>
      <c r="BP84" s="36">
        <v>16512.690619991154</v>
      </c>
      <c r="BQ84" s="36">
        <v>1583.9938914145109</v>
      </c>
      <c r="BR84" s="36">
        <v>1361.9858284853162</v>
      </c>
      <c r="BS84" s="36">
        <v>15886.526969774948</v>
      </c>
      <c r="BT84" s="36">
        <v>1570.3706693711285</v>
      </c>
      <c r="BU84" s="36">
        <v>1513.0185864477533</v>
      </c>
      <c r="BV84" s="36">
        <v>18269</v>
      </c>
      <c r="BW84" s="36">
        <v>1678</v>
      </c>
      <c r="BX84" s="36">
        <v>1547</v>
      </c>
      <c r="BY84" s="36">
        <v>20405</v>
      </c>
      <c r="BZ84" s="36">
        <v>1011</v>
      </c>
      <c r="CA84" s="36">
        <v>1568</v>
      </c>
      <c r="CB84" s="36">
        <v>20660</v>
      </c>
      <c r="CC84" s="36">
        <v>618</v>
      </c>
      <c r="CD84" s="36">
        <v>1604</v>
      </c>
      <c r="CE84" s="36">
        <v>20310</v>
      </c>
      <c r="CF84" s="36">
        <v>766</v>
      </c>
      <c r="CG84" s="36">
        <v>1590</v>
      </c>
      <c r="CH84" s="36">
        <v>21056</v>
      </c>
      <c r="CI84" s="36">
        <v>913</v>
      </c>
      <c r="CJ84" s="70">
        <v>1652</v>
      </c>
      <c r="CK84" s="70">
        <v>21414</v>
      </c>
      <c r="CL84" s="70">
        <v>1035</v>
      </c>
      <c r="CM84" s="36">
        <v>2328</v>
      </c>
      <c r="CN84" s="36">
        <v>23964</v>
      </c>
      <c r="CO84" s="36">
        <v>1150</v>
      </c>
      <c r="CP84" s="36">
        <v>2494</v>
      </c>
      <c r="CQ84" s="36">
        <v>25807</v>
      </c>
      <c r="CR84" s="36">
        <v>1207</v>
      </c>
      <c r="CS84" s="36">
        <v>2696</v>
      </c>
      <c r="CT84" s="36">
        <v>1505.7865056099083</v>
      </c>
      <c r="CU84" s="36">
        <v>-1724.767186</v>
      </c>
      <c r="CV84" s="36">
        <v>1382.1683796606976</v>
      </c>
      <c r="CW84" s="36">
        <v>8309</v>
      </c>
      <c r="CX84" s="36">
        <v>696.29801555065569</v>
      </c>
      <c r="CY84" s="36">
        <v>-2478.249096</v>
      </c>
      <c r="CZ84" s="36">
        <v>1987.6449149221371</v>
      </c>
      <c r="DA84" s="36">
        <v>9834</v>
      </c>
      <c r="DB84" s="36">
        <v>-745.24070215095537</v>
      </c>
      <c r="DC84" s="36">
        <v>-1261.4094480000001</v>
      </c>
      <c r="DD84" s="36">
        <v>1661.3603375868063</v>
      </c>
      <c r="DE84" s="36">
        <v>10413</v>
      </c>
      <c r="DF84" s="36">
        <v>612.8768040257462</v>
      </c>
      <c r="DG84" s="36">
        <v>-3241</v>
      </c>
      <c r="DH84" s="36">
        <v>1599.4671806489698</v>
      </c>
      <c r="DI84" s="36">
        <v>13433</v>
      </c>
      <c r="DJ84" s="36">
        <v>2361</v>
      </c>
      <c r="DK84" s="36">
        <v>-2623</v>
      </c>
      <c r="DL84" s="36">
        <v>1769</v>
      </c>
      <c r="DM84" s="36">
        <v>13718</v>
      </c>
      <c r="DN84" s="36">
        <v>1276</v>
      </c>
      <c r="DO84" s="69">
        <v>-3336</v>
      </c>
      <c r="DP84" s="36">
        <v>1691</v>
      </c>
      <c r="DQ84" s="36">
        <v>16606</v>
      </c>
      <c r="DR84" s="36">
        <v>-1476</v>
      </c>
      <c r="DS84" s="36">
        <v>-4012</v>
      </c>
      <c r="DT84" s="36">
        <v>1763</v>
      </c>
      <c r="DU84" s="36">
        <v>19109</v>
      </c>
      <c r="DV84" s="36">
        <v>-139</v>
      </c>
      <c r="DW84" s="71">
        <v>4271</v>
      </c>
      <c r="DX84" s="39">
        <v>1923</v>
      </c>
      <c r="DY84" s="71">
        <v>20431</v>
      </c>
      <c r="DZ84" s="70">
        <v>-783</v>
      </c>
      <c r="EA84" s="35">
        <v>-143</v>
      </c>
      <c r="EB84" s="35">
        <v>1775</v>
      </c>
      <c r="EC84" s="38">
        <v>21412</v>
      </c>
      <c r="ED84" s="38">
        <v>2911</v>
      </c>
      <c r="EE84" s="38">
        <v>-233</v>
      </c>
      <c r="EF84" s="38">
        <v>1678</v>
      </c>
      <c r="EG84" s="73">
        <v>20736</v>
      </c>
      <c r="EH84" s="73">
        <v>4701</v>
      </c>
      <c r="EI84" s="73">
        <v>-928</v>
      </c>
      <c r="EJ84" s="73">
        <v>1477</v>
      </c>
      <c r="EK84" s="73">
        <v>17410</v>
      </c>
      <c r="EL84" s="73">
        <v>26684.023660677492</v>
      </c>
      <c r="EM84" s="73">
        <v>124.29087765505665</v>
      </c>
      <c r="EN84" s="73">
        <v>27251.489724558633</v>
      </c>
      <c r="EO84" s="73">
        <v>-899.13265486323792</v>
      </c>
      <c r="EP84" s="73">
        <v>28292.572989355383</v>
      </c>
      <c r="EQ84" s="73">
        <v>-2228.9945893944055</v>
      </c>
      <c r="ER84" s="73">
        <v>30404.34059400612</v>
      </c>
      <c r="ES84" s="73">
        <v>-907.03748740692902</v>
      </c>
      <c r="ET84" s="73">
        <v>32302</v>
      </c>
      <c r="EU84" s="73">
        <v>660</v>
      </c>
      <c r="EV84" s="73">
        <v>34406</v>
      </c>
      <c r="EW84" s="73">
        <v>-415</v>
      </c>
      <c r="EX84" s="73">
        <v>36518</v>
      </c>
      <c r="EY84" s="73">
        <v>-3239</v>
      </c>
      <c r="EZ84" s="73">
        <v>38292</v>
      </c>
      <c r="FA84" s="73">
        <v>2605</v>
      </c>
      <c r="FB84" s="73">
        <v>39094</v>
      </c>
      <c r="FC84" s="73">
        <v>-2558</v>
      </c>
      <c r="FD84" s="73">
        <v>39112</v>
      </c>
      <c r="FE84" s="73">
        <v>1233</v>
      </c>
      <c r="FF84" s="73">
        <v>40710</v>
      </c>
      <c r="FG84" s="73">
        <v>3224</v>
      </c>
      <c r="FH84" s="73">
        <v>-1715</v>
      </c>
      <c r="FI84" s="73">
        <v>1509</v>
      </c>
      <c r="FJ84" s="79">
        <v>8606</v>
      </c>
      <c r="FK84" s="80">
        <v>29905</v>
      </c>
      <c r="FL84" s="80">
        <v>12585</v>
      </c>
      <c r="FM84" s="80">
        <v>4817</v>
      </c>
      <c r="FN84" s="76">
        <v>193</v>
      </c>
      <c r="FO84" s="80">
        <v>26237</v>
      </c>
      <c r="FP84" s="80">
        <v>888</v>
      </c>
      <c r="FQ84" s="80">
        <v>2780</v>
      </c>
      <c r="FR84" s="80">
        <v>4467</v>
      </c>
      <c r="FS84" s="81">
        <v>-1211</v>
      </c>
      <c r="FT84" s="76">
        <v>1441</v>
      </c>
      <c r="FU84" s="76">
        <v>14511</v>
      </c>
      <c r="FV84" s="76">
        <v>1211</v>
      </c>
      <c r="FW84" s="80">
        <v>42754</v>
      </c>
      <c r="FX84" s="80">
        <v>3026</v>
      </c>
      <c r="FY84" s="73">
        <v>8573</v>
      </c>
      <c r="FZ84" s="73">
        <v>30273</v>
      </c>
      <c r="GA84" s="73">
        <v>13024</v>
      </c>
      <c r="GB84" s="73">
        <v>5287</v>
      </c>
      <c r="GC84" s="73">
        <v>92</v>
      </c>
      <c r="GD84" s="73">
        <v>26459</v>
      </c>
      <c r="GE84" s="73">
        <v>880</v>
      </c>
      <c r="GF84" s="73">
        <v>2934</v>
      </c>
      <c r="GG84" s="73">
        <v>4391</v>
      </c>
      <c r="GH84" s="73">
        <v>-1015</v>
      </c>
      <c r="GI84" s="73">
        <v>1414</v>
      </c>
      <c r="GJ84" s="73">
        <v>11520</v>
      </c>
      <c r="GK84" s="73">
        <v>1015</v>
      </c>
      <c r="GL84" s="73">
        <v>44245</v>
      </c>
      <c r="GM84" s="73">
        <v>2977</v>
      </c>
      <c r="GN84" s="73">
        <v>7596</v>
      </c>
      <c r="GO84" s="77">
        <v>20.75</v>
      </c>
      <c r="GP84" s="78">
        <v>8572</v>
      </c>
      <c r="GQ84" s="73">
        <v>31241</v>
      </c>
      <c r="GR84" s="65">
        <v>13557</v>
      </c>
      <c r="GS84" s="65">
        <v>5177</v>
      </c>
      <c r="GT84" s="65">
        <v>0</v>
      </c>
      <c r="GU84" s="65">
        <v>27157</v>
      </c>
      <c r="GV84" s="65">
        <v>1148</v>
      </c>
      <c r="GW84" s="65">
        <v>2936</v>
      </c>
      <c r="GX84" s="65">
        <v>1388</v>
      </c>
      <c r="GY84" s="65">
        <v>-2247</v>
      </c>
      <c r="GZ84" s="65">
        <v>1422</v>
      </c>
      <c r="HA84" s="65">
        <v>10835</v>
      </c>
      <c r="HB84" s="65">
        <v>2247</v>
      </c>
      <c r="HC84" s="65">
        <v>48519</v>
      </c>
      <c r="HD84" s="65">
        <v>-34</v>
      </c>
      <c r="HE84" s="78">
        <v>8585</v>
      </c>
      <c r="HF84" s="73">
        <v>31851</v>
      </c>
      <c r="HG84" s="65">
        <v>14184</v>
      </c>
      <c r="HH84" s="65">
        <v>5369</v>
      </c>
      <c r="HI84" s="65">
        <v>18</v>
      </c>
      <c r="HJ84" s="65">
        <v>27855</v>
      </c>
      <c r="HK84" s="65">
        <v>981</v>
      </c>
      <c r="HL84" s="65">
        <v>3015</v>
      </c>
      <c r="HM84" s="65">
        <v>-82</v>
      </c>
      <c r="HN84" s="65">
        <v>-4608</v>
      </c>
      <c r="HO84" s="65">
        <v>1502</v>
      </c>
      <c r="HP84" s="65">
        <v>12437</v>
      </c>
      <c r="HQ84" s="65">
        <v>4608</v>
      </c>
      <c r="HR84" s="65">
        <v>51405</v>
      </c>
      <c r="HS84" s="65">
        <v>-1584</v>
      </c>
      <c r="HT84" s="65">
        <v>5978</v>
      </c>
      <c r="HU84" s="77">
        <v>20.5</v>
      </c>
      <c r="HV84" s="180">
        <v>240</v>
      </c>
      <c r="HW84" s="30" t="s">
        <v>757</v>
      </c>
    </row>
    <row r="85" spans="1:231" ht="15" x14ac:dyDescent="0.25">
      <c r="A85" s="27">
        <v>322</v>
      </c>
      <c r="B85" s="27" t="s">
        <v>522</v>
      </c>
      <c r="C85" s="27">
        <v>2</v>
      </c>
      <c r="D85" s="27" t="s">
        <v>122</v>
      </c>
      <c r="E85" s="27">
        <v>3</v>
      </c>
      <c r="F85" s="27" t="s">
        <v>743</v>
      </c>
      <c r="G85" s="29" t="s">
        <v>130</v>
      </c>
      <c r="H85" s="27" t="s">
        <v>98</v>
      </c>
      <c r="I85" s="31" t="s">
        <v>122</v>
      </c>
      <c r="J85" s="69">
        <v>7751</v>
      </c>
      <c r="K85" s="36">
        <v>7709</v>
      </c>
      <c r="L85" s="36">
        <v>7663</v>
      </c>
      <c r="M85" s="36">
        <v>7619</v>
      </c>
      <c r="N85" s="36">
        <v>7560</v>
      </c>
      <c r="O85" s="36">
        <v>7529</v>
      </c>
      <c r="P85" s="36">
        <v>7491</v>
      </c>
      <c r="Q85" s="36">
        <v>7462</v>
      </c>
      <c r="R85" s="69">
        <v>7425</v>
      </c>
      <c r="S85" s="69">
        <v>7383</v>
      </c>
      <c r="T85" s="71">
        <v>7303</v>
      </c>
      <c r="U85" s="36">
        <v>15924</v>
      </c>
      <c r="V85" s="36">
        <v>8414</v>
      </c>
      <c r="W85" s="36">
        <v>3074</v>
      </c>
      <c r="X85" s="36">
        <v>494.97706757622694</v>
      </c>
      <c r="Y85" s="36">
        <v>15968</v>
      </c>
      <c r="Z85" s="36">
        <v>8835</v>
      </c>
      <c r="AA85" s="36">
        <v>3372</v>
      </c>
      <c r="AB85" s="36">
        <v>536.35129748575866</v>
      </c>
      <c r="AC85" s="36">
        <v>15282</v>
      </c>
      <c r="AD85" s="36">
        <v>9271</v>
      </c>
      <c r="AE85" s="36">
        <v>3374</v>
      </c>
      <c r="AF85" s="36">
        <v>465.37599251900099</v>
      </c>
      <c r="AG85" s="36">
        <v>16711</v>
      </c>
      <c r="AH85" s="36">
        <v>11159</v>
      </c>
      <c r="AI85" s="36">
        <v>3610</v>
      </c>
      <c r="AJ85" s="36">
        <v>416.93786969808588</v>
      </c>
      <c r="AK85" s="36">
        <v>17107</v>
      </c>
      <c r="AL85" s="36">
        <v>12257</v>
      </c>
      <c r="AM85" s="36">
        <v>3756</v>
      </c>
      <c r="AN85" s="36">
        <v>211</v>
      </c>
      <c r="AO85" s="36">
        <v>16196</v>
      </c>
      <c r="AP85" s="36">
        <v>13062</v>
      </c>
      <c r="AQ85" s="36">
        <v>3628</v>
      </c>
      <c r="AR85" s="36">
        <v>162</v>
      </c>
      <c r="AS85" s="36">
        <v>16409</v>
      </c>
      <c r="AT85" s="36">
        <v>13080</v>
      </c>
      <c r="AU85" s="36">
        <v>3847</v>
      </c>
      <c r="AV85" s="36">
        <v>184</v>
      </c>
      <c r="AW85" s="36">
        <v>17087</v>
      </c>
      <c r="AX85" s="69">
        <v>13430</v>
      </c>
      <c r="AY85" s="36">
        <v>4132</v>
      </c>
      <c r="AZ85" s="36">
        <v>139</v>
      </c>
      <c r="BA85" s="36">
        <v>18837</v>
      </c>
      <c r="BB85" s="36">
        <v>14010</v>
      </c>
      <c r="BC85" s="36">
        <v>4312</v>
      </c>
      <c r="BD85" s="36">
        <v>131</v>
      </c>
      <c r="BE85" s="70">
        <v>20139</v>
      </c>
      <c r="BF85" s="70">
        <v>14077</v>
      </c>
      <c r="BG85" s="70">
        <v>4922</v>
      </c>
      <c r="BH85" s="70">
        <v>261</v>
      </c>
      <c r="BI85" s="36">
        <v>21104</v>
      </c>
      <c r="BJ85" s="36">
        <v>14960</v>
      </c>
      <c r="BK85" s="36">
        <v>5464</v>
      </c>
      <c r="BL85" s="36">
        <v>177</v>
      </c>
      <c r="BM85" s="36">
        <v>12851.239460924058</v>
      </c>
      <c r="BN85" s="36">
        <v>2051.7245149039727</v>
      </c>
      <c r="BO85" s="36">
        <v>1021.4052774007564</v>
      </c>
      <c r="BP85" s="36">
        <v>12879.663220496053</v>
      </c>
      <c r="BQ85" s="36">
        <v>2054.5837096538189</v>
      </c>
      <c r="BR85" s="36">
        <v>1033.5148081059851</v>
      </c>
      <c r="BS85" s="36">
        <v>12204.052319900164</v>
      </c>
      <c r="BT85" s="36">
        <v>1909.7739049704578</v>
      </c>
      <c r="BU85" s="36">
        <v>1168.5697130545786</v>
      </c>
      <c r="BV85" s="36">
        <v>13959</v>
      </c>
      <c r="BW85" s="36">
        <v>1511</v>
      </c>
      <c r="BX85" s="36">
        <v>1244</v>
      </c>
      <c r="BY85" s="36">
        <v>15006</v>
      </c>
      <c r="BZ85" s="36">
        <v>838</v>
      </c>
      <c r="CA85" s="36">
        <v>1263</v>
      </c>
      <c r="CB85" s="36">
        <v>14349</v>
      </c>
      <c r="CC85" s="36">
        <v>570</v>
      </c>
      <c r="CD85" s="36">
        <v>1277</v>
      </c>
      <c r="CE85" s="36">
        <v>14443</v>
      </c>
      <c r="CF85" s="36">
        <v>661</v>
      </c>
      <c r="CG85" s="36">
        <v>1305</v>
      </c>
      <c r="CH85" s="36">
        <v>14676</v>
      </c>
      <c r="CI85" s="36">
        <v>986</v>
      </c>
      <c r="CJ85" s="70">
        <v>1425</v>
      </c>
      <c r="CK85" s="70">
        <v>15793</v>
      </c>
      <c r="CL85" s="70">
        <v>1544</v>
      </c>
      <c r="CM85" s="36">
        <v>1500</v>
      </c>
      <c r="CN85" s="36">
        <v>16478</v>
      </c>
      <c r="CO85" s="36">
        <v>2092</v>
      </c>
      <c r="CP85" s="36">
        <v>1569</v>
      </c>
      <c r="CQ85" s="36">
        <v>17502</v>
      </c>
      <c r="CR85" s="36">
        <v>1966</v>
      </c>
      <c r="CS85" s="36">
        <v>1636</v>
      </c>
      <c r="CT85" s="36">
        <v>360.09035055409515</v>
      </c>
      <c r="CU85" s="36">
        <v>-880.2956071000001</v>
      </c>
      <c r="CV85" s="36">
        <v>845.14433046909301</v>
      </c>
      <c r="CW85" s="36">
        <v>5389</v>
      </c>
      <c r="CX85" s="36">
        <v>1059.415748781058</v>
      </c>
      <c r="CY85" s="36">
        <v>-1672.1243648999998</v>
      </c>
      <c r="CZ85" s="36">
        <v>898.45990315739186</v>
      </c>
      <c r="DA85" s="36">
        <v>4834</v>
      </c>
      <c r="DB85" s="36">
        <v>-499.18176573776475</v>
      </c>
      <c r="DC85" s="36">
        <v>-1284.4511944000001</v>
      </c>
      <c r="DD85" s="36">
        <v>933.44299186138619</v>
      </c>
      <c r="DE85" s="36">
        <v>4240</v>
      </c>
      <c r="DF85" s="36">
        <v>1660.3512100280368</v>
      </c>
      <c r="DG85" s="36">
        <v>-1129</v>
      </c>
      <c r="DH85" s="36">
        <v>981.20836297645519</v>
      </c>
      <c r="DI85" s="36">
        <v>4263</v>
      </c>
      <c r="DJ85" s="36">
        <v>3162</v>
      </c>
      <c r="DK85" s="36">
        <v>-2022</v>
      </c>
      <c r="DL85" s="36">
        <v>1049</v>
      </c>
      <c r="DM85" s="36">
        <v>4213</v>
      </c>
      <c r="DN85" s="36">
        <v>1713</v>
      </c>
      <c r="DO85" s="69">
        <v>-1989</v>
      </c>
      <c r="DP85" s="36">
        <v>1073</v>
      </c>
      <c r="DQ85" s="36">
        <v>4488</v>
      </c>
      <c r="DR85" s="36">
        <v>869</v>
      </c>
      <c r="DS85" s="36">
        <v>-1600</v>
      </c>
      <c r="DT85" s="36">
        <v>1177</v>
      </c>
      <c r="DU85" s="36">
        <v>4819</v>
      </c>
      <c r="DV85" s="36">
        <v>930</v>
      </c>
      <c r="DW85" s="71">
        <v>-3125</v>
      </c>
      <c r="DX85" s="39">
        <v>1249</v>
      </c>
      <c r="DY85" s="71">
        <v>5826</v>
      </c>
      <c r="DZ85" s="70">
        <v>1464</v>
      </c>
      <c r="EA85" s="35">
        <v>-5362</v>
      </c>
      <c r="EB85" s="35">
        <v>1410</v>
      </c>
      <c r="EC85" s="38">
        <v>8924</v>
      </c>
      <c r="ED85" s="38">
        <v>1905</v>
      </c>
      <c r="EE85" s="38">
        <v>-4145</v>
      </c>
      <c r="EF85" s="38">
        <v>1511</v>
      </c>
      <c r="EG85" s="73">
        <v>11276</v>
      </c>
      <c r="EH85" s="73">
        <v>943</v>
      </c>
      <c r="EI85" s="73">
        <v>-9192</v>
      </c>
      <c r="EJ85" s="73">
        <v>1554</v>
      </c>
      <c r="EK85" s="73">
        <v>17458</v>
      </c>
      <c r="EL85" s="73">
        <v>25974.606986862836</v>
      </c>
      <c r="EM85" s="73">
        <v>-443.00699829962002</v>
      </c>
      <c r="EN85" s="73">
        <v>26199.474244541878</v>
      </c>
      <c r="EO85" s="73">
        <v>385.82310330270633</v>
      </c>
      <c r="EP85" s="73">
        <v>27404.540737638607</v>
      </c>
      <c r="EQ85" s="73">
        <v>-1350.5490494859337</v>
      </c>
      <c r="ER85" s="73">
        <v>28623.062264852255</v>
      </c>
      <c r="ES85" s="73">
        <v>792.33332156017843</v>
      </c>
      <c r="ET85" s="73">
        <v>29982</v>
      </c>
      <c r="EU85" s="73">
        <v>1193</v>
      </c>
      <c r="EV85" s="73">
        <v>31208</v>
      </c>
      <c r="EW85" s="73">
        <v>209</v>
      </c>
      <c r="EX85" s="73">
        <v>32541</v>
      </c>
      <c r="EY85" s="73">
        <v>-183</v>
      </c>
      <c r="EZ85" s="73">
        <v>33754</v>
      </c>
      <c r="FA85" s="73">
        <v>-206</v>
      </c>
      <c r="FB85" s="73">
        <v>35643</v>
      </c>
      <c r="FC85" s="73">
        <v>176</v>
      </c>
      <c r="FD85" s="73">
        <v>37065</v>
      </c>
      <c r="FE85" s="73">
        <v>532</v>
      </c>
      <c r="FF85" s="73">
        <v>40221</v>
      </c>
      <c r="FG85" s="73">
        <v>-477</v>
      </c>
      <c r="FH85" s="73">
        <v>2826</v>
      </c>
      <c r="FI85" s="73">
        <v>2351</v>
      </c>
      <c r="FJ85" s="79">
        <v>7298</v>
      </c>
      <c r="FK85" s="80">
        <v>21074</v>
      </c>
      <c r="FL85" s="80">
        <v>15968</v>
      </c>
      <c r="FM85" s="80">
        <v>8457</v>
      </c>
      <c r="FN85" s="76">
        <v>51</v>
      </c>
      <c r="FO85" s="80">
        <v>18025</v>
      </c>
      <c r="FP85" s="80">
        <v>1128</v>
      </c>
      <c r="FQ85" s="80">
        <v>1921</v>
      </c>
      <c r="FR85" s="80">
        <v>3949</v>
      </c>
      <c r="FS85" s="81">
        <v>-5687</v>
      </c>
      <c r="FT85" s="76">
        <v>2385</v>
      </c>
      <c r="FU85" s="76">
        <v>20419</v>
      </c>
      <c r="FV85" s="76">
        <v>5687</v>
      </c>
      <c r="FW85" s="80">
        <v>40998</v>
      </c>
      <c r="FX85" s="80">
        <v>1731</v>
      </c>
      <c r="FY85" s="73">
        <v>7191</v>
      </c>
      <c r="FZ85" s="73">
        <v>20982</v>
      </c>
      <c r="GA85" s="73">
        <v>17777</v>
      </c>
      <c r="GB85" s="73">
        <v>8714</v>
      </c>
      <c r="GC85" s="73">
        <v>62</v>
      </c>
      <c r="GD85" s="73">
        <v>17463</v>
      </c>
      <c r="GE85" s="73">
        <v>1202</v>
      </c>
      <c r="GF85" s="73">
        <v>2317</v>
      </c>
      <c r="GG85" s="73">
        <v>4663</v>
      </c>
      <c r="GH85" s="73">
        <v>-1201</v>
      </c>
      <c r="GI85" s="73">
        <v>2478</v>
      </c>
      <c r="GJ85" s="73">
        <v>20433</v>
      </c>
      <c r="GK85" s="73">
        <v>1201</v>
      </c>
      <c r="GL85" s="73">
        <v>42289</v>
      </c>
      <c r="GM85" s="73">
        <v>2286</v>
      </c>
      <c r="GN85" s="73">
        <v>6368</v>
      </c>
      <c r="GO85" s="77">
        <v>19.75</v>
      </c>
      <c r="GP85" s="78">
        <v>7173</v>
      </c>
      <c r="GQ85" s="73">
        <v>21473</v>
      </c>
      <c r="GR85" s="65">
        <v>18959</v>
      </c>
      <c r="GS85" s="65">
        <v>8671</v>
      </c>
      <c r="GT85" s="65">
        <v>118</v>
      </c>
      <c r="GU85" s="65">
        <v>17888</v>
      </c>
      <c r="GV85" s="65">
        <v>1213</v>
      </c>
      <c r="GW85" s="65">
        <v>2372</v>
      </c>
      <c r="GX85" s="65">
        <v>4913</v>
      </c>
      <c r="GY85" s="65">
        <v>-2420</v>
      </c>
      <c r="GZ85" s="65">
        <v>2450</v>
      </c>
      <c r="HA85" s="65">
        <v>16637</v>
      </c>
      <c r="HB85" s="65">
        <v>2420</v>
      </c>
      <c r="HC85" s="65">
        <v>43784</v>
      </c>
      <c r="HD85" s="65">
        <v>2641</v>
      </c>
      <c r="HE85" s="78">
        <v>7075</v>
      </c>
      <c r="HF85" s="73">
        <v>20712</v>
      </c>
      <c r="HG85" s="65">
        <v>20746</v>
      </c>
      <c r="HH85" s="65">
        <v>7740</v>
      </c>
      <c r="HI85" s="65">
        <v>50</v>
      </c>
      <c r="HJ85" s="65">
        <v>17643</v>
      </c>
      <c r="HK85" s="65">
        <v>620</v>
      </c>
      <c r="HL85" s="65">
        <v>2449</v>
      </c>
      <c r="HM85" s="65">
        <v>3400</v>
      </c>
      <c r="HN85" s="65">
        <v>-3036</v>
      </c>
      <c r="HO85" s="65">
        <v>2356</v>
      </c>
      <c r="HP85" s="65">
        <v>14646</v>
      </c>
      <c r="HQ85" s="65">
        <v>3036</v>
      </c>
      <c r="HR85" s="65">
        <v>45394</v>
      </c>
      <c r="HS85" s="65">
        <v>1211</v>
      </c>
      <c r="HT85" s="65">
        <v>10231</v>
      </c>
      <c r="HU85" s="77">
        <v>19.75</v>
      </c>
      <c r="HV85" s="180">
        <v>340</v>
      </c>
      <c r="HW85" s="30" t="s">
        <v>761</v>
      </c>
    </row>
    <row r="86" spans="1:231" ht="15" x14ac:dyDescent="0.25">
      <c r="A86" s="32">
        <v>244</v>
      </c>
      <c r="B86" s="32" t="s">
        <v>214</v>
      </c>
      <c r="C86" s="32">
        <v>17</v>
      </c>
      <c r="D86" s="32" t="s">
        <v>117</v>
      </c>
      <c r="E86" s="27">
        <v>4</v>
      </c>
      <c r="F86" s="27" t="s">
        <v>100</v>
      </c>
      <c r="G86" s="43" t="s">
        <v>141</v>
      </c>
      <c r="H86" s="32" t="s">
        <v>97</v>
      </c>
      <c r="I86" s="33" t="s">
        <v>117</v>
      </c>
      <c r="J86" s="69">
        <v>11665</v>
      </c>
      <c r="K86" s="69">
        <v>12087</v>
      </c>
      <c r="L86" s="36">
        <v>12551</v>
      </c>
      <c r="M86" s="36">
        <v>12877</v>
      </c>
      <c r="N86" s="36">
        <v>13229</v>
      </c>
      <c r="O86" s="36">
        <v>13642</v>
      </c>
      <c r="P86" s="36">
        <v>13982</v>
      </c>
      <c r="Q86" s="36">
        <v>14475</v>
      </c>
      <c r="R86" s="69">
        <v>14917</v>
      </c>
      <c r="S86" s="69">
        <v>15218</v>
      </c>
      <c r="T86" s="71">
        <v>15320</v>
      </c>
      <c r="U86" s="36">
        <v>21073</v>
      </c>
      <c r="V86" s="36">
        <v>7138</v>
      </c>
      <c r="W86" s="36">
        <v>3415</v>
      </c>
      <c r="X86" s="36">
        <v>510.28216888422446</v>
      </c>
      <c r="Y86" s="36">
        <v>25285</v>
      </c>
      <c r="Z86" s="36">
        <v>7870</v>
      </c>
      <c r="AA86" s="36">
        <v>3295</v>
      </c>
      <c r="AB86" s="36">
        <v>468.40337519530823</v>
      </c>
      <c r="AC86" s="36">
        <v>25025</v>
      </c>
      <c r="AD86" s="36">
        <v>9020</v>
      </c>
      <c r="AE86" s="36">
        <v>3589</v>
      </c>
      <c r="AF86" s="36">
        <v>248.07719153072875</v>
      </c>
      <c r="AG86" s="36">
        <v>31557</v>
      </c>
      <c r="AH86" s="36">
        <v>8608</v>
      </c>
      <c r="AI86" s="36">
        <v>4299</v>
      </c>
      <c r="AJ86" s="36">
        <v>170.37436950551069</v>
      </c>
      <c r="AK86" s="36">
        <v>34369</v>
      </c>
      <c r="AL86" s="36">
        <v>9094</v>
      </c>
      <c r="AM86" s="36">
        <v>5093</v>
      </c>
      <c r="AN86" s="36">
        <v>173</v>
      </c>
      <c r="AO86" s="36">
        <v>33248</v>
      </c>
      <c r="AP86" s="36">
        <v>8538</v>
      </c>
      <c r="AQ86" s="36">
        <v>5034</v>
      </c>
      <c r="AR86" s="36">
        <v>228</v>
      </c>
      <c r="AS86" s="36">
        <v>35042</v>
      </c>
      <c r="AT86" s="36">
        <v>9972</v>
      </c>
      <c r="AU86" s="36">
        <v>6245</v>
      </c>
      <c r="AV86" s="36">
        <v>167</v>
      </c>
      <c r="AW86" s="36">
        <v>37937</v>
      </c>
      <c r="AX86" s="69">
        <v>11152</v>
      </c>
      <c r="AY86" s="36">
        <v>6207</v>
      </c>
      <c r="AZ86" s="36">
        <v>88</v>
      </c>
      <c r="BA86" s="36">
        <v>40622</v>
      </c>
      <c r="BB86" s="36">
        <v>11695</v>
      </c>
      <c r="BC86" s="36">
        <v>6408</v>
      </c>
      <c r="BD86" s="36">
        <v>58</v>
      </c>
      <c r="BE86" s="70">
        <v>43533</v>
      </c>
      <c r="BF86" s="70">
        <v>12757</v>
      </c>
      <c r="BG86" s="70">
        <v>7104</v>
      </c>
      <c r="BH86" s="70">
        <v>673</v>
      </c>
      <c r="BI86" s="36">
        <v>46188</v>
      </c>
      <c r="BJ86" s="36">
        <v>15172</v>
      </c>
      <c r="BK86" s="36">
        <v>7965</v>
      </c>
      <c r="BL86" s="36">
        <v>80</v>
      </c>
      <c r="BM86" s="36">
        <v>20039.759625815499</v>
      </c>
      <c r="BN86" s="36">
        <v>499.8545174436108</v>
      </c>
      <c r="BO86" s="36">
        <v>533.66029066237445</v>
      </c>
      <c r="BP86" s="36">
        <v>21701.119963402307</v>
      </c>
      <c r="BQ86" s="36">
        <v>3021.4960988810458</v>
      </c>
      <c r="BR86" s="36">
        <v>561.91586230790836</v>
      </c>
      <c r="BS86" s="36">
        <v>22897.608872249497</v>
      </c>
      <c r="BT86" s="36">
        <v>1412.7785822766925</v>
      </c>
      <c r="BU86" s="36">
        <v>714.29412368203737</v>
      </c>
      <c r="BV86" s="36">
        <v>27418</v>
      </c>
      <c r="BW86" s="36">
        <v>3260</v>
      </c>
      <c r="BX86" s="36">
        <v>879</v>
      </c>
      <c r="BY86" s="36">
        <v>30095</v>
      </c>
      <c r="BZ86" s="36">
        <v>3330</v>
      </c>
      <c r="CA86" s="36">
        <v>944</v>
      </c>
      <c r="CB86" s="36">
        <v>30485</v>
      </c>
      <c r="CC86" s="36">
        <v>1793</v>
      </c>
      <c r="CD86" s="36">
        <v>970</v>
      </c>
      <c r="CE86" s="36">
        <v>31545</v>
      </c>
      <c r="CF86" s="36">
        <v>2178</v>
      </c>
      <c r="CG86" s="36">
        <v>1319</v>
      </c>
      <c r="CH86" s="36">
        <v>34131</v>
      </c>
      <c r="CI86" s="36">
        <v>2396</v>
      </c>
      <c r="CJ86" s="70">
        <v>1410</v>
      </c>
      <c r="CK86" s="70">
        <v>36746</v>
      </c>
      <c r="CL86" s="70">
        <v>2395</v>
      </c>
      <c r="CM86" s="36">
        <v>1481</v>
      </c>
      <c r="CN86" s="36">
        <v>39208</v>
      </c>
      <c r="CO86" s="36">
        <v>2746</v>
      </c>
      <c r="CP86" s="36">
        <v>1579</v>
      </c>
      <c r="CQ86" s="36">
        <v>41878</v>
      </c>
      <c r="CR86" s="36">
        <v>2624</v>
      </c>
      <c r="CS86" s="36">
        <v>1686</v>
      </c>
      <c r="CT86" s="36">
        <v>-225.37182145842479</v>
      </c>
      <c r="CU86" s="36">
        <v>-2503.1409100000001</v>
      </c>
      <c r="CV86" s="36">
        <v>1407.9011324093087</v>
      </c>
      <c r="CW86" s="36">
        <v>1238</v>
      </c>
      <c r="CX86" s="36">
        <v>3161.2602657705611</v>
      </c>
      <c r="CY86" s="36">
        <v>-5502.9407659999997</v>
      </c>
      <c r="CZ86" s="36">
        <v>1622.5089265741969</v>
      </c>
      <c r="DA86" s="36">
        <v>1135</v>
      </c>
      <c r="DB86" s="36">
        <v>1665.5650357483437</v>
      </c>
      <c r="DC86" s="36">
        <v>-4436.7974999999997</v>
      </c>
      <c r="DD86" s="36">
        <v>1984.4493443193689</v>
      </c>
      <c r="DE86" s="36">
        <v>956</v>
      </c>
      <c r="DF86" s="36">
        <v>5154.2871943394666</v>
      </c>
      <c r="DG86" s="36">
        <v>-6816</v>
      </c>
      <c r="DH86" s="36">
        <v>2309.0520423900848</v>
      </c>
      <c r="DI86" s="36">
        <v>2498</v>
      </c>
      <c r="DJ86" s="36">
        <v>7328</v>
      </c>
      <c r="DK86" s="36">
        <v>-2424</v>
      </c>
      <c r="DL86" s="36">
        <v>2612</v>
      </c>
      <c r="DM86" s="36">
        <v>2354</v>
      </c>
      <c r="DN86" s="36">
        <v>2100</v>
      </c>
      <c r="DO86" s="69">
        <v>-5341</v>
      </c>
      <c r="DP86" s="36">
        <v>2730</v>
      </c>
      <c r="DQ86" s="36">
        <v>3066</v>
      </c>
      <c r="DR86" s="36">
        <v>2741</v>
      </c>
      <c r="DS86" s="36">
        <v>-5239</v>
      </c>
      <c r="DT86" s="36">
        <v>2799</v>
      </c>
      <c r="DU86" s="36">
        <v>7191</v>
      </c>
      <c r="DV86" s="36">
        <v>3459</v>
      </c>
      <c r="DW86" s="71">
        <v>-3409</v>
      </c>
      <c r="DX86" s="39">
        <v>3434</v>
      </c>
      <c r="DY86" s="71">
        <v>8376</v>
      </c>
      <c r="DZ86" s="70">
        <v>3393</v>
      </c>
      <c r="EA86" s="35">
        <v>-2273</v>
      </c>
      <c r="EB86" s="35">
        <v>3605</v>
      </c>
      <c r="EC86" s="38">
        <v>7370</v>
      </c>
      <c r="ED86" s="38">
        <v>3674</v>
      </c>
      <c r="EE86" s="38">
        <v>-7924</v>
      </c>
      <c r="EF86" s="38">
        <v>3408</v>
      </c>
      <c r="EG86" s="73">
        <v>12365</v>
      </c>
      <c r="EH86" s="73">
        <v>3783</v>
      </c>
      <c r="EI86" s="73">
        <v>-7893</v>
      </c>
      <c r="EJ86" s="73">
        <v>3512</v>
      </c>
      <c r="EK86" s="73">
        <v>18857</v>
      </c>
      <c r="EL86" s="73">
        <v>30505.421537809485</v>
      </c>
      <c r="EM86" s="73">
        <v>0</v>
      </c>
      <c r="EN86" s="73">
        <v>31992.707371508626</v>
      </c>
      <c r="EO86" s="73">
        <v>922.51077664138802</v>
      </c>
      <c r="EP86" s="73">
        <v>34291.836326237484</v>
      </c>
      <c r="EQ86" s="73">
        <v>231.25839888457767</v>
      </c>
      <c r="ER86" s="73">
        <v>37324.096452412072</v>
      </c>
      <c r="ES86" s="73">
        <v>283.22846816118459</v>
      </c>
      <c r="ET86" s="73">
        <v>41280</v>
      </c>
      <c r="EU86" s="73">
        <v>390</v>
      </c>
      <c r="EV86" s="73">
        <v>44805</v>
      </c>
      <c r="EW86" s="73">
        <v>-405</v>
      </c>
      <c r="EX86" s="73">
        <v>48539</v>
      </c>
      <c r="EY86" s="73">
        <v>144</v>
      </c>
      <c r="EZ86" s="73">
        <v>51654</v>
      </c>
      <c r="FA86" s="73">
        <v>227</v>
      </c>
      <c r="FB86" s="73">
        <v>55173</v>
      </c>
      <c r="FC86" s="73">
        <v>-10</v>
      </c>
      <c r="FD86" s="73">
        <v>59559</v>
      </c>
      <c r="FE86" s="73">
        <v>247</v>
      </c>
      <c r="FF86" s="73">
        <v>65038</v>
      </c>
      <c r="FG86" s="73">
        <v>1241</v>
      </c>
      <c r="FH86" s="73">
        <v>2504</v>
      </c>
      <c r="FI86" s="73">
        <v>3746</v>
      </c>
      <c r="FJ86" s="79">
        <v>15652</v>
      </c>
      <c r="FK86" s="80">
        <v>46443</v>
      </c>
      <c r="FL86" s="80">
        <v>16731</v>
      </c>
      <c r="FM86" s="80">
        <v>8386</v>
      </c>
      <c r="FN86" s="76">
        <v>27</v>
      </c>
      <c r="FO86" s="80">
        <v>43150</v>
      </c>
      <c r="FP86" s="80">
        <v>1548</v>
      </c>
      <c r="FQ86" s="80">
        <v>1745</v>
      </c>
      <c r="FR86" s="80">
        <v>2897</v>
      </c>
      <c r="FS86" s="81">
        <v>-551</v>
      </c>
      <c r="FT86" s="76">
        <v>3746</v>
      </c>
      <c r="FU86" s="76">
        <v>19505</v>
      </c>
      <c r="FV86" s="76">
        <v>551</v>
      </c>
      <c r="FW86" s="80">
        <v>67975</v>
      </c>
      <c r="FX86" s="80">
        <v>-180</v>
      </c>
      <c r="FY86" s="73">
        <v>15864</v>
      </c>
      <c r="FZ86" s="73">
        <v>51168</v>
      </c>
      <c r="GA86" s="73">
        <v>17196</v>
      </c>
      <c r="GB86" s="73">
        <v>10309</v>
      </c>
      <c r="GC86" s="73">
        <v>31</v>
      </c>
      <c r="GD86" s="73">
        <v>47028</v>
      </c>
      <c r="GE86" s="73">
        <v>1837</v>
      </c>
      <c r="GF86" s="73">
        <v>2303</v>
      </c>
      <c r="GG86" s="73">
        <v>7105</v>
      </c>
      <c r="GH86" s="73">
        <v>-1126</v>
      </c>
      <c r="GI86" s="73">
        <v>3786</v>
      </c>
      <c r="GJ86" s="73">
        <v>16236</v>
      </c>
      <c r="GK86" s="73">
        <v>1126</v>
      </c>
      <c r="GL86" s="73">
        <v>70977</v>
      </c>
      <c r="GM86" s="73">
        <v>788</v>
      </c>
      <c r="GN86" s="73">
        <v>3943</v>
      </c>
      <c r="GO86" s="77">
        <v>19.5</v>
      </c>
      <c r="GP86" s="78">
        <v>16182</v>
      </c>
      <c r="GQ86" s="73">
        <v>53078</v>
      </c>
      <c r="GR86" s="65">
        <v>17782</v>
      </c>
      <c r="GS86" s="65">
        <v>9791</v>
      </c>
      <c r="GT86" s="65">
        <v>95</v>
      </c>
      <c r="GU86" s="65">
        <v>48580</v>
      </c>
      <c r="GV86" s="65">
        <v>2059</v>
      </c>
      <c r="GW86" s="65">
        <v>2439</v>
      </c>
      <c r="GX86" s="65">
        <v>4012</v>
      </c>
      <c r="GY86" s="65">
        <v>-6817</v>
      </c>
      <c r="GZ86" s="65">
        <v>3785</v>
      </c>
      <c r="HA86" s="65">
        <v>20368</v>
      </c>
      <c r="HB86" s="65">
        <v>6817</v>
      </c>
      <c r="HC86" s="65">
        <v>76179</v>
      </c>
      <c r="HD86" s="65">
        <v>838</v>
      </c>
      <c r="HE86" s="78">
        <v>16383</v>
      </c>
      <c r="HF86" s="73">
        <v>53754</v>
      </c>
      <c r="HG86" s="65">
        <v>19338</v>
      </c>
      <c r="HH86" s="65">
        <v>11092</v>
      </c>
      <c r="HI86" s="65">
        <v>190</v>
      </c>
      <c r="HJ86" s="65">
        <v>49742</v>
      </c>
      <c r="HK86" s="65">
        <v>1345</v>
      </c>
      <c r="HL86" s="65">
        <v>2667</v>
      </c>
      <c r="HM86" s="65">
        <v>3081</v>
      </c>
      <c r="HN86" s="65">
        <v>-7106</v>
      </c>
      <c r="HO86" s="65">
        <v>3968</v>
      </c>
      <c r="HP86" s="65">
        <v>26820</v>
      </c>
      <c r="HQ86" s="65">
        <v>7106</v>
      </c>
      <c r="HR86" s="65">
        <v>80515</v>
      </c>
      <c r="HS86" s="65">
        <v>-174</v>
      </c>
      <c r="HT86" s="65">
        <v>4637</v>
      </c>
      <c r="HU86" s="77">
        <v>19.5</v>
      </c>
      <c r="HV86" s="180">
        <v>110</v>
      </c>
      <c r="HW86" s="30" t="s">
        <v>750</v>
      </c>
    </row>
    <row r="87" spans="1:231" ht="15" x14ac:dyDescent="0.25">
      <c r="A87" s="27">
        <v>245</v>
      </c>
      <c r="B87" s="27" t="s">
        <v>215</v>
      </c>
      <c r="C87" s="27">
        <v>1</v>
      </c>
      <c r="D87" s="27" t="s">
        <v>121</v>
      </c>
      <c r="E87" s="32">
        <v>5</v>
      </c>
      <c r="F87" s="32" t="s">
        <v>101</v>
      </c>
      <c r="G87" s="29" t="s">
        <v>141</v>
      </c>
      <c r="H87" s="27" t="s">
        <v>97</v>
      </c>
      <c r="I87" s="31" t="s">
        <v>121</v>
      </c>
      <c r="J87" s="69">
        <v>29914</v>
      </c>
      <c r="K87" s="69">
        <v>30137</v>
      </c>
      <c r="L87" s="36">
        <v>30270</v>
      </c>
      <c r="M87" s="36">
        <v>30482</v>
      </c>
      <c r="N87" s="36">
        <v>30709</v>
      </c>
      <c r="O87" s="36">
        <v>31170</v>
      </c>
      <c r="P87" s="36">
        <v>31361</v>
      </c>
      <c r="Q87" s="36">
        <v>31544</v>
      </c>
      <c r="R87" s="69">
        <v>32305</v>
      </c>
      <c r="S87" s="69">
        <v>33181</v>
      </c>
      <c r="T87" s="71">
        <v>33546</v>
      </c>
      <c r="U87" s="36">
        <v>68703</v>
      </c>
      <c r="V87" s="36">
        <v>7140</v>
      </c>
      <c r="W87" s="36">
        <v>19681</v>
      </c>
      <c r="X87" s="36">
        <v>1565.9977832831291</v>
      </c>
      <c r="Y87" s="36">
        <v>70382</v>
      </c>
      <c r="Z87" s="36">
        <v>6772</v>
      </c>
      <c r="AA87" s="36">
        <v>22195</v>
      </c>
      <c r="AB87" s="36">
        <v>1644.0369811612702</v>
      </c>
      <c r="AC87" s="36">
        <v>81080</v>
      </c>
      <c r="AD87" s="36">
        <v>7537</v>
      </c>
      <c r="AE87" s="36">
        <v>22127</v>
      </c>
      <c r="AF87" s="36">
        <v>1668.0878546452664</v>
      </c>
      <c r="AG87" s="36">
        <v>87880</v>
      </c>
      <c r="AH87" s="36">
        <v>6269</v>
      </c>
      <c r="AI87" s="36">
        <v>22773</v>
      </c>
      <c r="AJ87" s="36">
        <v>1531.8556342114425</v>
      </c>
      <c r="AK87" s="36">
        <v>92535</v>
      </c>
      <c r="AL87" s="36">
        <v>7456</v>
      </c>
      <c r="AM87" s="36">
        <v>22914</v>
      </c>
      <c r="AN87" s="36">
        <v>1325</v>
      </c>
      <c r="AO87" s="36">
        <v>89261</v>
      </c>
      <c r="AP87" s="36">
        <v>8363</v>
      </c>
      <c r="AQ87" s="36">
        <v>25588</v>
      </c>
      <c r="AR87" s="36">
        <v>1766</v>
      </c>
      <c r="AS87" s="36">
        <v>90568</v>
      </c>
      <c r="AT87" s="36">
        <v>9670</v>
      </c>
      <c r="AU87" s="36">
        <v>26571</v>
      </c>
      <c r="AV87" s="36">
        <v>1186</v>
      </c>
      <c r="AW87" s="36">
        <v>93957</v>
      </c>
      <c r="AX87" s="69">
        <v>11265</v>
      </c>
      <c r="AY87" s="36">
        <v>27546</v>
      </c>
      <c r="AZ87" s="36">
        <v>1166</v>
      </c>
      <c r="BA87" s="36">
        <v>102823</v>
      </c>
      <c r="BB87" s="36">
        <v>10423</v>
      </c>
      <c r="BC87" s="36">
        <v>31869</v>
      </c>
      <c r="BD87" s="36">
        <v>1302</v>
      </c>
      <c r="BE87" s="70">
        <v>111648</v>
      </c>
      <c r="BF87" s="70">
        <v>10756</v>
      </c>
      <c r="BG87" s="70">
        <v>31531</v>
      </c>
      <c r="BH87" s="70">
        <v>1183</v>
      </c>
      <c r="BI87" s="36">
        <v>122604</v>
      </c>
      <c r="BJ87" s="36">
        <v>11902</v>
      </c>
      <c r="BK87" s="36">
        <v>36033</v>
      </c>
      <c r="BL87" s="36">
        <v>900</v>
      </c>
      <c r="BM87" s="36">
        <v>61327.03637736661</v>
      </c>
      <c r="BN87" s="36">
        <v>4515.0048858592645</v>
      </c>
      <c r="BO87" s="36">
        <v>2809.7474994660033</v>
      </c>
      <c r="BP87" s="36">
        <v>61812.931296913921</v>
      </c>
      <c r="BQ87" s="36">
        <v>5584.0073464486277</v>
      </c>
      <c r="BR87" s="36">
        <v>2935.7202563856745</v>
      </c>
      <c r="BS87" s="36">
        <v>65855.664485269255</v>
      </c>
      <c r="BT87" s="36">
        <v>12037.882648556191</v>
      </c>
      <c r="BU87" s="36">
        <v>3141.4140904481028</v>
      </c>
      <c r="BV87" s="36">
        <v>80317</v>
      </c>
      <c r="BW87" s="36">
        <v>4108</v>
      </c>
      <c r="BX87" s="36">
        <v>3408</v>
      </c>
      <c r="BY87" s="36">
        <v>81636</v>
      </c>
      <c r="BZ87" s="36">
        <v>7357</v>
      </c>
      <c r="CA87" s="36">
        <v>3497</v>
      </c>
      <c r="CB87" s="36">
        <v>81694</v>
      </c>
      <c r="CC87" s="36">
        <v>4034</v>
      </c>
      <c r="CD87" s="36">
        <v>3497</v>
      </c>
      <c r="CE87" s="36">
        <v>82409</v>
      </c>
      <c r="CF87" s="36">
        <v>4500</v>
      </c>
      <c r="CG87" s="36">
        <v>3620</v>
      </c>
      <c r="CH87" s="36">
        <v>84468</v>
      </c>
      <c r="CI87" s="36">
        <v>5676</v>
      </c>
      <c r="CJ87" s="70">
        <v>3770</v>
      </c>
      <c r="CK87" s="70">
        <v>92530</v>
      </c>
      <c r="CL87" s="70">
        <v>6235</v>
      </c>
      <c r="CM87" s="36">
        <v>4021</v>
      </c>
      <c r="CN87" s="36">
        <v>99724</v>
      </c>
      <c r="CO87" s="36">
        <v>7314</v>
      </c>
      <c r="CP87" s="36">
        <v>4572</v>
      </c>
      <c r="CQ87" s="36">
        <v>110697</v>
      </c>
      <c r="CR87" s="36">
        <v>6901</v>
      </c>
      <c r="CS87" s="36">
        <v>4971</v>
      </c>
      <c r="CT87" s="36">
        <v>7795.8467673439591</v>
      </c>
      <c r="CU87" s="36">
        <v>-6367.2585200000003</v>
      </c>
      <c r="CV87" s="36">
        <v>4871.2269141047436</v>
      </c>
      <c r="CW87" s="36">
        <v>46217</v>
      </c>
      <c r="CX87" s="36">
        <v>7010.2409628422411</v>
      </c>
      <c r="CY87" s="36">
        <v>-2844.057836</v>
      </c>
      <c r="CZ87" s="36">
        <v>5158.8282683539273</v>
      </c>
      <c r="DA87" s="36">
        <v>46042</v>
      </c>
      <c r="DB87" s="36">
        <v>12530.841461014879</v>
      </c>
      <c r="DC87" s="36">
        <v>-7714.1074349999999</v>
      </c>
      <c r="DD87" s="36">
        <v>5327.3525706683622</v>
      </c>
      <c r="DE87" s="36">
        <v>36125</v>
      </c>
      <c r="DF87" s="36">
        <v>11563.76088386119</v>
      </c>
      <c r="DG87" s="36">
        <v>-7221</v>
      </c>
      <c r="DH87" s="36">
        <v>5329.8753895652844</v>
      </c>
      <c r="DI87" s="36">
        <v>24660</v>
      </c>
      <c r="DJ87" s="36">
        <v>17717</v>
      </c>
      <c r="DK87" s="36">
        <v>-9137</v>
      </c>
      <c r="DL87" s="36">
        <v>5661</v>
      </c>
      <c r="DM87" s="36">
        <v>29470</v>
      </c>
      <c r="DN87" s="36">
        <v>11979</v>
      </c>
      <c r="DO87" s="69">
        <v>-12729</v>
      </c>
      <c r="DP87" s="36">
        <v>5790</v>
      </c>
      <c r="DQ87" s="36">
        <v>37866</v>
      </c>
      <c r="DR87" s="36">
        <v>7203</v>
      </c>
      <c r="DS87" s="36">
        <v>-14661</v>
      </c>
      <c r="DT87" s="36">
        <v>6313</v>
      </c>
      <c r="DU87" s="36">
        <v>49903</v>
      </c>
      <c r="DV87" s="36">
        <v>7409</v>
      </c>
      <c r="DW87" s="71">
        <v>-12383</v>
      </c>
      <c r="DX87" s="39">
        <v>6488</v>
      </c>
      <c r="DY87" s="71">
        <v>55576</v>
      </c>
      <c r="DZ87" s="70">
        <v>13438</v>
      </c>
      <c r="EA87" s="35">
        <v>-9839</v>
      </c>
      <c r="EB87" s="35">
        <v>7152</v>
      </c>
      <c r="EC87" s="38">
        <v>55665</v>
      </c>
      <c r="ED87" s="38">
        <v>13077</v>
      </c>
      <c r="EE87" s="38">
        <v>-13550</v>
      </c>
      <c r="EF87" s="38">
        <v>7944</v>
      </c>
      <c r="EG87" s="73">
        <v>59933</v>
      </c>
      <c r="EH87" s="73">
        <v>16281</v>
      </c>
      <c r="EI87" s="73">
        <v>-12511</v>
      </c>
      <c r="EJ87" s="73">
        <v>7984</v>
      </c>
      <c r="EK87" s="73">
        <v>62432</v>
      </c>
      <c r="EL87" s="73">
        <v>81308.434792699962</v>
      </c>
      <c r="EM87" s="73">
        <v>2665.1058827091038</v>
      </c>
      <c r="EN87" s="73">
        <v>86552.197963916959</v>
      </c>
      <c r="EO87" s="73">
        <v>555.02015732298639</v>
      </c>
      <c r="EP87" s="73">
        <v>92048.24302482621</v>
      </c>
      <c r="EQ87" s="73">
        <v>7208.3663402139009</v>
      </c>
      <c r="ER87" s="73">
        <v>99504.686556570843</v>
      </c>
      <c r="ES87" s="73">
        <v>3448.8616200197453</v>
      </c>
      <c r="ET87" s="73">
        <v>105159</v>
      </c>
      <c r="EU87" s="73">
        <v>12096</v>
      </c>
      <c r="EV87" s="73">
        <v>111352</v>
      </c>
      <c r="EW87" s="73">
        <v>6639</v>
      </c>
      <c r="EX87" s="73">
        <v>119474</v>
      </c>
      <c r="EY87" s="73">
        <v>864</v>
      </c>
      <c r="EZ87" s="73">
        <v>125100</v>
      </c>
      <c r="FA87" s="73">
        <v>131</v>
      </c>
      <c r="FB87" s="73">
        <v>131279</v>
      </c>
      <c r="FC87" s="73">
        <v>6727</v>
      </c>
      <c r="FD87" s="73">
        <v>139832</v>
      </c>
      <c r="FE87" s="73">
        <v>5129</v>
      </c>
      <c r="FF87" s="73">
        <v>152750</v>
      </c>
      <c r="FG87" s="73">
        <v>8289</v>
      </c>
      <c r="FH87" s="73">
        <v>43427</v>
      </c>
      <c r="FI87" s="73">
        <v>51716</v>
      </c>
      <c r="FJ87" s="79">
        <v>33833</v>
      </c>
      <c r="FK87" s="80">
        <v>121841</v>
      </c>
      <c r="FL87" s="80">
        <v>13487</v>
      </c>
      <c r="FM87" s="80">
        <v>35802</v>
      </c>
      <c r="FN87" s="76">
        <v>871</v>
      </c>
      <c r="FO87" s="80">
        <v>112545</v>
      </c>
      <c r="FP87" s="80">
        <v>4057</v>
      </c>
      <c r="FQ87" s="80">
        <v>5239</v>
      </c>
      <c r="FR87" s="80">
        <v>12152</v>
      </c>
      <c r="FS87" s="81">
        <v>-13096</v>
      </c>
      <c r="FT87" s="76">
        <v>8264</v>
      </c>
      <c r="FU87" s="76">
        <v>68010</v>
      </c>
      <c r="FV87" s="76">
        <v>13096</v>
      </c>
      <c r="FW87" s="80">
        <v>158377</v>
      </c>
      <c r="FX87" s="80">
        <v>3877</v>
      </c>
      <c r="FY87" s="73">
        <v>34282</v>
      </c>
      <c r="FZ87" s="73">
        <v>134509</v>
      </c>
      <c r="GA87" s="73">
        <v>18933</v>
      </c>
      <c r="GB87" s="73">
        <v>35120</v>
      </c>
      <c r="GC87" s="73">
        <v>1032</v>
      </c>
      <c r="GD87" s="73">
        <v>118719</v>
      </c>
      <c r="GE87" s="73">
        <v>7109</v>
      </c>
      <c r="GF87" s="73">
        <v>8681</v>
      </c>
      <c r="GG87" s="73">
        <v>26380</v>
      </c>
      <c r="GH87" s="73">
        <v>-6726</v>
      </c>
      <c r="GI87" s="73">
        <v>9885</v>
      </c>
      <c r="GJ87" s="73">
        <v>48132</v>
      </c>
      <c r="GK87" s="73">
        <v>6726</v>
      </c>
      <c r="GL87" s="73">
        <v>162446</v>
      </c>
      <c r="GM87" s="73">
        <v>15920</v>
      </c>
      <c r="GN87" s="73">
        <v>71514</v>
      </c>
      <c r="GO87" s="77">
        <v>18.75</v>
      </c>
      <c r="GP87" s="78">
        <v>34549</v>
      </c>
      <c r="GQ87" s="73">
        <v>139357</v>
      </c>
      <c r="GR87" s="65">
        <v>18966</v>
      </c>
      <c r="GS87" s="65">
        <v>35843</v>
      </c>
      <c r="GT87" s="65">
        <v>1508</v>
      </c>
      <c r="GU87" s="65">
        <v>120103</v>
      </c>
      <c r="GV87" s="65">
        <v>10376</v>
      </c>
      <c r="GW87" s="65">
        <v>8878</v>
      </c>
      <c r="GX87" s="65">
        <v>22173</v>
      </c>
      <c r="GY87" s="65">
        <v>-11884</v>
      </c>
      <c r="GZ87" s="65">
        <v>9082</v>
      </c>
      <c r="HA87" s="65">
        <v>40149</v>
      </c>
      <c r="HB87" s="65">
        <v>11884</v>
      </c>
      <c r="HC87" s="65">
        <v>172666</v>
      </c>
      <c r="HD87" s="65">
        <v>13381</v>
      </c>
      <c r="HE87" s="78">
        <v>34491</v>
      </c>
      <c r="HF87" s="73">
        <v>138807</v>
      </c>
      <c r="HG87" s="65">
        <v>18656</v>
      </c>
      <c r="HH87" s="65">
        <v>35653</v>
      </c>
      <c r="HI87" s="65">
        <v>1800</v>
      </c>
      <c r="HJ87" s="65">
        <v>123530</v>
      </c>
      <c r="HK87" s="65">
        <v>6317</v>
      </c>
      <c r="HL87" s="65">
        <v>8960</v>
      </c>
      <c r="HM87" s="65">
        <v>13568</v>
      </c>
      <c r="HN87" s="65">
        <v>-20599</v>
      </c>
      <c r="HO87" s="65">
        <v>9284</v>
      </c>
      <c r="HP87" s="65">
        <v>48458</v>
      </c>
      <c r="HQ87" s="65">
        <v>20599</v>
      </c>
      <c r="HR87" s="65">
        <v>180904</v>
      </c>
      <c r="HS87" s="65">
        <v>4284</v>
      </c>
      <c r="HT87" s="65">
        <v>88309</v>
      </c>
      <c r="HU87" s="77">
        <v>18.75</v>
      </c>
      <c r="HV87" s="180">
        <v>110</v>
      </c>
      <c r="HW87" s="30" t="s">
        <v>750</v>
      </c>
    </row>
    <row r="88" spans="1:231" ht="15" x14ac:dyDescent="0.25">
      <c r="A88" s="27">
        <v>249</v>
      </c>
      <c r="B88" s="27" t="s">
        <v>216</v>
      </c>
      <c r="C88" s="27">
        <v>13</v>
      </c>
      <c r="D88" s="27" t="s">
        <v>111</v>
      </c>
      <c r="E88" s="27">
        <v>3</v>
      </c>
      <c r="F88" s="27" t="s">
        <v>743</v>
      </c>
      <c r="G88" s="29" t="s">
        <v>132</v>
      </c>
      <c r="H88" s="27" t="s">
        <v>99</v>
      </c>
      <c r="I88" s="31" t="s">
        <v>111</v>
      </c>
      <c r="J88" s="69">
        <v>12116</v>
      </c>
      <c r="K88" s="69">
        <v>11974</v>
      </c>
      <c r="L88" s="36">
        <v>11870</v>
      </c>
      <c r="M88" s="36">
        <v>11705</v>
      </c>
      <c r="N88" s="36">
        <v>11510</v>
      </c>
      <c r="O88" s="36">
        <v>11395</v>
      </c>
      <c r="P88" s="36">
        <v>11260</v>
      </c>
      <c r="Q88" s="36">
        <v>11180</v>
      </c>
      <c r="R88" s="69">
        <v>11005</v>
      </c>
      <c r="S88" s="69">
        <v>10919</v>
      </c>
      <c r="T88" s="71">
        <v>10896</v>
      </c>
      <c r="U88" s="36">
        <v>25731</v>
      </c>
      <c r="V88" s="36">
        <v>9240</v>
      </c>
      <c r="W88" s="36">
        <v>7648</v>
      </c>
      <c r="X88" s="36">
        <v>665.68781293466066</v>
      </c>
      <c r="Y88" s="36">
        <v>25665</v>
      </c>
      <c r="Z88" s="36">
        <v>9331</v>
      </c>
      <c r="AA88" s="36">
        <v>8139</v>
      </c>
      <c r="AB88" s="36">
        <v>696.29801555065569</v>
      </c>
      <c r="AC88" s="36">
        <v>23684</v>
      </c>
      <c r="AD88" s="36">
        <v>9505</v>
      </c>
      <c r="AE88" s="36">
        <v>8716</v>
      </c>
      <c r="AF88" s="36">
        <v>411.55585605131762</v>
      </c>
      <c r="AG88" s="36">
        <v>26473</v>
      </c>
      <c r="AH88" s="36">
        <v>13416</v>
      </c>
      <c r="AI88" s="36">
        <v>9165</v>
      </c>
      <c r="AJ88" s="36">
        <v>538.20136467683528</v>
      </c>
      <c r="AK88" s="36">
        <v>26538</v>
      </c>
      <c r="AL88" s="36">
        <v>12754</v>
      </c>
      <c r="AM88" s="36">
        <v>9382</v>
      </c>
      <c r="AN88" s="36">
        <v>306</v>
      </c>
      <c r="AO88" s="36">
        <v>25501</v>
      </c>
      <c r="AP88" s="36">
        <v>15004</v>
      </c>
      <c r="AQ88" s="36">
        <v>9804</v>
      </c>
      <c r="AR88" s="36">
        <v>323</v>
      </c>
      <c r="AS88" s="36">
        <v>25881</v>
      </c>
      <c r="AT88" s="36">
        <v>15475</v>
      </c>
      <c r="AU88" s="36">
        <v>10572</v>
      </c>
      <c r="AV88" s="36">
        <v>336</v>
      </c>
      <c r="AW88" s="36">
        <v>26783</v>
      </c>
      <c r="AX88" s="69">
        <v>16230</v>
      </c>
      <c r="AY88" s="36">
        <v>11369</v>
      </c>
      <c r="AZ88" s="36">
        <v>465</v>
      </c>
      <c r="BA88" s="36">
        <v>27420</v>
      </c>
      <c r="BB88" s="36">
        <v>17402</v>
      </c>
      <c r="BC88" s="36">
        <v>11948</v>
      </c>
      <c r="BD88" s="36">
        <v>366</v>
      </c>
      <c r="BE88" s="70">
        <v>29222</v>
      </c>
      <c r="BF88" s="70">
        <v>18278</v>
      </c>
      <c r="BG88" s="70">
        <v>12612</v>
      </c>
      <c r="BH88" s="70">
        <v>402</v>
      </c>
      <c r="BI88" s="36">
        <v>31498</v>
      </c>
      <c r="BJ88" s="36">
        <v>20950</v>
      </c>
      <c r="BK88" s="36">
        <v>12601</v>
      </c>
      <c r="BL88" s="36">
        <v>286</v>
      </c>
      <c r="BM88" s="36">
        <v>19193.606167787639</v>
      </c>
      <c r="BN88" s="36">
        <v>5369.7359281366626</v>
      </c>
      <c r="BO88" s="36">
        <v>1167.2242096428868</v>
      </c>
      <c r="BP88" s="36">
        <v>19554.873833826965</v>
      </c>
      <c r="BQ88" s="36">
        <v>5148.0642410603914</v>
      </c>
      <c r="BR88" s="36">
        <v>961.86675143338152</v>
      </c>
      <c r="BS88" s="36">
        <v>17766.195235908795</v>
      </c>
      <c r="BT88" s="36">
        <v>4928.0744332487347</v>
      </c>
      <c r="BU88" s="36">
        <v>990.12232307891543</v>
      </c>
      <c r="BV88" s="36">
        <v>21335</v>
      </c>
      <c r="BW88" s="36">
        <v>3924</v>
      </c>
      <c r="BX88" s="36">
        <v>1213</v>
      </c>
      <c r="BY88" s="36">
        <v>23284</v>
      </c>
      <c r="BZ88" s="36">
        <v>1991</v>
      </c>
      <c r="CA88" s="36">
        <v>1263</v>
      </c>
      <c r="CB88" s="36">
        <v>22876</v>
      </c>
      <c r="CC88" s="36">
        <v>1378</v>
      </c>
      <c r="CD88" s="36">
        <v>1247</v>
      </c>
      <c r="CE88" s="36">
        <v>22999</v>
      </c>
      <c r="CF88" s="36">
        <v>1630</v>
      </c>
      <c r="CG88" s="36">
        <v>1252</v>
      </c>
      <c r="CH88" s="36">
        <v>23536</v>
      </c>
      <c r="CI88" s="36">
        <v>1960</v>
      </c>
      <c r="CJ88" s="70">
        <v>1287</v>
      </c>
      <c r="CK88" s="70">
        <v>24010</v>
      </c>
      <c r="CL88" s="70">
        <v>2095</v>
      </c>
      <c r="CM88" s="36">
        <v>1315</v>
      </c>
      <c r="CN88" s="36">
        <v>25350</v>
      </c>
      <c r="CO88" s="36">
        <v>2524</v>
      </c>
      <c r="CP88" s="36">
        <v>1348</v>
      </c>
      <c r="CQ88" s="36">
        <v>27090</v>
      </c>
      <c r="CR88" s="36">
        <v>2688</v>
      </c>
      <c r="CS88" s="36">
        <v>1720</v>
      </c>
      <c r="CT88" s="36">
        <v>2699.2480317807904</v>
      </c>
      <c r="CU88" s="36">
        <v>-2757.2728659999998</v>
      </c>
      <c r="CV88" s="36">
        <v>2192.6659972787193</v>
      </c>
      <c r="CW88" s="36">
        <v>14427</v>
      </c>
      <c r="CX88" s="36">
        <v>2269.1915038187067</v>
      </c>
      <c r="CY88" s="36">
        <v>-3366.6177240000002</v>
      </c>
      <c r="CZ88" s="36">
        <v>2246.8225095993257</v>
      </c>
      <c r="DA88" s="36">
        <v>15187</v>
      </c>
      <c r="DB88" s="36">
        <v>-1790.1922892563234</v>
      </c>
      <c r="DC88" s="36">
        <v>-3433.220143</v>
      </c>
      <c r="DD88" s="36">
        <v>2397.5188917088399</v>
      </c>
      <c r="DE88" s="36">
        <v>17503</v>
      </c>
      <c r="DF88" s="36">
        <v>3985.7174812848884</v>
      </c>
      <c r="DG88" s="36">
        <v>-4039</v>
      </c>
      <c r="DH88" s="36">
        <v>2408.6192948552994</v>
      </c>
      <c r="DI88" s="36">
        <v>18927</v>
      </c>
      <c r="DJ88" s="36">
        <v>3193</v>
      </c>
      <c r="DK88" s="36">
        <v>-2018</v>
      </c>
      <c r="DL88" s="36">
        <v>2538</v>
      </c>
      <c r="DM88" s="36">
        <v>18509</v>
      </c>
      <c r="DN88" s="36">
        <v>3194</v>
      </c>
      <c r="DO88" s="69">
        <v>-2849</v>
      </c>
      <c r="DP88" s="36">
        <v>2490</v>
      </c>
      <c r="DQ88" s="36">
        <v>16735</v>
      </c>
      <c r="DR88" s="36">
        <v>1733</v>
      </c>
      <c r="DS88" s="36">
        <v>-3057</v>
      </c>
      <c r="DT88" s="36">
        <v>2611</v>
      </c>
      <c r="DU88" s="36">
        <v>18348</v>
      </c>
      <c r="DV88" s="36">
        <v>1990</v>
      </c>
      <c r="DW88" s="71">
        <v>-3069</v>
      </c>
      <c r="DX88" s="39">
        <v>2415</v>
      </c>
      <c r="DY88" s="71">
        <v>19256</v>
      </c>
      <c r="DZ88" s="70">
        <v>2081</v>
      </c>
      <c r="EA88" s="35">
        <v>-3625</v>
      </c>
      <c r="EB88" s="35">
        <v>1891</v>
      </c>
      <c r="EC88" s="38">
        <v>20406</v>
      </c>
      <c r="ED88" s="38">
        <v>2247</v>
      </c>
      <c r="EE88" s="38">
        <v>-4747</v>
      </c>
      <c r="EF88" s="38">
        <v>1947</v>
      </c>
      <c r="EG88" s="73">
        <v>22343</v>
      </c>
      <c r="EH88" s="73">
        <v>3341</v>
      </c>
      <c r="EI88" s="73">
        <v>-4913</v>
      </c>
      <c r="EJ88" s="73">
        <v>2093</v>
      </c>
      <c r="EK88" s="73">
        <v>23283</v>
      </c>
      <c r="EL88" s="73">
        <v>38073.037288945176</v>
      </c>
      <c r="EM88" s="73">
        <v>651.56002711189376</v>
      </c>
      <c r="EN88" s="73">
        <v>39139.853306490542</v>
      </c>
      <c r="EO88" s="73">
        <v>-8.4093963230755513</v>
      </c>
      <c r="EP88" s="73">
        <v>41495.829780363383</v>
      </c>
      <c r="EQ88" s="73">
        <v>-3966.8804335211989</v>
      </c>
      <c r="ER88" s="73">
        <v>42559.45022730597</v>
      </c>
      <c r="ES88" s="73">
        <v>1249.4681056825655</v>
      </c>
      <c r="ET88" s="73">
        <v>44841</v>
      </c>
      <c r="EU88" s="73">
        <v>549</v>
      </c>
      <c r="EV88" s="73">
        <v>46799</v>
      </c>
      <c r="EW88" s="73">
        <v>713</v>
      </c>
      <c r="EX88" s="73">
        <v>49939</v>
      </c>
      <c r="EY88" s="73">
        <v>-869</v>
      </c>
      <c r="EZ88" s="73">
        <v>52401</v>
      </c>
      <c r="FA88" s="73">
        <v>-416</v>
      </c>
      <c r="FB88" s="73">
        <v>54507</v>
      </c>
      <c r="FC88" s="73">
        <v>116</v>
      </c>
      <c r="FD88" s="73">
        <v>57382</v>
      </c>
      <c r="FE88" s="73">
        <v>306</v>
      </c>
      <c r="FF88" s="73">
        <v>61005</v>
      </c>
      <c r="FG88" s="73">
        <v>1090</v>
      </c>
      <c r="FH88" s="73">
        <v>-1066</v>
      </c>
      <c r="FI88" s="73">
        <v>25</v>
      </c>
      <c r="FJ88" s="79">
        <v>10757</v>
      </c>
      <c r="FK88" s="80">
        <v>31306</v>
      </c>
      <c r="FL88" s="80">
        <v>23062</v>
      </c>
      <c r="FM88" s="80">
        <v>13512</v>
      </c>
      <c r="FN88" s="76">
        <v>272</v>
      </c>
      <c r="FO88" s="80">
        <v>27335</v>
      </c>
      <c r="FP88" s="80">
        <v>2140</v>
      </c>
      <c r="FQ88" s="80">
        <v>1831</v>
      </c>
      <c r="FR88" s="80">
        <v>4783</v>
      </c>
      <c r="FS88" s="81">
        <v>-6236</v>
      </c>
      <c r="FT88" s="76">
        <v>2218</v>
      </c>
      <c r="FU88" s="76">
        <v>23178</v>
      </c>
      <c r="FV88" s="76">
        <v>6236</v>
      </c>
      <c r="FW88" s="80">
        <v>62817</v>
      </c>
      <c r="FX88" s="80">
        <v>2571</v>
      </c>
      <c r="FY88" s="73">
        <v>10666</v>
      </c>
      <c r="FZ88" s="73">
        <v>31416</v>
      </c>
      <c r="GA88" s="73">
        <v>24249</v>
      </c>
      <c r="GB88" s="73">
        <v>16696</v>
      </c>
      <c r="GC88" s="73">
        <v>357</v>
      </c>
      <c r="GD88" s="73">
        <v>26993</v>
      </c>
      <c r="GE88" s="73">
        <v>2605</v>
      </c>
      <c r="GF88" s="73">
        <v>1818</v>
      </c>
      <c r="GG88" s="73">
        <v>5272</v>
      </c>
      <c r="GH88" s="73">
        <v>-3343</v>
      </c>
      <c r="GI88" s="73">
        <v>2464</v>
      </c>
      <c r="GJ88" s="73">
        <v>21126</v>
      </c>
      <c r="GK88" s="73">
        <v>3343</v>
      </c>
      <c r="GL88" s="73">
        <v>67182</v>
      </c>
      <c r="GM88" s="73">
        <v>2814</v>
      </c>
      <c r="GN88" s="73">
        <v>5410</v>
      </c>
      <c r="GO88" s="77">
        <v>19.75</v>
      </c>
      <c r="GP88" s="78">
        <v>10574</v>
      </c>
      <c r="GQ88" s="73">
        <v>31304</v>
      </c>
      <c r="GR88" s="65">
        <v>24804</v>
      </c>
      <c r="GS88" s="65">
        <v>17317</v>
      </c>
      <c r="GT88" s="65">
        <v>442</v>
      </c>
      <c r="GU88" s="65">
        <v>26650</v>
      </c>
      <c r="GV88" s="65">
        <v>2817</v>
      </c>
      <c r="GW88" s="65">
        <v>1837</v>
      </c>
      <c r="GX88" s="65">
        <v>3697</v>
      </c>
      <c r="GY88" s="65">
        <v>-4372</v>
      </c>
      <c r="GZ88" s="65">
        <v>2844</v>
      </c>
      <c r="HA88" s="65">
        <v>19890</v>
      </c>
      <c r="HB88" s="65">
        <v>4372</v>
      </c>
      <c r="HC88" s="65">
        <v>69888</v>
      </c>
      <c r="HD88" s="65">
        <v>859</v>
      </c>
      <c r="HE88" s="78">
        <v>10488</v>
      </c>
      <c r="HF88" s="73">
        <v>31065</v>
      </c>
      <c r="HG88" s="65">
        <v>26061</v>
      </c>
      <c r="HH88" s="65">
        <v>17834</v>
      </c>
      <c r="HI88" s="65">
        <v>316</v>
      </c>
      <c r="HJ88" s="65">
        <v>27336</v>
      </c>
      <c r="HK88" s="65">
        <v>1859</v>
      </c>
      <c r="HL88" s="65">
        <v>1870</v>
      </c>
      <c r="HM88" s="65">
        <v>1725</v>
      </c>
      <c r="HN88" s="65">
        <v>-8821</v>
      </c>
      <c r="HO88" s="65">
        <v>3023</v>
      </c>
      <c r="HP88" s="65">
        <v>28801</v>
      </c>
      <c r="HQ88" s="65">
        <v>8821</v>
      </c>
      <c r="HR88" s="65">
        <v>73377</v>
      </c>
      <c r="HS88" s="65">
        <v>-1659</v>
      </c>
      <c r="HT88" s="65">
        <v>4610</v>
      </c>
      <c r="HU88" s="77">
        <v>19.75</v>
      </c>
      <c r="HV88" s="180">
        <v>240</v>
      </c>
      <c r="HW88" s="30" t="s">
        <v>757</v>
      </c>
    </row>
    <row r="89" spans="1:231" ht="15" x14ac:dyDescent="0.25">
      <c r="A89" s="27">
        <v>250</v>
      </c>
      <c r="B89" s="27" t="s">
        <v>217</v>
      </c>
      <c r="C89" s="27">
        <v>6</v>
      </c>
      <c r="D89" s="27" t="s">
        <v>114</v>
      </c>
      <c r="E89" s="27">
        <v>1</v>
      </c>
      <c r="F89" s="27" t="s">
        <v>103</v>
      </c>
      <c r="G89" s="29" t="s">
        <v>130</v>
      </c>
      <c r="H89" s="27" t="s">
        <v>98</v>
      </c>
      <c r="I89" s="31" t="s">
        <v>114</v>
      </c>
      <c r="J89" s="69">
        <v>2498</v>
      </c>
      <c r="K89" s="69">
        <v>2455</v>
      </c>
      <c r="L89" s="36">
        <v>2433</v>
      </c>
      <c r="M89" s="36">
        <v>2392</v>
      </c>
      <c r="N89" s="36">
        <v>2392</v>
      </c>
      <c r="O89" s="36">
        <v>2408</v>
      </c>
      <c r="P89" s="36">
        <v>2366</v>
      </c>
      <c r="Q89" s="36">
        <v>2353</v>
      </c>
      <c r="R89" s="69">
        <v>2305</v>
      </c>
      <c r="S89" s="69">
        <v>2280</v>
      </c>
      <c r="T89" s="71">
        <v>2223</v>
      </c>
      <c r="U89" s="36">
        <v>4217</v>
      </c>
      <c r="V89" s="36">
        <v>3104</v>
      </c>
      <c r="W89" s="36">
        <v>1447</v>
      </c>
      <c r="X89" s="36">
        <v>212.25316319442692</v>
      </c>
      <c r="Y89" s="36">
        <v>4177</v>
      </c>
      <c r="Z89" s="36">
        <v>3127</v>
      </c>
      <c r="AA89" s="36">
        <v>1572</v>
      </c>
      <c r="AB89" s="36">
        <v>208.88940466519674</v>
      </c>
      <c r="AC89" s="36">
        <v>4016</v>
      </c>
      <c r="AD89" s="36">
        <v>3041</v>
      </c>
      <c r="AE89" s="36">
        <v>1436</v>
      </c>
      <c r="AF89" s="36">
        <v>185.17490703412363</v>
      </c>
      <c r="AG89" s="36">
        <v>4094</v>
      </c>
      <c r="AH89" s="36">
        <v>3462</v>
      </c>
      <c r="AI89" s="36">
        <v>1312</v>
      </c>
      <c r="AJ89" s="36">
        <v>143.2961133452074</v>
      </c>
      <c r="AK89" s="36">
        <v>4358</v>
      </c>
      <c r="AL89" s="36">
        <v>3987</v>
      </c>
      <c r="AM89" s="36">
        <v>1269</v>
      </c>
      <c r="AN89" s="36">
        <v>91</v>
      </c>
      <c r="AO89" s="36">
        <v>4208</v>
      </c>
      <c r="AP89" s="36">
        <v>3978</v>
      </c>
      <c r="AQ89" s="36">
        <v>1381</v>
      </c>
      <c r="AR89" s="36">
        <v>177</v>
      </c>
      <c r="AS89" s="36">
        <v>4205</v>
      </c>
      <c r="AT89" s="36">
        <v>4073</v>
      </c>
      <c r="AU89" s="36">
        <v>1633</v>
      </c>
      <c r="AV89" s="36">
        <v>56</v>
      </c>
      <c r="AW89" s="36">
        <v>4455</v>
      </c>
      <c r="AX89" s="69">
        <v>4269</v>
      </c>
      <c r="AY89" s="36">
        <v>1551</v>
      </c>
      <c r="AZ89" s="36">
        <v>83</v>
      </c>
      <c r="BA89" s="36">
        <v>4989</v>
      </c>
      <c r="BB89" s="36">
        <v>4248</v>
      </c>
      <c r="BC89" s="36">
        <v>1878</v>
      </c>
      <c r="BD89" s="36">
        <v>3</v>
      </c>
      <c r="BE89" s="70">
        <v>5144</v>
      </c>
      <c r="BF89" s="70">
        <v>4296</v>
      </c>
      <c r="BG89" s="70">
        <v>1896</v>
      </c>
      <c r="BH89" s="70">
        <v>92</v>
      </c>
      <c r="BI89" s="36">
        <v>5692</v>
      </c>
      <c r="BJ89" s="36">
        <v>4624</v>
      </c>
      <c r="BK89" s="36">
        <v>2142</v>
      </c>
      <c r="BL89" s="36">
        <v>40</v>
      </c>
      <c r="BM89" s="36">
        <v>3107.7765051558008</v>
      </c>
      <c r="BN89" s="36">
        <v>950.76634828692181</v>
      </c>
      <c r="BO89" s="36">
        <v>158.60121465320489</v>
      </c>
      <c r="BP89" s="36">
        <v>3225.1716778259356</v>
      </c>
      <c r="BQ89" s="36">
        <v>795.36070423648562</v>
      </c>
      <c r="BR89" s="36">
        <v>156.0783957562823</v>
      </c>
      <c r="BS89" s="36">
        <v>2940.0931424736741</v>
      </c>
      <c r="BT89" s="36">
        <v>906.70111155400593</v>
      </c>
      <c r="BU89" s="36">
        <v>169.70161779966463</v>
      </c>
      <c r="BV89" s="36">
        <v>3348</v>
      </c>
      <c r="BW89" s="36">
        <v>562</v>
      </c>
      <c r="BX89" s="36">
        <v>185</v>
      </c>
      <c r="BY89" s="36">
        <v>3771</v>
      </c>
      <c r="BZ89" s="36">
        <v>387</v>
      </c>
      <c r="CA89" s="36">
        <v>200</v>
      </c>
      <c r="CB89" s="36">
        <v>3747</v>
      </c>
      <c r="CC89" s="36">
        <v>215</v>
      </c>
      <c r="CD89" s="36">
        <v>246</v>
      </c>
      <c r="CE89" s="36">
        <v>3702</v>
      </c>
      <c r="CF89" s="36">
        <v>247</v>
      </c>
      <c r="CG89" s="36">
        <v>256</v>
      </c>
      <c r="CH89" s="36">
        <v>3859</v>
      </c>
      <c r="CI89" s="36">
        <v>339</v>
      </c>
      <c r="CJ89" s="70">
        <v>257</v>
      </c>
      <c r="CK89" s="70">
        <v>4283</v>
      </c>
      <c r="CL89" s="70">
        <v>429</v>
      </c>
      <c r="CM89" s="36">
        <v>277</v>
      </c>
      <c r="CN89" s="36">
        <v>4266</v>
      </c>
      <c r="CO89" s="36">
        <v>585</v>
      </c>
      <c r="CP89" s="36">
        <v>293</v>
      </c>
      <c r="CQ89" s="36">
        <v>4708</v>
      </c>
      <c r="CR89" s="36">
        <v>676</v>
      </c>
      <c r="CS89" s="36">
        <v>308</v>
      </c>
      <c r="CT89" s="36">
        <v>561.91586230790836</v>
      </c>
      <c r="CU89" s="36">
        <v>-751.8000313</v>
      </c>
      <c r="CV89" s="36">
        <v>365.80874005378649</v>
      </c>
      <c r="CW89" s="36">
        <v>1430</v>
      </c>
      <c r="CX89" s="36">
        <v>627.00458984851309</v>
      </c>
      <c r="CY89" s="36">
        <v>-710.93036519999998</v>
      </c>
      <c r="CZ89" s="36">
        <v>346.46712851071271</v>
      </c>
      <c r="DA89" s="36">
        <v>1349</v>
      </c>
      <c r="DB89" s="36">
        <v>0.33637585292302208</v>
      </c>
      <c r="DC89" s="36">
        <v>-863.47681449999993</v>
      </c>
      <c r="DD89" s="36">
        <v>347.64444399594328</v>
      </c>
      <c r="DE89" s="36">
        <v>1275</v>
      </c>
      <c r="DF89" s="36">
        <v>-377.91827075901529</v>
      </c>
      <c r="DG89" s="36">
        <v>-941</v>
      </c>
      <c r="DH89" s="36">
        <v>382.45934477347606</v>
      </c>
      <c r="DI89" s="36">
        <v>1237</v>
      </c>
      <c r="DJ89" s="36">
        <v>685</v>
      </c>
      <c r="DK89" s="36">
        <v>-910</v>
      </c>
      <c r="DL89" s="36">
        <v>513</v>
      </c>
      <c r="DM89" s="36">
        <v>2203</v>
      </c>
      <c r="DN89" s="36">
        <v>406</v>
      </c>
      <c r="DO89" s="69">
        <v>-289</v>
      </c>
      <c r="DP89" s="36">
        <v>484</v>
      </c>
      <c r="DQ89" s="36">
        <v>1809</v>
      </c>
      <c r="DR89" s="36">
        <v>107</v>
      </c>
      <c r="DS89" s="36">
        <v>-242</v>
      </c>
      <c r="DT89" s="36">
        <v>492</v>
      </c>
      <c r="DU89" s="36">
        <v>1501</v>
      </c>
      <c r="DV89" s="36">
        <v>252</v>
      </c>
      <c r="DW89" s="71">
        <v>-928</v>
      </c>
      <c r="DX89" s="39">
        <v>392</v>
      </c>
      <c r="DY89" s="71">
        <v>2272</v>
      </c>
      <c r="DZ89" s="70">
        <v>1000</v>
      </c>
      <c r="EA89" s="35">
        <v>-644</v>
      </c>
      <c r="EB89" s="35">
        <v>419</v>
      </c>
      <c r="EC89" s="38">
        <v>2702</v>
      </c>
      <c r="ED89" s="38">
        <v>678</v>
      </c>
      <c r="EE89" s="38">
        <v>-200</v>
      </c>
      <c r="EF89" s="38">
        <v>433</v>
      </c>
      <c r="EG89" s="73">
        <v>2410</v>
      </c>
      <c r="EH89" s="73">
        <v>940</v>
      </c>
      <c r="EI89" s="73">
        <v>-587</v>
      </c>
      <c r="EJ89" s="73">
        <v>446</v>
      </c>
      <c r="EK89" s="73">
        <v>2110</v>
      </c>
      <c r="EL89" s="73">
        <v>7949.4023442033185</v>
      </c>
      <c r="EM89" s="73">
        <v>229.74470754642405</v>
      </c>
      <c r="EN89" s="73">
        <v>8007.4271788325404</v>
      </c>
      <c r="EO89" s="73">
        <v>223.85813012027117</v>
      </c>
      <c r="EP89" s="73">
        <v>8207.2344354688157</v>
      </c>
      <c r="EQ89" s="73">
        <v>-347.30806814302025</v>
      </c>
      <c r="ER89" s="73">
        <v>8861.1490935511683</v>
      </c>
      <c r="ES89" s="73">
        <v>-818.57063808817418</v>
      </c>
      <c r="ET89" s="73">
        <v>8901</v>
      </c>
      <c r="EU89" s="73">
        <v>172</v>
      </c>
      <c r="EV89" s="73">
        <v>9041</v>
      </c>
      <c r="EW89" s="73">
        <v>10</v>
      </c>
      <c r="EX89" s="73">
        <v>9771</v>
      </c>
      <c r="EY89" s="73">
        <v>-385</v>
      </c>
      <c r="EZ89" s="73">
        <v>9955</v>
      </c>
      <c r="FA89" s="73">
        <v>-140</v>
      </c>
      <c r="FB89" s="73">
        <v>10045</v>
      </c>
      <c r="FC89" s="73">
        <v>81</v>
      </c>
      <c r="FD89" s="73">
        <v>10637</v>
      </c>
      <c r="FE89" s="73">
        <v>245</v>
      </c>
      <c r="FF89" s="73">
        <v>11521</v>
      </c>
      <c r="FG89" s="73">
        <v>94</v>
      </c>
      <c r="FH89" s="73">
        <v>1293</v>
      </c>
      <c r="FI89" s="73">
        <v>1388</v>
      </c>
      <c r="FJ89" s="79">
        <v>2257</v>
      </c>
      <c r="FK89" s="80">
        <v>5690</v>
      </c>
      <c r="FL89" s="80">
        <v>4911</v>
      </c>
      <c r="FM89" s="80">
        <v>2200</v>
      </c>
      <c r="FN89" s="76">
        <v>35</v>
      </c>
      <c r="FO89" s="80">
        <v>4820</v>
      </c>
      <c r="FP89" s="80">
        <v>548</v>
      </c>
      <c r="FQ89" s="80">
        <v>322</v>
      </c>
      <c r="FR89" s="80">
        <v>1114</v>
      </c>
      <c r="FS89" s="81">
        <v>-572</v>
      </c>
      <c r="FT89" s="76">
        <v>476</v>
      </c>
      <c r="FU89" s="76">
        <v>1892</v>
      </c>
      <c r="FV89" s="76">
        <v>572</v>
      </c>
      <c r="FW89" s="80">
        <v>11670</v>
      </c>
      <c r="FX89" s="80">
        <v>438</v>
      </c>
      <c r="FY89" s="73">
        <v>2226</v>
      </c>
      <c r="FZ89" s="73">
        <v>5574</v>
      </c>
      <c r="GA89" s="73">
        <v>5249</v>
      </c>
      <c r="GB89" s="73">
        <v>2295</v>
      </c>
      <c r="GC89" s="73">
        <v>38</v>
      </c>
      <c r="GD89" s="73">
        <v>4509</v>
      </c>
      <c r="GE89" s="73">
        <v>649</v>
      </c>
      <c r="GF89" s="73">
        <v>416</v>
      </c>
      <c r="GG89" s="73">
        <v>1144</v>
      </c>
      <c r="GH89" s="73">
        <v>-609</v>
      </c>
      <c r="GI89" s="73">
        <v>449</v>
      </c>
      <c r="GJ89" s="73">
        <v>1669</v>
      </c>
      <c r="GK89" s="73">
        <v>609</v>
      </c>
      <c r="GL89" s="73">
        <v>11983</v>
      </c>
      <c r="GM89" s="73">
        <v>695</v>
      </c>
      <c r="GN89" s="73">
        <v>2521</v>
      </c>
      <c r="GO89" s="77">
        <v>19.75</v>
      </c>
      <c r="GP89" s="78">
        <v>2179</v>
      </c>
      <c r="GQ89" s="73">
        <v>5594</v>
      </c>
      <c r="GR89" s="65">
        <v>5452</v>
      </c>
      <c r="GS89" s="65">
        <v>2194</v>
      </c>
      <c r="GT89" s="65">
        <v>58</v>
      </c>
      <c r="GU89" s="65">
        <v>4518</v>
      </c>
      <c r="GV89" s="65">
        <v>665</v>
      </c>
      <c r="GW89" s="65">
        <v>411</v>
      </c>
      <c r="GX89" s="65">
        <v>399</v>
      </c>
      <c r="GY89" s="65">
        <v>-1412</v>
      </c>
      <c r="GZ89" s="65">
        <v>407</v>
      </c>
      <c r="HA89" s="65">
        <v>1444</v>
      </c>
      <c r="HB89" s="65">
        <v>1412</v>
      </c>
      <c r="HC89" s="65">
        <v>12890</v>
      </c>
      <c r="HD89" s="65">
        <v>-8</v>
      </c>
      <c r="HE89" s="78">
        <v>2147</v>
      </c>
      <c r="HF89" s="73">
        <v>5581</v>
      </c>
      <c r="HG89" s="65">
        <v>5873</v>
      </c>
      <c r="HH89" s="65">
        <v>2385</v>
      </c>
      <c r="HI89" s="65">
        <v>45</v>
      </c>
      <c r="HJ89" s="65">
        <v>4752</v>
      </c>
      <c r="HK89" s="65">
        <v>415</v>
      </c>
      <c r="HL89" s="65">
        <v>414</v>
      </c>
      <c r="HM89" s="65">
        <v>387</v>
      </c>
      <c r="HN89" s="65">
        <v>-1759</v>
      </c>
      <c r="HO89" s="65">
        <v>554</v>
      </c>
      <c r="HP89" s="65">
        <v>2540</v>
      </c>
      <c r="HQ89" s="65">
        <v>1759</v>
      </c>
      <c r="HR89" s="65">
        <v>13467</v>
      </c>
      <c r="HS89" s="65">
        <v>-79</v>
      </c>
      <c r="HT89" s="65">
        <v>2435</v>
      </c>
      <c r="HU89" s="77">
        <v>20.5</v>
      </c>
      <c r="HV89" s="180">
        <v>340</v>
      </c>
      <c r="HW89" s="30" t="s">
        <v>761</v>
      </c>
    </row>
    <row r="90" spans="1:231" ht="15" x14ac:dyDescent="0.25">
      <c r="A90" s="27">
        <v>256</v>
      </c>
      <c r="B90" s="27" t="s">
        <v>218</v>
      </c>
      <c r="C90" s="27">
        <v>13</v>
      </c>
      <c r="D90" s="27" t="s">
        <v>111</v>
      </c>
      <c r="E90" s="27">
        <v>1</v>
      </c>
      <c r="F90" s="27" t="s">
        <v>103</v>
      </c>
      <c r="G90" s="29" t="s">
        <v>130</v>
      </c>
      <c r="H90" s="27" t="s">
        <v>98</v>
      </c>
      <c r="I90" s="31" t="s">
        <v>111</v>
      </c>
      <c r="J90" s="69">
        <v>2228</v>
      </c>
      <c r="K90" s="69">
        <v>2165</v>
      </c>
      <c r="L90" s="36">
        <v>2117</v>
      </c>
      <c r="M90" s="36">
        <v>2072</v>
      </c>
      <c r="N90" s="36">
        <v>2015</v>
      </c>
      <c r="O90" s="36">
        <v>1977</v>
      </c>
      <c r="P90" s="36">
        <v>1940</v>
      </c>
      <c r="Q90" s="36">
        <v>1933</v>
      </c>
      <c r="R90" s="69">
        <v>1901</v>
      </c>
      <c r="S90" s="69">
        <v>1864</v>
      </c>
      <c r="T90" s="71">
        <v>1852</v>
      </c>
      <c r="U90" s="36">
        <v>3120</v>
      </c>
      <c r="V90" s="36">
        <v>4215</v>
      </c>
      <c r="W90" s="36">
        <v>1697</v>
      </c>
      <c r="X90" s="36">
        <v>93.176111259677114</v>
      </c>
      <c r="Y90" s="36">
        <v>3127</v>
      </c>
      <c r="Z90" s="36">
        <v>4039</v>
      </c>
      <c r="AA90" s="36">
        <v>2111</v>
      </c>
      <c r="AB90" s="36">
        <v>187.69772593104631</v>
      </c>
      <c r="AC90" s="36">
        <v>2959</v>
      </c>
      <c r="AD90" s="36">
        <v>4123</v>
      </c>
      <c r="AE90" s="36">
        <v>2214</v>
      </c>
      <c r="AF90" s="36">
        <v>415.76055421285525</v>
      </c>
      <c r="AG90" s="36">
        <v>3068</v>
      </c>
      <c r="AH90" s="36">
        <v>4583</v>
      </c>
      <c r="AI90" s="36">
        <v>2196</v>
      </c>
      <c r="AJ90" s="36">
        <v>239.3314193547302</v>
      </c>
      <c r="AK90" s="36">
        <v>2980</v>
      </c>
      <c r="AL90" s="36">
        <v>4939</v>
      </c>
      <c r="AM90" s="36">
        <v>2494</v>
      </c>
      <c r="AN90" s="36">
        <v>257</v>
      </c>
      <c r="AO90" s="36">
        <v>2958</v>
      </c>
      <c r="AP90" s="36">
        <v>5393</v>
      </c>
      <c r="AQ90" s="36">
        <v>2760</v>
      </c>
      <c r="AR90" s="36">
        <v>811</v>
      </c>
      <c r="AS90" s="36">
        <v>3017</v>
      </c>
      <c r="AT90" s="36">
        <v>5146</v>
      </c>
      <c r="AU90" s="36">
        <v>2548</v>
      </c>
      <c r="AV90" s="36">
        <v>507</v>
      </c>
      <c r="AW90" s="36">
        <v>3147</v>
      </c>
      <c r="AX90" s="69">
        <v>5208</v>
      </c>
      <c r="AY90" s="36">
        <v>2767</v>
      </c>
      <c r="AZ90" s="36">
        <v>465</v>
      </c>
      <c r="BA90" s="36">
        <v>3286</v>
      </c>
      <c r="BB90" s="36">
        <v>5388</v>
      </c>
      <c r="BC90" s="36">
        <v>1989</v>
      </c>
      <c r="BD90" s="36">
        <v>220</v>
      </c>
      <c r="BE90" s="70">
        <v>3572</v>
      </c>
      <c r="BF90" s="70">
        <v>5628</v>
      </c>
      <c r="BG90" s="70">
        <v>2283</v>
      </c>
      <c r="BH90" s="70">
        <v>216</v>
      </c>
      <c r="BI90" s="36">
        <v>4129</v>
      </c>
      <c r="BJ90" s="36">
        <v>6383</v>
      </c>
      <c r="BK90" s="36">
        <v>2345</v>
      </c>
      <c r="BL90" s="36">
        <v>0</v>
      </c>
      <c r="BM90" s="36">
        <v>2414.8422481343755</v>
      </c>
      <c r="BN90" s="36">
        <v>624.8181468045135</v>
      </c>
      <c r="BO90" s="36">
        <v>80.562016775063782</v>
      </c>
      <c r="BP90" s="36">
        <v>2524.1644003343577</v>
      </c>
      <c r="BQ90" s="36">
        <v>522.72807544237617</v>
      </c>
      <c r="BR90" s="36">
        <v>80.225640922140755</v>
      </c>
      <c r="BS90" s="36">
        <v>2241.7768718054804</v>
      </c>
      <c r="BT90" s="36">
        <v>615.23143499620733</v>
      </c>
      <c r="BU90" s="36">
        <v>102.09007136213719</v>
      </c>
      <c r="BV90" s="36">
        <v>2643</v>
      </c>
      <c r="BW90" s="36">
        <v>317</v>
      </c>
      <c r="BX90" s="36">
        <v>109</v>
      </c>
      <c r="BY90" s="36">
        <v>2622</v>
      </c>
      <c r="BZ90" s="36">
        <v>246</v>
      </c>
      <c r="CA90" s="36">
        <v>112</v>
      </c>
      <c r="CB90" s="36">
        <v>2729</v>
      </c>
      <c r="CC90" s="36">
        <v>117</v>
      </c>
      <c r="CD90" s="36">
        <v>112</v>
      </c>
      <c r="CE90" s="36">
        <v>2728</v>
      </c>
      <c r="CF90" s="36">
        <v>174</v>
      </c>
      <c r="CG90" s="36">
        <v>115</v>
      </c>
      <c r="CH90" s="36">
        <v>2802</v>
      </c>
      <c r="CI90" s="36">
        <v>224</v>
      </c>
      <c r="CJ90" s="70">
        <v>121</v>
      </c>
      <c r="CK90" s="70">
        <v>2906</v>
      </c>
      <c r="CL90" s="70">
        <v>259</v>
      </c>
      <c r="CM90" s="36">
        <v>121</v>
      </c>
      <c r="CN90" s="36">
        <v>3018</v>
      </c>
      <c r="CO90" s="36">
        <v>413</v>
      </c>
      <c r="CP90" s="36">
        <v>141</v>
      </c>
      <c r="CQ90" s="36">
        <v>3465</v>
      </c>
      <c r="CR90" s="36">
        <v>519</v>
      </c>
      <c r="CS90" s="36">
        <v>145</v>
      </c>
      <c r="CT90" s="36">
        <v>464.53505288669345</v>
      </c>
      <c r="CU90" s="36">
        <v>-851.53547170000002</v>
      </c>
      <c r="CV90" s="36">
        <v>368.49974687717065</v>
      </c>
      <c r="CW90" s="36">
        <v>2391</v>
      </c>
      <c r="CX90" s="36">
        <v>614.72687121682281</v>
      </c>
      <c r="CY90" s="36">
        <v>-257.32752749999997</v>
      </c>
      <c r="CZ90" s="36">
        <v>411.72404397777899</v>
      </c>
      <c r="DA90" s="36">
        <v>2030</v>
      </c>
      <c r="DB90" s="36">
        <v>416.76968177162433</v>
      </c>
      <c r="DC90" s="36">
        <v>-599.08539410000003</v>
      </c>
      <c r="DD90" s="36">
        <v>407.85572166916427</v>
      </c>
      <c r="DE90" s="36">
        <v>2635</v>
      </c>
      <c r="DF90" s="36">
        <v>-179.45651753443227</v>
      </c>
      <c r="DG90" s="36">
        <v>-990</v>
      </c>
      <c r="DH90" s="36">
        <v>440.48417940269741</v>
      </c>
      <c r="DI90" s="36">
        <v>3568</v>
      </c>
      <c r="DJ90" s="36">
        <v>161</v>
      </c>
      <c r="DK90" s="36">
        <v>123</v>
      </c>
      <c r="DL90" s="36">
        <v>444</v>
      </c>
      <c r="DM90" s="36">
        <v>3814</v>
      </c>
      <c r="DN90" s="36">
        <v>1147</v>
      </c>
      <c r="DO90" s="69">
        <v>-2143</v>
      </c>
      <c r="DP90" s="36">
        <v>519</v>
      </c>
      <c r="DQ90" s="36">
        <v>4572</v>
      </c>
      <c r="DR90" s="36">
        <v>196</v>
      </c>
      <c r="DS90" s="36">
        <v>-66</v>
      </c>
      <c r="DT90" s="36">
        <v>498</v>
      </c>
      <c r="DU90" s="36">
        <v>5607</v>
      </c>
      <c r="DV90" s="36">
        <v>653</v>
      </c>
      <c r="DW90" s="71">
        <v>-767</v>
      </c>
      <c r="DX90" s="39">
        <v>499</v>
      </c>
      <c r="DY90" s="71">
        <v>4785</v>
      </c>
      <c r="DZ90" s="70">
        <v>494</v>
      </c>
      <c r="EA90" s="35">
        <v>-301</v>
      </c>
      <c r="EB90" s="35">
        <v>468</v>
      </c>
      <c r="EC90" s="38">
        <v>3047</v>
      </c>
      <c r="ED90" s="38">
        <v>475</v>
      </c>
      <c r="EE90" s="38">
        <v>-685</v>
      </c>
      <c r="EF90" s="38">
        <v>488</v>
      </c>
      <c r="EG90" s="73">
        <v>2329</v>
      </c>
      <c r="EH90" s="73">
        <v>1055</v>
      </c>
      <c r="EI90" s="73">
        <v>-1833</v>
      </c>
      <c r="EJ90" s="73">
        <v>635</v>
      </c>
      <c r="EK90" s="73">
        <v>4004</v>
      </c>
      <c r="EL90" s="73">
        <v>8203.0297373072772</v>
      </c>
      <c r="EM90" s="73">
        <v>96.035306009522799</v>
      </c>
      <c r="EN90" s="73">
        <v>8413.7692091635508</v>
      </c>
      <c r="EO90" s="73">
        <v>209.05759259165822</v>
      </c>
      <c r="EP90" s="73">
        <v>8823.3068100973305</v>
      </c>
      <c r="EQ90" s="73">
        <v>4209.0710476257746</v>
      </c>
      <c r="ER90" s="73">
        <v>9620.3493935984297</v>
      </c>
      <c r="ES90" s="73">
        <v>-611.53130061405409</v>
      </c>
      <c r="ET90" s="73">
        <v>10005</v>
      </c>
      <c r="EU90" s="73">
        <v>-353</v>
      </c>
      <c r="EV90" s="73">
        <v>10071</v>
      </c>
      <c r="EW90" s="73">
        <v>963</v>
      </c>
      <c r="EX90" s="73">
        <v>10586</v>
      </c>
      <c r="EY90" s="73">
        <v>-159</v>
      </c>
      <c r="EZ90" s="73">
        <v>10791</v>
      </c>
      <c r="FA90" s="73">
        <v>53</v>
      </c>
      <c r="FB90" s="73">
        <v>10389</v>
      </c>
      <c r="FC90" s="73">
        <v>39</v>
      </c>
      <c r="FD90" s="73">
        <v>10948</v>
      </c>
      <c r="FF90" s="73">
        <v>11396</v>
      </c>
      <c r="FG90" s="73">
        <v>433</v>
      </c>
      <c r="FH90" s="73">
        <v>3252</v>
      </c>
      <c r="FI90" s="73">
        <v>3685</v>
      </c>
      <c r="FJ90" s="79">
        <v>1820</v>
      </c>
      <c r="FK90" s="80">
        <v>3913</v>
      </c>
      <c r="FL90" s="80">
        <v>6493</v>
      </c>
      <c r="FM90" s="80">
        <v>2632</v>
      </c>
      <c r="FN90" s="76">
        <v>125</v>
      </c>
      <c r="FO90" s="80">
        <v>3288</v>
      </c>
      <c r="FP90" s="80">
        <v>436</v>
      </c>
      <c r="FQ90" s="80">
        <v>189</v>
      </c>
      <c r="FR90" s="80">
        <v>629</v>
      </c>
      <c r="FS90" s="81">
        <v>-2070</v>
      </c>
      <c r="FT90" s="76">
        <v>619</v>
      </c>
      <c r="FU90" s="76">
        <v>4269</v>
      </c>
      <c r="FV90" s="76">
        <v>2070</v>
      </c>
      <c r="FW90" s="80">
        <v>12529</v>
      </c>
      <c r="FX90" s="80">
        <v>23</v>
      </c>
      <c r="FY90" s="73">
        <v>1821</v>
      </c>
      <c r="FZ90" s="73">
        <v>4180</v>
      </c>
      <c r="GA90" s="73">
        <v>6712</v>
      </c>
      <c r="GB90" s="73">
        <v>3221</v>
      </c>
      <c r="GC90" s="73">
        <v>58</v>
      </c>
      <c r="GD90" s="73">
        <v>3368</v>
      </c>
      <c r="GE90" s="73">
        <v>546</v>
      </c>
      <c r="GF90" s="73">
        <v>266</v>
      </c>
      <c r="GG90" s="73">
        <v>739</v>
      </c>
      <c r="GH90" s="73">
        <v>-1624</v>
      </c>
      <c r="GI90" s="73">
        <v>736</v>
      </c>
      <c r="GJ90" s="73">
        <v>5225</v>
      </c>
      <c r="GK90" s="73">
        <v>1624</v>
      </c>
      <c r="GL90" s="73">
        <v>13432</v>
      </c>
      <c r="GM90" s="73">
        <v>16</v>
      </c>
      <c r="GN90" s="73">
        <v>3723</v>
      </c>
      <c r="GO90" s="77">
        <v>19.5</v>
      </c>
      <c r="GP90" s="78">
        <v>1816</v>
      </c>
      <c r="GQ90" s="73">
        <v>4061</v>
      </c>
      <c r="GR90" s="65">
        <v>6875</v>
      </c>
      <c r="GS90" s="65">
        <v>3376</v>
      </c>
      <c r="GT90" s="65">
        <v>108</v>
      </c>
      <c r="GU90" s="65">
        <v>3259</v>
      </c>
      <c r="GV90" s="65">
        <v>530</v>
      </c>
      <c r="GW90" s="65">
        <v>272</v>
      </c>
      <c r="GX90" s="65">
        <v>648</v>
      </c>
      <c r="GY90" s="65">
        <v>-1704</v>
      </c>
      <c r="GZ90" s="65">
        <v>657</v>
      </c>
      <c r="HA90" s="65">
        <v>5820</v>
      </c>
      <c r="HB90" s="65">
        <v>1704</v>
      </c>
      <c r="HC90" s="65">
        <v>13772</v>
      </c>
      <c r="HD90" s="65">
        <v>4</v>
      </c>
      <c r="HE90" s="78">
        <v>1764</v>
      </c>
      <c r="HF90" s="73">
        <v>4079</v>
      </c>
      <c r="HG90" s="65">
        <v>7079</v>
      </c>
      <c r="HH90" s="65">
        <v>2894</v>
      </c>
      <c r="HI90" s="65">
        <v>103</v>
      </c>
      <c r="HJ90" s="65">
        <v>3472</v>
      </c>
      <c r="HK90" s="65">
        <v>327</v>
      </c>
      <c r="HL90" s="65">
        <v>280</v>
      </c>
      <c r="HM90" s="65">
        <v>83</v>
      </c>
      <c r="HN90" s="65">
        <v>-1057</v>
      </c>
      <c r="HO90" s="65">
        <v>644</v>
      </c>
      <c r="HP90" s="65">
        <v>6230</v>
      </c>
      <c r="HQ90" s="65">
        <v>1057</v>
      </c>
      <c r="HR90" s="65">
        <v>14072</v>
      </c>
      <c r="HS90" s="65">
        <v>-548</v>
      </c>
      <c r="HT90" s="65">
        <v>3178</v>
      </c>
      <c r="HU90" s="77">
        <v>20</v>
      </c>
      <c r="HV90" s="180">
        <v>340</v>
      </c>
      <c r="HW90" s="30" t="s">
        <v>761</v>
      </c>
    </row>
    <row r="91" spans="1:231" ht="15" x14ac:dyDescent="0.25">
      <c r="A91" s="27">
        <v>257</v>
      </c>
      <c r="B91" s="27" t="s">
        <v>219</v>
      </c>
      <c r="C91" s="27">
        <v>1</v>
      </c>
      <c r="D91" s="27" t="s">
        <v>121</v>
      </c>
      <c r="E91" s="27">
        <v>5</v>
      </c>
      <c r="F91" s="27" t="s">
        <v>101</v>
      </c>
      <c r="G91" s="29">
        <v>1</v>
      </c>
      <c r="H91" s="27" t="s">
        <v>97</v>
      </c>
      <c r="I91" s="31" t="s">
        <v>121</v>
      </c>
      <c r="J91" s="69">
        <v>28850</v>
      </c>
      <c r="K91" s="69">
        <v>29275</v>
      </c>
      <c r="L91" s="36">
        <v>29694</v>
      </c>
      <c r="M91" s="36">
        <v>30274</v>
      </c>
      <c r="N91" s="36">
        <v>30937</v>
      </c>
      <c r="O91" s="36">
        <v>31695</v>
      </c>
      <c r="P91" s="36">
        <v>32772</v>
      </c>
      <c r="Q91" s="36">
        <v>33581</v>
      </c>
      <c r="R91" s="69">
        <v>34389</v>
      </c>
      <c r="S91" s="69">
        <v>35141</v>
      </c>
      <c r="T91" s="71">
        <v>35981</v>
      </c>
      <c r="U91" s="36">
        <v>74912</v>
      </c>
      <c r="V91" s="36">
        <v>5478</v>
      </c>
      <c r="W91" s="36">
        <v>11537</v>
      </c>
      <c r="X91" s="36">
        <v>911.57856142138974</v>
      </c>
      <c r="Y91" s="36">
        <v>76772</v>
      </c>
      <c r="Z91" s="36">
        <v>4943</v>
      </c>
      <c r="AA91" s="36">
        <v>12723</v>
      </c>
      <c r="AB91" s="36">
        <v>1444.3979124514567</v>
      </c>
      <c r="AC91" s="36">
        <v>83817</v>
      </c>
      <c r="AD91" s="36">
        <v>5007</v>
      </c>
      <c r="AE91" s="36">
        <v>13312</v>
      </c>
      <c r="AF91" s="36">
        <v>1179.1655524216537</v>
      </c>
      <c r="AG91" s="36">
        <v>87758</v>
      </c>
      <c r="AH91" s="36">
        <v>4331</v>
      </c>
      <c r="AI91" s="36">
        <v>13677</v>
      </c>
      <c r="AJ91" s="36">
        <v>712.94862027034526</v>
      </c>
      <c r="AK91" s="36">
        <v>99004</v>
      </c>
      <c r="AL91" s="36">
        <v>6257</v>
      </c>
      <c r="AM91" s="36">
        <v>16759</v>
      </c>
      <c r="AN91" s="36">
        <v>785</v>
      </c>
      <c r="AO91" s="36">
        <v>91872</v>
      </c>
      <c r="AP91" s="36">
        <v>8062</v>
      </c>
      <c r="AQ91" s="36">
        <v>18601</v>
      </c>
      <c r="AR91" s="36">
        <v>929</v>
      </c>
      <c r="AS91" s="36">
        <v>95550</v>
      </c>
      <c r="AT91" s="36">
        <v>10883</v>
      </c>
      <c r="AU91" s="36">
        <v>19584</v>
      </c>
      <c r="AV91" s="36">
        <v>687</v>
      </c>
      <c r="AW91" s="36">
        <v>105239</v>
      </c>
      <c r="AX91" s="69">
        <v>13940</v>
      </c>
      <c r="AY91" s="36">
        <v>20668</v>
      </c>
      <c r="AZ91" s="36">
        <v>512</v>
      </c>
      <c r="BA91" s="36">
        <v>115453</v>
      </c>
      <c r="BB91" s="36">
        <v>17713</v>
      </c>
      <c r="BC91" s="36">
        <v>22495</v>
      </c>
      <c r="BD91" s="36">
        <v>375</v>
      </c>
      <c r="BE91" s="70">
        <v>131590</v>
      </c>
      <c r="BF91" s="70">
        <v>19033</v>
      </c>
      <c r="BG91" s="70">
        <v>24382</v>
      </c>
      <c r="BH91" s="70">
        <v>904</v>
      </c>
      <c r="BI91" s="36">
        <v>139186</v>
      </c>
      <c r="BJ91" s="36">
        <v>19648</v>
      </c>
      <c r="BK91" s="36">
        <v>25083</v>
      </c>
      <c r="BL91" s="36">
        <v>500</v>
      </c>
      <c r="BM91" s="36">
        <v>60528.480102527355</v>
      </c>
      <c r="BN91" s="36">
        <v>11919.310160400824</v>
      </c>
      <c r="BO91" s="36">
        <v>2464.4576864405212</v>
      </c>
      <c r="BP91" s="36">
        <v>62492.410519818419</v>
      </c>
      <c r="BQ91" s="36">
        <v>11546.94209121504</v>
      </c>
      <c r="BR91" s="36">
        <v>2732.3810532937082</v>
      </c>
      <c r="BS91" s="36">
        <v>67140.788431361667</v>
      </c>
      <c r="BT91" s="36">
        <v>13466.470895920265</v>
      </c>
      <c r="BU91" s="36">
        <v>3209.3620127385534</v>
      </c>
      <c r="BV91" s="36">
        <v>79725</v>
      </c>
      <c r="BW91" s="36">
        <v>4581</v>
      </c>
      <c r="BX91" s="36">
        <v>3452</v>
      </c>
      <c r="BY91" s="36">
        <v>89277</v>
      </c>
      <c r="BZ91" s="36">
        <v>6104</v>
      </c>
      <c r="CA91" s="36">
        <v>3623</v>
      </c>
      <c r="CB91" s="36">
        <v>85193</v>
      </c>
      <c r="CC91" s="36">
        <v>2897</v>
      </c>
      <c r="CD91" s="36">
        <v>3782</v>
      </c>
      <c r="CE91" s="36">
        <v>88019</v>
      </c>
      <c r="CF91" s="36">
        <v>3670</v>
      </c>
      <c r="CG91" s="36">
        <v>3861</v>
      </c>
      <c r="CH91" s="36">
        <v>96848</v>
      </c>
      <c r="CI91" s="36">
        <v>4363</v>
      </c>
      <c r="CJ91" s="70">
        <v>4028</v>
      </c>
      <c r="CK91" s="70">
        <v>105700</v>
      </c>
      <c r="CL91" s="70">
        <v>4842</v>
      </c>
      <c r="CM91" s="36">
        <v>4911</v>
      </c>
      <c r="CN91" s="36">
        <v>115733</v>
      </c>
      <c r="CO91" s="36">
        <v>10477</v>
      </c>
      <c r="CP91" s="36">
        <v>5380</v>
      </c>
      <c r="CQ91" s="36">
        <v>126106</v>
      </c>
      <c r="CR91" s="36">
        <v>7403</v>
      </c>
      <c r="CS91" s="36">
        <v>5677</v>
      </c>
      <c r="CT91" s="36">
        <v>6251.0406627949806</v>
      </c>
      <c r="CU91" s="36">
        <v>-2302.4927130000001</v>
      </c>
      <c r="CV91" s="36">
        <v>4032.810100694111</v>
      </c>
      <c r="CW91" s="36">
        <v>7132</v>
      </c>
      <c r="CX91" s="36">
        <v>6369.6131509503457</v>
      </c>
      <c r="CY91" s="36">
        <v>-3973.9443259999998</v>
      </c>
      <c r="CZ91" s="36">
        <v>4326.6344082223713</v>
      </c>
      <c r="DA91" s="36">
        <v>6538</v>
      </c>
      <c r="DB91" s="36">
        <v>7707.2117300987429</v>
      </c>
      <c r="DC91" s="36">
        <v>-12141.82279</v>
      </c>
      <c r="DD91" s="36">
        <v>4245.2314518149997</v>
      </c>
      <c r="DE91" s="36">
        <v>8457</v>
      </c>
      <c r="DF91" s="36">
        <v>1996.8952508775205</v>
      </c>
      <c r="DG91" s="36">
        <v>-8703</v>
      </c>
      <c r="DH91" s="36">
        <v>4023.8961405916516</v>
      </c>
      <c r="DI91" s="36">
        <v>12655</v>
      </c>
      <c r="DJ91" s="36">
        <v>12905</v>
      </c>
      <c r="DK91" s="36">
        <v>-6021</v>
      </c>
      <c r="DL91" s="36">
        <v>4779</v>
      </c>
      <c r="DM91" s="36">
        <v>17171</v>
      </c>
      <c r="DN91" s="36">
        <v>596</v>
      </c>
      <c r="DO91" s="69">
        <v>-13287</v>
      </c>
      <c r="DP91" s="36">
        <v>6345</v>
      </c>
      <c r="DQ91" s="36">
        <v>23452</v>
      </c>
      <c r="DR91" s="36">
        <v>-1050</v>
      </c>
      <c r="DS91" s="36">
        <v>-8834</v>
      </c>
      <c r="DT91" s="36">
        <v>6701</v>
      </c>
      <c r="DU91" s="36">
        <v>31292</v>
      </c>
      <c r="DV91" s="36">
        <v>6876</v>
      </c>
      <c r="DW91" s="71">
        <v>-8219</v>
      </c>
      <c r="DX91" s="39">
        <v>7482</v>
      </c>
      <c r="DY91" s="71">
        <v>38826</v>
      </c>
      <c r="DZ91" s="70">
        <v>11600</v>
      </c>
      <c r="EA91" s="35">
        <v>-10462</v>
      </c>
      <c r="EB91" s="35">
        <v>7711</v>
      </c>
      <c r="EC91" s="38">
        <v>43531</v>
      </c>
      <c r="ED91" s="38">
        <v>17557</v>
      </c>
      <c r="EE91" s="38">
        <v>-12155</v>
      </c>
      <c r="EF91" s="38">
        <v>8047</v>
      </c>
      <c r="EG91" s="73">
        <v>39046</v>
      </c>
      <c r="EH91" s="73">
        <v>7825</v>
      </c>
      <c r="EI91" s="73">
        <v>-23922</v>
      </c>
      <c r="EJ91" s="73">
        <v>8911</v>
      </c>
      <c r="EK91" s="73">
        <v>50572</v>
      </c>
      <c r="EL91" s="73">
        <v>80935.393971808342</v>
      </c>
      <c r="EM91" s="73">
        <v>3416.4013502126736</v>
      </c>
      <c r="EN91" s="73">
        <v>84233.222833865642</v>
      </c>
      <c r="EO91" s="73">
        <v>3130.4818752281049</v>
      </c>
      <c r="EP91" s="73">
        <v>89939.67099077825</v>
      </c>
      <c r="EQ91" s="73">
        <v>3944.8478151547411</v>
      </c>
      <c r="ER91" s="73">
        <v>98795.942634462044</v>
      </c>
      <c r="ES91" s="73">
        <v>-2023.1325674055161</v>
      </c>
      <c r="ET91" s="73">
        <v>109197</v>
      </c>
      <c r="EU91" s="73">
        <v>11838</v>
      </c>
      <c r="EV91" s="73">
        <v>117863</v>
      </c>
      <c r="EW91" s="73">
        <v>-5376</v>
      </c>
      <c r="EX91" s="73">
        <v>126662</v>
      </c>
      <c r="EY91" s="73">
        <v>-5954</v>
      </c>
      <c r="EZ91" s="73">
        <v>132148</v>
      </c>
      <c r="FA91" s="73">
        <v>-279</v>
      </c>
      <c r="FB91" s="73">
        <v>143157</v>
      </c>
      <c r="FC91" s="73">
        <v>4068</v>
      </c>
      <c r="FD91" s="73">
        <v>156473</v>
      </c>
      <c r="FE91" s="73">
        <v>6741</v>
      </c>
      <c r="FF91" s="73">
        <v>174782</v>
      </c>
      <c r="FG91" s="73">
        <v>1497</v>
      </c>
      <c r="FH91" s="73">
        <v>24310</v>
      </c>
      <c r="FI91" s="73">
        <v>25807</v>
      </c>
      <c r="FJ91" s="79">
        <v>36509</v>
      </c>
      <c r="FK91" s="80">
        <v>140813</v>
      </c>
      <c r="FL91" s="80">
        <v>20011</v>
      </c>
      <c r="FM91" s="80">
        <v>28500</v>
      </c>
      <c r="FN91" s="76">
        <v>474</v>
      </c>
      <c r="FO91" s="80">
        <v>129522</v>
      </c>
      <c r="FP91" s="80">
        <v>5344</v>
      </c>
      <c r="FQ91" s="80">
        <v>5947</v>
      </c>
      <c r="FR91" s="80">
        <v>4537</v>
      </c>
      <c r="FS91" s="81">
        <v>-32959</v>
      </c>
      <c r="FT91" s="76">
        <v>11371</v>
      </c>
      <c r="FU91" s="76">
        <v>75784</v>
      </c>
      <c r="FV91" s="76">
        <v>32959</v>
      </c>
      <c r="FW91" s="80">
        <v>183295</v>
      </c>
      <c r="FX91" s="80">
        <v>-6256</v>
      </c>
      <c r="FY91" s="73">
        <v>36942</v>
      </c>
      <c r="FZ91" s="73">
        <v>154602</v>
      </c>
      <c r="GA91" s="73">
        <v>23248</v>
      </c>
      <c r="GB91" s="73">
        <v>34156</v>
      </c>
      <c r="GC91" s="73">
        <v>482</v>
      </c>
      <c r="GD91" s="73">
        <v>139479</v>
      </c>
      <c r="GE91" s="73">
        <v>8248</v>
      </c>
      <c r="GF91" s="73">
        <v>6875</v>
      </c>
      <c r="GG91" s="73">
        <v>21946</v>
      </c>
      <c r="GH91" s="73">
        <v>-13129</v>
      </c>
      <c r="GI91" s="73">
        <v>13029</v>
      </c>
      <c r="GJ91" s="73">
        <v>92100</v>
      </c>
      <c r="GK91" s="73">
        <v>13129</v>
      </c>
      <c r="GL91" s="73">
        <v>188396</v>
      </c>
      <c r="GM91" s="73">
        <v>8884</v>
      </c>
      <c r="GN91" s="73">
        <v>28435</v>
      </c>
      <c r="GO91" s="77">
        <v>19</v>
      </c>
      <c r="GP91" s="78">
        <v>37192</v>
      </c>
      <c r="GQ91" s="73">
        <v>159223</v>
      </c>
      <c r="GR91" s="65">
        <v>25009</v>
      </c>
      <c r="GS91" s="65">
        <v>35001</v>
      </c>
      <c r="GT91" s="65">
        <v>1707</v>
      </c>
      <c r="GU91" s="65">
        <v>142052</v>
      </c>
      <c r="GV91" s="65">
        <v>10314</v>
      </c>
      <c r="GW91" s="65">
        <v>6857</v>
      </c>
      <c r="GX91" s="65">
        <v>23066</v>
      </c>
      <c r="GY91" s="65">
        <v>-12817</v>
      </c>
      <c r="GZ91" s="65">
        <v>12671</v>
      </c>
      <c r="HA91" s="65">
        <v>84849</v>
      </c>
      <c r="HB91" s="65">
        <v>12817</v>
      </c>
      <c r="HC91" s="65">
        <v>195433</v>
      </c>
      <c r="HD91" s="65">
        <v>10391</v>
      </c>
      <c r="HE91" s="78">
        <v>37567</v>
      </c>
      <c r="HF91" s="73">
        <v>159413</v>
      </c>
      <c r="HG91" s="65">
        <v>23702</v>
      </c>
      <c r="HH91" s="65">
        <v>34469</v>
      </c>
      <c r="HI91" s="65">
        <v>500</v>
      </c>
      <c r="HJ91" s="65">
        <v>145945</v>
      </c>
      <c r="HK91" s="65">
        <v>6255</v>
      </c>
      <c r="HL91" s="65">
        <v>7213</v>
      </c>
      <c r="HM91" s="65">
        <v>4758</v>
      </c>
      <c r="HN91" s="65">
        <v>-9669</v>
      </c>
      <c r="HO91" s="65">
        <v>13111</v>
      </c>
      <c r="HP91" s="65">
        <v>88126</v>
      </c>
      <c r="HQ91" s="65">
        <v>9669</v>
      </c>
      <c r="HR91" s="65">
        <v>211089</v>
      </c>
      <c r="HS91" s="65">
        <v>-8336</v>
      </c>
      <c r="HT91" s="65">
        <v>30489</v>
      </c>
      <c r="HU91" s="77">
        <v>19</v>
      </c>
      <c r="HV91" s="180">
        <v>120</v>
      </c>
      <c r="HW91" s="30" t="s">
        <v>751</v>
      </c>
    </row>
    <row r="92" spans="1:231" ht="15" x14ac:dyDescent="0.25">
      <c r="A92" s="27">
        <v>260</v>
      </c>
      <c r="B92" s="27" t="s">
        <v>220</v>
      </c>
      <c r="C92" s="27">
        <v>12</v>
      </c>
      <c r="D92" s="27" t="s">
        <v>116</v>
      </c>
      <c r="E92" s="27">
        <v>4</v>
      </c>
      <c r="F92" s="27" t="s">
        <v>100</v>
      </c>
      <c r="G92" s="29" t="s">
        <v>130</v>
      </c>
      <c r="H92" s="27" t="s">
        <v>98</v>
      </c>
      <c r="I92" s="31" t="s">
        <v>116</v>
      </c>
      <c r="J92" s="82">
        <v>13628</v>
      </c>
      <c r="K92" s="82">
        <v>13474</v>
      </c>
      <c r="L92" s="82">
        <v>13283</v>
      </c>
      <c r="M92" s="82">
        <v>13127</v>
      </c>
      <c r="N92" s="82">
        <v>12957</v>
      </c>
      <c r="O92" s="82">
        <v>12774</v>
      </c>
      <c r="P92" s="82">
        <v>12589</v>
      </c>
      <c r="Q92" s="82">
        <v>12458</v>
      </c>
      <c r="R92" s="82">
        <v>12316</v>
      </c>
      <c r="S92" s="82">
        <v>12207</v>
      </c>
      <c r="T92" s="82">
        <v>12010</v>
      </c>
      <c r="U92" s="82">
        <v>24602</v>
      </c>
      <c r="V92" s="82">
        <v>12872</v>
      </c>
      <c r="W92" s="82">
        <v>9563</v>
      </c>
      <c r="X92" s="82">
        <v>408.86484922793329</v>
      </c>
      <c r="Y92" s="82">
        <v>25717</v>
      </c>
      <c r="Z92" s="82">
        <v>13816</v>
      </c>
      <c r="AA92" s="82">
        <v>7780</v>
      </c>
      <c r="AB92" s="82">
        <v>553.00190220544823</v>
      </c>
      <c r="AC92" s="82">
        <v>25882</v>
      </c>
      <c r="AD92" s="82">
        <v>13830</v>
      </c>
      <c r="AE92" s="82">
        <v>7706</v>
      </c>
      <c r="AF92" s="82">
        <v>385.48672744978325</v>
      </c>
      <c r="AG92" s="82">
        <v>29414</v>
      </c>
      <c r="AH92" s="82">
        <v>15181</v>
      </c>
      <c r="AI92" s="82">
        <v>8588</v>
      </c>
      <c r="AJ92" s="82">
        <v>337.04860462886808</v>
      </c>
      <c r="AK92" s="82">
        <v>27106</v>
      </c>
      <c r="AL92" s="82">
        <v>14935</v>
      </c>
      <c r="AM92" s="82">
        <v>9110</v>
      </c>
      <c r="AN92" s="82">
        <v>464</v>
      </c>
      <c r="AO92" s="82">
        <v>26884</v>
      </c>
      <c r="AP92" s="82">
        <v>19179</v>
      </c>
      <c r="AQ92" s="82">
        <v>9801</v>
      </c>
      <c r="AR92" s="82">
        <v>428</v>
      </c>
      <c r="AS92" s="82">
        <v>27413</v>
      </c>
      <c r="AT92" s="82">
        <v>17875</v>
      </c>
      <c r="AU92" s="82">
        <v>10823</v>
      </c>
      <c r="AV92" s="82">
        <v>465</v>
      </c>
      <c r="AW92" s="82">
        <v>27803</v>
      </c>
      <c r="AX92" s="82">
        <v>18586</v>
      </c>
      <c r="AY92" s="82">
        <v>11294</v>
      </c>
      <c r="AZ92" s="82">
        <v>439</v>
      </c>
      <c r="BA92" s="82">
        <v>28271</v>
      </c>
      <c r="BB92" s="82">
        <v>20804</v>
      </c>
      <c r="BC92" s="82">
        <v>12135</v>
      </c>
      <c r="BD92" s="82">
        <v>393</v>
      </c>
      <c r="BE92" s="82">
        <v>29276</v>
      </c>
      <c r="BF92" s="82">
        <v>21437</v>
      </c>
      <c r="BG92" s="82">
        <v>11830</v>
      </c>
      <c r="BH92" s="82">
        <v>447</v>
      </c>
      <c r="BI92" s="82">
        <v>31110</v>
      </c>
      <c r="BJ92" s="82">
        <v>23398</v>
      </c>
      <c r="BK92" s="82">
        <v>12461</v>
      </c>
      <c r="BL92" s="82">
        <v>365</v>
      </c>
      <c r="BM92" s="82">
        <v>19013.47689854736</v>
      </c>
      <c r="BN92" s="82">
        <v>4881.9909413982805</v>
      </c>
      <c r="BO92" s="82">
        <v>706.72566699126935</v>
      </c>
      <c r="BP92" s="82">
        <v>19866.357873633682</v>
      </c>
      <c r="BQ92" s="82">
        <v>5118.4631660031655</v>
      </c>
      <c r="BR92" s="82">
        <v>731.78566803403442</v>
      </c>
      <c r="BS92" s="82">
        <v>18222.320892472413</v>
      </c>
      <c r="BT92" s="82">
        <v>6734.7491392982865</v>
      </c>
      <c r="BU92" s="82">
        <v>925.20178346477212</v>
      </c>
      <c r="BV92" s="82">
        <v>21989</v>
      </c>
      <c r="BW92" s="82">
        <v>6184</v>
      </c>
      <c r="BX92" s="82">
        <v>1240</v>
      </c>
      <c r="BY92" s="82">
        <v>22859</v>
      </c>
      <c r="BZ92" s="82">
        <v>2984</v>
      </c>
      <c r="CA92" s="82">
        <v>1263</v>
      </c>
      <c r="CB92" s="82">
        <v>23235</v>
      </c>
      <c r="CC92" s="82">
        <v>2367</v>
      </c>
      <c r="CD92" s="82">
        <v>1282</v>
      </c>
      <c r="CE92" s="82">
        <v>23868</v>
      </c>
      <c r="CF92" s="82">
        <v>2258</v>
      </c>
      <c r="CG92" s="82">
        <v>1287</v>
      </c>
      <c r="CH92" s="82">
        <v>23882</v>
      </c>
      <c r="CI92" s="82">
        <v>2544</v>
      </c>
      <c r="CJ92" s="82">
        <v>1377</v>
      </c>
      <c r="CK92" s="82">
        <v>24157</v>
      </c>
      <c r="CL92" s="82">
        <v>2713</v>
      </c>
      <c r="CM92" s="82">
        <v>1401</v>
      </c>
      <c r="CN92" s="82">
        <v>24916</v>
      </c>
      <c r="CO92" s="82">
        <v>2935</v>
      </c>
      <c r="CP92" s="82">
        <v>1425</v>
      </c>
      <c r="CQ92" s="82">
        <v>26845</v>
      </c>
      <c r="CR92" s="82">
        <v>2758</v>
      </c>
      <c r="CS92" s="82">
        <v>1507</v>
      </c>
      <c r="CT92" s="82">
        <v>-1289.6650201068665</v>
      </c>
      <c r="CU92" s="82">
        <v>-1906.9147103999999</v>
      </c>
      <c r="CV92" s="82">
        <v>1536.5648961523648</v>
      </c>
      <c r="CW92" s="82">
        <v>5914</v>
      </c>
      <c r="CX92" s="82">
        <v>1927.7700131018394</v>
      </c>
      <c r="CY92" s="82">
        <v>-2283.992041</v>
      </c>
      <c r="CZ92" s="82">
        <v>1604.0082546634308</v>
      </c>
      <c r="DA92" s="82">
        <v>6415</v>
      </c>
      <c r="DB92" s="82">
        <v>-376.74095527378466</v>
      </c>
      <c r="DC92" s="82">
        <v>-1402.5191192</v>
      </c>
      <c r="DD92" s="82">
        <v>1658.1647669840372</v>
      </c>
      <c r="DE92" s="82">
        <v>7211</v>
      </c>
      <c r="DF92" s="82">
        <v>3114.3358342878</v>
      </c>
      <c r="DG92" s="82">
        <v>-2930</v>
      </c>
      <c r="DH92" s="82">
        <v>1679.8610094975718</v>
      </c>
      <c r="DI92" s="82">
        <v>6000</v>
      </c>
      <c r="DJ92" s="82">
        <v>927</v>
      </c>
      <c r="DK92" s="82">
        <v>-2906</v>
      </c>
      <c r="DL92" s="82">
        <v>1685</v>
      </c>
      <c r="DM92" s="82">
        <v>6734</v>
      </c>
      <c r="DN92" s="82">
        <v>2373</v>
      </c>
      <c r="DO92" s="82">
        <v>-804</v>
      </c>
      <c r="DP92" s="82">
        <v>1904</v>
      </c>
      <c r="DQ92" s="82">
        <v>7161</v>
      </c>
      <c r="DR92" s="82">
        <v>977</v>
      </c>
      <c r="DS92" s="82">
        <v>-3941</v>
      </c>
      <c r="DT92" s="82">
        <v>1938</v>
      </c>
      <c r="DU92" s="82">
        <v>8824</v>
      </c>
      <c r="DV92" s="82">
        <v>-1250</v>
      </c>
      <c r="DW92" s="82">
        <v>-1520</v>
      </c>
      <c r="DX92" s="82">
        <v>2014</v>
      </c>
      <c r="DY92" s="82">
        <v>10296</v>
      </c>
      <c r="DZ92" s="82">
        <v>1557</v>
      </c>
      <c r="EA92" s="82">
        <v>-1894</v>
      </c>
      <c r="EB92" s="82">
        <v>2000</v>
      </c>
      <c r="EC92" s="82">
        <v>10537</v>
      </c>
      <c r="ED92" s="82">
        <v>931</v>
      </c>
      <c r="EE92" s="82">
        <v>-2714</v>
      </c>
      <c r="EF92" s="82">
        <v>2038</v>
      </c>
      <c r="EG92" s="82">
        <v>13090</v>
      </c>
      <c r="EH92" s="82">
        <v>-1434</v>
      </c>
      <c r="EI92" s="82">
        <v>-5083</v>
      </c>
      <c r="EJ92" s="82">
        <v>2576</v>
      </c>
      <c r="EK92" s="82">
        <v>16886</v>
      </c>
      <c r="EL92" s="82">
        <v>46395.480454040124</v>
      </c>
      <c r="EM92" s="82">
        <v>-2155.1600896778023</v>
      </c>
      <c r="EN92" s="82">
        <v>43553.945436472895</v>
      </c>
      <c r="EO92" s="82">
        <v>509.1048533989939</v>
      </c>
      <c r="EP92" s="82">
        <v>45620.470488905477</v>
      </c>
      <c r="EQ92" s="82">
        <v>-1940.384107586453</v>
      </c>
      <c r="ER92" s="82">
        <v>47732.06990562976</v>
      </c>
      <c r="ES92" s="82">
        <v>1559.7748300040532</v>
      </c>
      <c r="ET92" s="82">
        <v>50362</v>
      </c>
      <c r="EU92" s="82">
        <v>-810</v>
      </c>
      <c r="EV92" s="82">
        <v>53678</v>
      </c>
      <c r="EW92" s="82">
        <v>585</v>
      </c>
      <c r="EX92" s="82">
        <v>55333</v>
      </c>
      <c r="EY92" s="82">
        <v>-865</v>
      </c>
      <c r="EZ92" s="82">
        <v>59018</v>
      </c>
      <c r="FA92" s="82">
        <v>-3129</v>
      </c>
      <c r="FB92" s="82">
        <v>59715</v>
      </c>
      <c r="FC92" s="82">
        <v>-327</v>
      </c>
      <c r="FD92" s="82">
        <v>61545</v>
      </c>
      <c r="FE92" s="82">
        <v>-992</v>
      </c>
      <c r="FF92" s="82">
        <v>68138</v>
      </c>
      <c r="FG92" s="82">
        <v>-3810</v>
      </c>
      <c r="FH92" s="82">
        <v>-5424</v>
      </c>
      <c r="FI92" s="82">
        <v>-8987</v>
      </c>
      <c r="FJ92" s="82">
        <v>11861</v>
      </c>
      <c r="FK92" s="82">
        <v>32032</v>
      </c>
      <c r="FL92" s="82">
        <v>26227</v>
      </c>
      <c r="FM92" s="82">
        <v>59034</v>
      </c>
      <c r="FN92" s="82">
        <v>271</v>
      </c>
      <c r="FO92" s="82">
        <v>27951</v>
      </c>
      <c r="FP92" s="82">
        <v>2147</v>
      </c>
      <c r="FQ92" s="82">
        <v>1934</v>
      </c>
      <c r="FR92" s="82">
        <v>1847</v>
      </c>
      <c r="FS92" s="82">
        <v>-6722</v>
      </c>
      <c r="FT92" s="82">
        <v>2403</v>
      </c>
      <c r="FU92" s="82">
        <v>24337</v>
      </c>
      <c r="FV92" s="82">
        <v>6722</v>
      </c>
      <c r="FW92" s="82">
        <v>115104</v>
      </c>
      <c r="FX92" s="82">
        <v>-441</v>
      </c>
      <c r="FY92" s="82">
        <v>11666</v>
      </c>
      <c r="FZ92" s="82">
        <v>31860</v>
      </c>
      <c r="GA92" s="82">
        <v>27692</v>
      </c>
      <c r="GB92" s="82">
        <v>60167</v>
      </c>
      <c r="GC92" s="82">
        <v>471</v>
      </c>
      <c r="GD92" s="82">
        <v>27105</v>
      </c>
      <c r="GE92" s="82">
        <v>2718</v>
      </c>
      <c r="GF92" s="82">
        <v>2037</v>
      </c>
      <c r="GG92" s="82">
        <v>1950</v>
      </c>
      <c r="GH92" s="82">
        <v>-1994</v>
      </c>
      <c r="GI92" s="82">
        <v>2377</v>
      </c>
      <c r="GJ92" s="82">
        <v>25438</v>
      </c>
      <c r="GK92" s="82">
        <v>1994</v>
      </c>
      <c r="GL92" s="82">
        <v>117637</v>
      </c>
      <c r="GM92" s="82">
        <v>-205</v>
      </c>
      <c r="GN92" s="82">
        <v>-10353</v>
      </c>
      <c r="GO92" s="83">
        <v>20.75</v>
      </c>
      <c r="GP92" s="82">
        <v>11515</v>
      </c>
      <c r="GQ92" s="82">
        <v>32856</v>
      </c>
      <c r="GR92" s="82">
        <v>29298</v>
      </c>
      <c r="GS92" s="82">
        <v>54177</v>
      </c>
      <c r="GT92" s="82">
        <v>499</v>
      </c>
      <c r="GU92" s="82">
        <v>27746</v>
      </c>
      <c r="GV92" s="82">
        <v>2944</v>
      </c>
      <c r="GW92" s="82">
        <v>2166</v>
      </c>
      <c r="GX92" s="82">
        <v>686</v>
      </c>
      <c r="GY92" s="82">
        <v>-1223</v>
      </c>
      <c r="GZ92" s="82">
        <v>2294</v>
      </c>
      <c r="HA92" s="82">
        <v>27901</v>
      </c>
      <c r="HB92" s="82">
        <v>1223</v>
      </c>
      <c r="HC92" s="82">
        <v>115507</v>
      </c>
      <c r="HD92" s="82">
        <v>-1503</v>
      </c>
      <c r="HE92" s="82">
        <v>11341</v>
      </c>
      <c r="HF92" s="82">
        <v>33776</v>
      </c>
      <c r="HG92" s="82">
        <v>33735</v>
      </c>
      <c r="HH92" s="82">
        <v>31960</v>
      </c>
      <c r="HI92" s="82">
        <v>488</v>
      </c>
      <c r="HJ92" s="82">
        <v>29521</v>
      </c>
      <c r="HK92" s="82">
        <v>1783</v>
      </c>
      <c r="HL92" s="82">
        <v>2472</v>
      </c>
      <c r="HM92" s="82">
        <v>3386</v>
      </c>
      <c r="HN92" s="82">
        <v>-3029</v>
      </c>
      <c r="HO92" s="82">
        <v>2133</v>
      </c>
      <c r="HP92" s="82">
        <v>24472</v>
      </c>
      <c r="HQ92" s="82">
        <v>3029</v>
      </c>
      <c r="HR92" s="82">
        <v>96133</v>
      </c>
      <c r="HS92" s="82">
        <v>1253</v>
      </c>
      <c r="HT92" s="82">
        <v>-10770</v>
      </c>
      <c r="HU92" s="83">
        <v>21.75</v>
      </c>
      <c r="HV92" s="180">
        <v>340</v>
      </c>
      <c r="HW92" s="30" t="s">
        <v>761</v>
      </c>
    </row>
    <row r="93" spans="1:231" ht="15" x14ac:dyDescent="0.25">
      <c r="A93" s="27">
        <v>261</v>
      </c>
      <c r="B93" s="27" t="s">
        <v>221</v>
      </c>
      <c r="C93" s="27">
        <v>19</v>
      </c>
      <c r="D93" s="27" t="s">
        <v>113</v>
      </c>
      <c r="E93" s="27">
        <v>3</v>
      </c>
      <c r="F93" s="27" t="s">
        <v>743</v>
      </c>
      <c r="G93" s="29" t="s">
        <v>130</v>
      </c>
      <c r="H93" s="27" t="s">
        <v>98</v>
      </c>
      <c r="I93" s="31" t="s">
        <v>113</v>
      </c>
      <c r="J93" s="69">
        <v>5994</v>
      </c>
      <c r="K93" s="69">
        <v>5901</v>
      </c>
      <c r="L93" s="36">
        <v>5819</v>
      </c>
      <c r="M93" s="36">
        <v>5820</v>
      </c>
      <c r="N93" s="36">
        <v>5797</v>
      </c>
      <c r="O93" s="36">
        <v>5821</v>
      </c>
      <c r="P93" s="36">
        <v>5833</v>
      </c>
      <c r="Q93" s="36">
        <v>5840</v>
      </c>
      <c r="R93" s="69">
        <v>5887</v>
      </c>
      <c r="S93" s="69">
        <v>5967</v>
      </c>
      <c r="T93" s="71">
        <v>6039</v>
      </c>
      <c r="U93" s="36">
        <v>11852</v>
      </c>
      <c r="V93" s="36">
        <v>8772</v>
      </c>
      <c r="W93" s="36">
        <v>4097</v>
      </c>
      <c r="X93" s="36">
        <v>170.8789332848952</v>
      </c>
      <c r="Y93" s="36">
        <v>11614</v>
      </c>
      <c r="Z93" s="36">
        <v>8660</v>
      </c>
      <c r="AA93" s="36">
        <v>3874</v>
      </c>
      <c r="AB93" s="36">
        <v>166.84242304981893</v>
      </c>
      <c r="AC93" s="36">
        <v>11302</v>
      </c>
      <c r="AD93" s="36">
        <v>9271</v>
      </c>
      <c r="AE93" s="36">
        <v>3548</v>
      </c>
      <c r="AF93" s="36">
        <v>194.76161884242978</v>
      </c>
      <c r="AG93" s="36">
        <v>11891</v>
      </c>
      <c r="AH93" s="36">
        <v>9852</v>
      </c>
      <c r="AI93" s="36">
        <v>3811</v>
      </c>
      <c r="AJ93" s="36">
        <v>237.98591594303809</v>
      </c>
      <c r="AK93" s="36">
        <v>12520</v>
      </c>
      <c r="AL93" s="36">
        <v>12136</v>
      </c>
      <c r="AM93" s="36">
        <v>4243</v>
      </c>
      <c r="AN93" s="36">
        <v>187</v>
      </c>
      <c r="AO93" s="36">
        <v>12273</v>
      </c>
      <c r="AP93" s="36">
        <v>11709</v>
      </c>
      <c r="AQ93" s="36">
        <v>3845</v>
      </c>
      <c r="AR93" s="36">
        <v>3300</v>
      </c>
      <c r="AS93" s="36">
        <v>12782</v>
      </c>
      <c r="AT93" s="36">
        <v>11794</v>
      </c>
      <c r="AU93" s="36">
        <v>5674</v>
      </c>
      <c r="AV93" s="36">
        <v>1093</v>
      </c>
      <c r="AW93" s="36">
        <v>13289</v>
      </c>
      <c r="AX93" s="69">
        <v>11749</v>
      </c>
      <c r="AY93" s="36">
        <v>4742</v>
      </c>
      <c r="AZ93" s="36">
        <v>454</v>
      </c>
      <c r="BA93" s="36">
        <v>14295</v>
      </c>
      <c r="BB93" s="36">
        <v>12505</v>
      </c>
      <c r="BC93" s="36">
        <v>5862</v>
      </c>
      <c r="BD93" s="36">
        <v>472</v>
      </c>
      <c r="BE93" s="70">
        <v>15859</v>
      </c>
      <c r="BF93" s="70">
        <v>12384</v>
      </c>
      <c r="BG93" s="70">
        <v>7359</v>
      </c>
      <c r="BH93" s="70">
        <v>856</v>
      </c>
      <c r="BI93" s="36">
        <v>18305</v>
      </c>
      <c r="BJ93" s="36">
        <v>13937</v>
      </c>
      <c r="BK93" s="36">
        <v>6301</v>
      </c>
      <c r="BL93" s="36">
        <v>400</v>
      </c>
      <c r="BM93" s="36">
        <v>8942.2156741056187</v>
      </c>
      <c r="BN93" s="36">
        <v>2192.3296214257962</v>
      </c>
      <c r="BO93" s="36">
        <v>717.32150635834455</v>
      </c>
      <c r="BP93" s="36">
        <v>8982.41258852992</v>
      </c>
      <c r="BQ93" s="36">
        <v>1777.9145706246331</v>
      </c>
      <c r="BR93" s="36">
        <v>853.89010264509147</v>
      </c>
      <c r="BS93" s="36">
        <v>8427.0560553540108</v>
      </c>
      <c r="BT93" s="36">
        <v>1918.0151133670718</v>
      </c>
      <c r="BU93" s="36">
        <v>957.32567741892092</v>
      </c>
      <c r="BV93" s="36">
        <v>9522</v>
      </c>
      <c r="BW93" s="36">
        <v>1240</v>
      </c>
      <c r="BX93" s="36">
        <v>1129</v>
      </c>
      <c r="BY93" s="36">
        <v>10308</v>
      </c>
      <c r="BZ93" s="36">
        <v>937</v>
      </c>
      <c r="CA93" s="36">
        <v>1275</v>
      </c>
      <c r="CB93" s="36">
        <v>10374</v>
      </c>
      <c r="CC93" s="36">
        <v>521</v>
      </c>
      <c r="CD93" s="36">
        <v>1378</v>
      </c>
      <c r="CE93" s="36">
        <v>10593</v>
      </c>
      <c r="CF93" s="36">
        <v>676</v>
      </c>
      <c r="CG93" s="36">
        <v>1513</v>
      </c>
      <c r="CH93" s="36">
        <v>10722</v>
      </c>
      <c r="CI93" s="36">
        <v>833</v>
      </c>
      <c r="CJ93" s="70">
        <v>1734</v>
      </c>
      <c r="CK93" s="70">
        <v>11235</v>
      </c>
      <c r="CL93" s="70">
        <v>980</v>
      </c>
      <c r="CM93" s="36">
        <v>2080</v>
      </c>
      <c r="CN93" s="36">
        <v>11974</v>
      </c>
      <c r="CO93" s="36">
        <v>1324</v>
      </c>
      <c r="CP93" s="36">
        <v>2561</v>
      </c>
      <c r="CQ93" s="36">
        <v>13929</v>
      </c>
      <c r="CR93" s="36">
        <v>1449</v>
      </c>
      <c r="CS93" s="36">
        <v>2927</v>
      </c>
      <c r="CT93" s="36">
        <v>-371.69531747993938</v>
      </c>
      <c r="CU93" s="36">
        <v>-37.842283449999996</v>
      </c>
      <c r="CV93" s="36">
        <v>994.66339709337626</v>
      </c>
      <c r="CW93" s="36">
        <v>6307</v>
      </c>
      <c r="CX93" s="36">
        <v>-85.439466642447599</v>
      </c>
      <c r="CY93" s="36">
        <v>76.020942759999997</v>
      </c>
      <c r="CZ93" s="36">
        <v>974.14447006507191</v>
      </c>
      <c r="DA93" s="36">
        <v>6179</v>
      </c>
      <c r="DB93" s="36">
        <v>-670.22888694912149</v>
      </c>
      <c r="DC93" s="36">
        <v>-2787.7148809999999</v>
      </c>
      <c r="DD93" s="36">
        <v>1115.5905162192028</v>
      </c>
      <c r="DE93" s="36">
        <v>6238</v>
      </c>
      <c r="DF93" s="36">
        <v>-873.23171418816526</v>
      </c>
      <c r="DG93" s="36">
        <v>-2802</v>
      </c>
      <c r="DH93" s="36">
        <v>1400.5008636450023</v>
      </c>
      <c r="DI93" s="36">
        <v>8794</v>
      </c>
      <c r="DJ93" s="36">
        <v>2131</v>
      </c>
      <c r="DK93" s="36">
        <v>243</v>
      </c>
      <c r="DL93" s="36">
        <v>1292</v>
      </c>
      <c r="DM93" s="36">
        <v>10298</v>
      </c>
      <c r="DN93" s="36">
        <v>659</v>
      </c>
      <c r="DO93" s="69">
        <v>-609</v>
      </c>
      <c r="DP93" s="36">
        <v>1204</v>
      </c>
      <c r="DQ93" s="36">
        <v>12099</v>
      </c>
      <c r="DR93" s="36">
        <v>2605</v>
      </c>
      <c r="DS93" s="36">
        <v>-1628</v>
      </c>
      <c r="DT93" s="36">
        <v>1600</v>
      </c>
      <c r="DU93" s="36">
        <v>13939</v>
      </c>
      <c r="DV93" s="36">
        <v>-326</v>
      </c>
      <c r="DW93" s="71">
        <v>-3630</v>
      </c>
      <c r="DX93" s="39">
        <v>1762</v>
      </c>
      <c r="DY93" s="71">
        <v>10916</v>
      </c>
      <c r="DZ93" s="70">
        <v>157</v>
      </c>
      <c r="EA93" s="35">
        <v>-4979</v>
      </c>
      <c r="EB93" s="35">
        <v>1349</v>
      </c>
      <c r="EC93" s="38">
        <v>12725</v>
      </c>
      <c r="ED93" s="38">
        <v>2178</v>
      </c>
      <c r="EE93" s="38">
        <v>-2415</v>
      </c>
      <c r="EF93" s="38">
        <v>1389</v>
      </c>
      <c r="EG93" s="73">
        <v>15158</v>
      </c>
      <c r="EH93" s="73">
        <v>3770</v>
      </c>
      <c r="EI93" s="73">
        <v>-3874</v>
      </c>
      <c r="EJ93" s="73">
        <v>1844</v>
      </c>
      <c r="EK93" s="73">
        <v>13876</v>
      </c>
      <c r="EL93" s="73">
        <v>24059.451068245613</v>
      </c>
      <c r="EM93" s="73">
        <v>-569.14794314575329</v>
      </c>
      <c r="EN93" s="73">
        <v>23239.198550892826</v>
      </c>
      <c r="EO93" s="73">
        <v>-479.67196626822948</v>
      </c>
      <c r="EP93" s="73">
        <v>23738.884880409973</v>
      </c>
      <c r="EQ93" s="73">
        <v>-339.57142352579075</v>
      </c>
      <c r="ER93" s="73">
        <v>25298.323334561101</v>
      </c>
      <c r="ES93" s="73">
        <v>275.32363561749355</v>
      </c>
      <c r="ET93" s="73">
        <v>26624</v>
      </c>
      <c r="EU93" s="73">
        <v>283</v>
      </c>
      <c r="EV93" s="73">
        <v>27271</v>
      </c>
      <c r="EW93" s="73">
        <v>123</v>
      </c>
      <c r="EX93" s="73">
        <v>28367</v>
      </c>
      <c r="EY93" s="73">
        <v>96</v>
      </c>
      <c r="EZ93" s="73">
        <v>30129</v>
      </c>
      <c r="FA93" s="73">
        <v>-1844</v>
      </c>
      <c r="FB93" s="73">
        <v>32645</v>
      </c>
      <c r="FC93" s="73">
        <v>-978</v>
      </c>
      <c r="FD93" s="73">
        <v>33635</v>
      </c>
      <c r="FE93" s="73">
        <v>463</v>
      </c>
      <c r="FF93" s="73">
        <v>34701</v>
      </c>
      <c r="FG93" s="73">
        <v>1316</v>
      </c>
      <c r="FH93" s="73">
        <v>1538</v>
      </c>
      <c r="FI93" s="73">
        <v>2854</v>
      </c>
      <c r="FJ93" s="79">
        <v>6115</v>
      </c>
      <c r="FK93" s="80">
        <v>18871</v>
      </c>
      <c r="FL93" s="80">
        <v>14496</v>
      </c>
      <c r="FM93" s="80">
        <v>6314</v>
      </c>
      <c r="FN93" s="76">
        <v>443</v>
      </c>
      <c r="FO93" s="80">
        <v>14114</v>
      </c>
      <c r="FP93" s="80">
        <v>1136</v>
      </c>
      <c r="FQ93" s="80">
        <v>3621</v>
      </c>
      <c r="FR93" s="80">
        <v>2315</v>
      </c>
      <c r="FS93" s="81">
        <v>-6287</v>
      </c>
      <c r="FT93" s="76">
        <v>1729</v>
      </c>
      <c r="FU93" s="76">
        <v>17908</v>
      </c>
      <c r="FV93" s="76">
        <v>6287</v>
      </c>
      <c r="FW93" s="80">
        <v>37314</v>
      </c>
      <c r="FX93" s="80">
        <v>663</v>
      </c>
      <c r="FY93" s="73">
        <v>6183</v>
      </c>
      <c r="FZ93" s="73">
        <v>20481</v>
      </c>
      <c r="GA93" s="73">
        <v>16777</v>
      </c>
      <c r="GB93" s="73">
        <v>7576</v>
      </c>
      <c r="GC93" s="73">
        <v>1265</v>
      </c>
      <c r="GD93" s="73">
        <v>15028</v>
      </c>
      <c r="GE93" s="73">
        <v>1630</v>
      </c>
      <c r="GF93" s="73">
        <v>3823</v>
      </c>
      <c r="GG93" s="73">
        <v>4967</v>
      </c>
      <c r="GH93" s="73">
        <v>-8360</v>
      </c>
      <c r="GI93" s="73">
        <v>2290</v>
      </c>
      <c r="GJ93" s="73">
        <v>19882</v>
      </c>
      <c r="GK93" s="73">
        <v>8360</v>
      </c>
      <c r="GL93" s="73">
        <v>40664</v>
      </c>
      <c r="GM93" s="73">
        <v>994</v>
      </c>
      <c r="GN93" s="73">
        <v>5458</v>
      </c>
      <c r="GO93" s="77">
        <v>19</v>
      </c>
      <c r="GP93" s="78">
        <v>6279</v>
      </c>
      <c r="GQ93" s="73">
        <v>21169</v>
      </c>
      <c r="GR93" s="65">
        <v>16667</v>
      </c>
      <c r="GS93" s="65">
        <v>6776</v>
      </c>
      <c r="GT93" s="65">
        <v>1565</v>
      </c>
      <c r="GU93" s="65">
        <v>15173</v>
      </c>
      <c r="GV93" s="65">
        <v>1987</v>
      </c>
      <c r="GW93" s="65">
        <v>4009</v>
      </c>
      <c r="GX93" s="65">
        <v>2092</v>
      </c>
      <c r="GY93" s="65">
        <v>-3664</v>
      </c>
      <c r="GZ93" s="65">
        <v>2239</v>
      </c>
      <c r="HA93" s="65">
        <v>22680</v>
      </c>
      <c r="HB93" s="65">
        <v>3664</v>
      </c>
      <c r="HC93" s="65">
        <v>43195</v>
      </c>
      <c r="HD93" s="65">
        <v>-16</v>
      </c>
      <c r="HE93" s="78">
        <v>6388</v>
      </c>
      <c r="HF93" s="73">
        <v>21796</v>
      </c>
      <c r="HG93" s="65">
        <v>19372</v>
      </c>
      <c r="HH93" s="65">
        <v>6041</v>
      </c>
      <c r="HI93" s="65">
        <v>1466</v>
      </c>
      <c r="HJ93" s="65">
        <v>16044</v>
      </c>
      <c r="HK93" s="65">
        <v>1232</v>
      </c>
      <c r="HL93" s="65">
        <v>4520</v>
      </c>
      <c r="HM93" s="65">
        <v>2167</v>
      </c>
      <c r="HN93" s="65">
        <v>-3163</v>
      </c>
      <c r="HO93" s="65">
        <v>2438</v>
      </c>
      <c r="HP93" s="65">
        <v>23636</v>
      </c>
      <c r="HQ93" s="65">
        <v>3163</v>
      </c>
      <c r="HR93" s="65">
        <v>45791</v>
      </c>
      <c r="HS93" s="65">
        <v>-58</v>
      </c>
      <c r="HT93" s="65">
        <v>5384</v>
      </c>
      <c r="HU93" s="77">
        <v>19</v>
      </c>
      <c r="HV93" s="180">
        <v>320</v>
      </c>
      <c r="HW93" s="30" t="s">
        <v>759</v>
      </c>
    </row>
    <row r="94" spans="1:231" ht="15" x14ac:dyDescent="0.25">
      <c r="A94" s="27">
        <v>263</v>
      </c>
      <c r="B94" s="27" t="s">
        <v>222</v>
      </c>
      <c r="C94" s="27">
        <v>11</v>
      </c>
      <c r="D94" s="27" t="s">
        <v>118</v>
      </c>
      <c r="E94" s="27">
        <v>3</v>
      </c>
      <c r="F94" s="27" t="s">
        <v>743</v>
      </c>
      <c r="G94" s="29" t="s">
        <v>130</v>
      </c>
      <c r="H94" s="27" t="s">
        <v>98</v>
      </c>
      <c r="I94" s="31" t="s">
        <v>118</v>
      </c>
      <c r="J94" s="69">
        <v>10595</v>
      </c>
      <c r="K94" s="69">
        <v>10503</v>
      </c>
      <c r="L94" s="36">
        <v>10358</v>
      </c>
      <c r="M94" s="36">
        <v>10187</v>
      </c>
      <c r="N94" s="36">
        <v>10074</v>
      </c>
      <c r="O94" s="36">
        <v>9988</v>
      </c>
      <c r="P94" s="36">
        <v>9864</v>
      </c>
      <c r="Q94" s="36">
        <v>9745</v>
      </c>
      <c r="R94" s="69">
        <v>9639</v>
      </c>
      <c r="S94" s="69">
        <v>9515</v>
      </c>
      <c r="T94" s="71">
        <v>9400</v>
      </c>
      <c r="U94" s="36">
        <v>17162</v>
      </c>
      <c r="V94" s="36">
        <v>14281</v>
      </c>
      <c r="W94" s="36">
        <v>7847</v>
      </c>
      <c r="X94" s="36">
        <v>453.77102559315676</v>
      </c>
      <c r="Y94" s="36">
        <v>17111</v>
      </c>
      <c r="Z94" s="36">
        <v>14460</v>
      </c>
      <c r="AA94" s="36">
        <v>8016</v>
      </c>
      <c r="AB94" s="36">
        <v>636.75948958328092</v>
      </c>
      <c r="AC94" s="36">
        <v>16525</v>
      </c>
      <c r="AD94" s="36">
        <v>15172</v>
      </c>
      <c r="AE94" s="36">
        <v>8348</v>
      </c>
      <c r="AF94" s="36">
        <v>454.44377729900282</v>
      </c>
      <c r="AG94" s="36">
        <v>17269</v>
      </c>
      <c r="AH94" s="36">
        <v>17155</v>
      </c>
      <c r="AI94" s="36">
        <v>8785</v>
      </c>
      <c r="AJ94" s="36">
        <v>752.64097091526185</v>
      </c>
      <c r="AK94" s="36">
        <v>17706</v>
      </c>
      <c r="AL94" s="36">
        <v>18768</v>
      </c>
      <c r="AM94" s="36">
        <v>9613</v>
      </c>
      <c r="AN94" s="36">
        <v>596</v>
      </c>
      <c r="AO94" s="36">
        <v>16757</v>
      </c>
      <c r="AP94" s="36">
        <v>20289</v>
      </c>
      <c r="AQ94" s="36">
        <v>10230</v>
      </c>
      <c r="AR94" s="36">
        <v>701</v>
      </c>
      <c r="AS94" s="36">
        <v>17698</v>
      </c>
      <c r="AT94" s="36">
        <v>20901</v>
      </c>
      <c r="AU94" s="36">
        <v>10863</v>
      </c>
      <c r="AV94" s="36">
        <v>715</v>
      </c>
      <c r="AW94" s="36">
        <v>17289</v>
      </c>
      <c r="AX94" s="69">
        <v>21290</v>
      </c>
      <c r="AY94" s="36">
        <v>11553</v>
      </c>
      <c r="AZ94" s="36">
        <v>858</v>
      </c>
      <c r="BA94" s="36">
        <v>18375</v>
      </c>
      <c r="BB94" s="36">
        <v>22557</v>
      </c>
      <c r="BC94" s="36">
        <v>12427</v>
      </c>
      <c r="BD94" s="36">
        <v>665</v>
      </c>
      <c r="BE94" s="70">
        <v>20038</v>
      </c>
      <c r="BF94" s="70">
        <v>23016</v>
      </c>
      <c r="BG94" s="70">
        <v>11977</v>
      </c>
      <c r="BH94" s="70">
        <v>929</v>
      </c>
      <c r="BI94" s="36">
        <v>21397</v>
      </c>
      <c r="BJ94" s="36">
        <v>25255</v>
      </c>
      <c r="BK94" s="36">
        <v>11966</v>
      </c>
      <c r="BL94" s="36">
        <v>0</v>
      </c>
      <c r="BM94" s="36">
        <v>12889.418120230821</v>
      </c>
      <c r="BN94" s="36">
        <v>3651.8644472587889</v>
      </c>
      <c r="BO94" s="36">
        <v>603.96284392328607</v>
      </c>
      <c r="BP94" s="36">
        <v>13251.358537975992</v>
      </c>
      <c r="BQ94" s="36">
        <v>3023.5143539985838</v>
      </c>
      <c r="BR94" s="36">
        <v>820.75708113217377</v>
      </c>
      <c r="BS94" s="36">
        <v>12529.327769676725</v>
      </c>
      <c r="BT94" s="36">
        <v>3138.0503319188729</v>
      </c>
      <c r="BU94" s="36">
        <v>841.94875986632428</v>
      </c>
      <c r="BV94" s="36">
        <v>14460</v>
      </c>
      <c r="BW94" s="36">
        <v>1912</v>
      </c>
      <c r="BX94" s="36">
        <v>882</v>
      </c>
      <c r="BY94" s="36">
        <v>15577</v>
      </c>
      <c r="BZ94" s="36">
        <v>1210</v>
      </c>
      <c r="CA94" s="36">
        <v>904</v>
      </c>
      <c r="CB94" s="36">
        <v>15158</v>
      </c>
      <c r="CC94" s="36">
        <v>678</v>
      </c>
      <c r="CD94" s="36">
        <v>904</v>
      </c>
      <c r="CE94" s="36">
        <v>15734</v>
      </c>
      <c r="CF94" s="36">
        <v>1032</v>
      </c>
      <c r="CG94" s="36">
        <v>916</v>
      </c>
      <c r="CH94" s="36">
        <v>14945</v>
      </c>
      <c r="CI94" s="36">
        <v>1390</v>
      </c>
      <c r="CJ94" s="70">
        <v>954</v>
      </c>
      <c r="CK94" s="70">
        <v>15984</v>
      </c>
      <c r="CL94" s="70">
        <v>1432</v>
      </c>
      <c r="CM94" s="36">
        <v>959</v>
      </c>
      <c r="CN94" s="36">
        <v>17426</v>
      </c>
      <c r="CO94" s="36">
        <v>1622</v>
      </c>
      <c r="CP94" s="36">
        <v>990</v>
      </c>
      <c r="CQ94" s="36">
        <v>18533</v>
      </c>
      <c r="CR94" s="36">
        <v>1785</v>
      </c>
      <c r="CS94" s="36">
        <v>1079</v>
      </c>
      <c r="CT94" s="36">
        <v>792.83788533956283</v>
      </c>
      <c r="CU94" s="36">
        <v>-1711.6485279999999</v>
      </c>
      <c r="CV94" s="36">
        <v>1303.4564300767104</v>
      </c>
      <c r="CW94" s="36">
        <v>9290</v>
      </c>
      <c r="CX94" s="36">
        <v>1634.6184572794259</v>
      </c>
      <c r="CY94" s="36">
        <v>-2299.633519</v>
      </c>
      <c r="CZ94" s="36">
        <v>1462.225832656377</v>
      </c>
      <c r="DA94" s="36">
        <v>9565</v>
      </c>
      <c r="DB94" s="36">
        <v>212.25316319442692</v>
      </c>
      <c r="DC94" s="36">
        <v>3450.3753109999998</v>
      </c>
      <c r="DD94" s="36">
        <v>1555.9065076954384</v>
      </c>
      <c r="DE94" s="36">
        <v>10147</v>
      </c>
      <c r="DF94" s="36">
        <v>2039.4467962722827</v>
      </c>
      <c r="DG94" s="36">
        <v>-2391</v>
      </c>
      <c r="DH94" s="36">
        <v>1591.0577843258945</v>
      </c>
      <c r="DI94" s="36">
        <v>10523</v>
      </c>
      <c r="DJ94" s="36">
        <v>3878</v>
      </c>
      <c r="DK94" s="36">
        <v>-2537</v>
      </c>
      <c r="DL94" s="36">
        <v>1723</v>
      </c>
      <c r="DM94" s="36">
        <v>10003</v>
      </c>
      <c r="DN94" s="36">
        <v>3461</v>
      </c>
      <c r="DO94" s="69">
        <v>-2982</v>
      </c>
      <c r="DP94" s="36">
        <v>1816</v>
      </c>
      <c r="DQ94" s="36">
        <v>11288</v>
      </c>
      <c r="DR94" s="36">
        <v>2798</v>
      </c>
      <c r="DS94" s="36">
        <v>-2148</v>
      </c>
      <c r="DT94" s="36">
        <v>1895</v>
      </c>
      <c r="DU94" s="36">
        <v>11752</v>
      </c>
      <c r="DV94" s="36">
        <v>2107</v>
      </c>
      <c r="DW94" s="71">
        <v>-2618</v>
      </c>
      <c r="DX94" s="39">
        <v>2039</v>
      </c>
      <c r="DY94" s="71">
        <v>11899</v>
      </c>
      <c r="DZ94" s="70">
        <v>1865</v>
      </c>
      <c r="EA94" s="35">
        <v>-2445</v>
      </c>
      <c r="EB94" s="35">
        <v>2080</v>
      </c>
      <c r="EC94" s="38">
        <v>12818</v>
      </c>
      <c r="ED94" s="38">
        <v>1928</v>
      </c>
      <c r="EE94" s="38">
        <v>-2238</v>
      </c>
      <c r="EF94" s="38">
        <v>2091</v>
      </c>
      <c r="EG94" s="73">
        <v>14170</v>
      </c>
      <c r="EH94" s="73">
        <v>1395</v>
      </c>
      <c r="EI94" s="73">
        <v>-6683</v>
      </c>
      <c r="EJ94" s="73">
        <v>4681</v>
      </c>
      <c r="EK94" s="73">
        <v>18350</v>
      </c>
      <c r="EL94" s="73">
        <v>36756.125824751543</v>
      </c>
      <c r="EM94" s="73">
        <v>-368.16337102424762</v>
      </c>
      <c r="EN94" s="73">
        <v>36497.284605927278</v>
      </c>
      <c r="EO94" s="73">
        <v>188.03410178396933</v>
      </c>
      <c r="EP94" s="73">
        <v>37857.756743074438</v>
      </c>
      <c r="EQ94" s="73">
        <v>68.45248606983499</v>
      </c>
      <c r="ER94" s="73">
        <v>39383.221236080339</v>
      </c>
      <c r="ES94" s="73">
        <v>471.26256994515393</v>
      </c>
      <c r="ET94" s="73">
        <v>41867</v>
      </c>
      <c r="EU94" s="73">
        <v>2178</v>
      </c>
      <c r="EV94" s="73">
        <v>44171</v>
      </c>
      <c r="EW94" s="73">
        <v>1668</v>
      </c>
      <c r="EX94" s="73">
        <v>47058</v>
      </c>
      <c r="EY94" s="73">
        <v>626</v>
      </c>
      <c r="EZ94" s="73">
        <v>48705</v>
      </c>
      <c r="FA94" s="73">
        <v>90</v>
      </c>
      <c r="FB94" s="73">
        <v>51874</v>
      </c>
      <c r="FC94" s="73">
        <v>-865</v>
      </c>
      <c r="FD94" s="73">
        <v>53437</v>
      </c>
      <c r="FE94" s="73">
        <v>-144</v>
      </c>
      <c r="FF94" s="73">
        <v>56618</v>
      </c>
      <c r="FG94" s="73">
        <v>-698</v>
      </c>
      <c r="FH94" s="73">
        <v>4541</v>
      </c>
      <c r="FI94" s="73">
        <v>3844</v>
      </c>
      <c r="FJ94" s="79">
        <v>9318</v>
      </c>
      <c r="FK94" s="80">
        <v>22323</v>
      </c>
      <c r="FL94" s="80">
        <v>27148</v>
      </c>
      <c r="FM94" s="80">
        <v>12002</v>
      </c>
      <c r="FN94" s="76">
        <v>1373</v>
      </c>
      <c r="FO94" s="80">
        <v>19750</v>
      </c>
      <c r="FP94" s="80">
        <v>1500</v>
      </c>
      <c r="FQ94" s="80">
        <v>1073</v>
      </c>
      <c r="FR94" s="80">
        <v>3654</v>
      </c>
      <c r="FS94" s="81">
        <v>-2882</v>
      </c>
      <c r="FT94" s="76">
        <v>2561</v>
      </c>
      <c r="FU94" s="76">
        <v>19170</v>
      </c>
      <c r="FV94" s="76">
        <v>2882</v>
      </c>
      <c r="FW94" s="80">
        <v>58697</v>
      </c>
      <c r="FX94" s="80">
        <v>812</v>
      </c>
      <c r="FY94" s="73">
        <v>9157</v>
      </c>
      <c r="FZ94" s="73">
        <v>21423</v>
      </c>
      <c r="GA94" s="73">
        <v>27709</v>
      </c>
      <c r="GB94" s="73">
        <v>11082</v>
      </c>
      <c r="GC94" s="73">
        <v>1042</v>
      </c>
      <c r="GD94" s="73">
        <v>18414</v>
      </c>
      <c r="GE94" s="73">
        <v>1927</v>
      </c>
      <c r="GF94" s="73">
        <v>1082</v>
      </c>
      <c r="GG94" s="73">
        <v>2036</v>
      </c>
      <c r="GH94" s="73">
        <v>-3208</v>
      </c>
      <c r="GI94" s="73">
        <v>2245</v>
      </c>
      <c r="GJ94" s="73">
        <v>20127</v>
      </c>
      <c r="GK94" s="73">
        <v>3208</v>
      </c>
      <c r="GL94" s="73">
        <v>58862</v>
      </c>
      <c r="GM94" s="73">
        <v>-190</v>
      </c>
      <c r="GN94" s="73">
        <v>4466</v>
      </c>
      <c r="GO94" s="77">
        <v>19.75</v>
      </c>
      <c r="GP94" s="78">
        <v>9063</v>
      </c>
      <c r="GQ94" s="73">
        <v>22894</v>
      </c>
      <c r="GR94" s="65">
        <v>28119</v>
      </c>
      <c r="GS94" s="65">
        <v>6610</v>
      </c>
      <c r="GT94" s="65">
        <v>596</v>
      </c>
      <c r="GU94" s="65">
        <v>19176</v>
      </c>
      <c r="GV94" s="65">
        <v>2304</v>
      </c>
      <c r="GW94" s="65">
        <v>1414</v>
      </c>
      <c r="GX94" s="65">
        <v>2437</v>
      </c>
      <c r="GY94" s="65">
        <v>-3664</v>
      </c>
      <c r="GZ94" s="65">
        <v>2445</v>
      </c>
      <c r="HA94" s="65">
        <v>20589</v>
      </c>
      <c r="HB94" s="65">
        <v>3664</v>
      </c>
      <c r="HC94" s="65">
        <v>55378</v>
      </c>
      <c r="HD94" s="65">
        <v>11</v>
      </c>
      <c r="HE94" s="78">
        <v>8989</v>
      </c>
      <c r="HF94" s="73">
        <v>22433</v>
      </c>
      <c r="HG94" s="65">
        <v>28523</v>
      </c>
      <c r="HH94" s="65">
        <v>6798</v>
      </c>
      <c r="HI94" s="65">
        <v>1016</v>
      </c>
      <c r="HJ94" s="65">
        <v>19550</v>
      </c>
      <c r="HK94" s="65">
        <v>1453</v>
      </c>
      <c r="HL94" s="65">
        <v>1430</v>
      </c>
      <c r="HM94" s="65">
        <v>1078</v>
      </c>
      <c r="HN94" s="65">
        <v>-3641</v>
      </c>
      <c r="HO94" s="65">
        <v>2406</v>
      </c>
      <c r="HP94" s="65">
        <v>21279</v>
      </c>
      <c r="HQ94" s="65">
        <v>3641</v>
      </c>
      <c r="HR94" s="65">
        <v>57403</v>
      </c>
      <c r="HS94" s="65">
        <v>-1309</v>
      </c>
      <c r="HT94" s="65">
        <v>3448</v>
      </c>
      <c r="HU94" s="77">
        <v>19.75</v>
      </c>
      <c r="HV94" s="180">
        <v>340</v>
      </c>
      <c r="HW94" s="30" t="s">
        <v>761</v>
      </c>
    </row>
    <row r="95" spans="1:231" ht="15" x14ac:dyDescent="0.25">
      <c r="A95" s="27">
        <v>265</v>
      </c>
      <c r="B95" s="27" t="s">
        <v>223</v>
      </c>
      <c r="C95" s="27">
        <v>13</v>
      </c>
      <c r="D95" s="27" t="s">
        <v>111</v>
      </c>
      <c r="E95" s="27">
        <v>1</v>
      </c>
      <c r="F95" s="27" t="s">
        <v>103</v>
      </c>
      <c r="G95" s="29" t="s">
        <v>130</v>
      </c>
      <c r="H95" s="27" t="s">
        <v>98</v>
      </c>
      <c r="I95" s="31" t="s">
        <v>111</v>
      </c>
      <c r="J95" s="69">
        <v>1648</v>
      </c>
      <c r="K95" s="69">
        <v>1628</v>
      </c>
      <c r="L95" s="36">
        <v>1610</v>
      </c>
      <c r="M95" s="36">
        <v>1568</v>
      </c>
      <c r="N95" s="36">
        <v>1514</v>
      </c>
      <c r="O95" s="36">
        <v>1489</v>
      </c>
      <c r="P95" s="36">
        <v>1452</v>
      </c>
      <c r="Q95" s="36">
        <v>1424</v>
      </c>
      <c r="R95" s="69">
        <v>1441</v>
      </c>
      <c r="S95" s="69">
        <v>1402</v>
      </c>
      <c r="T95" s="71">
        <v>1363</v>
      </c>
      <c r="U95" s="36">
        <v>3109</v>
      </c>
      <c r="V95" s="36">
        <v>2923</v>
      </c>
      <c r="W95" s="36">
        <v>931</v>
      </c>
      <c r="X95" s="36">
        <v>31.282954321841054</v>
      </c>
      <c r="Y95" s="36">
        <v>2847</v>
      </c>
      <c r="Z95" s="36">
        <v>2683</v>
      </c>
      <c r="AA95" s="36">
        <v>948</v>
      </c>
      <c r="AB95" s="36">
        <v>162.80591281474267</v>
      </c>
      <c r="AC95" s="36">
        <v>2729</v>
      </c>
      <c r="AD95" s="36">
        <v>2899</v>
      </c>
      <c r="AE95" s="36">
        <v>1250</v>
      </c>
      <c r="AF95" s="36">
        <v>225.5400093848863</v>
      </c>
      <c r="AG95" s="36">
        <v>2799</v>
      </c>
      <c r="AH95" s="36">
        <v>2788</v>
      </c>
      <c r="AI95" s="36">
        <v>1214</v>
      </c>
      <c r="AJ95" s="36">
        <v>176.42913485812508</v>
      </c>
      <c r="AK95" s="36">
        <v>2682</v>
      </c>
      <c r="AL95" s="36">
        <v>3261</v>
      </c>
      <c r="AM95" s="36">
        <v>1065</v>
      </c>
      <c r="AN95" s="36">
        <v>140</v>
      </c>
      <c r="AO95" s="36">
        <v>2636</v>
      </c>
      <c r="AP95" s="36">
        <v>3644</v>
      </c>
      <c r="AQ95" s="36">
        <v>1080</v>
      </c>
      <c r="AR95" s="36">
        <v>98</v>
      </c>
      <c r="AS95" s="36">
        <v>2578</v>
      </c>
      <c r="AT95" s="36">
        <v>3546</v>
      </c>
      <c r="AU95" s="36">
        <v>903</v>
      </c>
      <c r="AV95" s="36">
        <v>81</v>
      </c>
      <c r="AW95" s="36">
        <v>2793</v>
      </c>
      <c r="AX95" s="69">
        <v>3496</v>
      </c>
      <c r="AY95" s="36">
        <v>1056</v>
      </c>
      <c r="AZ95" s="36">
        <v>76</v>
      </c>
      <c r="BA95" s="36">
        <v>2797</v>
      </c>
      <c r="BB95" s="36">
        <v>3688</v>
      </c>
      <c r="BC95" s="36">
        <v>1156</v>
      </c>
      <c r="BD95" s="36">
        <v>1</v>
      </c>
      <c r="BE95" s="70">
        <v>2994</v>
      </c>
      <c r="BF95" s="70">
        <v>3563</v>
      </c>
      <c r="BG95" s="70">
        <v>1220</v>
      </c>
      <c r="BH95" s="70">
        <v>80</v>
      </c>
      <c r="BI95" s="36">
        <v>3117</v>
      </c>
      <c r="BJ95" s="36">
        <v>4081</v>
      </c>
      <c r="BK95" s="36">
        <v>1360</v>
      </c>
      <c r="BL95" s="36">
        <v>4</v>
      </c>
      <c r="BM95" s="36">
        <v>1995.3815595393669</v>
      </c>
      <c r="BN95" s="36">
        <v>946.56165012538406</v>
      </c>
      <c r="BO95" s="36">
        <v>167.34698682920347</v>
      </c>
      <c r="BP95" s="36">
        <v>1911.6239721615343</v>
      </c>
      <c r="BQ95" s="36">
        <v>770.13251526725901</v>
      </c>
      <c r="BR95" s="36">
        <v>164.8241679322808</v>
      </c>
      <c r="BS95" s="36">
        <v>1721.0670514806422</v>
      </c>
      <c r="BT95" s="36">
        <v>841.27600816047823</v>
      </c>
      <c r="BU95" s="36">
        <v>166.16967134397291</v>
      </c>
      <c r="BV95" s="36">
        <v>2093</v>
      </c>
      <c r="BW95" s="36">
        <v>531</v>
      </c>
      <c r="BX95" s="36">
        <v>175</v>
      </c>
      <c r="BY95" s="36">
        <v>2158</v>
      </c>
      <c r="BZ95" s="36">
        <v>341</v>
      </c>
      <c r="CA95" s="36">
        <v>183</v>
      </c>
      <c r="CB95" s="36">
        <v>2217</v>
      </c>
      <c r="CC95" s="36">
        <v>190</v>
      </c>
      <c r="CD95" s="36">
        <v>229</v>
      </c>
      <c r="CE95" s="36">
        <v>2109</v>
      </c>
      <c r="CF95" s="36">
        <v>236</v>
      </c>
      <c r="CG95" s="36">
        <v>233</v>
      </c>
      <c r="CH95" s="36">
        <v>2185</v>
      </c>
      <c r="CI95" s="36">
        <v>369</v>
      </c>
      <c r="CJ95" s="70">
        <v>239</v>
      </c>
      <c r="CK95" s="70">
        <v>2104</v>
      </c>
      <c r="CL95" s="70">
        <v>452</v>
      </c>
      <c r="CM95" s="36">
        <v>241</v>
      </c>
      <c r="CN95" s="36">
        <v>2244</v>
      </c>
      <c r="CO95" s="36">
        <v>512</v>
      </c>
      <c r="CP95" s="36">
        <v>238</v>
      </c>
      <c r="CQ95" s="36">
        <v>2303</v>
      </c>
      <c r="CR95" s="36">
        <v>564</v>
      </c>
      <c r="CS95" s="36">
        <v>250</v>
      </c>
      <c r="CT95" s="36">
        <v>457.30297204884846</v>
      </c>
      <c r="CU95" s="36">
        <v>-234.9585333</v>
      </c>
      <c r="CV95" s="36">
        <v>214.43960623842656</v>
      </c>
      <c r="CW95" s="36">
        <v>2148</v>
      </c>
      <c r="CX95" s="36">
        <v>37.33771967445545</v>
      </c>
      <c r="CY95" s="36">
        <v>-236.80860050000001</v>
      </c>
      <c r="CZ95" s="36">
        <v>210.90765978273484</v>
      </c>
      <c r="DA95" s="36">
        <v>2494</v>
      </c>
      <c r="DB95" s="36">
        <v>-219.82161988519491</v>
      </c>
      <c r="DC95" s="36">
        <v>-159.61034219999999</v>
      </c>
      <c r="DD95" s="36">
        <v>209.89853222396576</v>
      </c>
      <c r="DE95" s="36">
        <v>1514</v>
      </c>
      <c r="DF95" s="36">
        <v>-397.25988230208907</v>
      </c>
      <c r="DG95" s="36">
        <v>-80</v>
      </c>
      <c r="DH95" s="36">
        <v>179.45651753443227</v>
      </c>
      <c r="DI95" s="36">
        <v>844</v>
      </c>
      <c r="DJ95" s="36">
        <v>172</v>
      </c>
      <c r="DK95" s="36">
        <v>-602</v>
      </c>
      <c r="DL95" s="36">
        <v>171</v>
      </c>
      <c r="DM95" s="36">
        <v>1771</v>
      </c>
      <c r="DN95" s="36">
        <v>454</v>
      </c>
      <c r="DO95" s="69">
        <v>-503</v>
      </c>
      <c r="DP95" s="36">
        <v>235</v>
      </c>
      <c r="DQ95" s="36">
        <v>1521</v>
      </c>
      <c r="DR95" s="36">
        <v>-42</v>
      </c>
      <c r="DS95" s="36">
        <v>-408</v>
      </c>
      <c r="DT95" s="36">
        <v>268</v>
      </c>
      <c r="DU95" s="36">
        <v>1362</v>
      </c>
      <c r="DV95" s="36">
        <v>-172</v>
      </c>
      <c r="DW95" s="71">
        <v>-754</v>
      </c>
      <c r="DX95" s="39">
        <v>259</v>
      </c>
      <c r="DY95" s="71">
        <v>2041</v>
      </c>
      <c r="DZ95" s="70">
        <v>-35</v>
      </c>
      <c r="EA95" s="35">
        <v>-509</v>
      </c>
      <c r="EB95" s="35">
        <v>248</v>
      </c>
      <c r="EC95" s="38">
        <v>1888</v>
      </c>
      <c r="ED95" s="38">
        <v>54</v>
      </c>
      <c r="EE95" s="38">
        <v>-71</v>
      </c>
      <c r="EF95" s="38">
        <v>256</v>
      </c>
      <c r="EG95" s="73">
        <v>1741</v>
      </c>
      <c r="EH95" s="73">
        <v>-64</v>
      </c>
      <c r="EI95" s="73">
        <v>-219</v>
      </c>
      <c r="EJ95" s="73">
        <v>258</v>
      </c>
      <c r="EK95" s="73">
        <v>1593</v>
      </c>
      <c r="EL95" s="73">
        <v>6129.9453557426923</v>
      </c>
      <c r="EM95" s="73">
        <v>16.14604094030506</v>
      </c>
      <c r="EN95" s="73">
        <v>6194.8658953568356</v>
      </c>
      <c r="EO95" s="73">
        <v>-206.53477369473555</v>
      </c>
      <c r="EP95" s="73">
        <v>6997.7950562840897</v>
      </c>
      <c r="EQ95" s="73">
        <v>1243.5815282564126</v>
      </c>
      <c r="ER95" s="73">
        <v>6989.5538478874751</v>
      </c>
      <c r="ES95" s="73">
        <v>-563.76592949898497</v>
      </c>
      <c r="ET95" s="73">
        <v>6910</v>
      </c>
      <c r="EU95" s="73">
        <v>14</v>
      </c>
      <c r="EV95" s="73">
        <v>6931</v>
      </c>
      <c r="EW95" s="73">
        <v>234</v>
      </c>
      <c r="EX95" s="73">
        <v>7101</v>
      </c>
      <c r="EY95" s="73">
        <v>-47</v>
      </c>
      <c r="EZ95" s="73">
        <v>7538</v>
      </c>
      <c r="FA95" s="73">
        <v>-424</v>
      </c>
      <c r="FB95" s="73">
        <v>7677</v>
      </c>
      <c r="FC95" s="73">
        <v>-283</v>
      </c>
      <c r="FD95" s="73">
        <v>7726</v>
      </c>
      <c r="FE95" s="73">
        <v>-160</v>
      </c>
      <c r="FF95" s="73">
        <v>8625</v>
      </c>
      <c r="FG95" s="73">
        <v>-115</v>
      </c>
      <c r="FH95" s="73">
        <v>0</v>
      </c>
      <c r="FI95" s="73">
        <v>-115</v>
      </c>
      <c r="FJ95" s="79">
        <v>1365</v>
      </c>
      <c r="FK95" s="80">
        <v>2930</v>
      </c>
      <c r="FL95" s="80">
        <v>4572</v>
      </c>
      <c r="FM95" s="80">
        <v>1330</v>
      </c>
      <c r="FN95" s="76">
        <v>26</v>
      </c>
      <c r="FO95" s="80">
        <v>2193</v>
      </c>
      <c r="FP95" s="80">
        <v>477</v>
      </c>
      <c r="FQ95" s="80">
        <v>260</v>
      </c>
      <c r="FR95" s="80">
        <v>560</v>
      </c>
      <c r="FS95" s="81">
        <v>-424</v>
      </c>
      <c r="FT95" s="76">
        <v>254</v>
      </c>
      <c r="FU95" s="76">
        <v>1445</v>
      </c>
      <c r="FV95" s="76">
        <v>424</v>
      </c>
      <c r="FW95" s="80">
        <v>8298</v>
      </c>
      <c r="FX95" s="80">
        <v>306</v>
      </c>
      <c r="FY95" s="73">
        <v>1364</v>
      </c>
      <c r="FZ95" s="73">
        <v>3245</v>
      </c>
      <c r="GA95" s="73">
        <v>5040</v>
      </c>
      <c r="GB95" s="73">
        <v>1309</v>
      </c>
      <c r="GC95" s="73">
        <v>35</v>
      </c>
      <c r="GD95" s="73">
        <v>2378</v>
      </c>
      <c r="GE95" s="73">
        <v>603</v>
      </c>
      <c r="GF95" s="73">
        <v>264</v>
      </c>
      <c r="GG95" s="73">
        <v>1099</v>
      </c>
      <c r="GH95" s="73">
        <v>30</v>
      </c>
      <c r="GI95" s="73">
        <v>275</v>
      </c>
      <c r="GJ95" s="73">
        <v>1339</v>
      </c>
      <c r="GK95" s="73">
        <v>-30</v>
      </c>
      <c r="GL95" s="73">
        <v>8530</v>
      </c>
      <c r="GM95" s="73">
        <v>824</v>
      </c>
      <c r="GN95" s="73">
        <v>1016</v>
      </c>
      <c r="GO95" s="77">
        <v>19.5</v>
      </c>
      <c r="GP95" s="78">
        <v>1334</v>
      </c>
      <c r="GQ95" s="73">
        <v>3193</v>
      </c>
      <c r="GR95" s="65">
        <v>5114</v>
      </c>
      <c r="GS95" s="65">
        <v>1271</v>
      </c>
      <c r="GT95" s="65">
        <v>6</v>
      </c>
      <c r="GU95" s="65">
        <v>2355</v>
      </c>
      <c r="GV95" s="65">
        <v>577</v>
      </c>
      <c r="GW95" s="65">
        <v>261</v>
      </c>
      <c r="GX95" s="65">
        <v>11</v>
      </c>
      <c r="GY95" s="65">
        <v>-1111</v>
      </c>
      <c r="GZ95" s="65">
        <v>283</v>
      </c>
      <c r="HA95" s="65">
        <v>1241</v>
      </c>
      <c r="HB95" s="65">
        <v>1111</v>
      </c>
      <c r="HC95" s="65">
        <v>9572</v>
      </c>
      <c r="HD95" s="65">
        <v>-272</v>
      </c>
      <c r="HE95" s="78">
        <v>1303</v>
      </c>
      <c r="HF95" s="73">
        <v>3041</v>
      </c>
      <c r="HG95" s="65">
        <v>5272</v>
      </c>
      <c r="HH95" s="65">
        <v>1498</v>
      </c>
      <c r="HI95" s="65">
        <v>3</v>
      </c>
      <c r="HJ95" s="65">
        <v>2429</v>
      </c>
      <c r="HK95" s="65">
        <v>347</v>
      </c>
      <c r="HL95" s="65">
        <v>265</v>
      </c>
      <c r="HM95" s="65">
        <v>166</v>
      </c>
      <c r="HN95" s="65">
        <v>-637</v>
      </c>
      <c r="HO95" s="65">
        <v>348</v>
      </c>
      <c r="HP95" s="65">
        <v>1144</v>
      </c>
      <c r="HQ95" s="65">
        <v>637</v>
      </c>
      <c r="HR95" s="65">
        <v>9646</v>
      </c>
      <c r="HS95" s="65">
        <v>-182</v>
      </c>
      <c r="HT95" s="65">
        <v>562</v>
      </c>
      <c r="HU95" s="77">
        <v>20</v>
      </c>
      <c r="HV95" s="180">
        <v>340</v>
      </c>
      <c r="HW95" s="30" t="s">
        <v>761</v>
      </c>
    </row>
    <row r="96" spans="1:231" ht="15" x14ac:dyDescent="0.25">
      <c r="A96" s="27">
        <v>271</v>
      </c>
      <c r="B96" s="27" t="s">
        <v>224</v>
      </c>
      <c r="C96" s="27">
        <v>4</v>
      </c>
      <c r="D96" s="27" t="s">
        <v>120</v>
      </c>
      <c r="E96" s="27">
        <v>3</v>
      </c>
      <c r="F96" s="27" t="s">
        <v>743</v>
      </c>
      <c r="G96" s="29" t="s">
        <v>132</v>
      </c>
      <c r="H96" s="27" t="s">
        <v>99</v>
      </c>
      <c r="I96" s="31" t="s">
        <v>120</v>
      </c>
      <c r="J96" s="69">
        <v>8908</v>
      </c>
      <c r="K96" s="69">
        <v>8816</v>
      </c>
      <c r="L96" s="36">
        <v>8714</v>
      </c>
      <c r="M96" s="36">
        <v>8605</v>
      </c>
      <c r="N96" s="36">
        <v>8555</v>
      </c>
      <c r="O96" s="36">
        <v>8456</v>
      </c>
      <c r="P96" s="36">
        <v>8420</v>
      </c>
      <c r="Q96" s="36">
        <v>8365</v>
      </c>
      <c r="R96" s="69">
        <v>8277</v>
      </c>
      <c r="S96" s="69">
        <v>8217</v>
      </c>
      <c r="T96" s="71">
        <v>8148</v>
      </c>
      <c r="U96" s="36">
        <v>16745</v>
      </c>
      <c r="V96" s="36">
        <v>7719</v>
      </c>
      <c r="W96" s="36">
        <v>3421</v>
      </c>
      <c r="X96" s="36">
        <v>439.47505184392833</v>
      </c>
      <c r="Y96" s="36">
        <v>17342</v>
      </c>
      <c r="Z96" s="36">
        <v>8488</v>
      </c>
      <c r="AA96" s="36">
        <v>3413</v>
      </c>
      <c r="AB96" s="36">
        <v>496.49075891438054</v>
      </c>
      <c r="AC96" s="36">
        <v>16859</v>
      </c>
      <c r="AD96" s="36">
        <v>8610</v>
      </c>
      <c r="AE96" s="36">
        <v>3723</v>
      </c>
      <c r="AF96" s="36">
        <v>286.42403876395326</v>
      </c>
      <c r="AG96" s="36">
        <v>17903</v>
      </c>
      <c r="AH96" s="36">
        <v>9657</v>
      </c>
      <c r="AI96" s="36">
        <v>3716</v>
      </c>
      <c r="AJ96" s="36">
        <v>327.46189282056196</v>
      </c>
      <c r="AK96" s="36">
        <v>18969</v>
      </c>
      <c r="AL96" s="36">
        <v>10829</v>
      </c>
      <c r="AM96" s="36">
        <v>3787</v>
      </c>
      <c r="AN96" s="36">
        <v>70</v>
      </c>
      <c r="AO96" s="36">
        <v>18144</v>
      </c>
      <c r="AP96" s="36">
        <v>11067</v>
      </c>
      <c r="AQ96" s="36">
        <v>4589</v>
      </c>
      <c r="AR96" s="36">
        <v>95</v>
      </c>
      <c r="AS96" s="36">
        <v>18286</v>
      </c>
      <c r="AT96" s="36">
        <v>11272</v>
      </c>
      <c r="AU96" s="36">
        <v>4544</v>
      </c>
      <c r="AV96" s="36">
        <v>512</v>
      </c>
      <c r="AW96" s="36">
        <v>19102</v>
      </c>
      <c r="AX96" s="69">
        <v>11681</v>
      </c>
      <c r="AY96" s="36">
        <v>4672</v>
      </c>
      <c r="AZ96" s="36">
        <v>73</v>
      </c>
      <c r="BA96" s="36">
        <v>20012</v>
      </c>
      <c r="BB96" s="36">
        <v>12012</v>
      </c>
      <c r="BC96" s="36">
        <v>4346</v>
      </c>
      <c r="BD96" s="36">
        <v>1308</v>
      </c>
      <c r="BE96" s="70">
        <v>20683</v>
      </c>
      <c r="BF96" s="70">
        <v>13434</v>
      </c>
      <c r="BG96" s="70">
        <v>4703</v>
      </c>
      <c r="BH96" s="70">
        <v>72</v>
      </c>
      <c r="BI96" s="36">
        <v>23406</v>
      </c>
      <c r="BJ96" s="36">
        <v>15616</v>
      </c>
      <c r="BK96" s="36">
        <v>5298</v>
      </c>
      <c r="BL96" s="36">
        <v>128</v>
      </c>
      <c r="BM96" s="36">
        <v>13625.07211057347</v>
      </c>
      <c r="BN96" s="36">
        <v>2377.50452845992</v>
      </c>
      <c r="BO96" s="36">
        <v>742.88607118049424</v>
      </c>
      <c r="BP96" s="36">
        <v>14278.818580729363</v>
      </c>
      <c r="BQ96" s="36">
        <v>2238.7494891291735</v>
      </c>
      <c r="BR96" s="36">
        <v>823.95265173494249</v>
      </c>
      <c r="BS96" s="36">
        <v>13410.632504335043</v>
      </c>
      <c r="BT96" s="36">
        <v>2612.7994375795738</v>
      </c>
      <c r="BU96" s="36">
        <v>836.06218244017134</v>
      </c>
      <c r="BV96" s="36">
        <v>15552</v>
      </c>
      <c r="BW96" s="36">
        <v>1488</v>
      </c>
      <c r="BX96" s="36">
        <v>863</v>
      </c>
      <c r="BY96" s="36">
        <v>16846</v>
      </c>
      <c r="BZ96" s="36">
        <v>1241</v>
      </c>
      <c r="CA96" s="36">
        <v>882</v>
      </c>
      <c r="CB96" s="36">
        <v>16584</v>
      </c>
      <c r="CC96" s="36">
        <v>685</v>
      </c>
      <c r="CD96" s="36">
        <v>875</v>
      </c>
      <c r="CE96" s="36">
        <v>16522</v>
      </c>
      <c r="CF96" s="36">
        <v>812</v>
      </c>
      <c r="CG96" s="36">
        <v>952</v>
      </c>
      <c r="CH96" s="36">
        <v>17160</v>
      </c>
      <c r="CI96" s="36">
        <v>951</v>
      </c>
      <c r="CJ96" s="70">
        <v>991</v>
      </c>
      <c r="CK96" s="70">
        <v>17885</v>
      </c>
      <c r="CL96" s="70">
        <v>1056</v>
      </c>
      <c r="CM96" s="36">
        <v>1071</v>
      </c>
      <c r="CN96" s="36">
        <v>18134</v>
      </c>
      <c r="CO96" s="36">
        <v>1437</v>
      </c>
      <c r="CP96" s="36">
        <v>1112</v>
      </c>
      <c r="CQ96" s="36">
        <v>20345</v>
      </c>
      <c r="CR96" s="36">
        <v>1712</v>
      </c>
      <c r="CS96" s="36">
        <v>1349</v>
      </c>
      <c r="CT96" s="36">
        <v>-75.348191054756938</v>
      </c>
      <c r="CU96" s="36">
        <v>-818.73882600000002</v>
      </c>
      <c r="CV96" s="36">
        <v>771.47801867895112</v>
      </c>
      <c r="CW96" s="36">
        <v>9066</v>
      </c>
      <c r="CX96" s="36">
        <v>1130.0546778948926</v>
      </c>
      <c r="CY96" s="36">
        <v>-1135.604879</v>
      </c>
      <c r="CZ96" s="36">
        <v>854.89923020386061</v>
      </c>
      <c r="DA96" s="36">
        <v>9396</v>
      </c>
      <c r="DB96" s="36">
        <v>654.92378564112391</v>
      </c>
      <c r="DC96" s="36">
        <v>-1520.0824789999999</v>
      </c>
      <c r="DD96" s="36">
        <v>853.72191471862993</v>
      </c>
      <c r="DE96" s="36">
        <v>8714</v>
      </c>
      <c r="DF96" s="36">
        <v>752.4727829888003</v>
      </c>
      <c r="DG96" s="36">
        <v>3461</v>
      </c>
      <c r="DH96" s="36">
        <v>894.5915808487772</v>
      </c>
      <c r="DI96" s="36">
        <v>5473</v>
      </c>
      <c r="DJ96" s="36">
        <v>3076</v>
      </c>
      <c r="DK96" s="36">
        <v>-879</v>
      </c>
      <c r="DL96" s="36">
        <v>938</v>
      </c>
      <c r="DM96" s="36">
        <v>4542</v>
      </c>
      <c r="DN96" s="36">
        <v>560</v>
      </c>
      <c r="DO96" s="69">
        <v>-827</v>
      </c>
      <c r="DP96" s="36">
        <v>939</v>
      </c>
      <c r="DQ96" s="36">
        <v>4539</v>
      </c>
      <c r="DR96" s="36">
        <v>-498</v>
      </c>
      <c r="DS96" s="36">
        <v>-1428</v>
      </c>
      <c r="DT96" s="36">
        <v>909</v>
      </c>
      <c r="DU96" s="36">
        <v>6690</v>
      </c>
      <c r="DV96" s="36">
        <v>-403</v>
      </c>
      <c r="DW96" s="71">
        <v>-2563</v>
      </c>
      <c r="DX96" s="39">
        <v>916</v>
      </c>
      <c r="DY96" s="71">
        <v>10571</v>
      </c>
      <c r="DZ96" s="70">
        <v>-892</v>
      </c>
      <c r="EA96" s="35">
        <v>-656</v>
      </c>
      <c r="EB96" s="35">
        <v>871</v>
      </c>
      <c r="EC96" s="38">
        <v>11909</v>
      </c>
      <c r="ED96" s="38">
        <v>-772</v>
      </c>
      <c r="EE96" s="38">
        <v>-855</v>
      </c>
      <c r="EF96" s="38">
        <v>860</v>
      </c>
      <c r="EG96" s="73">
        <v>12386</v>
      </c>
      <c r="EH96" s="73">
        <v>2573</v>
      </c>
      <c r="EI96" s="73">
        <v>-926</v>
      </c>
      <c r="EJ96" s="73">
        <v>877</v>
      </c>
      <c r="EK96" s="73">
        <v>11178</v>
      </c>
      <c r="EL96" s="73">
        <v>26371.698681238468</v>
      </c>
      <c r="EM96" s="73">
        <v>-824.12083966140403</v>
      </c>
      <c r="EN96" s="73">
        <v>26708.074534161489</v>
      </c>
      <c r="EO96" s="73">
        <v>98.221749053522444</v>
      </c>
      <c r="EP96" s="73">
        <v>26912.759240665149</v>
      </c>
      <c r="EQ96" s="73">
        <v>-288.77866973441445</v>
      </c>
      <c r="ER96" s="73">
        <v>28930.509794423899</v>
      </c>
      <c r="ES96" s="73">
        <v>5024.4461151111809</v>
      </c>
      <c r="ET96" s="73">
        <v>30350</v>
      </c>
      <c r="EU96" s="73">
        <v>1839</v>
      </c>
      <c r="EV96" s="73">
        <v>33189</v>
      </c>
      <c r="EW96" s="73">
        <v>-497</v>
      </c>
      <c r="EX96" s="73">
        <v>34556</v>
      </c>
      <c r="EY96" s="73">
        <v>-1013</v>
      </c>
      <c r="EZ96" s="73">
        <v>35672</v>
      </c>
      <c r="FA96" s="73">
        <v>-2699</v>
      </c>
      <c r="FB96" s="73">
        <v>36974</v>
      </c>
      <c r="FC96" s="73">
        <v>-486</v>
      </c>
      <c r="FD96" s="73">
        <v>39157</v>
      </c>
      <c r="FE96" s="73">
        <v>-1632</v>
      </c>
      <c r="FF96" s="73">
        <v>41291</v>
      </c>
      <c r="FG96" s="73">
        <v>1696</v>
      </c>
      <c r="FH96" s="73">
        <v>-419</v>
      </c>
      <c r="FI96" s="73">
        <v>1276</v>
      </c>
      <c r="FJ96" s="79">
        <v>8080</v>
      </c>
      <c r="FK96" s="80">
        <v>23300</v>
      </c>
      <c r="FL96" s="80">
        <v>15942</v>
      </c>
      <c r="FM96" s="80">
        <v>5579</v>
      </c>
      <c r="FN96" s="76">
        <v>127</v>
      </c>
      <c r="FO96" s="80">
        <v>20396</v>
      </c>
      <c r="FP96" s="80">
        <v>1384</v>
      </c>
      <c r="FQ96" s="80">
        <v>1520</v>
      </c>
      <c r="FR96" s="80">
        <v>792</v>
      </c>
      <c r="FS96" s="81">
        <v>-1440</v>
      </c>
      <c r="FT96" s="76">
        <v>912</v>
      </c>
      <c r="FU96" s="76">
        <v>11921</v>
      </c>
      <c r="FV96" s="76">
        <v>1440</v>
      </c>
      <c r="FW96" s="80">
        <v>43757</v>
      </c>
      <c r="FX96" s="80">
        <v>-120</v>
      </c>
      <c r="FY96" s="73">
        <v>7987</v>
      </c>
      <c r="FZ96" s="73">
        <v>23524</v>
      </c>
      <c r="GA96" s="73">
        <v>16561</v>
      </c>
      <c r="GB96" s="73">
        <v>5537</v>
      </c>
      <c r="GC96" s="73">
        <v>103</v>
      </c>
      <c r="GD96" s="73">
        <v>20017</v>
      </c>
      <c r="GE96" s="73">
        <v>1901</v>
      </c>
      <c r="GF96" s="73">
        <v>1606</v>
      </c>
      <c r="GG96" s="73">
        <v>1150</v>
      </c>
      <c r="GH96" s="73">
        <v>-2374</v>
      </c>
      <c r="GI96" s="73">
        <v>894</v>
      </c>
      <c r="GJ96" s="73">
        <v>13193</v>
      </c>
      <c r="GK96" s="73">
        <v>2374</v>
      </c>
      <c r="GL96" s="73">
        <v>44274</v>
      </c>
      <c r="GM96" s="73">
        <v>256</v>
      </c>
      <c r="GN96" s="73">
        <v>1411</v>
      </c>
      <c r="GO96" s="77">
        <v>19.75</v>
      </c>
      <c r="GP96" s="78">
        <v>7922</v>
      </c>
      <c r="GQ96" s="73">
        <v>24043</v>
      </c>
      <c r="GR96" s="65">
        <v>17042</v>
      </c>
      <c r="GS96" s="65">
        <v>5537</v>
      </c>
      <c r="GT96" s="65">
        <v>147</v>
      </c>
      <c r="GU96" s="65">
        <v>19942</v>
      </c>
      <c r="GV96" s="65">
        <v>2322</v>
      </c>
      <c r="GW96" s="65">
        <v>1779</v>
      </c>
      <c r="GX96" s="65">
        <v>1153</v>
      </c>
      <c r="GY96" s="65">
        <v>-1844</v>
      </c>
      <c r="GZ96" s="65">
        <v>968</v>
      </c>
      <c r="HA96" s="65">
        <v>14715</v>
      </c>
      <c r="HB96" s="65">
        <v>1844</v>
      </c>
      <c r="HC96" s="65">
        <v>45323</v>
      </c>
      <c r="HD96" s="65">
        <v>185</v>
      </c>
      <c r="HE96" s="78">
        <v>7893</v>
      </c>
      <c r="HF96" s="73">
        <v>24108</v>
      </c>
      <c r="HG96" s="65">
        <v>17630</v>
      </c>
      <c r="HH96" s="65">
        <v>6131</v>
      </c>
      <c r="HI96" s="65">
        <v>95</v>
      </c>
      <c r="HJ96" s="65">
        <v>20841</v>
      </c>
      <c r="HK96" s="65">
        <v>1413</v>
      </c>
      <c r="HL96" s="65">
        <v>1854</v>
      </c>
      <c r="HM96" s="65">
        <v>110</v>
      </c>
      <c r="HN96" s="65">
        <v>-1622</v>
      </c>
      <c r="HO96" s="65">
        <v>1030</v>
      </c>
      <c r="HP96" s="65">
        <v>15828</v>
      </c>
      <c r="HQ96" s="65">
        <v>1622</v>
      </c>
      <c r="HR96" s="65">
        <v>47591</v>
      </c>
      <c r="HS96" s="65">
        <v>-920</v>
      </c>
      <c r="HT96" s="65">
        <v>676</v>
      </c>
      <c r="HU96" s="77">
        <v>19.75</v>
      </c>
      <c r="HV96" s="180">
        <v>340</v>
      </c>
      <c r="HW96" s="30" t="s">
        <v>761</v>
      </c>
    </row>
    <row r="97" spans="1:231" ht="15" x14ac:dyDescent="0.25">
      <c r="A97" s="27">
        <v>272</v>
      </c>
      <c r="B97" s="27" t="s">
        <v>225</v>
      </c>
      <c r="C97" s="27">
        <v>16</v>
      </c>
      <c r="D97" s="27" t="s">
        <v>110</v>
      </c>
      <c r="E97" s="27">
        <v>6</v>
      </c>
      <c r="F97" s="27" t="s">
        <v>102</v>
      </c>
      <c r="G97" s="29" t="s">
        <v>141</v>
      </c>
      <c r="H97" s="27" t="s">
        <v>97</v>
      </c>
      <c r="I97" s="31" t="s">
        <v>110</v>
      </c>
      <c r="J97" s="69">
        <v>44267</v>
      </c>
      <c r="K97" s="69">
        <v>44177</v>
      </c>
      <c r="L97" s="36">
        <v>44182</v>
      </c>
      <c r="M97" s="36">
        <v>44048</v>
      </c>
      <c r="N97" s="36">
        <v>44093</v>
      </c>
      <c r="O97" s="36">
        <v>44168</v>
      </c>
      <c r="P97" s="36">
        <v>44296</v>
      </c>
      <c r="Q97" s="36">
        <v>44627</v>
      </c>
      <c r="R97" s="69">
        <v>44874</v>
      </c>
      <c r="S97" s="69">
        <v>45348</v>
      </c>
      <c r="T97" s="71">
        <v>45644</v>
      </c>
      <c r="U97" s="36">
        <v>89394</v>
      </c>
      <c r="V97" s="36">
        <v>30926</v>
      </c>
      <c r="W97" s="36">
        <v>50796</v>
      </c>
      <c r="X97" s="36">
        <v>1043.9424595465989</v>
      </c>
      <c r="Y97" s="36">
        <v>92837</v>
      </c>
      <c r="Z97" s="36">
        <v>31304</v>
      </c>
      <c r="AA97" s="36">
        <v>50151</v>
      </c>
      <c r="AB97" s="36">
        <v>1290.6741476656355</v>
      </c>
      <c r="AC97" s="36">
        <v>92112</v>
      </c>
      <c r="AD97" s="36">
        <v>35000</v>
      </c>
      <c r="AE97" s="36">
        <v>51356</v>
      </c>
      <c r="AF97" s="36">
        <v>498.50901403191864</v>
      </c>
      <c r="AG97" s="36">
        <v>108027</v>
      </c>
      <c r="AH97" s="36">
        <v>39082</v>
      </c>
      <c r="AI97" s="36">
        <v>57272</v>
      </c>
      <c r="AJ97" s="36">
        <v>873.90446589401131</v>
      </c>
      <c r="AK97" s="36">
        <v>108267</v>
      </c>
      <c r="AL97" s="36">
        <v>38225</v>
      </c>
      <c r="AM97" s="36">
        <v>56211</v>
      </c>
      <c r="AN97" s="36">
        <v>825</v>
      </c>
      <c r="AO97" s="36">
        <v>104385</v>
      </c>
      <c r="AP97" s="36">
        <v>42666</v>
      </c>
      <c r="AQ97" s="36">
        <v>61097</v>
      </c>
      <c r="AR97" s="36">
        <v>806</v>
      </c>
      <c r="AS97" s="36">
        <v>104911</v>
      </c>
      <c r="AT97" s="36">
        <v>43554</v>
      </c>
      <c r="AU97" s="36">
        <v>70619</v>
      </c>
      <c r="AV97" s="36">
        <v>1141</v>
      </c>
      <c r="AW97" s="36">
        <v>109038</v>
      </c>
      <c r="AX97" s="69">
        <v>46624</v>
      </c>
      <c r="AY97" s="36">
        <v>69330</v>
      </c>
      <c r="AZ97" s="36">
        <v>4045</v>
      </c>
      <c r="BA97" s="36">
        <v>116248</v>
      </c>
      <c r="BB97" s="36">
        <v>52491</v>
      </c>
      <c r="BC97" s="36">
        <v>83162</v>
      </c>
      <c r="BD97" s="36">
        <v>676</v>
      </c>
      <c r="BE97" s="70">
        <v>128305</v>
      </c>
      <c r="BF97" s="70">
        <v>56694</v>
      </c>
      <c r="BG97" s="70">
        <v>82647</v>
      </c>
      <c r="BH97" s="70">
        <v>939</v>
      </c>
      <c r="BI97" s="36">
        <v>148746</v>
      </c>
      <c r="BJ97" s="36">
        <v>62248</v>
      </c>
      <c r="BK97" s="36">
        <v>86835</v>
      </c>
      <c r="BL97" s="36">
        <v>658</v>
      </c>
      <c r="BM97" s="36">
        <v>75729.304896118716</v>
      </c>
      <c r="BN97" s="36">
        <v>9534.4053631765983</v>
      </c>
      <c r="BO97" s="36">
        <v>4094.8714455584091</v>
      </c>
      <c r="BP97" s="36">
        <v>76703.785742036722</v>
      </c>
      <c r="BQ97" s="36">
        <v>12017.531909454347</v>
      </c>
      <c r="BR97" s="36">
        <v>4091.5076870291787</v>
      </c>
      <c r="BS97" s="36">
        <v>75058.571445390218</v>
      </c>
      <c r="BT97" s="36">
        <v>12818.274627337601</v>
      </c>
      <c r="BU97" s="36">
        <v>4212.2666182285438</v>
      </c>
      <c r="BV97" s="36">
        <v>85945</v>
      </c>
      <c r="BW97" s="36">
        <v>17166</v>
      </c>
      <c r="BX97" s="36">
        <v>4894</v>
      </c>
      <c r="BY97" s="36">
        <v>93446</v>
      </c>
      <c r="BZ97" s="36">
        <v>9777</v>
      </c>
      <c r="CA97" s="36">
        <v>5022</v>
      </c>
      <c r="CB97" s="36">
        <v>92098</v>
      </c>
      <c r="CC97" s="36">
        <v>7078</v>
      </c>
      <c r="CD97" s="36">
        <v>5188</v>
      </c>
      <c r="CE97" s="36">
        <v>93866</v>
      </c>
      <c r="CF97" s="36">
        <v>5806</v>
      </c>
      <c r="CG97" s="36">
        <v>5220</v>
      </c>
      <c r="CH97" s="36">
        <v>97316</v>
      </c>
      <c r="CI97" s="36">
        <v>5919</v>
      </c>
      <c r="CJ97" s="70">
        <v>5785</v>
      </c>
      <c r="CK97" s="70">
        <v>102977</v>
      </c>
      <c r="CL97" s="70">
        <v>7393</v>
      </c>
      <c r="CM97" s="36">
        <v>5856</v>
      </c>
      <c r="CN97" s="36">
        <v>109782</v>
      </c>
      <c r="CO97" s="36">
        <v>12163</v>
      </c>
      <c r="CP97" s="36">
        <v>6344</v>
      </c>
      <c r="CQ97" s="36">
        <v>124064</v>
      </c>
      <c r="CR97" s="36">
        <v>17799</v>
      </c>
      <c r="CS97" s="36">
        <v>6868</v>
      </c>
      <c r="CT97" s="36">
        <v>10985.530792686513</v>
      </c>
      <c r="CU97" s="36">
        <v>-16280.423091979999</v>
      </c>
      <c r="CV97" s="36">
        <v>8770.327613261954</v>
      </c>
      <c r="CW97" s="36">
        <v>57845</v>
      </c>
      <c r="CX97" s="36">
        <v>12478.030452105966</v>
      </c>
      <c r="CY97" s="36">
        <v>-11783.077939999997</v>
      </c>
      <c r="CZ97" s="36">
        <v>9555.7652298372086</v>
      </c>
      <c r="DA97" s="36">
        <v>60223</v>
      </c>
      <c r="DB97" s="36">
        <v>8779.2415733644157</v>
      </c>
      <c r="DC97" s="36">
        <v>-15502.2175603</v>
      </c>
      <c r="DD97" s="36">
        <v>9668.4511405664234</v>
      </c>
      <c r="DE97" s="36">
        <v>65565</v>
      </c>
      <c r="DF97" s="36">
        <v>16762.449690786496</v>
      </c>
      <c r="DG97" s="36">
        <v>-17967</v>
      </c>
      <c r="DH97" s="36">
        <v>9890.6273914220801</v>
      </c>
      <c r="DI97" s="36">
        <v>69348</v>
      </c>
      <c r="DJ97" s="36">
        <v>17041</v>
      </c>
      <c r="DK97" s="36">
        <v>-15759</v>
      </c>
      <c r="DL97" s="36">
        <v>10487</v>
      </c>
      <c r="DM97" s="36">
        <v>62980</v>
      </c>
      <c r="DN97" s="36">
        <v>11416</v>
      </c>
      <c r="DO97" s="69">
        <v>-22032</v>
      </c>
      <c r="DP97" s="36">
        <v>11420</v>
      </c>
      <c r="DQ97" s="36">
        <v>78181</v>
      </c>
      <c r="DR97" s="36">
        <v>4444</v>
      </c>
      <c r="DS97" s="36">
        <v>-30384</v>
      </c>
      <c r="DT97" s="36">
        <v>11687</v>
      </c>
      <c r="DU97" s="36">
        <v>108623</v>
      </c>
      <c r="DV97" s="36">
        <v>2988</v>
      </c>
      <c r="DW97" s="71">
        <v>-20164</v>
      </c>
      <c r="DX97" s="39">
        <v>12309</v>
      </c>
      <c r="DY97" s="71">
        <v>118697</v>
      </c>
      <c r="DZ97" s="70">
        <v>12356</v>
      </c>
      <c r="EA97" s="35">
        <v>-16609</v>
      </c>
      <c r="EB97" s="35">
        <v>12814</v>
      </c>
      <c r="EC97" s="38">
        <v>126385</v>
      </c>
      <c r="ED97" s="38">
        <v>14563</v>
      </c>
      <c r="EE97" s="38">
        <v>-21672</v>
      </c>
      <c r="EF97" s="38">
        <v>13667</v>
      </c>
      <c r="EG97" s="73">
        <v>135271</v>
      </c>
      <c r="EH97" s="73">
        <v>24462</v>
      </c>
      <c r="EI97" s="73">
        <v>-23622</v>
      </c>
      <c r="EJ97" s="73">
        <v>14660</v>
      </c>
      <c r="EK97" s="73">
        <v>134215</v>
      </c>
      <c r="EL97" s="73">
        <v>151339.19636444977</v>
      </c>
      <c r="EM97" s="73">
        <v>4745.422345111534</v>
      </c>
      <c r="EN97" s="73">
        <v>153868.57459050443</v>
      </c>
      <c r="EO97" s="73">
        <v>3035.2875088508899</v>
      </c>
      <c r="EP97" s="73">
        <v>159980.3556501893</v>
      </c>
      <c r="EQ97" s="73">
        <v>-424.84270224177681</v>
      </c>
      <c r="ER97" s="73">
        <v>177524.87919902182</v>
      </c>
      <c r="ES97" s="73">
        <v>2210.8302933365621</v>
      </c>
      <c r="ET97" s="73">
        <v>183842</v>
      </c>
      <c r="EU97" s="73">
        <v>3746</v>
      </c>
      <c r="EV97" s="73">
        <v>195403</v>
      </c>
      <c r="EW97" s="73">
        <v>-582</v>
      </c>
      <c r="EX97" s="73">
        <v>212917</v>
      </c>
      <c r="EY97" s="73">
        <v>-5738</v>
      </c>
      <c r="EZ97" s="73">
        <v>225512</v>
      </c>
      <c r="FA97" s="73">
        <v>-5677</v>
      </c>
      <c r="FB97" s="73">
        <v>236615</v>
      </c>
      <c r="FC97" s="73">
        <v>-693</v>
      </c>
      <c r="FD97" s="73">
        <v>248644</v>
      </c>
      <c r="FE97" s="73">
        <v>1366</v>
      </c>
      <c r="FF97" s="73">
        <v>268013</v>
      </c>
      <c r="FG97" s="73">
        <v>5239</v>
      </c>
      <c r="FH97" s="73">
        <v>7698</v>
      </c>
      <c r="FI97" s="73">
        <v>12923</v>
      </c>
      <c r="FJ97" s="79">
        <v>45896</v>
      </c>
      <c r="FK97" s="80">
        <v>148682</v>
      </c>
      <c r="FL97" s="80">
        <v>64705</v>
      </c>
      <c r="FM97" s="80">
        <v>116030</v>
      </c>
      <c r="FN97" s="76">
        <v>613</v>
      </c>
      <c r="FO97" s="80">
        <v>124536</v>
      </c>
      <c r="FP97" s="80">
        <v>16696</v>
      </c>
      <c r="FQ97" s="80">
        <v>7450</v>
      </c>
      <c r="FR97" s="80">
        <v>23285</v>
      </c>
      <c r="FS97" s="81">
        <v>-30164</v>
      </c>
      <c r="FT97" s="76">
        <v>15389</v>
      </c>
      <c r="FU97" s="76">
        <v>144160</v>
      </c>
      <c r="FV97" s="76">
        <v>30164</v>
      </c>
      <c r="FW97" s="80">
        <v>302753</v>
      </c>
      <c r="FX97" s="80">
        <v>3897</v>
      </c>
      <c r="FY97" s="73">
        <v>46260</v>
      </c>
      <c r="FZ97" s="73">
        <v>149314</v>
      </c>
      <c r="GA97" s="73">
        <v>66787</v>
      </c>
      <c r="GB97" s="73">
        <v>134135</v>
      </c>
      <c r="GC97" s="73">
        <v>874</v>
      </c>
      <c r="GD97" s="73">
        <v>125428</v>
      </c>
      <c r="GE97" s="73">
        <v>16113</v>
      </c>
      <c r="GF97" s="73">
        <v>7773</v>
      </c>
      <c r="GG97" s="73">
        <v>21140</v>
      </c>
      <c r="GH97" s="73">
        <v>-30664</v>
      </c>
      <c r="GI97" s="73">
        <v>15939</v>
      </c>
      <c r="GJ97" s="73">
        <v>159008</v>
      </c>
      <c r="GK97" s="73">
        <v>30664</v>
      </c>
      <c r="GL97" s="73">
        <v>327158</v>
      </c>
      <c r="GM97" s="73">
        <v>1563</v>
      </c>
      <c r="GN97" s="73">
        <v>18275</v>
      </c>
      <c r="GO97" s="77">
        <v>19.75</v>
      </c>
      <c r="GP97" s="78">
        <v>46585</v>
      </c>
      <c r="GQ97" s="73">
        <v>155226</v>
      </c>
      <c r="GR97" s="65">
        <v>68263</v>
      </c>
      <c r="GS97" s="65">
        <v>134951</v>
      </c>
      <c r="GT97" s="65">
        <v>1639</v>
      </c>
      <c r="GU97" s="65">
        <v>129459</v>
      </c>
      <c r="GV97" s="65">
        <v>16131</v>
      </c>
      <c r="GW97" s="65">
        <v>9636</v>
      </c>
      <c r="GX97" s="65">
        <v>12986</v>
      </c>
      <c r="GY97" s="65">
        <v>-54447</v>
      </c>
      <c r="GZ97" s="65">
        <v>16942</v>
      </c>
      <c r="HA97" s="65">
        <v>194716</v>
      </c>
      <c r="HB97" s="65">
        <v>54447</v>
      </c>
      <c r="HC97" s="65">
        <v>343413</v>
      </c>
      <c r="HD97" s="65">
        <v>-3060</v>
      </c>
      <c r="HE97" s="78">
        <v>46773</v>
      </c>
      <c r="HF97" s="73">
        <v>156033</v>
      </c>
      <c r="HG97" s="65">
        <v>73406</v>
      </c>
      <c r="HH97" s="65">
        <v>139070</v>
      </c>
      <c r="HI97" s="65">
        <v>6846</v>
      </c>
      <c r="HJ97" s="65">
        <v>133839</v>
      </c>
      <c r="HK97" s="65">
        <v>12203</v>
      </c>
      <c r="HL97" s="65">
        <v>9991</v>
      </c>
      <c r="HM97" s="65">
        <v>10680</v>
      </c>
      <c r="HN97" s="65">
        <v>-39397</v>
      </c>
      <c r="HO97" s="65">
        <v>18760</v>
      </c>
      <c r="HP97" s="65">
        <v>232916</v>
      </c>
      <c r="HQ97" s="65">
        <v>39397</v>
      </c>
      <c r="HR97" s="65">
        <v>361160</v>
      </c>
      <c r="HS97" s="65">
        <v>-7529</v>
      </c>
      <c r="HT97" s="65">
        <v>7687</v>
      </c>
      <c r="HU97" s="77">
        <v>19.75</v>
      </c>
      <c r="HV97" s="180">
        <v>130</v>
      </c>
      <c r="HW97" s="30" t="s">
        <v>752</v>
      </c>
    </row>
    <row r="98" spans="1:231" ht="15" x14ac:dyDescent="0.25">
      <c r="B98" s="27" t="s">
        <v>226</v>
      </c>
      <c r="E98" s="170"/>
      <c r="F98" s="170"/>
      <c r="I98" s="31"/>
      <c r="J98" s="69">
        <v>5134021</v>
      </c>
      <c r="K98" s="69">
        <v>5145596</v>
      </c>
      <c r="L98" s="36">
        <v>5155339</v>
      </c>
      <c r="M98" s="36">
        <v>5168893</v>
      </c>
      <c r="N98" s="36">
        <v>5180038</v>
      </c>
      <c r="O98" s="36">
        <v>5193385</v>
      </c>
      <c r="P98" s="36">
        <v>5210081</v>
      </c>
      <c r="Q98" s="36">
        <v>5228814</v>
      </c>
      <c r="R98" s="69">
        <v>5250032</v>
      </c>
      <c r="S98" s="69">
        <v>5273331</v>
      </c>
      <c r="T98" s="71">
        <v>5298858</v>
      </c>
      <c r="U98" s="36">
        <v>11736477.439953204</v>
      </c>
      <c r="V98" s="36">
        <v>3163991.1025291458</v>
      </c>
      <c r="W98" s="36">
        <v>4503412.3425908443</v>
      </c>
      <c r="X98" s="36">
        <v>373119.6996224696</v>
      </c>
      <c r="Y98" s="36">
        <v>12046216.114204025</v>
      </c>
      <c r="Z98" s="36">
        <v>3172178.1467831144</v>
      </c>
      <c r="AA98" s="36">
        <v>4630882.0316111352</v>
      </c>
      <c r="AB98" s="36">
        <v>397535.16831764654</v>
      </c>
      <c r="AC98" s="36">
        <v>12855844.490541525</v>
      </c>
      <c r="AD98" s="36">
        <v>3328531.991932834</v>
      </c>
      <c r="AE98" s="36">
        <v>4911625.5491325306</v>
      </c>
      <c r="AF98" s="36">
        <v>367211.56220608664</v>
      </c>
      <c r="AG98" s="36">
        <v>14034554.861902196</v>
      </c>
      <c r="AH98" s="36">
        <v>3645134.7032862874</v>
      </c>
      <c r="AI98" s="36">
        <v>5166070.9245028486</v>
      </c>
      <c r="AJ98" s="36">
        <v>378041.07314048446</v>
      </c>
      <c r="AK98" s="36">
        <v>14009916.728724077</v>
      </c>
      <c r="AL98" s="36">
        <v>3868576.911073145</v>
      </c>
      <c r="AM98" s="36">
        <v>5485533.651315731</v>
      </c>
      <c r="AN98" s="36">
        <v>335590.81399109267</v>
      </c>
      <c r="AO98" s="36">
        <v>13438997</v>
      </c>
      <c r="AP98" s="36">
        <v>4266185</v>
      </c>
      <c r="AQ98" s="36">
        <v>5829315</v>
      </c>
      <c r="AR98" s="36">
        <v>595637</v>
      </c>
      <c r="AS98" s="36">
        <v>13611820</v>
      </c>
      <c r="AT98" s="36">
        <v>4713554</v>
      </c>
      <c r="AU98" s="36">
        <v>6161560</v>
      </c>
      <c r="AV98" s="36">
        <v>539622</v>
      </c>
      <c r="AW98" s="36">
        <v>14183218</v>
      </c>
      <c r="AX98" s="69">
        <v>5047466</v>
      </c>
      <c r="AY98" s="36">
        <v>5889576</v>
      </c>
      <c r="AZ98" s="36">
        <v>730543</v>
      </c>
      <c r="BA98" s="36">
        <v>15089917</v>
      </c>
      <c r="BB98" s="36">
        <v>5473539</v>
      </c>
      <c r="BC98" s="36">
        <v>6744897</v>
      </c>
      <c r="BD98" s="36">
        <v>1027003</v>
      </c>
      <c r="BE98" s="70">
        <v>16221207</v>
      </c>
      <c r="BF98" s="70">
        <v>5729834</v>
      </c>
      <c r="BG98" s="70">
        <v>6965402</v>
      </c>
      <c r="BH98" s="70">
        <v>748304</v>
      </c>
      <c r="BI98" s="36">
        <v>17446352</v>
      </c>
      <c r="BJ98" s="36">
        <v>6388223</v>
      </c>
      <c r="BK98" s="36">
        <v>7490452</v>
      </c>
      <c r="BL98" s="36">
        <v>314807</v>
      </c>
      <c r="BM98" s="36">
        <v>9213584.0534219667</v>
      </c>
      <c r="BN98" s="36">
        <v>2059279.0427501088</v>
      </c>
      <c r="BO98" s="36">
        <v>459202.78220625286</v>
      </c>
      <c r="BP98" s="36">
        <v>9452211.2142922897</v>
      </c>
      <c r="BQ98" s="36">
        <v>2071386.4524572736</v>
      </c>
      <c r="BR98" s="36">
        <v>518254.89151269739</v>
      </c>
      <c r="BS98" s="36">
        <v>9629834.6026080474</v>
      </c>
      <c r="BT98" s="36">
        <v>2653215.0419322504</v>
      </c>
      <c r="BU98" s="36">
        <v>568514.08849482774</v>
      </c>
      <c r="BV98" s="36">
        <v>10991415.41262044</v>
      </c>
      <c r="BW98" s="36">
        <v>2435424.16435837</v>
      </c>
      <c r="BX98" s="36">
        <v>603823.26388559095</v>
      </c>
      <c r="BY98" s="36">
        <v>11892727.284540763</v>
      </c>
      <c r="BZ98" s="36">
        <v>1480518.0027413075</v>
      </c>
      <c r="CA98" s="36">
        <v>633164.42248528486</v>
      </c>
      <c r="CB98" s="36">
        <v>11784667</v>
      </c>
      <c r="CC98" s="36">
        <v>989676</v>
      </c>
      <c r="CD98" s="36">
        <v>661431</v>
      </c>
      <c r="CE98" s="36">
        <v>11875138</v>
      </c>
      <c r="CF98" s="36">
        <v>1049624</v>
      </c>
      <c r="CG98" s="36">
        <v>683958</v>
      </c>
      <c r="CH98" s="36">
        <v>12305346</v>
      </c>
      <c r="CI98" s="36">
        <v>1150891</v>
      </c>
      <c r="CJ98" s="70">
        <v>724152</v>
      </c>
      <c r="CK98" s="70">
        <v>13064707</v>
      </c>
      <c r="CL98" s="70">
        <v>1238741</v>
      </c>
      <c r="CM98" s="36">
        <v>783822</v>
      </c>
      <c r="CN98" s="36">
        <v>13902143</v>
      </c>
      <c r="CO98" s="36">
        <v>1461942</v>
      </c>
      <c r="CP98" s="36">
        <v>854899</v>
      </c>
      <c r="CQ98" s="36">
        <v>15008919</v>
      </c>
      <c r="CR98" s="36">
        <v>1523132</v>
      </c>
      <c r="CS98" s="36">
        <v>912962</v>
      </c>
      <c r="CT98" s="36">
        <v>1255364.4961956479</v>
      </c>
      <c r="CU98" s="36">
        <v>-1544477.0680529359</v>
      </c>
      <c r="CV98" s="36">
        <v>1082043.0419164591</v>
      </c>
      <c r="CW98" s="36">
        <v>4023452.7482336909</v>
      </c>
      <c r="CX98" s="36">
        <v>1309390.2821506739</v>
      </c>
      <c r="CY98" s="36">
        <v>-1181194.9015904546</v>
      </c>
      <c r="CZ98" s="36">
        <v>1155407.1801868971</v>
      </c>
      <c r="DA98" s="36">
        <v>3932046.2541481582</v>
      </c>
      <c r="DB98" s="36">
        <v>1479357.5464818189</v>
      </c>
      <c r="DC98" s="36">
        <v>-1447742.2500963819</v>
      </c>
      <c r="DD98" s="36">
        <v>1182680.3453874753</v>
      </c>
      <c r="DE98" s="36">
        <v>3845965.7888517589</v>
      </c>
      <c r="DF98" s="36">
        <v>1704933.2537108304</v>
      </c>
      <c r="DG98" s="36">
        <v>-2048362.0721461929</v>
      </c>
      <c r="DH98" s="36">
        <v>1192359.9492529875</v>
      </c>
      <c r="DI98" s="36">
        <v>4036129.8167578825</v>
      </c>
      <c r="DJ98" s="36">
        <v>1966364.6289200212</v>
      </c>
      <c r="DK98" s="36">
        <v>-1946302.5204769876</v>
      </c>
      <c r="DL98" s="36">
        <v>1285589.9490838822</v>
      </c>
      <c r="DM98" s="36">
        <v>4467713.1496236492</v>
      </c>
      <c r="DN98" s="36">
        <v>1237594</v>
      </c>
      <c r="DO98" s="69">
        <v>-1888009</v>
      </c>
      <c r="DP98" s="36">
        <v>1332160</v>
      </c>
      <c r="DQ98" s="36">
        <v>5188314</v>
      </c>
      <c r="DR98" s="36">
        <v>1098449</v>
      </c>
      <c r="DS98" s="36">
        <v>-2010619</v>
      </c>
      <c r="DT98" s="36">
        <v>1396841</v>
      </c>
      <c r="DU98" s="36">
        <v>6109512</v>
      </c>
      <c r="DV98" s="36">
        <v>1114634</v>
      </c>
      <c r="DW98" s="71">
        <v>-1626649</v>
      </c>
      <c r="DX98" s="39">
        <v>1443636</v>
      </c>
      <c r="DY98" s="71">
        <v>7045174</v>
      </c>
      <c r="DZ98" s="70">
        <v>1717132</v>
      </c>
      <c r="EA98" s="35">
        <v>-1218117</v>
      </c>
      <c r="EB98" s="35">
        <v>1448769</v>
      </c>
      <c r="EC98" s="38">
        <v>7669363.9999999991</v>
      </c>
      <c r="ED98" s="38">
        <v>2015466</v>
      </c>
      <c r="EE98" s="38">
        <v>-2184712</v>
      </c>
      <c r="EF98" s="38">
        <v>1480364</v>
      </c>
      <c r="EG98" s="73">
        <v>8147760.9999999991</v>
      </c>
      <c r="EH98" s="73">
        <v>1918409</v>
      </c>
      <c r="EI98" s="73">
        <v>-2459114</v>
      </c>
      <c r="EJ98" s="73">
        <v>1569515</v>
      </c>
      <c r="EK98" s="73">
        <v>8630704</v>
      </c>
      <c r="EL98" s="73">
        <v>17415482.035006635</v>
      </c>
      <c r="EM98" s="73">
        <v>146662.39469333453</v>
      </c>
      <c r="EN98" s="73">
        <v>17920082.479359135</v>
      </c>
      <c r="EO98" s="73">
        <v>271956.0087659547</v>
      </c>
      <c r="EP98" s="73">
        <v>18917745.171745099</v>
      </c>
      <c r="EQ98" s="73">
        <v>398064.82971813384</v>
      </c>
      <c r="ER98" s="73">
        <v>20367484.059989288</v>
      </c>
      <c r="ES98" s="73">
        <v>501913.97860313137</v>
      </c>
      <c r="ET98" s="73">
        <v>21477247</v>
      </c>
      <c r="EU98" s="73">
        <v>806307</v>
      </c>
      <c r="EV98" s="73">
        <v>22443523</v>
      </c>
      <c r="EW98" s="73">
        <v>74332</v>
      </c>
      <c r="EX98" s="73">
        <v>23565167</v>
      </c>
      <c r="EY98" s="73">
        <v>-102568</v>
      </c>
      <c r="EZ98" s="73">
        <v>24562390</v>
      </c>
      <c r="FA98" s="73">
        <v>-18274</v>
      </c>
      <c r="FB98" s="73">
        <v>25772231</v>
      </c>
      <c r="FC98" s="73">
        <v>522946</v>
      </c>
      <c r="FD98" s="73">
        <v>27049052</v>
      </c>
      <c r="FE98" s="73">
        <v>557231</v>
      </c>
      <c r="FF98" s="73">
        <v>29323839</v>
      </c>
      <c r="FG98" s="73">
        <v>735109</v>
      </c>
      <c r="FH98" s="73">
        <v>4007290</v>
      </c>
      <c r="FI98" s="73">
        <v>4930908</v>
      </c>
      <c r="FJ98" s="79">
        <v>5323693</v>
      </c>
      <c r="FK98" s="80">
        <v>17526079</v>
      </c>
      <c r="FL98" s="80">
        <v>6854306</v>
      </c>
      <c r="FM98" s="80">
        <v>7739148</v>
      </c>
      <c r="FN98" s="76">
        <v>471498</v>
      </c>
      <c r="FO98" s="80">
        <v>15365152</v>
      </c>
      <c r="FP98" s="80">
        <v>1189002</v>
      </c>
      <c r="FQ98" s="80">
        <v>971068</v>
      </c>
      <c r="FR98" s="80">
        <v>1795977</v>
      </c>
      <c r="FS98" s="81">
        <v>-2466166</v>
      </c>
      <c r="FT98" s="76">
        <v>1658956</v>
      </c>
      <c r="FU98" s="76">
        <v>9783492</v>
      </c>
      <c r="FV98" s="76">
        <v>2466166</v>
      </c>
      <c r="FW98" s="80">
        <v>30565058</v>
      </c>
      <c r="FX98" s="80">
        <v>288392</v>
      </c>
      <c r="FY98" s="73">
        <v>5347269</v>
      </c>
      <c r="FZ98" s="73">
        <v>18266294</v>
      </c>
      <c r="GA98" s="73">
        <v>7394694</v>
      </c>
      <c r="GB98" s="73">
        <v>8285349</v>
      </c>
      <c r="GC98" s="73">
        <v>1367712</v>
      </c>
      <c r="GD98" s="73">
        <v>15690676</v>
      </c>
      <c r="GE98" s="73">
        <v>1407162</v>
      </c>
      <c r="GF98" s="73">
        <v>1167652</v>
      </c>
      <c r="GG98" s="73">
        <v>2465988</v>
      </c>
      <c r="GH98" s="73">
        <v>-1081354</v>
      </c>
      <c r="GI98" s="73">
        <v>1696228</v>
      </c>
      <c r="GJ98" s="73">
        <v>10459031</v>
      </c>
      <c r="GK98" s="73">
        <v>1081354</v>
      </c>
      <c r="GL98" s="73">
        <v>31765384</v>
      </c>
      <c r="GM98" s="73">
        <v>1837457</v>
      </c>
      <c r="GN98" s="73">
        <v>7005659</v>
      </c>
      <c r="GO98" s="77">
        <v>18.97</v>
      </c>
      <c r="GP98" s="78">
        <v>5372913</v>
      </c>
      <c r="GQ98" s="73">
        <v>18973738</v>
      </c>
      <c r="GR98" s="65">
        <v>7621841</v>
      </c>
      <c r="GS98" s="65">
        <v>8732777</v>
      </c>
      <c r="GT98" s="65">
        <v>331490</v>
      </c>
      <c r="GU98" s="65">
        <v>16127866</v>
      </c>
      <c r="GV98" s="65">
        <v>1645217</v>
      </c>
      <c r="GW98" s="65">
        <v>1199955</v>
      </c>
      <c r="GX98" s="73">
        <v>2054472</v>
      </c>
      <c r="GY98" s="65">
        <v>-2640768</v>
      </c>
      <c r="GZ98" s="65">
        <v>1745335</v>
      </c>
      <c r="HA98" s="65">
        <v>10947669</v>
      </c>
      <c r="HB98" s="65">
        <v>2640768</v>
      </c>
      <c r="HC98" s="65">
        <v>33460309</v>
      </c>
      <c r="HD98" s="65">
        <v>465969</v>
      </c>
      <c r="HE98" s="78">
        <v>5398173</v>
      </c>
      <c r="HF98" s="73">
        <v>19228651</v>
      </c>
      <c r="HG98" s="65">
        <v>8031581</v>
      </c>
      <c r="HH98" s="65">
        <v>9056776</v>
      </c>
      <c r="HI98" s="65">
        <v>594615</v>
      </c>
      <c r="HJ98" s="65">
        <v>16754413</v>
      </c>
      <c r="HK98" s="65">
        <v>1205379</v>
      </c>
      <c r="HL98" s="65">
        <v>1268178</v>
      </c>
      <c r="HM98" s="73">
        <v>1340812</v>
      </c>
      <c r="HN98" s="65">
        <v>-2719195</v>
      </c>
      <c r="HO98" s="65">
        <v>1891826</v>
      </c>
      <c r="HP98" s="65">
        <v>12212446</v>
      </c>
      <c r="HQ98" s="65">
        <v>2719195</v>
      </c>
      <c r="HR98" s="65">
        <v>35283938</v>
      </c>
      <c r="HS98" s="65">
        <v>-283917</v>
      </c>
      <c r="HT98" s="65">
        <v>6571755</v>
      </c>
      <c r="HU98" s="77">
        <v>19.260000000000002</v>
      </c>
      <c r="HV98" s="180"/>
    </row>
    <row r="99" spans="1:231" ht="15" x14ac:dyDescent="0.25">
      <c r="A99" s="27">
        <v>273</v>
      </c>
      <c r="B99" s="27" t="s">
        <v>227</v>
      </c>
      <c r="C99" s="27">
        <v>19</v>
      </c>
      <c r="D99" s="27" t="s">
        <v>113</v>
      </c>
      <c r="E99" s="27">
        <v>2</v>
      </c>
      <c r="F99" s="27" t="s">
        <v>744</v>
      </c>
      <c r="G99" s="29" t="s">
        <v>130</v>
      </c>
      <c r="H99" s="27" t="s">
        <v>98</v>
      </c>
      <c r="I99" s="31" t="s">
        <v>113</v>
      </c>
      <c r="J99" s="69">
        <v>4118</v>
      </c>
      <c r="K99" s="69">
        <v>4061</v>
      </c>
      <c r="L99" s="36">
        <v>3981</v>
      </c>
      <c r="M99" s="36">
        <v>3908</v>
      </c>
      <c r="N99" s="36">
        <v>3911</v>
      </c>
      <c r="O99" s="36">
        <v>3871</v>
      </c>
      <c r="P99" s="36">
        <v>3862</v>
      </c>
      <c r="Q99" s="36">
        <v>3828</v>
      </c>
      <c r="R99" s="69">
        <v>3792</v>
      </c>
      <c r="S99" s="69">
        <v>3796</v>
      </c>
      <c r="T99" s="71">
        <v>3860</v>
      </c>
      <c r="U99" s="36">
        <v>8580</v>
      </c>
      <c r="V99" s="36">
        <v>6263</v>
      </c>
      <c r="W99" s="36">
        <v>3141</v>
      </c>
      <c r="X99" s="36">
        <v>175.92457107874054</v>
      </c>
      <c r="Y99" s="36">
        <v>8156</v>
      </c>
      <c r="Z99" s="36">
        <v>5948</v>
      </c>
      <c r="AA99" s="36">
        <v>2946</v>
      </c>
      <c r="AB99" s="36">
        <v>135.5594687279779</v>
      </c>
      <c r="AC99" s="36">
        <v>7531</v>
      </c>
      <c r="AD99" s="36">
        <v>5560</v>
      </c>
      <c r="AE99" s="36">
        <v>3028</v>
      </c>
      <c r="AF99" s="36">
        <v>121.09530705228794</v>
      </c>
      <c r="AG99" s="36">
        <v>8196</v>
      </c>
      <c r="AH99" s="36">
        <v>7296</v>
      </c>
      <c r="AI99" s="36">
        <v>2884</v>
      </c>
      <c r="AJ99" s="36">
        <v>77.702822025218097</v>
      </c>
      <c r="AK99" s="36">
        <v>8248</v>
      </c>
      <c r="AL99" s="36">
        <v>7909</v>
      </c>
      <c r="AM99" s="36">
        <v>2987</v>
      </c>
      <c r="AN99" s="36">
        <v>127</v>
      </c>
      <c r="AO99" s="36">
        <v>8237</v>
      </c>
      <c r="AP99" s="36">
        <v>8371</v>
      </c>
      <c r="AQ99" s="36">
        <v>2747</v>
      </c>
      <c r="AR99" s="36">
        <v>864</v>
      </c>
      <c r="AS99" s="36">
        <v>8426</v>
      </c>
      <c r="AT99" s="36">
        <v>7632</v>
      </c>
      <c r="AU99" s="36">
        <v>3032</v>
      </c>
      <c r="AV99" s="36">
        <v>403</v>
      </c>
      <c r="AW99" s="36">
        <v>9124</v>
      </c>
      <c r="AX99" s="69">
        <v>8299</v>
      </c>
      <c r="AY99" s="36">
        <v>3451</v>
      </c>
      <c r="AZ99" s="36">
        <v>657</v>
      </c>
      <c r="BA99" s="36">
        <v>9400</v>
      </c>
      <c r="BB99" s="36">
        <v>7653</v>
      </c>
      <c r="BC99" s="36">
        <v>3435</v>
      </c>
      <c r="BD99" s="36">
        <v>374</v>
      </c>
      <c r="BE99" s="70">
        <v>10042</v>
      </c>
      <c r="BF99" s="70">
        <v>8071</v>
      </c>
      <c r="BG99" s="70">
        <v>3881</v>
      </c>
      <c r="BH99" s="70">
        <v>1261</v>
      </c>
      <c r="BI99" s="36">
        <v>11542</v>
      </c>
      <c r="BJ99" s="36">
        <v>8888</v>
      </c>
      <c r="BK99" s="36">
        <v>3867</v>
      </c>
      <c r="BL99" s="36">
        <v>1182</v>
      </c>
      <c r="BM99" s="36">
        <v>5917.0194408424195</v>
      </c>
      <c r="BN99" s="36">
        <v>1952.8300141446045</v>
      </c>
      <c r="BO99" s="36">
        <v>710.08942552049962</v>
      </c>
      <c r="BP99" s="36">
        <v>5987.1538061768697</v>
      </c>
      <c r="BQ99" s="36">
        <v>1474.8399271409903</v>
      </c>
      <c r="BR99" s="36">
        <v>693.60700872727148</v>
      </c>
      <c r="BS99" s="36">
        <v>5435.4974073831136</v>
      </c>
      <c r="BT99" s="36">
        <v>1413.1149581296156</v>
      </c>
      <c r="BU99" s="36">
        <v>682.17022972788868</v>
      </c>
      <c r="BV99" s="36">
        <v>6599</v>
      </c>
      <c r="BW99" s="36">
        <v>747</v>
      </c>
      <c r="BX99" s="36">
        <v>850</v>
      </c>
      <c r="BY99" s="36">
        <v>6885</v>
      </c>
      <c r="BZ99" s="36">
        <v>328</v>
      </c>
      <c r="CA99" s="36">
        <v>1035</v>
      </c>
      <c r="CB99" s="36">
        <v>6932</v>
      </c>
      <c r="CC99" s="36">
        <v>207</v>
      </c>
      <c r="CD99" s="36">
        <v>1098</v>
      </c>
      <c r="CE99" s="36">
        <v>6956</v>
      </c>
      <c r="CF99" s="36">
        <v>289</v>
      </c>
      <c r="CG99" s="36">
        <v>1181</v>
      </c>
      <c r="CH99" s="36">
        <v>7433</v>
      </c>
      <c r="CI99" s="36">
        <v>404</v>
      </c>
      <c r="CJ99" s="70">
        <v>1287</v>
      </c>
      <c r="CK99" s="70">
        <v>7473</v>
      </c>
      <c r="CL99" s="70">
        <v>452</v>
      </c>
      <c r="CM99" s="36">
        <v>1475</v>
      </c>
      <c r="CN99" s="36">
        <v>7779</v>
      </c>
      <c r="CO99" s="36">
        <v>554</v>
      </c>
      <c r="CP99" s="36">
        <v>1709</v>
      </c>
      <c r="CQ99" s="36">
        <v>8805</v>
      </c>
      <c r="CR99" s="36">
        <v>566</v>
      </c>
      <c r="CS99" s="36">
        <v>2171</v>
      </c>
      <c r="CT99" s="36">
        <v>526.09183397160655</v>
      </c>
      <c r="CU99" s="36">
        <v>-1023.928096</v>
      </c>
      <c r="CV99" s="36">
        <v>634.57304653928111</v>
      </c>
      <c r="CW99" s="36">
        <v>2242</v>
      </c>
      <c r="CX99" s="36">
        <v>-194.25705506304524</v>
      </c>
      <c r="CY99" s="36">
        <v>-1830.72558</v>
      </c>
      <c r="CZ99" s="36">
        <v>951.43909999276786</v>
      </c>
      <c r="DA99" s="36">
        <v>3476</v>
      </c>
      <c r="DB99" s="36">
        <v>-2237.7403615704043</v>
      </c>
      <c r="DC99" s="36">
        <v>-1104.6583009999999</v>
      </c>
      <c r="DD99" s="36">
        <v>652.56915467066278</v>
      </c>
      <c r="DE99" s="36">
        <v>6744</v>
      </c>
      <c r="DF99" s="36">
        <v>-474.62632847438414</v>
      </c>
      <c r="DG99" s="36">
        <v>-2620</v>
      </c>
      <c r="DH99" s="36">
        <v>731.78566803403453</v>
      </c>
      <c r="DI99" s="36">
        <v>8410</v>
      </c>
      <c r="DJ99" s="36">
        <v>979</v>
      </c>
      <c r="DK99" s="36">
        <v>-601</v>
      </c>
      <c r="DL99" s="36">
        <v>704</v>
      </c>
      <c r="DM99" s="36">
        <v>9482</v>
      </c>
      <c r="DN99" s="36">
        <v>1047</v>
      </c>
      <c r="DO99" s="69">
        <v>-855</v>
      </c>
      <c r="DP99" s="36">
        <v>682</v>
      </c>
      <c r="DQ99" s="36">
        <v>8257</v>
      </c>
      <c r="DR99" s="36">
        <v>-314</v>
      </c>
      <c r="DS99" s="36">
        <v>-1950</v>
      </c>
      <c r="DT99" s="36">
        <v>661</v>
      </c>
      <c r="DU99" s="36">
        <v>9523</v>
      </c>
      <c r="DV99" s="36">
        <v>864</v>
      </c>
      <c r="DW99" s="71">
        <v>539</v>
      </c>
      <c r="DX99" s="39">
        <v>648</v>
      </c>
      <c r="DY99" s="71">
        <v>10077</v>
      </c>
      <c r="DZ99" s="70">
        <v>-556</v>
      </c>
      <c r="EA99" s="35">
        <v>-875</v>
      </c>
      <c r="EB99" s="35">
        <v>690</v>
      </c>
      <c r="EC99" s="38">
        <v>8741</v>
      </c>
      <c r="ED99" s="38">
        <v>352</v>
      </c>
      <c r="EE99" s="38">
        <v>-719</v>
      </c>
      <c r="EF99" s="38">
        <v>692</v>
      </c>
      <c r="EG99" s="73">
        <v>9386</v>
      </c>
      <c r="EH99" s="73">
        <v>1805</v>
      </c>
      <c r="EI99" s="73">
        <v>-1371</v>
      </c>
      <c r="EJ99" s="73">
        <v>825</v>
      </c>
      <c r="EK99" s="73">
        <v>8373</v>
      </c>
      <c r="EL99" s="73">
        <v>16686.260560099432</v>
      </c>
      <c r="EM99" s="73">
        <v>-82.412083966140401</v>
      </c>
      <c r="EN99" s="73">
        <v>16522.277331799458</v>
      </c>
      <c r="EO99" s="73">
        <v>-840.09869267524755</v>
      </c>
      <c r="EP99" s="73">
        <v>17529.386635450988</v>
      </c>
      <c r="EQ99" s="73">
        <v>-3056.6473755115017</v>
      </c>
      <c r="ER99" s="73">
        <v>17826.070137729093</v>
      </c>
      <c r="ES99" s="73">
        <v>-471.09438201869239</v>
      </c>
      <c r="ET99" s="73">
        <v>18003</v>
      </c>
      <c r="EU99" s="73">
        <v>631</v>
      </c>
      <c r="EV99" s="73">
        <v>18000</v>
      </c>
      <c r="EW99" s="73">
        <v>1157</v>
      </c>
      <c r="EX99" s="73">
        <v>19275</v>
      </c>
      <c r="EY99" s="73">
        <v>-626</v>
      </c>
      <c r="EZ99" s="73">
        <v>19879</v>
      </c>
      <c r="FA99" s="73">
        <v>787</v>
      </c>
      <c r="FB99" s="73">
        <v>20801</v>
      </c>
      <c r="FC99" s="73">
        <v>-852</v>
      </c>
      <c r="FD99" s="73">
        <v>21327</v>
      </c>
      <c r="FE99" s="73">
        <v>826</v>
      </c>
      <c r="FF99" s="73">
        <v>22106</v>
      </c>
      <c r="FG99" s="73">
        <v>2182</v>
      </c>
      <c r="FH99" s="73">
        <v>-1778</v>
      </c>
      <c r="FI99" s="73">
        <v>404</v>
      </c>
      <c r="FJ99" s="79">
        <v>3854</v>
      </c>
      <c r="FK99" s="80">
        <v>11981</v>
      </c>
      <c r="FL99" s="80">
        <v>9215</v>
      </c>
      <c r="FM99" s="80">
        <v>4017</v>
      </c>
      <c r="FN99" s="76">
        <v>221</v>
      </c>
      <c r="FO99" s="80">
        <v>9053</v>
      </c>
      <c r="FP99" s="80">
        <v>467</v>
      </c>
      <c r="FQ99" s="80">
        <v>2461</v>
      </c>
      <c r="FR99" s="80">
        <v>1443</v>
      </c>
      <c r="FS99" s="81">
        <v>-2056</v>
      </c>
      <c r="FT99" s="76">
        <v>939</v>
      </c>
      <c r="FU99" s="76">
        <v>8817</v>
      </c>
      <c r="FV99" s="76">
        <v>2056</v>
      </c>
      <c r="FW99" s="80">
        <v>23630</v>
      </c>
      <c r="FX99" s="80">
        <v>669</v>
      </c>
      <c r="FY99" s="73">
        <v>3839</v>
      </c>
      <c r="FZ99" s="73">
        <v>12415</v>
      </c>
      <c r="GA99" s="73">
        <v>10196</v>
      </c>
      <c r="GB99" s="73">
        <v>4722</v>
      </c>
      <c r="GC99" s="73">
        <v>483</v>
      </c>
      <c r="GD99" s="73">
        <v>9187</v>
      </c>
      <c r="GE99" s="73">
        <v>679</v>
      </c>
      <c r="GF99" s="73">
        <v>2549</v>
      </c>
      <c r="GG99" s="73">
        <v>2824</v>
      </c>
      <c r="GH99" s="73">
        <v>-2571</v>
      </c>
      <c r="GI99" s="73">
        <v>1034</v>
      </c>
      <c r="GJ99" s="73">
        <v>9277</v>
      </c>
      <c r="GK99" s="73">
        <v>2571</v>
      </c>
      <c r="GL99" s="73">
        <v>24408</v>
      </c>
      <c r="GM99" s="73">
        <v>1106</v>
      </c>
      <c r="GN99" s="73">
        <v>2180</v>
      </c>
      <c r="GO99" s="77">
        <v>20</v>
      </c>
      <c r="GP99" s="78">
        <v>3836</v>
      </c>
      <c r="GQ99" s="73">
        <v>12933</v>
      </c>
      <c r="GR99" s="73">
        <v>9997</v>
      </c>
      <c r="GS99" s="65">
        <v>4375</v>
      </c>
      <c r="GT99" s="65">
        <v>224</v>
      </c>
      <c r="GU99" s="65">
        <v>9504</v>
      </c>
      <c r="GV99" s="73">
        <v>787</v>
      </c>
      <c r="GW99" s="73">
        <v>2642</v>
      </c>
      <c r="GX99" s="65">
        <v>1916</v>
      </c>
      <c r="GY99" s="65">
        <v>-4039</v>
      </c>
      <c r="GZ99" s="65">
        <v>1105</v>
      </c>
      <c r="HA99" s="65">
        <v>9386</v>
      </c>
      <c r="HB99" s="65">
        <v>4039</v>
      </c>
      <c r="HC99" s="65">
        <v>25241</v>
      </c>
      <c r="HD99" s="73">
        <v>994</v>
      </c>
      <c r="HE99" s="78">
        <v>3853</v>
      </c>
      <c r="HF99" s="73">
        <v>12774</v>
      </c>
      <c r="HG99" s="73">
        <v>11386</v>
      </c>
      <c r="HH99" s="65">
        <v>4609</v>
      </c>
      <c r="HI99" s="65">
        <v>41</v>
      </c>
      <c r="HJ99" s="65">
        <v>9562</v>
      </c>
      <c r="HK99" s="73">
        <v>499</v>
      </c>
      <c r="HL99" s="73">
        <v>2713</v>
      </c>
      <c r="HM99" s="65">
        <v>1262</v>
      </c>
      <c r="HN99" s="65">
        <v>-3242</v>
      </c>
      <c r="HO99" s="65">
        <v>1273</v>
      </c>
      <c r="HP99" s="65">
        <v>10733</v>
      </c>
      <c r="HQ99" s="65">
        <v>3242</v>
      </c>
      <c r="HR99" s="65">
        <v>27334</v>
      </c>
      <c r="HS99" s="65">
        <v>14</v>
      </c>
      <c r="HT99" s="65">
        <v>3183</v>
      </c>
      <c r="HU99" s="77">
        <v>20</v>
      </c>
      <c r="HV99" s="180">
        <v>320</v>
      </c>
      <c r="HW99" s="30" t="s">
        <v>759</v>
      </c>
    </row>
    <row r="100" spans="1:231" ht="15" x14ac:dyDescent="0.25">
      <c r="A100" s="27">
        <v>275</v>
      </c>
      <c r="B100" s="27" t="s">
        <v>228</v>
      </c>
      <c r="C100" s="27">
        <v>13</v>
      </c>
      <c r="D100" s="27" t="s">
        <v>111</v>
      </c>
      <c r="E100" s="27">
        <v>2</v>
      </c>
      <c r="F100" s="27" t="s">
        <v>744</v>
      </c>
      <c r="G100" s="29" t="s">
        <v>130</v>
      </c>
      <c r="H100" s="27" t="s">
        <v>98</v>
      </c>
      <c r="I100" s="31" t="s">
        <v>111</v>
      </c>
      <c r="J100" s="69">
        <v>3288</v>
      </c>
      <c r="K100" s="69">
        <v>3259</v>
      </c>
      <c r="L100" s="36">
        <v>3217</v>
      </c>
      <c r="M100" s="36">
        <v>3218</v>
      </c>
      <c r="N100" s="36">
        <v>3197</v>
      </c>
      <c r="O100" s="36">
        <v>3175</v>
      </c>
      <c r="P100" s="36">
        <v>3154</v>
      </c>
      <c r="Q100" s="36">
        <v>3099</v>
      </c>
      <c r="R100" s="69">
        <v>3057</v>
      </c>
      <c r="S100" s="69">
        <v>3027</v>
      </c>
      <c r="T100" s="71">
        <v>2978</v>
      </c>
      <c r="U100" s="36">
        <v>6028</v>
      </c>
      <c r="V100" s="36">
        <v>3593</v>
      </c>
      <c r="W100" s="36">
        <v>2104</v>
      </c>
      <c r="X100" s="36">
        <v>158.60121465320489</v>
      </c>
      <c r="Y100" s="36">
        <v>5741</v>
      </c>
      <c r="Z100" s="36">
        <v>3667</v>
      </c>
      <c r="AA100" s="36">
        <v>2639</v>
      </c>
      <c r="AB100" s="36">
        <v>179.96108131381681</v>
      </c>
      <c r="AC100" s="36">
        <v>5782</v>
      </c>
      <c r="AD100" s="36">
        <v>3760</v>
      </c>
      <c r="AE100" s="36">
        <v>2345</v>
      </c>
      <c r="AF100" s="36">
        <v>102.59463514152172</v>
      </c>
      <c r="AG100" s="36">
        <v>5773</v>
      </c>
      <c r="AH100" s="36">
        <v>4320</v>
      </c>
      <c r="AI100" s="36">
        <v>2594</v>
      </c>
      <c r="AJ100" s="36">
        <v>122.104434611057</v>
      </c>
      <c r="AK100" s="36">
        <v>5734</v>
      </c>
      <c r="AL100" s="36">
        <v>4663</v>
      </c>
      <c r="AM100" s="36">
        <v>2642</v>
      </c>
      <c r="AN100" s="36">
        <v>85</v>
      </c>
      <c r="AO100" s="36">
        <v>5585</v>
      </c>
      <c r="AP100" s="36">
        <v>5434</v>
      </c>
      <c r="AQ100" s="36">
        <v>3181</v>
      </c>
      <c r="AR100" s="36">
        <v>210</v>
      </c>
      <c r="AS100" s="36">
        <v>5688</v>
      </c>
      <c r="AT100" s="36">
        <v>5741</v>
      </c>
      <c r="AU100" s="36">
        <v>2820</v>
      </c>
      <c r="AV100" s="36">
        <v>212</v>
      </c>
      <c r="AW100" s="36">
        <v>5831</v>
      </c>
      <c r="AX100" s="69">
        <v>6066</v>
      </c>
      <c r="AY100" s="36">
        <v>2944</v>
      </c>
      <c r="AZ100" s="36">
        <v>217</v>
      </c>
      <c r="BA100" s="36">
        <v>6323</v>
      </c>
      <c r="BB100" s="36">
        <v>6624</v>
      </c>
      <c r="BC100" s="36">
        <v>2630</v>
      </c>
      <c r="BD100" s="36">
        <v>78</v>
      </c>
      <c r="BE100" s="70">
        <v>6608</v>
      </c>
      <c r="BF100" s="70">
        <v>6681</v>
      </c>
      <c r="BG100" s="70">
        <v>2932</v>
      </c>
      <c r="BH100" s="70">
        <v>114</v>
      </c>
      <c r="BI100" s="36">
        <v>6927</v>
      </c>
      <c r="BJ100" s="36">
        <v>7109</v>
      </c>
      <c r="BK100" s="36">
        <v>3031</v>
      </c>
      <c r="BL100" s="36">
        <v>110</v>
      </c>
      <c r="BM100" s="36">
        <v>4157.1009783491681</v>
      </c>
      <c r="BN100" s="36">
        <v>1647.232551764039</v>
      </c>
      <c r="BO100" s="36">
        <v>223.85813012027117</v>
      </c>
      <c r="BP100" s="36">
        <v>4183.5064828036257</v>
      </c>
      <c r="BQ100" s="36">
        <v>1329.5255586782446</v>
      </c>
      <c r="BR100" s="36">
        <v>228.06282828180898</v>
      </c>
      <c r="BS100" s="36">
        <v>3993.1177500491949</v>
      </c>
      <c r="BT100" s="36">
        <v>1561.4567092686684</v>
      </c>
      <c r="BU100" s="36">
        <v>227.39007657596292</v>
      </c>
      <c r="BV100" s="36">
        <v>4571</v>
      </c>
      <c r="BW100" s="36">
        <v>959</v>
      </c>
      <c r="BX100" s="36">
        <v>244</v>
      </c>
      <c r="BY100" s="36">
        <v>5038</v>
      </c>
      <c r="BZ100" s="36">
        <v>447</v>
      </c>
      <c r="CA100" s="36">
        <v>249</v>
      </c>
      <c r="CB100" s="36">
        <v>4932</v>
      </c>
      <c r="CC100" s="36">
        <v>404</v>
      </c>
      <c r="CD100" s="36">
        <v>249</v>
      </c>
      <c r="CE100" s="36">
        <v>4949</v>
      </c>
      <c r="CF100" s="36">
        <v>442</v>
      </c>
      <c r="CG100" s="36">
        <v>297</v>
      </c>
      <c r="CH100" s="36">
        <v>4896</v>
      </c>
      <c r="CI100" s="36">
        <v>628</v>
      </c>
      <c r="CJ100" s="70">
        <v>307</v>
      </c>
      <c r="CK100" s="70">
        <v>5231</v>
      </c>
      <c r="CL100" s="70">
        <v>775</v>
      </c>
      <c r="CM100" s="36">
        <v>317</v>
      </c>
      <c r="CN100" s="36">
        <v>5458</v>
      </c>
      <c r="CO100" s="36">
        <v>823</v>
      </c>
      <c r="CP100" s="36">
        <v>327</v>
      </c>
      <c r="CQ100" s="36">
        <v>5801</v>
      </c>
      <c r="CR100" s="36">
        <v>726</v>
      </c>
      <c r="CS100" s="36">
        <v>400</v>
      </c>
      <c r="CT100" s="36">
        <v>678.13371949281247</v>
      </c>
      <c r="CU100" s="36">
        <v>-735.99036620000004</v>
      </c>
      <c r="CV100" s="36">
        <v>397.42807022855055</v>
      </c>
      <c r="CW100" s="36">
        <v>1334</v>
      </c>
      <c r="CX100" s="36">
        <v>234.45396948734634</v>
      </c>
      <c r="CY100" s="36">
        <v>1372.581668</v>
      </c>
      <c r="CZ100" s="36">
        <v>393.72793584639732</v>
      </c>
      <c r="DA100" s="36">
        <v>719</v>
      </c>
      <c r="DB100" s="36">
        <v>-265.73692380918743</v>
      </c>
      <c r="DC100" s="36">
        <v>-571.16619830000002</v>
      </c>
      <c r="DD100" s="36">
        <v>418.45156103623947</v>
      </c>
      <c r="DE100" s="36">
        <v>901</v>
      </c>
      <c r="DF100" s="36">
        <v>-131.35477056644012</v>
      </c>
      <c r="DG100" s="36">
        <v>-329</v>
      </c>
      <c r="DH100" s="36">
        <v>423.16082297716173</v>
      </c>
      <c r="DI100" s="36">
        <v>1229</v>
      </c>
      <c r="DJ100" s="36">
        <v>658</v>
      </c>
      <c r="DK100" s="36">
        <v>-370</v>
      </c>
      <c r="DL100" s="36">
        <v>429</v>
      </c>
      <c r="DM100" s="36">
        <v>1286</v>
      </c>
      <c r="DN100" s="36">
        <v>1151</v>
      </c>
      <c r="DO100" s="69">
        <v>-705</v>
      </c>
      <c r="DP100" s="36">
        <v>449</v>
      </c>
      <c r="DQ100" s="36">
        <v>712</v>
      </c>
      <c r="DR100" s="36">
        <v>776</v>
      </c>
      <c r="DS100" s="36">
        <v>-1098</v>
      </c>
      <c r="DT100" s="36">
        <v>482</v>
      </c>
      <c r="DU100" s="36">
        <v>863</v>
      </c>
      <c r="DV100" s="36">
        <v>260</v>
      </c>
      <c r="DW100" s="71">
        <v>-1331</v>
      </c>
      <c r="DX100" s="39">
        <v>500</v>
      </c>
      <c r="DY100" s="71">
        <v>2609</v>
      </c>
      <c r="DZ100" s="70">
        <v>630</v>
      </c>
      <c r="EA100" s="35">
        <v>-3244</v>
      </c>
      <c r="EB100" s="35">
        <v>543</v>
      </c>
      <c r="EC100" s="38">
        <v>4462</v>
      </c>
      <c r="ED100" s="38">
        <v>593</v>
      </c>
      <c r="EE100" s="38">
        <v>-560</v>
      </c>
      <c r="EF100" s="38">
        <v>409</v>
      </c>
      <c r="EG100" s="73">
        <v>4838</v>
      </c>
      <c r="EH100" s="73">
        <v>577</v>
      </c>
      <c r="EI100" s="73">
        <v>-426</v>
      </c>
      <c r="EJ100" s="73">
        <v>561</v>
      </c>
      <c r="EK100" s="73">
        <v>3886</v>
      </c>
      <c r="EL100" s="73">
        <v>10507.540705682901</v>
      </c>
      <c r="EM100" s="73">
        <v>280.70564926426192</v>
      </c>
      <c r="EN100" s="73">
        <v>11308.619799419079</v>
      </c>
      <c r="EO100" s="73">
        <v>1243.2451524034896</v>
      </c>
      <c r="EP100" s="73">
        <v>11597.230281227032</v>
      </c>
      <c r="EQ100" s="73">
        <v>-740.69962813649454</v>
      </c>
      <c r="ER100" s="73">
        <v>12152.418626476481</v>
      </c>
      <c r="ES100" s="73">
        <v>-495.98619513499602</v>
      </c>
      <c r="ET100" s="73">
        <v>12277</v>
      </c>
      <c r="EU100" s="73">
        <v>193</v>
      </c>
      <c r="EV100" s="73">
        <v>13224</v>
      </c>
      <c r="EW100" s="73">
        <v>760</v>
      </c>
      <c r="EX100" s="73">
        <v>13532</v>
      </c>
      <c r="EY100" s="73">
        <v>378</v>
      </c>
      <c r="EZ100" s="73">
        <v>14730</v>
      </c>
      <c r="FA100" s="73">
        <v>-253</v>
      </c>
      <c r="FB100" s="73">
        <v>14969</v>
      </c>
      <c r="FC100" s="73">
        <v>87</v>
      </c>
      <c r="FD100" s="73">
        <v>15499</v>
      </c>
      <c r="FE100" s="73">
        <v>184</v>
      </c>
      <c r="FF100" s="73">
        <v>16470</v>
      </c>
      <c r="FG100" s="73">
        <v>16</v>
      </c>
      <c r="FH100" s="73">
        <v>3596</v>
      </c>
      <c r="FI100" s="73">
        <v>3622</v>
      </c>
      <c r="FJ100" s="79">
        <v>2971</v>
      </c>
      <c r="FK100" s="80">
        <v>7033</v>
      </c>
      <c r="FL100" s="80">
        <v>7735</v>
      </c>
      <c r="FM100" s="80">
        <v>3217</v>
      </c>
      <c r="FN100" s="76">
        <v>175</v>
      </c>
      <c r="FO100" s="80">
        <v>6009</v>
      </c>
      <c r="FP100" s="80">
        <v>594</v>
      </c>
      <c r="FQ100" s="80">
        <v>430</v>
      </c>
      <c r="FR100" s="80">
        <v>1515</v>
      </c>
      <c r="FS100" s="81">
        <v>-373</v>
      </c>
      <c r="FT100" s="76">
        <v>604</v>
      </c>
      <c r="FU100" s="76">
        <v>3974</v>
      </c>
      <c r="FV100" s="76">
        <v>373</v>
      </c>
      <c r="FW100" s="80">
        <v>16539</v>
      </c>
      <c r="FX100" s="80">
        <v>911</v>
      </c>
      <c r="FY100" s="73">
        <v>2963</v>
      </c>
      <c r="FZ100" s="73">
        <v>7029</v>
      </c>
      <c r="GA100" s="73">
        <v>7998</v>
      </c>
      <c r="GB100" s="73">
        <v>3687</v>
      </c>
      <c r="GC100" s="73">
        <v>137</v>
      </c>
      <c r="GD100" s="73">
        <v>5782</v>
      </c>
      <c r="GE100" s="73">
        <v>751</v>
      </c>
      <c r="GF100" s="73">
        <v>496</v>
      </c>
      <c r="GG100" s="73">
        <v>1601</v>
      </c>
      <c r="GH100" s="73">
        <v>-312</v>
      </c>
      <c r="GI100" s="73">
        <v>592</v>
      </c>
      <c r="GJ100" s="73">
        <v>3466</v>
      </c>
      <c r="GK100" s="73">
        <v>312</v>
      </c>
      <c r="GL100" s="73">
        <v>17172</v>
      </c>
      <c r="GM100" s="73">
        <v>1009</v>
      </c>
      <c r="GN100" s="73">
        <v>5542</v>
      </c>
      <c r="GO100" s="77">
        <v>19.5</v>
      </c>
      <c r="GP100" s="78">
        <v>2924</v>
      </c>
      <c r="GQ100" s="73">
        <v>7322</v>
      </c>
      <c r="GR100" s="65">
        <v>8262</v>
      </c>
      <c r="GS100" s="65">
        <v>3066</v>
      </c>
      <c r="GT100" s="65">
        <v>95</v>
      </c>
      <c r="GU100" s="65">
        <v>6039</v>
      </c>
      <c r="GV100" s="65">
        <v>782</v>
      </c>
      <c r="GW100" s="65">
        <v>501</v>
      </c>
      <c r="GX100" s="65">
        <v>624</v>
      </c>
      <c r="GY100" s="65">
        <v>-538</v>
      </c>
      <c r="GZ100" s="65">
        <v>520</v>
      </c>
      <c r="HA100" s="65">
        <v>2570</v>
      </c>
      <c r="HB100" s="65">
        <v>538</v>
      </c>
      <c r="HC100" s="65">
        <v>18066</v>
      </c>
      <c r="HD100" s="65">
        <v>104</v>
      </c>
      <c r="HE100" s="78">
        <v>2904</v>
      </c>
      <c r="HF100" s="73">
        <v>7358</v>
      </c>
      <c r="HG100" s="65">
        <v>8492</v>
      </c>
      <c r="HH100" s="65">
        <v>3505</v>
      </c>
      <c r="HI100" s="65">
        <v>133</v>
      </c>
      <c r="HJ100" s="65">
        <v>6312</v>
      </c>
      <c r="HK100" s="65">
        <v>486</v>
      </c>
      <c r="HL100" s="65">
        <v>560</v>
      </c>
      <c r="HM100" s="65">
        <v>-10</v>
      </c>
      <c r="HN100" s="65">
        <v>-6833</v>
      </c>
      <c r="HO100" s="65">
        <v>603</v>
      </c>
      <c r="HP100" s="65">
        <v>9236</v>
      </c>
      <c r="HQ100" s="65">
        <v>6833</v>
      </c>
      <c r="HR100" s="65">
        <v>19381</v>
      </c>
      <c r="HS100" s="65">
        <v>-613</v>
      </c>
      <c r="HT100" s="65">
        <v>5033</v>
      </c>
      <c r="HU100" s="77">
        <v>20</v>
      </c>
      <c r="HV100" s="180">
        <v>330</v>
      </c>
      <c r="HW100" s="30" t="s">
        <v>760</v>
      </c>
    </row>
    <row r="101" spans="1:231" ht="15" x14ac:dyDescent="0.25">
      <c r="A101" s="27">
        <v>276</v>
      </c>
      <c r="B101" s="27" t="s">
        <v>229</v>
      </c>
      <c r="C101" s="27">
        <v>12</v>
      </c>
      <c r="D101" s="27" t="s">
        <v>116</v>
      </c>
      <c r="E101" s="27">
        <v>4</v>
      </c>
      <c r="F101" s="27" t="s">
        <v>100</v>
      </c>
      <c r="G101" s="29">
        <v>2</v>
      </c>
      <c r="H101" s="27" t="s">
        <v>99</v>
      </c>
      <c r="I101" s="31" t="s">
        <v>116</v>
      </c>
      <c r="J101" s="69">
        <v>11228</v>
      </c>
      <c r="K101" s="69">
        <v>11335</v>
      </c>
      <c r="L101" s="36">
        <v>11517</v>
      </c>
      <c r="M101" s="36">
        <v>11759</v>
      </c>
      <c r="N101" s="36">
        <v>11930</v>
      </c>
      <c r="O101" s="36">
        <v>12103</v>
      </c>
      <c r="P101" s="36">
        <v>12339</v>
      </c>
      <c r="Q101" s="36">
        <v>12768</v>
      </c>
      <c r="R101" s="69">
        <v>12996</v>
      </c>
      <c r="S101" s="69">
        <v>13326</v>
      </c>
      <c r="T101" s="71">
        <v>13490</v>
      </c>
      <c r="U101" s="36">
        <v>19535</v>
      </c>
      <c r="V101" s="36">
        <v>8968</v>
      </c>
      <c r="W101" s="36">
        <v>5377</v>
      </c>
      <c r="X101" s="36">
        <v>226.88551279657838</v>
      </c>
      <c r="Y101" s="36">
        <v>20133</v>
      </c>
      <c r="Z101" s="36">
        <v>9242</v>
      </c>
      <c r="AA101" s="36">
        <v>5459</v>
      </c>
      <c r="AB101" s="36">
        <v>224.86725767904025</v>
      </c>
      <c r="AC101" s="36">
        <v>20946</v>
      </c>
      <c r="AD101" s="36">
        <v>10359</v>
      </c>
      <c r="AE101" s="36">
        <v>5580</v>
      </c>
      <c r="AF101" s="36">
        <v>317.0342413799483</v>
      </c>
      <c r="AG101" s="36">
        <v>25244</v>
      </c>
      <c r="AH101" s="36">
        <v>12346</v>
      </c>
      <c r="AI101" s="36">
        <v>5959</v>
      </c>
      <c r="AJ101" s="36">
        <v>166.16967134397291</v>
      </c>
      <c r="AK101" s="36">
        <v>25532</v>
      </c>
      <c r="AL101" s="36">
        <v>12456</v>
      </c>
      <c r="AM101" s="36">
        <v>6170</v>
      </c>
      <c r="AN101" s="36">
        <v>321</v>
      </c>
      <c r="AO101" s="36">
        <v>25436</v>
      </c>
      <c r="AP101" s="36">
        <v>13495</v>
      </c>
      <c r="AQ101" s="36">
        <v>6124</v>
      </c>
      <c r="AR101" s="36">
        <v>422</v>
      </c>
      <c r="AS101" s="36">
        <v>26293</v>
      </c>
      <c r="AT101" s="36">
        <v>13978</v>
      </c>
      <c r="AU101" s="36">
        <v>7009</v>
      </c>
      <c r="AV101" s="36">
        <v>435</v>
      </c>
      <c r="AW101" s="36">
        <v>27790</v>
      </c>
      <c r="AX101" s="69">
        <v>14862</v>
      </c>
      <c r="AY101" s="36">
        <v>8252</v>
      </c>
      <c r="AZ101" s="36">
        <v>584</v>
      </c>
      <c r="BA101" s="36">
        <v>30999</v>
      </c>
      <c r="BB101" s="36">
        <v>15917</v>
      </c>
      <c r="BC101" s="36">
        <v>8615</v>
      </c>
      <c r="BD101" s="36">
        <v>340</v>
      </c>
      <c r="BE101" s="70">
        <v>33070</v>
      </c>
      <c r="BF101" s="70">
        <v>16916</v>
      </c>
      <c r="BG101" s="70">
        <v>8762</v>
      </c>
      <c r="BH101" s="70">
        <v>726</v>
      </c>
      <c r="BI101" s="36">
        <v>36141</v>
      </c>
      <c r="BJ101" s="36">
        <v>18745</v>
      </c>
      <c r="BK101" s="36">
        <v>9154</v>
      </c>
      <c r="BL101" s="36">
        <v>259</v>
      </c>
      <c r="BM101" s="36">
        <v>16599.475590045291</v>
      </c>
      <c r="BN101" s="36">
        <v>2192.3296214257962</v>
      </c>
      <c r="BO101" s="36">
        <v>743.22244703341721</v>
      </c>
      <c r="BP101" s="36">
        <v>17484.816834938687</v>
      </c>
      <c r="BQ101" s="36">
        <v>1825.6799417397021</v>
      </c>
      <c r="BR101" s="36">
        <v>822.94352417617347</v>
      </c>
      <c r="BS101" s="36">
        <v>17783.518592334331</v>
      </c>
      <c r="BT101" s="36">
        <v>2303.6700287433164</v>
      </c>
      <c r="BU101" s="36">
        <v>858.9357404389367</v>
      </c>
      <c r="BV101" s="36">
        <v>21410</v>
      </c>
      <c r="BW101" s="36">
        <v>2858</v>
      </c>
      <c r="BX101" s="36">
        <v>976</v>
      </c>
      <c r="BY101" s="36">
        <v>23626</v>
      </c>
      <c r="BZ101" s="36">
        <v>900</v>
      </c>
      <c r="CA101" s="36">
        <v>1006</v>
      </c>
      <c r="CB101" s="36">
        <v>23542</v>
      </c>
      <c r="CC101" s="36">
        <v>875</v>
      </c>
      <c r="CD101" s="36">
        <v>1019</v>
      </c>
      <c r="CE101" s="36">
        <v>24344</v>
      </c>
      <c r="CF101" s="36">
        <v>928</v>
      </c>
      <c r="CG101" s="36">
        <v>1021</v>
      </c>
      <c r="CH101" s="36">
        <v>25499</v>
      </c>
      <c r="CI101" s="36">
        <v>1217</v>
      </c>
      <c r="CJ101" s="70">
        <v>1074</v>
      </c>
      <c r="CK101" s="70">
        <v>28078</v>
      </c>
      <c r="CL101" s="70">
        <v>1519</v>
      </c>
      <c r="CM101" s="36">
        <v>1402</v>
      </c>
      <c r="CN101" s="36">
        <v>29856</v>
      </c>
      <c r="CO101" s="36">
        <v>1600</v>
      </c>
      <c r="CP101" s="36">
        <v>1614</v>
      </c>
      <c r="CQ101" s="36">
        <v>33038</v>
      </c>
      <c r="CR101" s="36">
        <v>1340</v>
      </c>
      <c r="CS101" s="36">
        <v>1763</v>
      </c>
      <c r="CT101" s="36">
        <v>1090.5305151764376</v>
      </c>
      <c r="CU101" s="36">
        <v>-1076.907293</v>
      </c>
      <c r="CV101" s="36">
        <v>1286.9740132834825</v>
      </c>
      <c r="CW101" s="36">
        <v>5796</v>
      </c>
      <c r="CX101" s="36">
        <v>1004.5864847546054</v>
      </c>
      <c r="CY101" s="36">
        <v>-2171.1379430000002</v>
      </c>
      <c r="CZ101" s="36">
        <v>1424.0471733496138</v>
      </c>
      <c r="DA101" s="36">
        <v>6391</v>
      </c>
      <c r="DB101" s="36">
        <v>1106.0038044108965</v>
      </c>
      <c r="DC101" s="36">
        <v>-7323.070506</v>
      </c>
      <c r="DD101" s="36">
        <v>1587.0212740908178</v>
      </c>
      <c r="DE101" s="36">
        <v>11749</v>
      </c>
      <c r="DF101" s="36">
        <v>4938.5020846893485</v>
      </c>
      <c r="DG101" s="36">
        <v>-1729</v>
      </c>
      <c r="DH101" s="36">
        <v>1876.1363196781554</v>
      </c>
      <c r="DI101" s="36">
        <v>10795</v>
      </c>
      <c r="DJ101" s="36">
        <v>5153</v>
      </c>
      <c r="DK101" s="36">
        <v>-2986</v>
      </c>
      <c r="DL101" s="36">
        <v>1905</v>
      </c>
      <c r="DM101" s="36">
        <v>10535</v>
      </c>
      <c r="DN101" s="36">
        <v>2845</v>
      </c>
      <c r="DO101" s="69">
        <v>-7317</v>
      </c>
      <c r="DP101" s="36">
        <v>2065</v>
      </c>
      <c r="DQ101" s="36">
        <v>13492</v>
      </c>
      <c r="DR101" s="36">
        <v>2173</v>
      </c>
      <c r="DS101" s="36">
        <v>-10818</v>
      </c>
      <c r="DT101" s="36">
        <v>2445</v>
      </c>
      <c r="DU101" s="36">
        <v>22932</v>
      </c>
      <c r="DV101" s="36">
        <v>1229</v>
      </c>
      <c r="DW101" s="71">
        <v>-4897</v>
      </c>
      <c r="DX101" s="39">
        <v>3126</v>
      </c>
      <c r="DY101" s="71">
        <v>24999</v>
      </c>
      <c r="DZ101" s="70">
        <v>3829</v>
      </c>
      <c r="EA101" s="35">
        <v>-7347</v>
      </c>
      <c r="EB101" s="35">
        <v>3062</v>
      </c>
      <c r="EC101" s="38">
        <v>29880</v>
      </c>
      <c r="ED101" s="38">
        <v>4258</v>
      </c>
      <c r="EE101" s="38">
        <v>-3332</v>
      </c>
      <c r="EF101" s="38">
        <v>3235</v>
      </c>
      <c r="EG101" s="73">
        <v>28156</v>
      </c>
      <c r="EH101" s="73">
        <v>4980</v>
      </c>
      <c r="EI101" s="73">
        <v>-7703</v>
      </c>
      <c r="EJ101" s="73">
        <v>3347</v>
      </c>
      <c r="EK101" s="73">
        <v>28753</v>
      </c>
      <c r="EL101" s="73">
        <v>31052.873238441705</v>
      </c>
      <c r="EM101" s="73">
        <v>-101.24913172982964</v>
      </c>
      <c r="EN101" s="73">
        <v>32136.676236559681</v>
      </c>
      <c r="EO101" s="73">
        <v>-322.92081880610118</v>
      </c>
      <c r="EP101" s="73">
        <v>33903.658591964318</v>
      </c>
      <c r="EQ101" s="73">
        <v>-385.31853952332176</v>
      </c>
      <c r="ER101" s="73">
        <v>36269.726341424845</v>
      </c>
      <c r="ES101" s="73">
        <v>1754.3682609200216</v>
      </c>
      <c r="ET101" s="73">
        <v>38814</v>
      </c>
      <c r="EU101" s="73">
        <v>2275</v>
      </c>
      <c r="EV101" s="73">
        <v>42211</v>
      </c>
      <c r="EW101" s="73">
        <v>891</v>
      </c>
      <c r="EX101" s="73">
        <v>45051</v>
      </c>
      <c r="EY101" s="73">
        <v>9</v>
      </c>
      <c r="EZ101" s="73">
        <v>49474</v>
      </c>
      <c r="FA101" s="73">
        <v>-1841</v>
      </c>
      <c r="FB101" s="73">
        <v>51206</v>
      </c>
      <c r="FC101" s="73">
        <v>847</v>
      </c>
      <c r="FD101" s="73">
        <v>53953</v>
      </c>
      <c r="FE101" s="73">
        <v>1103</v>
      </c>
      <c r="FF101" s="73">
        <v>58160</v>
      </c>
      <c r="FG101" s="73">
        <v>1714</v>
      </c>
      <c r="FH101" s="73">
        <v>7716</v>
      </c>
      <c r="FI101" s="73">
        <v>9430</v>
      </c>
      <c r="FJ101" s="79">
        <v>13677</v>
      </c>
      <c r="FK101" s="80">
        <v>35719</v>
      </c>
      <c r="FL101" s="76">
        <v>20816</v>
      </c>
      <c r="FM101" s="80">
        <v>9703</v>
      </c>
      <c r="FN101" s="76">
        <v>249</v>
      </c>
      <c r="FO101" s="80">
        <v>32927</v>
      </c>
      <c r="FP101" s="80">
        <v>1038</v>
      </c>
      <c r="FQ101" s="80">
        <v>1754</v>
      </c>
      <c r="FR101" s="80">
        <v>4170</v>
      </c>
      <c r="FS101" s="76">
        <v>-6483</v>
      </c>
      <c r="FT101" s="76">
        <v>3501</v>
      </c>
      <c r="FU101" s="76">
        <v>32889</v>
      </c>
      <c r="FV101" s="76">
        <v>6483</v>
      </c>
      <c r="FW101" s="80">
        <v>61255</v>
      </c>
      <c r="FX101" s="80">
        <v>749</v>
      </c>
      <c r="FY101" s="73">
        <v>13722</v>
      </c>
      <c r="FZ101" s="73">
        <v>38129</v>
      </c>
      <c r="GA101" s="73">
        <v>21930</v>
      </c>
      <c r="GB101" s="73">
        <v>11226</v>
      </c>
      <c r="GC101" s="73">
        <v>252</v>
      </c>
      <c r="GD101" s="73">
        <v>34839</v>
      </c>
      <c r="GE101" s="73">
        <v>1402</v>
      </c>
      <c r="GF101" s="73">
        <v>1888</v>
      </c>
      <c r="GG101" s="73">
        <v>5652</v>
      </c>
      <c r="GH101" s="73">
        <v>-8691</v>
      </c>
      <c r="GI101" s="73">
        <v>3533</v>
      </c>
      <c r="GJ101" s="73">
        <v>34748</v>
      </c>
      <c r="GK101" s="73">
        <v>8691</v>
      </c>
      <c r="GL101" s="73">
        <v>64906</v>
      </c>
      <c r="GM101" s="73">
        <v>2199</v>
      </c>
      <c r="GN101" s="73">
        <v>12379</v>
      </c>
      <c r="GO101" s="77">
        <v>19</v>
      </c>
      <c r="GP101" s="78">
        <v>14000</v>
      </c>
      <c r="GQ101" s="73">
        <v>39847</v>
      </c>
      <c r="GR101" s="65">
        <v>22508</v>
      </c>
      <c r="GS101" s="65">
        <v>11564</v>
      </c>
      <c r="GT101" s="65">
        <v>275</v>
      </c>
      <c r="GU101" s="65">
        <v>36336</v>
      </c>
      <c r="GV101" s="65">
        <v>1597</v>
      </c>
      <c r="GW101" s="65">
        <v>1914</v>
      </c>
      <c r="GX101" s="65">
        <v>5088</v>
      </c>
      <c r="GY101" s="65">
        <v>-7114</v>
      </c>
      <c r="GZ101" s="65">
        <v>3561</v>
      </c>
      <c r="HA101" s="65">
        <v>38690</v>
      </c>
      <c r="HB101" s="65">
        <v>7114</v>
      </c>
      <c r="HC101" s="65">
        <v>68087</v>
      </c>
      <c r="HD101" s="65">
        <v>1607</v>
      </c>
      <c r="HE101" s="78">
        <v>14245</v>
      </c>
      <c r="HF101" s="73">
        <v>40422</v>
      </c>
      <c r="HG101" s="65">
        <v>22039</v>
      </c>
      <c r="HH101" s="65">
        <v>13476</v>
      </c>
      <c r="HI101" s="65">
        <v>299</v>
      </c>
      <c r="HJ101" s="65">
        <v>37164</v>
      </c>
      <c r="HK101" s="65">
        <v>1321</v>
      </c>
      <c r="HL101" s="65">
        <v>1937</v>
      </c>
      <c r="HM101" s="65">
        <v>2214</v>
      </c>
      <c r="HN101" s="65">
        <v>-5888</v>
      </c>
      <c r="HO101" s="65">
        <v>3909</v>
      </c>
      <c r="HP101" s="65">
        <v>41382</v>
      </c>
      <c r="HQ101" s="65">
        <v>5888</v>
      </c>
      <c r="HR101" s="65">
        <v>72971</v>
      </c>
      <c r="HS101" s="65">
        <v>-1615</v>
      </c>
      <c r="HT101" s="65">
        <v>12513</v>
      </c>
      <c r="HU101" s="77">
        <v>19.25</v>
      </c>
      <c r="HV101" s="180">
        <v>220</v>
      </c>
      <c r="HW101" s="30" t="s">
        <v>755</v>
      </c>
    </row>
    <row r="102" spans="1:231" ht="15" x14ac:dyDescent="0.25">
      <c r="A102" s="27">
        <v>280</v>
      </c>
      <c r="B102" s="27" t="s">
        <v>230</v>
      </c>
      <c r="C102" s="27">
        <v>15</v>
      </c>
      <c r="D102" s="27" t="s">
        <v>115</v>
      </c>
      <c r="E102" s="27">
        <v>2</v>
      </c>
      <c r="F102" s="27" t="s">
        <v>744</v>
      </c>
      <c r="G102" s="29" t="s">
        <v>130</v>
      </c>
      <c r="H102" s="27" t="s">
        <v>98</v>
      </c>
      <c r="I102" s="31" t="s">
        <v>115</v>
      </c>
      <c r="J102" s="69">
        <v>2267</v>
      </c>
      <c r="K102" s="69">
        <v>2266</v>
      </c>
      <c r="L102" s="36">
        <v>2246</v>
      </c>
      <c r="M102" s="36">
        <v>2237</v>
      </c>
      <c r="N102" s="36">
        <v>2227</v>
      </c>
      <c r="O102" s="36">
        <v>2219</v>
      </c>
      <c r="P102" s="36">
        <v>2199</v>
      </c>
      <c r="Q102" s="36">
        <v>2208</v>
      </c>
      <c r="R102" s="69">
        <v>2205</v>
      </c>
      <c r="S102" s="69">
        <v>2240</v>
      </c>
      <c r="T102" s="71">
        <v>2219</v>
      </c>
      <c r="U102" s="36">
        <v>4773</v>
      </c>
      <c r="V102" s="36">
        <v>2146</v>
      </c>
      <c r="W102" s="36">
        <v>10144</v>
      </c>
      <c r="X102" s="36">
        <v>229.91289547288557</v>
      </c>
      <c r="Y102" s="36">
        <v>4198</v>
      </c>
      <c r="Z102" s="36">
        <v>1778</v>
      </c>
      <c r="AA102" s="36">
        <v>9659</v>
      </c>
      <c r="AB102" s="36">
        <v>263.71866869164927</v>
      </c>
      <c r="AC102" s="36">
        <v>3563</v>
      </c>
      <c r="AD102" s="36">
        <v>2099</v>
      </c>
      <c r="AE102" s="36">
        <v>8762</v>
      </c>
      <c r="AF102" s="36">
        <v>252.78645347165107</v>
      </c>
      <c r="AG102" s="36">
        <v>5040</v>
      </c>
      <c r="AH102" s="36">
        <v>3318</v>
      </c>
      <c r="AI102" s="36">
        <v>7643</v>
      </c>
      <c r="AJ102" s="36">
        <v>174.74725559350995</v>
      </c>
      <c r="AK102" s="36">
        <v>5166</v>
      </c>
      <c r="AL102" s="36">
        <v>3467</v>
      </c>
      <c r="AM102" s="36">
        <v>7326</v>
      </c>
      <c r="AN102" s="36">
        <v>195</v>
      </c>
      <c r="AO102" s="36">
        <v>4754</v>
      </c>
      <c r="AP102" s="36">
        <v>4195</v>
      </c>
      <c r="AQ102" s="36">
        <v>7937</v>
      </c>
      <c r="AR102" s="36">
        <v>230</v>
      </c>
      <c r="AS102" s="36">
        <v>4341</v>
      </c>
      <c r="AT102" s="36">
        <v>4569</v>
      </c>
      <c r="AU102" s="36">
        <v>8147</v>
      </c>
      <c r="AV102" s="36">
        <v>183</v>
      </c>
      <c r="AW102" s="36">
        <v>4987</v>
      </c>
      <c r="AX102" s="69">
        <v>5142</v>
      </c>
      <c r="AY102" s="36">
        <v>7927</v>
      </c>
      <c r="AZ102" s="36">
        <v>173</v>
      </c>
      <c r="BA102" s="36">
        <v>5022</v>
      </c>
      <c r="BB102" s="36">
        <v>5085</v>
      </c>
      <c r="BC102" s="36">
        <v>8031</v>
      </c>
      <c r="BD102" s="36">
        <v>31</v>
      </c>
      <c r="BE102" s="70">
        <v>6103</v>
      </c>
      <c r="BF102" s="70">
        <v>5437</v>
      </c>
      <c r="BG102" s="70">
        <v>8484</v>
      </c>
      <c r="BH102" s="70">
        <v>128</v>
      </c>
      <c r="BI102" s="36">
        <v>5718</v>
      </c>
      <c r="BJ102" s="36">
        <v>5880</v>
      </c>
      <c r="BK102" s="36">
        <v>8099</v>
      </c>
      <c r="BL102" s="36">
        <v>37</v>
      </c>
      <c r="BM102" s="36">
        <v>3838.3848577046047</v>
      </c>
      <c r="BN102" s="36">
        <v>739.85868850418706</v>
      </c>
      <c r="BO102" s="36">
        <v>194.9298067688913</v>
      </c>
      <c r="BP102" s="36">
        <v>3180.6018773136352</v>
      </c>
      <c r="BQ102" s="36">
        <v>760.54580345895283</v>
      </c>
      <c r="BR102" s="36">
        <v>257.32752748611188</v>
      </c>
      <c r="BS102" s="36">
        <v>2613.3040013589584</v>
      </c>
      <c r="BT102" s="36">
        <v>642.64606700943364</v>
      </c>
      <c r="BU102" s="36">
        <v>306.94296579225761</v>
      </c>
      <c r="BV102" s="36">
        <v>4065</v>
      </c>
      <c r="BW102" s="36">
        <v>654</v>
      </c>
      <c r="BX102" s="36">
        <v>321</v>
      </c>
      <c r="BY102" s="36">
        <v>4370</v>
      </c>
      <c r="BZ102" s="36">
        <v>473</v>
      </c>
      <c r="CA102" s="36">
        <v>323</v>
      </c>
      <c r="CB102" s="36">
        <v>4171</v>
      </c>
      <c r="CC102" s="36">
        <v>261</v>
      </c>
      <c r="CD102" s="36">
        <v>322</v>
      </c>
      <c r="CE102" s="36">
        <v>3656</v>
      </c>
      <c r="CF102" s="36">
        <v>359</v>
      </c>
      <c r="CG102" s="36">
        <v>326</v>
      </c>
      <c r="CH102" s="36">
        <v>4219</v>
      </c>
      <c r="CI102" s="36">
        <v>406</v>
      </c>
      <c r="CJ102" s="70">
        <v>362</v>
      </c>
      <c r="CK102" s="70">
        <v>4169</v>
      </c>
      <c r="CL102" s="70">
        <v>425</v>
      </c>
      <c r="CM102" s="36">
        <v>428</v>
      </c>
      <c r="CN102" s="36">
        <v>5107</v>
      </c>
      <c r="CO102" s="36">
        <v>557</v>
      </c>
      <c r="CP102" s="36">
        <v>439</v>
      </c>
      <c r="CQ102" s="36">
        <v>4625</v>
      </c>
      <c r="CR102" s="36">
        <v>632</v>
      </c>
      <c r="CS102" s="36">
        <v>461</v>
      </c>
      <c r="CT102" s="36">
        <v>1318.2569676053236</v>
      </c>
      <c r="CU102" s="36">
        <v>-973.13534249999998</v>
      </c>
      <c r="CV102" s="36">
        <v>493.63156416453489</v>
      </c>
      <c r="CW102" s="36">
        <v>395</v>
      </c>
      <c r="CX102" s="36">
        <v>468.90793897469274</v>
      </c>
      <c r="CY102" s="36">
        <v>-603.96284390000005</v>
      </c>
      <c r="CZ102" s="36">
        <v>539.37868016206585</v>
      </c>
      <c r="DA102" s="36">
        <v>291</v>
      </c>
      <c r="DB102" s="36">
        <v>-371.52712955347778</v>
      </c>
      <c r="DC102" s="36">
        <v>-784.59667690000003</v>
      </c>
      <c r="DD102" s="36">
        <v>582.60297726267424</v>
      </c>
      <c r="DE102" s="36">
        <v>554</v>
      </c>
      <c r="DF102" s="36">
        <v>1470.2988531265294</v>
      </c>
      <c r="DG102" s="36">
        <v>-884</v>
      </c>
      <c r="DH102" s="36">
        <v>551.99277464667921</v>
      </c>
      <c r="DI102" s="36">
        <v>447</v>
      </c>
      <c r="DJ102" s="36">
        <v>1426</v>
      </c>
      <c r="DK102" s="36">
        <v>-885</v>
      </c>
      <c r="DL102" s="36">
        <v>563</v>
      </c>
      <c r="DM102" s="36">
        <v>363</v>
      </c>
      <c r="DN102" s="36">
        <v>870</v>
      </c>
      <c r="DO102" s="69">
        <v>-2154</v>
      </c>
      <c r="DP102" s="36">
        <v>590</v>
      </c>
      <c r="DQ102" s="36">
        <v>1136</v>
      </c>
      <c r="DR102" s="36">
        <v>391</v>
      </c>
      <c r="DS102" s="36">
        <v>-1419</v>
      </c>
      <c r="DT102" s="36">
        <v>629</v>
      </c>
      <c r="DU102" s="36">
        <v>1501</v>
      </c>
      <c r="DV102" s="36">
        <v>666</v>
      </c>
      <c r="DW102" s="71">
        <v>-2138</v>
      </c>
      <c r="DX102" s="39">
        <v>690</v>
      </c>
      <c r="DY102" s="71">
        <v>1817</v>
      </c>
      <c r="DZ102" s="70">
        <v>814</v>
      </c>
      <c r="EA102" s="35">
        <v>-1085</v>
      </c>
      <c r="EB102" s="35">
        <v>680</v>
      </c>
      <c r="EC102" s="38">
        <v>2064</v>
      </c>
      <c r="ED102" s="38">
        <v>2000</v>
      </c>
      <c r="EE102" s="38">
        <v>-1210</v>
      </c>
      <c r="EF102" s="38">
        <v>730</v>
      </c>
      <c r="EG102" s="73">
        <v>1776</v>
      </c>
      <c r="EH102" s="73">
        <v>84</v>
      </c>
      <c r="EI102" s="73">
        <v>-1942</v>
      </c>
      <c r="EJ102" s="73">
        <v>727</v>
      </c>
      <c r="EK102" s="73">
        <v>1991</v>
      </c>
      <c r="EL102" s="73">
        <v>15605.821320510686</v>
      </c>
      <c r="EM102" s="73">
        <v>727.41278194603524</v>
      </c>
      <c r="EN102" s="73">
        <v>15038.018880776624</v>
      </c>
      <c r="EO102" s="73">
        <v>375.73182771501564</v>
      </c>
      <c r="EP102" s="73">
        <v>14645.80463626838</v>
      </c>
      <c r="EQ102" s="73">
        <v>-934.28393149369379</v>
      </c>
      <c r="ER102" s="73">
        <v>14286.891601199515</v>
      </c>
      <c r="ES102" s="73">
        <v>967.41695300661149</v>
      </c>
      <c r="ET102" s="73">
        <v>14678</v>
      </c>
      <c r="EU102" s="73">
        <v>315</v>
      </c>
      <c r="EV102" s="73">
        <v>16227</v>
      </c>
      <c r="EW102" s="73">
        <v>-67</v>
      </c>
      <c r="EX102" s="73">
        <v>16806</v>
      </c>
      <c r="EY102" s="73">
        <v>-254</v>
      </c>
      <c r="EZ102" s="73">
        <v>17499</v>
      </c>
      <c r="FA102" s="73">
        <v>248</v>
      </c>
      <c r="FB102" s="73">
        <v>17338</v>
      </c>
      <c r="FC102" s="73">
        <v>128</v>
      </c>
      <c r="FD102" s="73">
        <v>18053</v>
      </c>
      <c r="FE102" s="73">
        <v>363</v>
      </c>
      <c r="FF102" s="73">
        <v>19635</v>
      </c>
      <c r="FG102" s="73">
        <v>611</v>
      </c>
      <c r="FH102" s="73">
        <v>2676</v>
      </c>
      <c r="FI102" s="73">
        <v>3287</v>
      </c>
      <c r="FJ102" s="79">
        <v>2239</v>
      </c>
      <c r="FK102" s="80">
        <v>5911</v>
      </c>
      <c r="FL102" s="80">
        <v>4399</v>
      </c>
      <c r="FM102" s="80">
        <v>2610</v>
      </c>
      <c r="FN102" s="76">
        <v>39</v>
      </c>
      <c r="FO102" s="80">
        <v>4956</v>
      </c>
      <c r="FP102" s="80">
        <v>495</v>
      </c>
      <c r="FQ102" s="80">
        <v>460</v>
      </c>
      <c r="FR102" s="80">
        <v>1586</v>
      </c>
      <c r="FS102" s="81">
        <v>-559</v>
      </c>
      <c r="FT102" s="76">
        <v>631</v>
      </c>
      <c r="FU102" s="76">
        <v>1341</v>
      </c>
      <c r="FV102" s="76">
        <v>559</v>
      </c>
      <c r="FW102" s="80">
        <v>11337</v>
      </c>
      <c r="FX102" s="80">
        <v>354</v>
      </c>
      <c r="FY102" s="73">
        <v>2260</v>
      </c>
      <c r="FZ102" s="73">
        <v>5592</v>
      </c>
      <c r="GA102" s="73">
        <v>5701</v>
      </c>
      <c r="GB102" s="73">
        <v>2580</v>
      </c>
      <c r="GC102" s="73">
        <v>27</v>
      </c>
      <c r="GD102" s="73">
        <v>4488</v>
      </c>
      <c r="GE102" s="73">
        <v>641</v>
      </c>
      <c r="GF102" s="73">
        <v>463</v>
      </c>
      <c r="GG102" s="73">
        <v>1072</v>
      </c>
      <c r="GH102" s="73">
        <v>-1152</v>
      </c>
      <c r="GI102" s="73">
        <v>632</v>
      </c>
      <c r="GJ102" s="73">
        <v>1102</v>
      </c>
      <c r="GK102" s="73">
        <v>1152</v>
      </c>
      <c r="GL102" s="73">
        <v>12806</v>
      </c>
      <c r="GM102" s="73">
        <v>459</v>
      </c>
      <c r="GN102" s="73">
        <v>4101</v>
      </c>
      <c r="GO102" s="77">
        <v>19.75</v>
      </c>
      <c r="GP102" s="78">
        <v>2249</v>
      </c>
      <c r="GQ102" s="73">
        <v>6591</v>
      </c>
      <c r="GR102" s="65">
        <v>6060</v>
      </c>
      <c r="GS102" s="65">
        <v>2766</v>
      </c>
      <c r="GT102" s="65">
        <v>20</v>
      </c>
      <c r="GU102" s="65">
        <v>5276</v>
      </c>
      <c r="GV102" s="65">
        <v>845</v>
      </c>
      <c r="GW102" s="65">
        <v>470</v>
      </c>
      <c r="GX102" s="65">
        <v>1239</v>
      </c>
      <c r="GY102" s="65">
        <v>-1144</v>
      </c>
      <c r="GZ102" s="65">
        <v>638</v>
      </c>
      <c r="HA102" s="65">
        <v>863</v>
      </c>
      <c r="HB102" s="65">
        <v>1144</v>
      </c>
      <c r="HC102" s="65">
        <v>14183</v>
      </c>
      <c r="HD102" s="65">
        <v>371</v>
      </c>
      <c r="HE102" s="78">
        <v>2232</v>
      </c>
      <c r="HF102" s="73">
        <v>6511</v>
      </c>
      <c r="HG102" s="65">
        <v>6089</v>
      </c>
      <c r="HH102" s="65">
        <v>2839</v>
      </c>
      <c r="HI102" s="65">
        <v>26</v>
      </c>
      <c r="HJ102" s="65">
        <v>5367</v>
      </c>
      <c r="HK102" s="65">
        <v>665</v>
      </c>
      <c r="HL102" s="65">
        <v>479</v>
      </c>
      <c r="HM102" s="65">
        <v>407</v>
      </c>
      <c r="HN102" s="65">
        <v>-2016</v>
      </c>
      <c r="HO102" s="65">
        <v>732</v>
      </c>
      <c r="HP102" s="65">
        <v>1403</v>
      </c>
      <c r="HQ102" s="65">
        <v>2016</v>
      </c>
      <c r="HR102" s="65">
        <v>15040</v>
      </c>
      <c r="HS102" s="65">
        <v>11</v>
      </c>
      <c r="HT102" s="65">
        <v>4483</v>
      </c>
      <c r="HU102" s="77">
        <v>19.75</v>
      </c>
      <c r="HV102" s="180">
        <v>340</v>
      </c>
      <c r="HW102" s="30" t="s">
        <v>761</v>
      </c>
    </row>
    <row r="103" spans="1:231" ht="15" x14ac:dyDescent="0.25">
      <c r="A103" s="27">
        <v>284</v>
      </c>
      <c r="B103" s="27" t="s">
        <v>231</v>
      </c>
      <c r="C103" s="27">
        <v>2</v>
      </c>
      <c r="D103" s="27" t="s">
        <v>122</v>
      </c>
      <c r="E103" s="27">
        <v>2</v>
      </c>
      <c r="F103" s="27" t="s">
        <v>744</v>
      </c>
      <c r="G103" s="29" t="s">
        <v>130</v>
      </c>
      <c r="H103" s="27" t="s">
        <v>98</v>
      </c>
      <c r="I103" s="31" t="s">
        <v>122</v>
      </c>
      <c r="J103" s="69">
        <v>2600</v>
      </c>
      <c r="K103" s="69">
        <v>2572</v>
      </c>
      <c r="L103" s="36">
        <v>2550</v>
      </c>
      <c r="M103" s="36">
        <v>2553</v>
      </c>
      <c r="N103" s="36">
        <v>2553</v>
      </c>
      <c r="O103" s="36">
        <v>2559</v>
      </c>
      <c r="P103" s="36">
        <v>2545</v>
      </c>
      <c r="Q103" s="36">
        <v>2528</v>
      </c>
      <c r="R103" s="69">
        <v>2511</v>
      </c>
      <c r="S103" s="69">
        <v>2485</v>
      </c>
      <c r="T103" s="71">
        <v>2470</v>
      </c>
      <c r="U103" s="36">
        <v>4470</v>
      </c>
      <c r="V103" s="36">
        <v>3095</v>
      </c>
      <c r="W103" s="36">
        <v>1437</v>
      </c>
      <c r="X103" s="36">
        <v>265.56873588272589</v>
      </c>
      <c r="Y103" s="36">
        <v>4590</v>
      </c>
      <c r="Z103" s="36">
        <v>3282</v>
      </c>
      <c r="AA103" s="36">
        <v>1567</v>
      </c>
      <c r="AB103" s="36">
        <v>277.67826658795468</v>
      </c>
      <c r="AC103" s="36">
        <v>4568</v>
      </c>
      <c r="AD103" s="36">
        <v>3279</v>
      </c>
      <c r="AE103" s="36">
        <v>1881</v>
      </c>
      <c r="AF103" s="36">
        <v>210.57128392981184</v>
      </c>
      <c r="AG103" s="36">
        <v>4683</v>
      </c>
      <c r="AH103" s="36">
        <v>3847</v>
      </c>
      <c r="AI103" s="36">
        <v>2138</v>
      </c>
      <c r="AJ103" s="36">
        <v>199.8072566362751</v>
      </c>
      <c r="AK103" s="36">
        <v>4487</v>
      </c>
      <c r="AL103" s="36">
        <v>4168</v>
      </c>
      <c r="AM103" s="36">
        <v>2323</v>
      </c>
      <c r="AN103" s="36">
        <v>138</v>
      </c>
      <c r="AO103" s="36">
        <v>4573</v>
      </c>
      <c r="AP103" s="36">
        <v>4818</v>
      </c>
      <c r="AQ103" s="36">
        <v>2419</v>
      </c>
      <c r="AR103" s="36">
        <v>115</v>
      </c>
      <c r="AS103" s="36">
        <v>4437</v>
      </c>
      <c r="AT103" s="36">
        <v>4781</v>
      </c>
      <c r="AU103" s="36">
        <v>1595</v>
      </c>
      <c r="AV103" s="36">
        <v>142</v>
      </c>
      <c r="AW103" s="36">
        <v>4836</v>
      </c>
      <c r="AX103" s="69">
        <v>5140</v>
      </c>
      <c r="AY103" s="36">
        <v>1397</v>
      </c>
      <c r="AZ103" s="36">
        <v>174</v>
      </c>
      <c r="BA103" s="36">
        <v>5189</v>
      </c>
      <c r="BB103" s="36">
        <v>5332</v>
      </c>
      <c r="BC103" s="36">
        <v>1671</v>
      </c>
      <c r="BD103" s="36">
        <v>136</v>
      </c>
      <c r="BE103" s="70">
        <v>5236</v>
      </c>
      <c r="BF103" s="70">
        <v>5314</v>
      </c>
      <c r="BG103" s="70">
        <v>1697</v>
      </c>
      <c r="BH103" s="70">
        <v>119</v>
      </c>
      <c r="BI103" s="36">
        <v>5787</v>
      </c>
      <c r="BJ103" s="36">
        <v>6345</v>
      </c>
      <c r="BK103" s="36">
        <v>1626</v>
      </c>
      <c r="BL103" s="36">
        <v>88</v>
      </c>
      <c r="BM103" s="36">
        <v>3267.3868473677749</v>
      </c>
      <c r="BN103" s="36">
        <v>1110.3766904988959</v>
      </c>
      <c r="BO103" s="36">
        <v>92.503359553831061</v>
      </c>
      <c r="BP103" s="36">
        <v>3547.4197449261906</v>
      </c>
      <c r="BQ103" s="36">
        <v>944.87977086076899</v>
      </c>
      <c r="BR103" s="36">
        <v>97.212621494753378</v>
      </c>
      <c r="BS103" s="36">
        <v>3429.35182055021</v>
      </c>
      <c r="BT103" s="36">
        <v>1002.5682296370672</v>
      </c>
      <c r="BU103" s="36">
        <v>136.40040836028544</v>
      </c>
      <c r="BV103" s="36">
        <v>4050</v>
      </c>
      <c r="BW103" s="36">
        <v>492</v>
      </c>
      <c r="BX103" s="36">
        <v>141</v>
      </c>
      <c r="BY103" s="36">
        <v>4082</v>
      </c>
      <c r="BZ103" s="36">
        <v>258</v>
      </c>
      <c r="CA103" s="36">
        <v>147</v>
      </c>
      <c r="CB103" s="36">
        <v>4256</v>
      </c>
      <c r="CC103" s="36">
        <v>171</v>
      </c>
      <c r="CD103" s="36">
        <v>146</v>
      </c>
      <c r="CE103" s="36">
        <v>4091</v>
      </c>
      <c r="CF103" s="36">
        <v>202</v>
      </c>
      <c r="CG103" s="36">
        <v>144</v>
      </c>
      <c r="CH103" s="36">
        <v>4386</v>
      </c>
      <c r="CI103" s="36">
        <v>288</v>
      </c>
      <c r="CJ103" s="70">
        <v>162</v>
      </c>
      <c r="CK103" s="70">
        <v>4681</v>
      </c>
      <c r="CL103" s="70">
        <v>341</v>
      </c>
      <c r="CM103" s="36">
        <v>167</v>
      </c>
      <c r="CN103" s="36">
        <v>4689</v>
      </c>
      <c r="CO103" s="36">
        <v>368</v>
      </c>
      <c r="CP103" s="36">
        <v>179</v>
      </c>
      <c r="CQ103" s="36">
        <v>5230</v>
      </c>
      <c r="CR103" s="36">
        <v>372</v>
      </c>
      <c r="CS103" s="36">
        <v>185</v>
      </c>
      <c r="CT103" s="36">
        <v>138.25047555136206</v>
      </c>
      <c r="CU103" s="36">
        <v>-764.91868950000003</v>
      </c>
      <c r="CV103" s="36">
        <v>351.84914215748108</v>
      </c>
      <c r="CW103" s="36">
        <v>239</v>
      </c>
      <c r="CX103" s="36">
        <v>506.2456586491482</v>
      </c>
      <c r="CY103" s="36">
        <v>-558.21572790000005</v>
      </c>
      <c r="CZ103" s="36">
        <v>383.30028440578366</v>
      </c>
      <c r="DA103" s="36">
        <v>10</v>
      </c>
      <c r="DB103" s="36">
        <v>-44.906176365223438</v>
      </c>
      <c r="DC103" s="36">
        <v>-842.78969949999998</v>
      </c>
      <c r="DD103" s="36">
        <v>381.11384136178401</v>
      </c>
      <c r="DE103" s="36">
        <v>0</v>
      </c>
      <c r="DF103" s="36">
        <v>117.89973644951922</v>
      </c>
      <c r="DG103" s="36">
        <v>-735</v>
      </c>
      <c r="DH103" s="36">
        <v>472.43988543038449</v>
      </c>
      <c r="DI103" s="36">
        <v>0</v>
      </c>
      <c r="DJ103" s="36">
        <v>608</v>
      </c>
      <c r="DK103" s="36">
        <v>-542</v>
      </c>
      <c r="DL103" s="36">
        <v>465</v>
      </c>
      <c r="DM103" s="36">
        <v>0</v>
      </c>
      <c r="DN103" s="36">
        <v>497</v>
      </c>
      <c r="DO103" s="69">
        <v>-1408</v>
      </c>
      <c r="DP103" s="36">
        <v>443</v>
      </c>
      <c r="DQ103" s="36">
        <v>0</v>
      </c>
      <c r="DR103" s="36">
        <v>-257</v>
      </c>
      <c r="DS103" s="36">
        <v>-545</v>
      </c>
      <c r="DT103" s="36">
        <v>498</v>
      </c>
      <c r="DU103" s="36">
        <v>0</v>
      </c>
      <c r="DV103" s="36">
        <v>51</v>
      </c>
      <c r="DW103" s="71">
        <v>-301</v>
      </c>
      <c r="DX103" s="39">
        <v>495</v>
      </c>
      <c r="DY103" s="71">
        <v>0</v>
      </c>
      <c r="DZ103" s="70">
        <v>345</v>
      </c>
      <c r="EA103" s="35">
        <v>-824</v>
      </c>
      <c r="EB103" s="35">
        <v>508</v>
      </c>
      <c r="EC103" s="38">
        <v>0</v>
      </c>
      <c r="ED103" s="38">
        <v>-221</v>
      </c>
      <c r="EE103" s="38">
        <v>-1272</v>
      </c>
      <c r="EF103" s="38">
        <v>502</v>
      </c>
      <c r="EG103" s="73">
        <v>1000</v>
      </c>
      <c r="EH103" s="73">
        <v>391</v>
      </c>
      <c r="EI103" s="73">
        <v>-328</v>
      </c>
      <c r="EJ103" s="73">
        <v>541</v>
      </c>
      <c r="EK103" s="73">
        <v>900</v>
      </c>
      <c r="EL103" s="73">
        <v>8717.1802285001158</v>
      </c>
      <c r="EM103" s="73">
        <v>-59.370338040913396</v>
      </c>
      <c r="EN103" s="73">
        <v>8808.1698967157936</v>
      </c>
      <c r="EO103" s="73">
        <v>149.18269077136028</v>
      </c>
      <c r="EP103" s="73">
        <v>9564.0064382338242</v>
      </c>
      <c r="EQ103" s="73">
        <v>-0.16818792646151104</v>
      </c>
      <c r="ER103" s="73">
        <v>10299.660428576475</v>
      </c>
      <c r="ES103" s="73">
        <v>-314.84779833594865</v>
      </c>
      <c r="ET103" s="73">
        <v>10502</v>
      </c>
      <c r="EU103" s="73">
        <v>245</v>
      </c>
      <c r="EV103" s="73">
        <v>11424</v>
      </c>
      <c r="EW103" s="73">
        <v>87</v>
      </c>
      <c r="EX103" s="73">
        <v>11171</v>
      </c>
      <c r="EY103" s="73">
        <v>-702</v>
      </c>
      <c r="EZ103" s="73">
        <v>11417</v>
      </c>
      <c r="FA103" s="73">
        <v>-361</v>
      </c>
      <c r="FB103" s="73">
        <v>11932</v>
      </c>
      <c r="FC103" s="73">
        <v>-89</v>
      </c>
      <c r="FD103" s="73">
        <v>12578</v>
      </c>
      <c r="FE103" s="73">
        <v>-693</v>
      </c>
      <c r="FF103" s="73">
        <v>13387</v>
      </c>
      <c r="FG103" s="73">
        <v>-121</v>
      </c>
      <c r="FH103" s="73">
        <v>1877</v>
      </c>
      <c r="FI103" s="73">
        <v>1756</v>
      </c>
      <c r="FJ103" s="79">
        <v>2450</v>
      </c>
      <c r="FK103" s="80">
        <v>5964</v>
      </c>
      <c r="FL103" s="80">
        <v>6944</v>
      </c>
      <c r="FM103" s="80">
        <v>1791</v>
      </c>
      <c r="FN103" s="76">
        <v>51</v>
      </c>
      <c r="FO103" s="80">
        <v>5353</v>
      </c>
      <c r="FP103" s="80">
        <v>391</v>
      </c>
      <c r="FQ103" s="80">
        <v>220</v>
      </c>
      <c r="FR103" s="80">
        <v>414</v>
      </c>
      <c r="FS103" s="81">
        <v>-707</v>
      </c>
      <c r="FT103" s="76">
        <v>525</v>
      </c>
      <c r="FU103" s="76">
        <v>800</v>
      </c>
      <c r="FV103" s="76">
        <v>707</v>
      </c>
      <c r="FW103" s="80">
        <v>14292</v>
      </c>
      <c r="FX103" s="80">
        <v>-65</v>
      </c>
      <c r="FY103" s="73">
        <v>2436</v>
      </c>
      <c r="FZ103" s="73">
        <v>5797</v>
      </c>
      <c r="GA103" s="73">
        <v>6324</v>
      </c>
      <c r="GB103" s="73">
        <v>2623</v>
      </c>
      <c r="GC103" s="73">
        <v>152</v>
      </c>
      <c r="GD103" s="73">
        <v>5035</v>
      </c>
      <c r="GE103" s="73">
        <v>473</v>
      </c>
      <c r="GF103" s="73">
        <v>289</v>
      </c>
      <c r="GG103" s="73">
        <v>724</v>
      </c>
      <c r="GH103" s="73">
        <v>-443</v>
      </c>
      <c r="GI103" s="73">
        <v>534</v>
      </c>
      <c r="GJ103" s="73">
        <v>700</v>
      </c>
      <c r="GK103" s="73">
        <v>443</v>
      </c>
      <c r="GL103" s="73">
        <v>14050</v>
      </c>
      <c r="GM103" s="73">
        <v>288</v>
      </c>
      <c r="GN103" s="73">
        <v>1980</v>
      </c>
      <c r="GO103" s="77">
        <v>19</v>
      </c>
      <c r="GP103" s="78">
        <v>2441</v>
      </c>
      <c r="GQ103" s="73">
        <v>6150</v>
      </c>
      <c r="GR103" s="65">
        <v>6663</v>
      </c>
      <c r="GS103" s="65">
        <v>2748</v>
      </c>
      <c r="GT103" s="65">
        <v>33</v>
      </c>
      <c r="GU103" s="65">
        <v>5357</v>
      </c>
      <c r="GV103" s="65">
        <v>490</v>
      </c>
      <c r="GW103" s="65">
        <v>303</v>
      </c>
      <c r="GX103" s="65">
        <v>808</v>
      </c>
      <c r="GY103" s="65">
        <v>-321</v>
      </c>
      <c r="GZ103" s="65">
        <v>601</v>
      </c>
      <c r="HA103" s="65">
        <v>600</v>
      </c>
      <c r="HB103" s="65">
        <v>321</v>
      </c>
      <c r="HC103" s="65">
        <v>14771</v>
      </c>
      <c r="HD103" s="65">
        <v>247</v>
      </c>
      <c r="HE103" s="78">
        <v>2450</v>
      </c>
      <c r="HF103" s="73">
        <v>6067</v>
      </c>
      <c r="HG103" s="65">
        <v>6922</v>
      </c>
      <c r="HH103" s="65">
        <v>2819</v>
      </c>
      <c r="HI103" s="65">
        <v>242</v>
      </c>
      <c r="HJ103" s="65">
        <v>5420</v>
      </c>
      <c r="HK103" s="65">
        <v>323</v>
      </c>
      <c r="HL103" s="65">
        <v>324</v>
      </c>
      <c r="HM103" s="65">
        <v>604</v>
      </c>
      <c r="HN103" s="65">
        <v>-410</v>
      </c>
      <c r="HO103" s="65">
        <v>702</v>
      </c>
      <c r="HP103" s="65">
        <v>500</v>
      </c>
      <c r="HQ103" s="65">
        <v>410</v>
      </c>
      <c r="HR103" s="65">
        <v>15257</v>
      </c>
      <c r="HS103" s="65">
        <v>116</v>
      </c>
      <c r="HT103" s="65">
        <v>2443</v>
      </c>
      <c r="HU103" s="77">
        <v>19</v>
      </c>
      <c r="HV103" s="180">
        <v>340</v>
      </c>
      <c r="HW103" s="30" t="s">
        <v>761</v>
      </c>
    </row>
    <row r="104" spans="1:231" ht="15" x14ac:dyDescent="0.25">
      <c r="A104" s="27">
        <v>285</v>
      </c>
      <c r="B104" s="27" t="s">
        <v>232</v>
      </c>
      <c r="C104" s="27">
        <v>8</v>
      </c>
      <c r="D104" s="27" t="s">
        <v>112</v>
      </c>
      <c r="E104" s="27">
        <v>6</v>
      </c>
      <c r="F104" s="27" t="s">
        <v>102</v>
      </c>
      <c r="G104" s="29" t="s">
        <v>141</v>
      </c>
      <c r="H104" s="27" t="s">
        <v>97</v>
      </c>
      <c r="I104" s="31" t="s">
        <v>112</v>
      </c>
      <c r="J104" s="69">
        <v>55551</v>
      </c>
      <c r="K104" s="69">
        <v>55238</v>
      </c>
      <c r="L104" s="36">
        <v>54846</v>
      </c>
      <c r="M104" s="36">
        <v>54768</v>
      </c>
      <c r="N104" s="36">
        <v>54622</v>
      </c>
      <c r="O104" s="36">
        <v>54618</v>
      </c>
      <c r="P104" s="36">
        <v>54759</v>
      </c>
      <c r="Q104" s="36">
        <v>54838</v>
      </c>
      <c r="R104" s="69">
        <v>54607</v>
      </c>
      <c r="S104" s="69">
        <v>54679</v>
      </c>
      <c r="T104" s="71">
        <v>54694</v>
      </c>
      <c r="U104" s="36">
        <v>122662</v>
      </c>
      <c r="V104" s="36">
        <v>36708</v>
      </c>
      <c r="W104" s="36">
        <v>62039</v>
      </c>
      <c r="X104" s="36">
        <v>3839.0576094104508</v>
      </c>
      <c r="Y104" s="36">
        <v>125598</v>
      </c>
      <c r="Z104" s="36">
        <v>36296</v>
      </c>
      <c r="AA104" s="36">
        <v>56524</v>
      </c>
      <c r="AB104" s="36">
        <v>6170.9832097993012</v>
      </c>
      <c r="AC104" s="36">
        <v>126790</v>
      </c>
      <c r="AD104" s="36">
        <v>40323</v>
      </c>
      <c r="AE104" s="36">
        <v>58911</v>
      </c>
      <c r="AF104" s="36">
        <v>3165.6331518585607</v>
      </c>
      <c r="AG104" s="36">
        <v>140382</v>
      </c>
      <c r="AH104" s="36">
        <v>45176</v>
      </c>
      <c r="AI104" s="36">
        <v>63020</v>
      </c>
      <c r="AJ104" s="36">
        <v>2697.5661525161754</v>
      </c>
      <c r="AK104" s="36">
        <v>148946</v>
      </c>
      <c r="AL104" s="36">
        <v>49770</v>
      </c>
      <c r="AM104" s="36">
        <v>64443</v>
      </c>
      <c r="AN104" s="36">
        <v>2369</v>
      </c>
      <c r="AO104" s="36">
        <v>141084</v>
      </c>
      <c r="AP104" s="36">
        <v>50723</v>
      </c>
      <c r="AQ104" s="36">
        <v>69645</v>
      </c>
      <c r="AR104" s="36">
        <v>25955</v>
      </c>
      <c r="AS104" s="36">
        <v>143545</v>
      </c>
      <c r="AT104" s="36">
        <v>55482</v>
      </c>
      <c r="AU104" s="36">
        <v>77349</v>
      </c>
      <c r="AV104" s="36">
        <v>4557</v>
      </c>
      <c r="AW104" s="36">
        <v>149568</v>
      </c>
      <c r="AX104" s="69">
        <v>59772</v>
      </c>
      <c r="AY104" s="36">
        <v>75784</v>
      </c>
      <c r="AZ104" s="36">
        <v>4294</v>
      </c>
      <c r="BA104" s="36">
        <v>156724</v>
      </c>
      <c r="BB104" s="36">
        <v>53171</v>
      </c>
      <c r="BC104" s="36">
        <v>77486</v>
      </c>
      <c r="BD104" s="36">
        <v>2985</v>
      </c>
      <c r="BE104" s="70">
        <v>165734</v>
      </c>
      <c r="BF104" s="70">
        <v>56300</v>
      </c>
      <c r="BG104" s="70">
        <v>71002</v>
      </c>
      <c r="BH104" s="70">
        <v>5218</v>
      </c>
      <c r="BI104" s="36">
        <v>184123</v>
      </c>
      <c r="BJ104" s="36">
        <v>62924</v>
      </c>
      <c r="BK104" s="36">
        <v>80005</v>
      </c>
      <c r="BL104" s="36">
        <v>3993</v>
      </c>
      <c r="BM104" s="36">
        <v>109738.08094212148</v>
      </c>
      <c r="BN104" s="36">
        <v>9036.9054767034486</v>
      </c>
      <c r="BO104" s="36">
        <v>3828.293582116914</v>
      </c>
      <c r="BP104" s="36">
        <v>109344.35300627509</v>
      </c>
      <c r="BQ104" s="36">
        <v>11203.838721233556</v>
      </c>
      <c r="BR104" s="36">
        <v>4983.9128248339566</v>
      </c>
      <c r="BS104" s="36">
        <v>104230.76729013931</v>
      </c>
      <c r="BT104" s="36">
        <v>17076.961113269521</v>
      </c>
      <c r="BU104" s="36">
        <v>5411.6147218255792</v>
      </c>
      <c r="BV104" s="36">
        <v>119981</v>
      </c>
      <c r="BW104" s="36">
        <v>14819</v>
      </c>
      <c r="BX104" s="36">
        <v>5531</v>
      </c>
      <c r="BY104" s="36">
        <v>131311</v>
      </c>
      <c r="BZ104" s="36">
        <v>11239</v>
      </c>
      <c r="CA104" s="36">
        <v>6343</v>
      </c>
      <c r="CB104" s="36">
        <v>126901</v>
      </c>
      <c r="CC104" s="36">
        <v>7897</v>
      </c>
      <c r="CD104" s="36">
        <v>6235</v>
      </c>
      <c r="CE104" s="36">
        <v>130641</v>
      </c>
      <c r="CF104" s="36">
        <v>6557</v>
      </c>
      <c r="CG104" s="36">
        <v>6299</v>
      </c>
      <c r="CH104" s="36">
        <v>136267</v>
      </c>
      <c r="CI104" s="36">
        <v>6535</v>
      </c>
      <c r="CJ104" s="70">
        <v>6725</v>
      </c>
      <c r="CK104" s="70">
        <v>141348</v>
      </c>
      <c r="CL104" s="70">
        <v>7917</v>
      </c>
      <c r="CM104" s="36">
        <v>7416</v>
      </c>
      <c r="CN104" s="36">
        <v>148518</v>
      </c>
      <c r="CO104" s="36">
        <v>9116</v>
      </c>
      <c r="CP104" s="36">
        <v>8057</v>
      </c>
      <c r="CQ104" s="36">
        <v>165744</v>
      </c>
      <c r="CR104" s="36">
        <v>9939</v>
      </c>
      <c r="CS104" s="36">
        <v>8402</v>
      </c>
      <c r="CT104" s="36">
        <v>10371.140297322616</v>
      </c>
      <c r="CU104" s="36">
        <v>-14203.806769999999</v>
      </c>
      <c r="CV104" s="36">
        <v>13752.894934684218</v>
      </c>
      <c r="CW104" s="36">
        <v>51024</v>
      </c>
      <c r="CX104" s="36">
        <v>12079.593254318645</v>
      </c>
      <c r="CY104" s="36">
        <v>-4084.9483580000001</v>
      </c>
      <c r="CZ104" s="36">
        <v>20846.557109051369</v>
      </c>
      <c r="DA104" s="36">
        <v>55726</v>
      </c>
      <c r="DB104" s="36">
        <v>7451.7342698037073</v>
      </c>
      <c r="DC104" s="36">
        <v>-17942.11981</v>
      </c>
      <c r="DD104" s="36">
        <v>12869.403756981901</v>
      </c>
      <c r="DE104" s="36">
        <v>64227</v>
      </c>
      <c r="DF104" s="36">
        <v>11308.451611492617</v>
      </c>
      <c r="DG104" s="36">
        <v>-20348</v>
      </c>
      <c r="DH104" s="36">
        <v>13250.685786270147</v>
      </c>
      <c r="DI104" s="36">
        <v>62490</v>
      </c>
      <c r="DJ104" s="36">
        <v>28140</v>
      </c>
      <c r="DK104" s="36">
        <v>-12941</v>
      </c>
      <c r="DL104" s="36">
        <v>16985</v>
      </c>
      <c r="DM104" s="36">
        <v>57026</v>
      </c>
      <c r="DN104" s="36">
        <v>14061</v>
      </c>
      <c r="DO104" s="69">
        <v>-16632</v>
      </c>
      <c r="DP104" s="36">
        <v>14543</v>
      </c>
      <c r="DQ104" s="36">
        <v>65443</v>
      </c>
      <c r="DR104" s="36">
        <v>9725</v>
      </c>
      <c r="DS104" s="36">
        <v>-30532</v>
      </c>
      <c r="DT104" s="36">
        <v>14995</v>
      </c>
      <c r="DU104" s="36">
        <v>76121</v>
      </c>
      <c r="DV104" s="36">
        <v>4013</v>
      </c>
      <c r="DW104" s="71">
        <v>-32989</v>
      </c>
      <c r="DX104" s="39">
        <v>16799</v>
      </c>
      <c r="DY104" s="71">
        <v>112400</v>
      </c>
      <c r="DZ104" s="70">
        <v>10979</v>
      </c>
      <c r="EA104" s="35">
        <v>-58854</v>
      </c>
      <c r="EB104" s="35">
        <v>16596</v>
      </c>
      <c r="EC104" s="38">
        <v>150638</v>
      </c>
      <c r="ED104" s="38">
        <v>13202</v>
      </c>
      <c r="EE104" s="38">
        <v>-39695</v>
      </c>
      <c r="EF104" s="38">
        <v>13793</v>
      </c>
      <c r="EG104" s="73">
        <v>183165</v>
      </c>
      <c r="EH104" s="73">
        <v>18042</v>
      </c>
      <c r="EI104" s="73">
        <v>-33682</v>
      </c>
      <c r="EJ104" s="73">
        <v>15141</v>
      </c>
      <c r="EK104" s="73">
        <v>200082</v>
      </c>
      <c r="EL104" s="73">
        <v>202711.18937455956</v>
      </c>
      <c r="EM104" s="73">
        <v>1083.466622265054</v>
      </c>
      <c r="EN104" s="73">
        <v>201554.39281635729</v>
      </c>
      <c r="EO104" s="73">
        <v>1268.1369655197932</v>
      </c>
      <c r="EP104" s="73">
        <v>210104.89880973403</v>
      </c>
      <c r="EQ104" s="73">
        <v>-5470.6486840135694</v>
      </c>
      <c r="ER104" s="73">
        <v>227259.05818124936</v>
      </c>
      <c r="ES104" s="73">
        <v>-1842.1623585329303</v>
      </c>
      <c r="ET104" s="73">
        <v>234402</v>
      </c>
      <c r="EU104" s="73">
        <v>5245</v>
      </c>
      <c r="EV104" s="73">
        <v>245993</v>
      </c>
      <c r="EW104" s="73">
        <v>7125</v>
      </c>
      <c r="EX104" s="73">
        <v>268753</v>
      </c>
      <c r="EY104" s="73">
        <v>-5449</v>
      </c>
      <c r="EZ104" s="73">
        <v>286232</v>
      </c>
      <c r="FA104" s="73">
        <v>-12085</v>
      </c>
      <c r="FB104" s="73">
        <v>277000</v>
      </c>
      <c r="FC104" s="73">
        <v>-4955</v>
      </c>
      <c r="FD104" s="73">
        <v>278470</v>
      </c>
      <c r="FE104" s="73">
        <v>-423</v>
      </c>
      <c r="FF104" s="73">
        <v>306164</v>
      </c>
      <c r="FG104" s="73">
        <v>3790</v>
      </c>
      <c r="FH104" s="73">
        <v>-9435</v>
      </c>
      <c r="FI104" s="73">
        <v>-5645</v>
      </c>
      <c r="FJ104" s="79">
        <v>54775</v>
      </c>
      <c r="FK104" s="80">
        <v>184816</v>
      </c>
      <c r="FL104" s="80">
        <v>69721</v>
      </c>
      <c r="FM104" s="80">
        <v>80834</v>
      </c>
      <c r="FN104" s="76">
        <v>1910</v>
      </c>
      <c r="FO104" s="80">
        <v>167350</v>
      </c>
      <c r="FP104" s="80">
        <v>8483</v>
      </c>
      <c r="FQ104" s="80">
        <v>8983</v>
      </c>
      <c r="FR104" s="80">
        <v>5995</v>
      </c>
      <c r="FS104" s="81">
        <v>-34112</v>
      </c>
      <c r="FT104" s="76">
        <v>16813</v>
      </c>
      <c r="FU104" s="76">
        <v>228415</v>
      </c>
      <c r="FV104" s="76">
        <v>34112</v>
      </c>
      <c r="FW104" s="80">
        <v>326146</v>
      </c>
      <c r="FX104" s="80">
        <v>-4901</v>
      </c>
      <c r="FY104" s="73">
        <v>54824</v>
      </c>
      <c r="FZ104" s="73">
        <v>186329</v>
      </c>
      <c r="GA104" s="73">
        <v>75460</v>
      </c>
      <c r="GB104" s="73">
        <v>95921</v>
      </c>
      <c r="GC104" s="73">
        <v>3270</v>
      </c>
      <c r="GD104" s="73">
        <v>163521</v>
      </c>
      <c r="GE104" s="73">
        <v>10560</v>
      </c>
      <c r="GF104" s="73">
        <v>12248</v>
      </c>
      <c r="GG104" s="73">
        <v>20317</v>
      </c>
      <c r="GH104" s="73">
        <v>-14354</v>
      </c>
      <c r="GI104" s="73">
        <v>18347</v>
      </c>
      <c r="GJ104" s="73">
        <v>234776</v>
      </c>
      <c r="GK104" s="73">
        <v>14354</v>
      </c>
      <c r="GL104" s="73">
        <v>336744</v>
      </c>
      <c r="GM104" s="73">
        <v>3197</v>
      </c>
      <c r="GN104" s="73">
        <v>-4398</v>
      </c>
      <c r="GO104" s="77">
        <v>19.5</v>
      </c>
      <c r="GP104" s="78">
        <v>54831</v>
      </c>
      <c r="GQ104" s="73">
        <v>190828</v>
      </c>
      <c r="GR104" s="65">
        <v>80944</v>
      </c>
      <c r="GS104" s="65">
        <v>93436</v>
      </c>
      <c r="GT104" s="65">
        <v>11544</v>
      </c>
      <c r="GU104" s="65">
        <v>166565</v>
      </c>
      <c r="GV104" s="65">
        <v>11860</v>
      </c>
      <c r="GW104" s="65">
        <v>12403</v>
      </c>
      <c r="GX104" s="65">
        <v>9781</v>
      </c>
      <c r="GY104" s="65">
        <v>-5926</v>
      </c>
      <c r="GZ104" s="65">
        <v>18293</v>
      </c>
      <c r="HA104" s="65">
        <v>229389</v>
      </c>
      <c r="HB104" s="65">
        <v>5926</v>
      </c>
      <c r="HC104" s="65">
        <v>354895</v>
      </c>
      <c r="HD104" s="65">
        <v>506</v>
      </c>
      <c r="HE104" s="78">
        <v>54873</v>
      </c>
      <c r="HF104" s="73">
        <v>189039</v>
      </c>
      <c r="HG104" s="65">
        <v>85662</v>
      </c>
      <c r="HH104" s="65">
        <v>93821</v>
      </c>
      <c r="HI104" s="65">
        <v>4155</v>
      </c>
      <c r="HJ104" s="65">
        <v>169378</v>
      </c>
      <c r="HK104" s="65">
        <v>7032</v>
      </c>
      <c r="HL104" s="65">
        <v>12629</v>
      </c>
      <c r="HM104" s="65">
        <v>-10296</v>
      </c>
      <c r="HN104" s="65">
        <v>-30210</v>
      </c>
      <c r="HO104" s="65">
        <v>19000</v>
      </c>
      <c r="HP104" s="65">
        <v>247656</v>
      </c>
      <c r="HQ104" s="65">
        <v>30210</v>
      </c>
      <c r="HR104" s="65">
        <v>377597</v>
      </c>
      <c r="HS104" s="65">
        <v>-26200</v>
      </c>
      <c r="HT104" s="65">
        <v>-30092</v>
      </c>
      <c r="HU104" s="77">
        <v>19.5</v>
      </c>
      <c r="HV104" s="180">
        <v>140</v>
      </c>
      <c r="HW104" s="30" t="s">
        <v>753</v>
      </c>
    </row>
    <row r="105" spans="1:231" ht="15" x14ac:dyDescent="0.25">
      <c r="A105" s="27">
        <v>286</v>
      </c>
      <c r="B105" s="27" t="s">
        <v>233</v>
      </c>
      <c r="C105" s="27">
        <v>8</v>
      </c>
      <c r="D105" s="27" t="s">
        <v>112</v>
      </c>
      <c r="E105" s="27">
        <v>6</v>
      </c>
      <c r="F105" s="27" t="s">
        <v>102</v>
      </c>
      <c r="G105" s="29" t="s">
        <v>141</v>
      </c>
      <c r="H105" s="27" t="s">
        <v>97</v>
      </c>
      <c r="I105" s="31" t="s">
        <v>112</v>
      </c>
      <c r="J105" s="69">
        <v>92615</v>
      </c>
      <c r="K105" s="69">
        <v>92129</v>
      </c>
      <c r="L105" s="36">
        <v>91550</v>
      </c>
      <c r="M105" s="36">
        <v>91226</v>
      </c>
      <c r="N105" s="36">
        <v>90861</v>
      </c>
      <c r="O105" s="36">
        <v>90497</v>
      </c>
      <c r="P105" s="36">
        <v>90227</v>
      </c>
      <c r="Q105" s="36">
        <v>89924</v>
      </c>
      <c r="R105" s="69">
        <v>89397</v>
      </c>
      <c r="S105" s="69">
        <v>88813</v>
      </c>
      <c r="T105" s="71">
        <v>88436</v>
      </c>
      <c r="U105" s="36">
        <v>211762</v>
      </c>
      <c r="V105" s="36">
        <v>38839</v>
      </c>
      <c r="W105" s="36">
        <v>43182</v>
      </c>
      <c r="X105" s="36">
        <v>3970.7487558298144</v>
      </c>
      <c r="Y105" s="36">
        <v>218594</v>
      </c>
      <c r="Z105" s="36">
        <v>39826</v>
      </c>
      <c r="AA105" s="36">
        <v>42648</v>
      </c>
      <c r="AB105" s="36">
        <v>6415.6966428007991</v>
      </c>
      <c r="AC105" s="36">
        <v>224920</v>
      </c>
      <c r="AD105" s="36">
        <v>43939</v>
      </c>
      <c r="AE105" s="36">
        <v>45902</v>
      </c>
      <c r="AF105" s="36">
        <v>5590.3984876541645</v>
      </c>
      <c r="AG105" s="36">
        <v>244613</v>
      </c>
      <c r="AH105" s="36">
        <v>48441</v>
      </c>
      <c r="AI105" s="36">
        <v>46912</v>
      </c>
      <c r="AJ105" s="36">
        <v>4492.9722674928053</v>
      </c>
      <c r="AK105" s="36">
        <v>253497</v>
      </c>
      <c r="AL105" s="36">
        <v>54657</v>
      </c>
      <c r="AM105" s="36">
        <v>52125</v>
      </c>
      <c r="AN105" s="36">
        <v>3637</v>
      </c>
      <c r="AO105" s="36">
        <v>238742</v>
      </c>
      <c r="AP105" s="36">
        <v>57717</v>
      </c>
      <c r="AQ105" s="36">
        <v>54792</v>
      </c>
      <c r="AR105" s="36">
        <v>3298</v>
      </c>
      <c r="AS105" s="36">
        <v>238808</v>
      </c>
      <c r="AT105" s="36">
        <v>69758</v>
      </c>
      <c r="AU105" s="36">
        <v>56197</v>
      </c>
      <c r="AV105" s="36">
        <v>5230</v>
      </c>
      <c r="AW105" s="36">
        <v>244788</v>
      </c>
      <c r="AX105" s="69">
        <v>78113</v>
      </c>
      <c r="AY105" s="36">
        <v>54591</v>
      </c>
      <c r="AZ105" s="36">
        <v>10269</v>
      </c>
      <c r="BA105" s="36">
        <v>255121</v>
      </c>
      <c r="BB105" s="36">
        <v>86862</v>
      </c>
      <c r="BC105" s="36">
        <v>58105</v>
      </c>
      <c r="BD105" s="36">
        <v>9417</v>
      </c>
      <c r="BE105" s="70">
        <v>269487</v>
      </c>
      <c r="BF105" s="70">
        <v>93499</v>
      </c>
      <c r="BG105" s="70">
        <v>58896</v>
      </c>
      <c r="BH105" s="70">
        <v>7190</v>
      </c>
      <c r="BI105" s="36">
        <v>279609</v>
      </c>
      <c r="BJ105" s="36">
        <v>105682</v>
      </c>
      <c r="BK105" s="36">
        <v>63292</v>
      </c>
      <c r="BL105" s="36">
        <v>10621</v>
      </c>
      <c r="BM105" s="36">
        <v>172271.86569184944</v>
      </c>
      <c r="BN105" s="36">
        <v>32194.869259115359</v>
      </c>
      <c r="BO105" s="36">
        <v>7294.814934415117</v>
      </c>
      <c r="BP105" s="36">
        <v>174957.49050158684</v>
      </c>
      <c r="BQ105" s="36">
        <v>35268.167239346556</v>
      </c>
      <c r="BR105" s="36">
        <v>8368.0220931660206</v>
      </c>
      <c r="BS105" s="36">
        <v>167623.99234408556</v>
      </c>
      <c r="BT105" s="36">
        <v>47929.858907148482</v>
      </c>
      <c r="BU105" s="36">
        <v>9366.8901884209336</v>
      </c>
      <c r="BV105" s="36">
        <v>190974</v>
      </c>
      <c r="BW105" s="36">
        <v>43835</v>
      </c>
      <c r="BX105" s="36">
        <v>9803</v>
      </c>
      <c r="BY105" s="36">
        <v>212908</v>
      </c>
      <c r="BZ105" s="36">
        <v>30044</v>
      </c>
      <c r="CA105" s="36">
        <v>10545</v>
      </c>
      <c r="CB105" s="36">
        <v>208553</v>
      </c>
      <c r="CC105" s="36">
        <v>18822</v>
      </c>
      <c r="CD105" s="36">
        <v>11367</v>
      </c>
      <c r="CE105" s="36">
        <v>210403</v>
      </c>
      <c r="CF105" s="36">
        <v>18043</v>
      </c>
      <c r="CG105" s="36">
        <v>10362</v>
      </c>
      <c r="CH105" s="36">
        <v>218342</v>
      </c>
      <c r="CI105" s="36">
        <v>15634</v>
      </c>
      <c r="CJ105" s="70">
        <v>10812</v>
      </c>
      <c r="CK105" s="70">
        <v>225400</v>
      </c>
      <c r="CL105" s="70">
        <v>17436</v>
      </c>
      <c r="CM105" s="36">
        <v>12285</v>
      </c>
      <c r="CN105" s="36">
        <v>237135</v>
      </c>
      <c r="CO105" s="36">
        <v>19267</v>
      </c>
      <c r="CP105" s="36">
        <v>13085</v>
      </c>
      <c r="CQ105" s="36">
        <v>247180</v>
      </c>
      <c r="CR105" s="36">
        <v>18548</v>
      </c>
      <c r="CS105" s="36">
        <v>13881</v>
      </c>
      <c r="CT105" s="36">
        <v>8947.261311899465</v>
      </c>
      <c r="CU105" s="36">
        <v>-19513.499603399996</v>
      </c>
      <c r="CV105" s="36">
        <v>12980.4077884465</v>
      </c>
      <c r="CW105" s="36">
        <v>68229</v>
      </c>
      <c r="CX105" s="36">
        <v>14331.797777564738</v>
      </c>
      <c r="CY105" s="36">
        <v>-10404.609693499999</v>
      </c>
      <c r="CZ105" s="36">
        <v>13653.664058071925</v>
      </c>
      <c r="DA105" s="36">
        <v>68011</v>
      </c>
      <c r="DB105" s="36">
        <v>18368.139824714537</v>
      </c>
      <c r="DC105" s="36">
        <v>-16585.347804100002</v>
      </c>
      <c r="DD105" s="36">
        <v>13212.843502816306</v>
      </c>
      <c r="DE105" s="36">
        <v>58433</v>
      </c>
      <c r="DF105" s="36">
        <v>16972.852786789845</v>
      </c>
      <c r="DG105" s="36">
        <v>-23807</v>
      </c>
      <c r="DH105" s="36">
        <v>13335.452501206746</v>
      </c>
      <c r="DI105" s="36">
        <v>57151</v>
      </c>
      <c r="DJ105" s="36">
        <v>29280</v>
      </c>
      <c r="DK105" s="36">
        <v>-23975</v>
      </c>
      <c r="DL105" s="36">
        <v>14014</v>
      </c>
      <c r="DM105" s="36">
        <v>64397</v>
      </c>
      <c r="DN105" s="36">
        <v>2446</v>
      </c>
      <c r="DO105" s="69">
        <v>-22332</v>
      </c>
      <c r="DP105" s="36">
        <v>14642</v>
      </c>
      <c r="DQ105" s="36">
        <v>75164</v>
      </c>
      <c r="DR105" s="36">
        <v>1744</v>
      </c>
      <c r="DS105" s="36">
        <v>-18577</v>
      </c>
      <c r="DT105" s="36">
        <v>15624</v>
      </c>
      <c r="DU105" s="36">
        <v>88848</v>
      </c>
      <c r="DV105" s="36">
        <v>9695</v>
      </c>
      <c r="DW105" s="71">
        <v>-17619</v>
      </c>
      <c r="DX105" s="39">
        <v>16139</v>
      </c>
      <c r="DY105" s="71">
        <v>97570</v>
      </c>
      <c r="DZ105" s="70">
        <v>15448</v>
      </c>
      <c r="EA105" s="35">
        <v>-21540</v>
      </c>
      <c r="EB105" s="35">
        <v>15094</v>
      </c>
      <c r="EC105" s="38">
        <v>107285</v>
      </c>
      <c r="ED105" s="38">
        <v>20060</v>
      </c>
      <c r="EE105" s="38">
        <v>-21289</v>
      </c>
      <c r="EF105" s="38">
        <v>14871</v>
      </c>
      <c r="EG105" s="73">
        <v>108690</v>
      </c>
      <c r="EH105" s="73">
        <v>2751</v>
      </c>
      <c r="EI105" s="73">
        <v>-23101</v>
      </c>
      <c r="EJ105" s="73">
        <v>15473</v>
      </c>
      <c r="EK105" s="73">
        <v>119299</v>
      </c>
      <c r="EL105" s="73">
        <v>269701.95417551755</v>
      </c>
      <c r="EM105" s="73">
        <v>-1875.7999438252327</v>
      </c>
      <c r="EN105" s="73">
        <v>275583.48596387659</v>
      </c>
      <c r="EO105" s="73">
        <v>2564.865878538043</v>
      </c>
      <c r="EP105" s="73">
        <v>283633.80106395681</v>
      </c>
      <c r="EQ105" s="73">
        <v>5631.7727175636965</v>
      </c>
      <c r="ER105" s="73">
        <v>307480.49440522864</v>
      </c>
      <c r="ES105" s="73">
        <v>3082.043752407189</v>
      </c>
      <c r="ET105" s="73">
        <v>329820</v>
      </c>
      <c r="EU105" s="73">
        <v>12368</v>
      </c>
      <c r="EV105" s="73">
        <v>348179</v>
      </c>
      <c r="EW105" s="73">
        <v>-12412</v>
      </c>
      <c r="EX105" s="73">
        <v>365260</v>
      </c>
      <c r="EY105" s="73">
        <v>-12682</v>
      </c>
      <c r="EZ105" s="73">
        <v>376402</v>
      </c>
      <c r="FA105" s="73">
        <v>-7631</v>
      </c>
      <c r="FB105" s="73">
        <v>391282</v>
      </c>
      <c r="FC105" s="73">
        <v>427</v>
      </c>
      <c r="FD105" s="73">
        <v>404057</v>
      </c>
      <c r="FE105" s="73">
        <v>5966</v>
      </c>
      <c r="FF105" s="73">
        <v>442425</v>
      </c>
      <c r="FG105" s="73">
        <v>-3887</v>
      </c>
      <c r="FH105" s="73">
        <v>11483</v>
      </c>
      <c r="FI105" s="73">
        <v>7597</v>
      </c>
      <c r="FJ105" s="79">
        <v>88191</v>
      </c>
      <c r="FK105" s="80">
        <v>282280</v>
      </c>
      <c r="FL105" s="80">
        <v>139986</v>
      </c>
      <c r="FM105" s="80">
        <v>72450</v>
      </c>
      <c r="FN105" s="76">
        <v>51121</v>
      </c>
      <c r="FO105" s="80">
        <v>252366</v>
      </c>
      <c r="FP105" s="80">
        <v>15008</v>
      </c>
      <c r="FQ105" s="80">
        <v>14906</v>
      </c>
      <c r="FR105" s="80">
        <v>9903</v>
      </c>
      <c r="FS105" s="81">
        <v>19212</v>
      </c>
      <c r="FT105" s="76">
        <v>21205</v>
      </c>
      <c r="FU105" s="76">
        <v>116888</v>
      </c>
      <c r="FV105" s="76">
        <v>-19212</v>
      </c>
      <c r="FW105" s="80">
        <v>487980</v>
      </c>
      <c r="FX105" s="80">
        <v>700</v>
      </c>
      <c r="FY105" s="73">
        <v>88072</v>
      </c>
      <c r="FZ105" s="73">
        <v>287606</v>
      </c>
      <c r="GA105" s="73">
        <v>146689</v>
      </c>
      <c r="GB105" s="73">
        <v>93736</v>
      </c>
      <c r="GC105" s="73">
        <v>4994</v>
      </c>
      <c r="GD105" s="73">
        <v>252555</v>
      </c>
      <c r="GE105" s="73">
        <v>17103</v>
      </c>
      <c r="GF105" s="73">
        <v>17948</v>
      </c>
      <c r="GG105" s="73">
        <v>19145</v>
      </c>
      <c r="GH105" s="73">
        <v>-23980</v>
      </c>
      <c r="GI105" s="73">
        <v>18419</v>
      </c>
      <c r="GJ105" s="73">
        <v>123192</v>
      </c>
      <c r="GK105" s="73">
        <v>23980</v>
      </c>
      <c r="GL105" s="73">
        <v>511472</v>
      </c>
      <c r="GM105" s="73">
        <v>2891</v>
      </c>
      <c r="GN105" s="73">
        <v>2892</v>
      </c>
      <c r="GO105" s="77">
        <v>19</v>
      </c>
      <c r="GP105" s="78">
        <v>87567</v>
      </c>
      <c r="GQ105" s="73">
        <v>307090</v>
      </c>
      <c r="GR105" s="65">
        <v>150218</v>
      </c>
      <c r="GS105" s="65">
        <v>101966</v>
      </c>
      <c r="GT105" s="65">
        <v>3075</v>
      </c>
      <c r="GU105" s="65">
        <v>266792</v>
      </c>
      <c r="GV105" s="65">
        <v>20525</v>
      </c>
      <c r="GW105" s="65">
        <v>19773</v>
      </c>
      <c r="GX105" s="65">
        <v>17899</v>
      </c>
      <c r="GY105" s="65">
        <v>-30350</v>
      </c>
      <c r="GZ105" s="65">
        <v>19853</v>
      </c>
      <c r="HA105" s="65">
        <v>131750</v>
      </c>
      <c r="HB105" s="65">
        <v>30350</v>
      </c>
      <c r="HC105" s="65">
        <v>542765</v>
      </c>
      <c r="HD105" s="65">
        <v>-1659</v>
      </c>
      <c r="HE105" s="78">
        <v>87296</v>
      </c>
      <c r="HF105" s="73">
        <v>309134</v>
      </c>
      <c r="HG105" s="65">
        <v>159648</v>
      </c>
      <c r="HH105" s="65">
        <v>100594</v>
      </c>
      <c r="HI105" s="65">
        <v>7938</v>
      </c>
      <c r="HJ105" s="65">
        <v>271435</v>
      </c>
      <c r="HK105" s="65">
        <v>15166</v>
      </c>
      <c r="HL105" s="65">
        <v>22533</v>
      </c>
      <c r="HM105" s="65">
        <v>-300</v>
      </c>
      <c r="HN105" s="65">
        <v>-38189</v>
      </c>
      <c r="HO105" s="65">
        <v>20784</v>
      </c>
      <c r="HP105" s="65">
        <v>159281</v>
      </c>
      <c r="HQ105" s="65">
        <v>38189</v>
      </c>
      <c r="HR105" s="65">
        <v>573957</v>
      </c>
      <c r="HS105" s="65">
        <v>-15488</v>
      </c>
      <c r="HT105" s="65">
        <v>-8532</v>
      </c>
      <c r="HU105" s="77">
        <v>20</v>
      </c>
      <c r="HV105" s="180">
        <v>140</v>
      </c>
      <c r="HW105" s="30" t="s">
        <v>753</v>
      </c>
    </row>
    <row r="106" spans="1:231" ht="15" x14ac:dyDescent="0.25">
      <c r="A106" s="27">
        <v>287</v>
      </c>
      <c r="B106" s="27" t="s">
        <v>234</v>
      </c>
      <c r="C106" s="27">
        <v>15</v>
      </c>
      <c r="D106" s="27" t="s">
        <v>115</v>
      </c>
      <c r="E106" s="27">
        <v>3</v>
      </c>
      <c r="F106" s="27" t="s">
        <v>743</v>
      </c>
      <c r="G106" s="29" t="s">
        <v>130</v>
      </c>
      <c r="H106" s="27" t="s">
        <v>98</v>
      </c>
      <c r="I106" s="31" t="s">
        <v>115</v>
      </c>
      <c r="J106" s="69">
        <v>8348</v>
      </c>
      <c r="K106" s="69">
        <v>8252</v>
      </c>
      <c r="L106" s="36">
        <v>8084</v>
      </c>
      <c r="M106" s="36">
        <v>8006</v>
      </c>
      <c r="N106" s="36">
        <v>7934</v>
      </c>
      <c r="O106" s="36">
        <v>7836</v>
      </c>
      <c r="P106" s="36">
        <v>7760</v>
      </c>
      <c r="Q106" s="36">
        <v>7662</v>
      </c>
      <c r="R106" s="69">
        <v>7514</v>
      </c>
      <c r="S106" s="69">
        <v>7389</v>
      </c>
      <c r="T106" s="71">
        <v>7262</v>
      </c>
      <c r="U106" s="36">
        <v>16026</v>
      </c>
      <c r="V106" s="36">
        <v>9090</v>
      </c>
      <c r="W106" s="36">
        <v>3790</v>
      </c>
      <c r="X106" s="36">
        <v>400.79182875778076</v>
      </c>
      <c r="Y106" s="36">
        <v>16067</v>
      </c>
      <c r="Z106" s="36">
        <v>9522</v>
      </c>
      <c r="AA106" s="36">
        <v>4004</v>
      </c>
      <c r="AB106" s="36">
        <v>477.65371115069132</v>
      </c>
      <c r="AC106" s="36">
        <v>16218</v>
      </c>
      <c r="AD106" s="36">
        <v>10598</v>
      </c>
      <c r="AE106" s="36">
        <v>3876</v>
      </c>
      <c r="AF106" s="36">
        <v>270.27799782364821</v>
      </c>
      <c r="AG106" s="36">
        <v>17300</v>
      </c>
      <c r="AH106" s="36">
        <v>10622</v>
      </c>
      <c r="AI106" s="36">
        <v>4134</v>
      </c>
      <c r="AJ106" s="36">
        <v>299.20632117502811</v>
      </c>
      <c r="AK106" s="36">
        <v>16912</v>
      </c>
      <c r="AL106" s="36">
        <v>12500</v>
      </c>
      <c r="AM106" s="36">
        <v>4513</v>
      </c>
      <c r="AN106" s="36">
        <v>199</v>
      </c>
      <c r="AO106" s="36">
        <v>16854</v>
      </c>
      <c r="AP106" s="36">
        <v>13638</v>
      </c>
      <c r="AQ106" s="36">
        <v>4274</v>
      </c>
      <c r="AR106" s="36">
        <v>173</v>
      </c>
      <c r="AS106" s="36">
        <v>16644</v>
      </c>
      <c r="AT106" s="36">
        <v>12668</v>
      </c>
      <c r="AU106" s="36">
        <v>3801</v>
      </c>
      <c r="AV106" s="36">
        <v>267</v>
      </c>
      <c r="AW106" s="36">
        <v>17565</v>
      </c>
      <c r="AX106" s="69">
        <v>13597</v>
      </c>
      <c r="AY106" s="36">
        <v>3706</v>
      </c>
      <c r="AZ106" s="36">
        <v>178</v>
      </c>
      <c r="BA106" s="36">
        <v>18311</v>
      </c>
      <c r="BB106" s="36">
        <v>13775</v>
      </c>
      <c r="BC106" s="36">
        <v>4258</v>
      </c>
      <c r="BD106" s="36">
        <v>190</v>
      </c>
      <c r="BE106" s="70">
        <v>19104</v>
      </c>
      <c r="BF106" s="70">
        <v>13964</v>
      </c>
      <c r="BG106" s="70">
        <v>4399</v>
      </c>
      <c r="BH106" s="70">
        <v>266</v>
      </c>
      <c r="BI106" s="36">
        <v>20620</v>
      </c>
      <c r="BJ106" s="36">
        <v>15440</v>
      </c>
      <c r="BK106" s="36">
        <v>4682</v>
      </c>
      <c r="BL106" s="36">
        <v>293</v>
      </c>
      <c r="BM106" s="36">
        <v>13003.785910224648</v>
      </c>
      <c r="BN106" s="36">
        <v>2169.7924392799537</v>
      </c>
      <c r="BO106" s="36">
        <v>852.71278715986091</v>
      </c>
      <c r="BP106" s="36">
        <v>13132.954237747088</v>
      </c>
      <c r="BQ106" s="36">
        <v>2106.8901547833489</v>
      </c>
      <c r="BR106" s="36">
        <v>827.31641026417276</v>
      </c>
      <c r="BS106" s="36">
        <v>13054.746851942486</v>
      </c>
      <c r="BT106" s="36">
        <v>2262.6321746867079</v>
      </c>
      <c r="BU106" s="36">
        <v>900.98272205431454</v>
      </c>
      <c r="BV106" s="36">
        <v>14243</v>
      </c>
      <c r="BW106" s="36">
        <v>2046</v>
      </c>
      <c r="BX106" s="36">
        <v>1011</v>
      </c>
      <c r="BY106" s="36">
        <v>15093</v>
      </c>
      <c r="BZ106" s="36">
        <v>711</v>
      </c>
      <c r="CA106" s="36">
        <v>1108</v>
      </c>
      <c r="CB106" s="36">
        <v>15142</v>
      </c>
      <c r="CC106" s="36">
        <v>704</v>
      </c>
      <c r="CD106" s="36">
        <v>1008</v>
      </c>
      <c r="CE106" s="36">
        <v>14993</v>
      </c>
      <c r="CF106" s="36">
        <v>662</v>
      </c>
      <c r="CG106" s="36">
        <v>989</v>
      </c>
      <c r="CH106" s="36">
        <v>15703</v>
      </c>
      <c r="CI106" s="36">
        <v>827</v>
      </c>
      <c r="CJ106" s="70">
        <v>1035</v>
      </c>
      <c r="CK106" s="70">
        <v>16184</v>
      </c>
      <c r="CL106" s="70">
        <v>1002</v>
      </c>
      <c r="CM106" s="36">
        <v>1125</v>
      </c>
      <c r="CN106" s="36">
        <v>16823</v>
      </c>
      <c r="CO106" s="36">
        <v>1120</v>
      </c>
      <c r="CP106" s="36">
        <v>1161</v>
      </c>
      <c r="CQ106" s="36">
        <v>18420</v>
      </c>
      <c r="CR106" s="36">
        <v>1030</v>
      </c>
      <c r="CS106" s="36">
        <v>1170</v>
      </c>
      <c r="CT106" s="36">
        <v>165.66510756458837</v>
      </c>
      <c r="CU106" s="36">
        <v>-906.70111159999999</v>
      </c>
      <c r="CV106" s="36">
        <v>966.74420130076544</v>
      </c>
      <c r="CW106" s="36">
        <v>7256</v>
      </c>
      <c r="CX106" s="36">
        <v>550.14270745560259</v>
      </c>
      <c r="CY106" s="36">
        <v>-1542.7878490000001</v>
      </c>
      <c r="CZ106" s="36">
        <v>955.9801740072287</v>
      </c>
      <c r="DA106" s="36">
        <v>8186</v>
      </c>
      <c r="DB106" s="36">
        <v>271.28712538241729</v>
      </c>
      <c r="DC106" s="36">
        <v>-1554.0564409999999</v>
      </c>
      <c r="DD106" s="36">
        <v>979.19010785891726</v>
      </c>
      <c r="DE106" s="36">
        <v>8844</v>
      </c>
      <c r="DF106" s="36">
        <v>87.625909686447244</v>
      </c>
      <c r="DG106" s="36">
        <v>-1533</v>
      </c>
      <c r="DH106" s="36">
        <v>1002.4000417106057</v>
      </c>
      <c r="DI106" s="36">
        <v>10016</v>
      </c>
      <c r="DJ106" s="36">
        <v>1477</v>
      </c>
      <c r="DK106" s="36">
        <v>-1684</v>
      </c>
      <c r="DL106" s="36">
        <v>1022</v>
      </c>
      <c r="DM106" s="36">
        <v>9463</v>
      </c>
      <c r="DN106" s="36">
        <v>1503</v>
      </c>
      <c r="DO106" s="69">
        <v>-833</v>
      </c>
      <c r="DP106" s="36">
        <v>867</v>
      </c>
      <c r="DQ106" s="36">
        <v>9488</v>
      </c>
      <c r="DR106" s="36">
        <v>-623</v>
      </c>
      <c r="DS106" s="36">
        <v>-900</v>
      </c>
      <c r="DT106" s="36">
        <v>899</v>
      </c>
      <c r="DU106" s="36">
        <v>10501</v>
      </c>
      <c r="DV106" s="36">
        <v>-345</v>
      </c>
      <c r="DW106" s="71">
        <v>-780</v>
      </c>
      <c r="DX106" s="39">
        <v>867</v>
      </c>
      <c r="DY106" s="71">
        <v>11594</v>
      </c>
      <c r="DZ106" s="70">
        <v>2489</v>
      </c>
      <c r="EA106" s="35">
        <v>-627</v>
      </c>
      <c r="EB106" s="35">
        <v>929</v>
      </c>
      <c r="EC106" s="38">
        <v>10401</v>
      </c>
      <c r="ED106" s="38">
        <v>2392</v>
      </c>
      <c r="EE106" s="38">
        <v>-1317</v>
      </c>
      <c r="EF106" s="38">
        <v>999</v>
      </c>
      <c r="EG106" s="73">
        <v>8946</v>
      </c>
      <c r="EH106" s="73">
        <v>4964</v>
      </c>
      <c r="EI106" s="73">
        <v>-2230</v>
      </c>
      <c r="EJ106" s="73">
        <v>1011</v>
      </c>
      <c r="EK106" s="73">
        <v>9060</v>
      </c>
      <c r="EL106" s="73">
        <v>27390.917515595225</v>
      </c>
      <c r="EM106" s="73">
        <v>-886.18218452570159</v>
      </c>
      <c r="EN106" s="73">
        <v>27838.970151688689</v>
      </c>
      <c r="EO106" s="73">
        <v>-21.02349080768888</v>
      </c>
      <c r="EP106" s="73">
        <v>28923.614089438975</v>
      </c>
      <c r="EQ106" s="73">
        <v>-758.86392419433776</v>
      </c>
      <c r="ER106" s="73">
        <v>30365.657370919969</v>
      </c>
      <c r="ES106" s="73">
        <v>-925.5381593176952</v>
      </c>
      <c r="ET106" s="73">
        <v>32191</v>
      </c>
      <c r="EU106" s="73">
        <v>455</v>
      </c>
      <c r="EV106" s="73">
        <v>33036</v>
      </c>
      <c r="EW106" s="73">
        <v>636</v>
      </c>
      <c r="EX106" s="73">
        <v>33670</v>
      </c>
      <c r="EY106" s="73">
        <v>-1522</v>
      </c>
      <c r="EZ106" s="73">
        <v>34989</v>
      </c>
      <c r="FA106" s="73">
        <v>-1212</v>
      </c>
      <c r="FB106" s="73">
        <v>33680</v>
      </c>
      <c r="FC106" s="73">
        <v>1056</v>
      </c>
      <c r="FD106" s="73">
        <v>34922</v>
      </c>
      <c r="FE106" s="73">
        <v>1194</v>
      </c>
      <c r="FF106" s="73">
        <v>35662</v>
      </c>
      <c r="FG106" s="73">
        <v>3416</v>
      </c>
      <c r="FH106" s="73">
        <v>-2241</v>
      </c>
      <c r="FI106" s="73">
        <v>1175</v>
      </c>
      <c r="FJ106" s="79">
        <v>7254</v>
      </c>
      <c r="FK106" s="80">
        <v>20106</v>
      </c>
      <c r="FL106" s="80">
        <v>16155</v>
      </c>
      <c r="FM106" s="80">
        <v>5600</v>
      </c>
      <c r="FN106" s="76">
        <v>136</v>
      </c>
      <c r="FO106" s="80">
        <v>18122</v>
      </c>
      <c r="FP106" s="80">
        <v>814</v>
      </c>
      <c r="FQ106" s="80">
        <v>1170</v>
      </c>
      <c r="FR106" s="80">
        <v>2940</v>
      </c>
      <c r="FS106" s="81">
        <v>-4959</v>
      </c>
      <c r="FT106" s="76">
        <v>2228</v>
      </c>
      <c r="FU106" s="76">
        <v>9434</v>
      </c>
      <c r="FV106" s="76">
        <v>4959</v>
      </c>
      <c r="FW106" s="80">
        <v>38770</v>
      </c>
      <c r="FX106" s="80">
        <v>712</v>
      </c>
      <c r="FY106" s="73">
        <v>7157</v>
      </c>
      <c r="FZ106" s="73">
        <v>20600</v>
      </c>
      <c r="GA106" s="73">
        <v>16902</v>
      </c>
      <c r="GB106" s="73">
        <v>6390</v>
      </c>
      <c r="GC106" s="73">
        <v>90</v>
      </c>
      <c r="GD106" s="73">
        <v>18236</v>
      </c>
      <c r="GE106" s="73">
        <v>1108</v>
      </c>
      <c r="GF106" s="73">
        <v>1256</v>
      </c>
      <c r="GG106" s="73">
        <v>1533</v>
      </c>
      <c r="GH106" s="73">
        <v>-4203</v>
      </c>
      <c r="GI106" s="73">
        <v>1056</v>
      </c>
      <c r="GJ106" s="73">
        <v>10544</v>
      </c>
      <c r="GK106" s="73">
        <v>4203</v>
      </c>
      <c r="GL106" s="73">
        <v>42154</v>
      </c>
      <c r="GM106" s="73">
        <v>477</v>
      </c>
      <c r="GN106" s="73">
        <v>2970</v>
      </c>
      <c r="GO106" s="77">
        <v>20</v>
      </c>
      <c r="GP106" s="78">
        <v>7096</v>
      </c>
      <c r="GQ106" s="73">
        <v>20311</v>
      </c>
      <c r="GR106" s="65">
        <v>16864</v>
      </c>
      <c r="GS106" s="65">
        <v>7974</v>
      </c>
      <c r="GT106" s="65">
        <v>67</v>
      </c>
      <c r="GU106" s="65">
        <v>17412</v>
      </c>
      <c r="GV106" s="65">
        <v>1402</v>
      </c>
      <c r="GW106" s="65">
        <v>1497</v>
      </c>
      <c r="GX106" s="65">
        <v>227</v>
      </c>
      <c r="GY106" s="65">
        <v>-4759</v>
      </c>
      <c r="GZ106" s="65">
        <v>1622</v>
      </c>
      <c r="HA106" s="65">
        <v>15902</v>
      </c>
      <c r="HB106" s="65">
        <v>4759</v>
      </c>
      <c r="HC106" s="65">
        <v>44600</v>
      </c>
      <c r="HD106" s="65">
        <v>-1395</v>
      </c>
      <c r="HE106" s="78">
        <v>7055</v>
      </c>
      <c r="HF106" s="73">
        <v>20970</v>
      </c>
      <c r="HG106" s="65">
        <v>18401</v>
      </c>
      <c r="HH106" s="65">
        <v>7903</v>
      </c>
      <c r="HI106" s="65">
        <v>50</v>
      </c>
      <c r="HJ106" s="65">
        <v>18416</v>
      </c>
      <c r="HK106" s="65">
        <v>950</v>
      </c>
      <c r="HL106" s="65">
        <v>1604</v>
      </c>
      <c r="HM106" s="65">
        <v>-491</v>
      </c>
      <c r="HN106" s="65">
        <v>-2368</v>
      </c>
      <c r="HO106" s="65">
        <v>1747</v>
      </c>
      <c r="HP106" s="65">
        <v>19534</v>
      </c>
      <c r="HQ106" s="65">
        <v>2368</v>
      </c>
      <c r="HR106" s="65">
        <v>47399</v>
      </c>
      <c r="HS106" s="65">
        <v>-2238</v>
      </c>
      <c r="HT106" s="65">
        <v>-726</v>
      </c>
      <c r="HU106" s="77">
        <v>20</v>
      </c>
      <c r="HV106" s="180">
        <v>330</v>
      </c>
      <c r="HW106" s="30" t="s">
        <v>760</v>
      </c>
    </row>
    <row r="107" spans="1:231" ht="15" x14ac:dyDescent="0.25">
      <c r="A107" s="27">
        <v>288</v>
      </c>
      <c r="B107" s="27" t="s">
        <v>235</v>
      </c>
      <c r="C107" s="27">
        <v>15</v>
      </c>
      <c r="D107" s="27" t="s">
        <v>115</v>
      </c>
      <c r="E107" s="27">
        <v>3</v>
      </c>
      <c r="F107" s="27" t="s">
        <v>743</v>
      </c>
      <c r="G107" s="29" t="s">
        <v>130</v>
      </c>
      <c r="H107" s="27" t="s">
        <v>98</v>
      </c>
      <c r="I107" s="31" t="s">
        <v>115</v>
      </c>
      <c r="J107" s="69">
        <v>6887</v>
      </c>
      <c r="K107" s="69">
        <v>6868</v>
      </c>
      <c r="L107" s="36">
        <v>6846</v>
      </c>
      <c r="M107" s="36">
        <v>6803</v>
      </c>
      <c r="N107" s="36">
        <v>6809</v>
      </c>
      <c r="O107" s="36">
        <v>6794</v>
      </c>
      <c r="P107" s="36">
        <v>6811</v>
      </c>
      <c r="Q107" s="36">
        <v>6800</v>
      </c>
      <c r="R107" s="69">
        <v>6700</v>
      </c>
      <c r="S107" s="69">
        <v>6716</v>
      </c>
      <c r="T107" s="71">
        <v>6716</v>
      </c>
      <c r="U107" s="36">
        <v>13047</v>
      </c>
      <c r="V107" s="36">
        <v>7770</v>
      </c>
      <c r="W107" s="36">
        <v>5108</v>
      </c>
      <c r="X107" s="36">
        <v>156.58295953566676</v>
      </c>
      <c r="Y107" s="36">
        <v>13155</v>
      </c>
      <c r="Z107" s="36">
        <v>8028</v>
      </c>
      <c r="AA107" s="36">
        <v>4771</v>
      </c>
      <c r="AB107" s="36">
        <v>291.13330070487558</v>
      </c>
      <c r="AC107" s="36">
        <v>13330</v>
      </c>
      <c r="AD107" s="36">
        <v>8719</v>
      </c>
      <c r="AE107" s="36">
        <v>4846</v>
      </c>
      <c r="AF107" s="36">
        <v>97.717185274137904</v>
      </c>
      <c r="AG107" s="36">
        <v>14798</v>
      </c>
      <c r="AH107" s="36">
        <v>8926</v>
      </c>
      <c r="AI107" s="36">
        <v>5180</v>
      </c>
      <c r="AJ107" s="36">
        <v>76.020942760602992</v>
      </c>
      <c r="AK107" s="36">
        <v>15337</v>
      </c>
      <c r="AL107" s="36">
        <v>9621</v>
      </c>
      <c r="AM107" s="36">
        <v>5456</v>
      </c>
      <c r="AN107" s="36">
        <v>54</v>
      </c>
      <c r="AO107" s="36">
        <v>14432</v>
      </c>
      <c r="AP107" s="36">
        <v>9877</v>
      </c>
      <c r="AQ107" s="36">
        <v>6063</v>
      </c>
      <c r="AR107" s="36">
        <v>52</v>
      </c>
      <c r="AS107" s="36">
        <v>14329</v>
      </c>
      <c r="AT107" s="36">
        <v>10639</v>
      </c>
      <c r="AU107" s="36">
        <v>6988</v>
      </c>
      <c r="AV107" s="36">
        <v>107</v>
      </c>
      <c r="AW107" s="36">
        <v>14805</v>
      </c>
      <c r="AX107" s="69">
        <v>11171</v>
      </c>
      <c r="AY107" s="36">
        <v>7170</v>
      </c>
      <c r="AZ107" s="36">
        <v>93</v>
      </c>
      <c r="BA107" s="36">
        <v>15461</v>
      </c>
      <c r="BB107" s="36">
        <v>11901</v>
      </c>
      <c r="BC107" s="36">
        <v>7850</v>
      </c>
      <c r="BD107" s="36">
        <v>61</v>
      </c>
      <c r="BE107" s="70">
        <v>16601</v>
      </c>
      <c r="BF107" s="70">
        <v>12563</v>
      </c>
      <c r="BG107" s="70">
        <v>7470</v>
      </c>
      <c r="BH107" s="70">
        <v>96</v>
      </c>
      <c r="BI107" s="36">
        <v>18399</v>
      </c>
      <c r="BJ107" s="36">
        <v>13960</v>
      </c>
      <c r="BK107" s="36">
        <v>7725</v>
      </c>
      <c r="BL107" s="36">
        <v>38</v>
      </c>
      <c r="BM107" s="36">
        <v>10166.791966671881</v>
      </c>
      <c r="BN107" s="36">
        <v>2412.6558050903759</v>
      </c>
      <c r="BO107" s="36">
        <v>467.05787178361606</v>
      </c>
      <c r="BP107" s="36">
        <v>10325.224993398624</v>
      </c>
      <c r="BQ107" s="36">
        <v>2285.673920611935</v>
      </c>
      <c r="BR107" s="36">
        <v>543.75156625006514</v>
      </c>
      <c r="BS107" s="36">
        <v>10441.106474730605</v>
      </c>
      <c r="BT107" s="36">
        <v>2315.1068077426994</v>
      </c>
      <c r="BU107" s="36">
        <v>574.19358093959863</v>
      </c>
      <c r="BV107" s="36">
        <v>12136</v>
      </c>
      <c r="BW107" s="36">
        <v>2048</v>
      </c>
      <c r="BX107" s="36">
        <v>614</v>
      </c>
      <c r="BY107" s="36">
        <v>13081</v>
      </c>
      <c r="BZ107" s="36">
        <v>1619</v>
      </c>
      <c r="CA107" s="36">
        <v>637</v>
      </c>
      <c r="CB107" s="36">
        <v>12945</v>
      </c>
      <c r="CC107" s="36">
        <v>842</v>
      </c>
      <c r="CD107" s="36">
        <v>645</v>
      </c>
      <c r="CE107" s="36">
        <v>12533</v>
      </c>
      <c r="CF107" s="36">
        <v>1141</v>
      </c>
      <c r="CG107" s="36">
        <v>655</v>
      </c>
      <c r="CH107" s="36">
        <v>12774</v>
      </c>
      <c r="CI107" s="36">
        <v>1338</v>
      </c>
      <c r="CJ107" s="70">
        <v>693</v>
      </c>
      <c r="CK107" s="70">
        <v>13337</v>
      </c>
      <c r="CL107" s="70">
        <v>1413</v>
      </c>
      <c r="CM107" s="36">
        <v>711</v>
      </c>
      <c r="CN107" s="36">
        <v>14242</v>
      </c>
      <c r="CO107" s="36">
        <v>1620</v>
      </c>
      <c r="CP107" s="36">
        <v>739</v>
      </c>
      <c r="CQ107" s="36">
        <v>15990</v>
      </c>
      <c r="CR107" s="36">
        <v>1626</v>
      </c>
      <c r="CS107" s="36">
        <v>783</v>
      </c>
      <c r="CT107" s="36">
        <v>461.00310643100181</v>
      </c>
      <c r="CU107" s="36">
        <v>-1137.7913229999999</v>
      </c>
      <c r="CV107" s="36">
        <v>708.91211003526894</v>
      </c>
      <c r="CW107" s="36">
        <v>9071</v>
      </c>
      <c r="CX107" s="36">
        <v>572.00713789559904</v>
      </c>
      <c r="CY107" s="36">
        <v>-933.10661600000014</v>
      </c>
      <c r="CZ107" s="36">
        <v>756.00472944449211</v>
      </c>
      <c r="DA107" s="36">
        <v>9192</v>
      </c>
      <c r="DB107" s="36">
        <v>293.99249545472128</v>
      </c>
      <c r="DC107" s="36">
        <v>-1518.4005999999999</v>
      </c>
      <c r="DD107" s="36">
        <v>760.54580345895283</v>
      </c>
      <c r="DE107" s="36">
        <v>9114</v>
      </c>
      <c r="DF107" s="36">
        <v>1179.1655524216537</v>
      </c>
      <c r="DG107" s="36">
        <v>-1507</v>
      </c>
      <c r="DH107" s="36">
        <v>833.03479976386416</v>
      </c>
      <c r="DI107" s="36">
        <v>9946</v>
      </c>
      <c r="DJ107" s="36">
        <v>1901</v>
      </c>
      <c r="DK107" s="36">
        <v>-756</v>
      </c>
      <c r="DL107" s="36">
        <v>846</v>
      </c>
      <c r="DM107" s="36">
        <v>9499</v>
      </c>
      <c r="DN107" s="36">
        <v>757</v>
      </c>
      <c r="DO107" s="69">
        <v>-724</v>
      </c>
      <c r="DP107" s="36">
        <v>907</v>
      </c>
      <c r="DQ107" s="36">
        <v>9311</v>
      </c>
      <c r="DR107" s="36">
        <v>598</v>
      </c>
      <c r="DS107" s="36">
        <v>-817</v>
      </c>
      <c r="DT107" s="36">
        <v>931</v>
      </c>
      <c r="DU107" s="36">
        <v>8922</v>
      </c>
      <c r="DV107" s="36">
        <v>1068</v>
      </c>
      <c r="DW107" s="71">
        <v>-958</v>
      </c>
      <c r="DX107" s="39">
        <v>912</v>
      </c>
      <c r="DY107" s="71">
        <v>9405</v>
      </c>
      <c r="DZ107" s="70">
        <v>2191</v>
      </c>
      <c r="EA107" s="35">
        <v>-1026</v>
      </c>
      <c r="EB107" s="35">
        <v>910</v>
      </c>
      <c r="EC107" s="38">
        <v>9077</v>
      </c>
      <c r="ED107" s="38">
        <v>2145</v>
      </c>
      <c r="EE107" s="38">
        <v>-1391</v>
      </c>
      <c r="EF107" s="38">
        <v>932</v>
      </c>
      <c r="EG107" s="73">
        <v>7845</v>
      </c>
      <c r="EH107" s="73">
        <v>2640</v>
      </c>
      <c r="EI107" s="73">
        <v>-1525</v>
      </c>
      <c r="EJ107" s="73">
        <v>989</v>
      </c>
      <c r="EK107" s="73">
        <v>7284</v>
      </c>
      <c r="EL107" s="73">
        <v>24064.160330186536</v>
      </c>
      <c r="EM107" s="73">
        <v>-352.35370593686559</v>
      </c>
      <c r="EN107" s="73">
        <v>24227.470806780664</v>
      </c>
      <c r="EO107" s="73">
        <v>-183.99759154889307</v>
      </c>
      <c r="EP107" s="73">
        <v>25129.294468467288</v>
      </c>
      <c r="EQ107" s="73">
        <v>-466.55330800423161</v>
      </c>
      <c r="ER107" s="73">
        <v>26086.283770033286</v>
      </c>
      <c r="ES107" s="73">
        <v>449.7345153580805</v>
      </c>
      <c r="ET107" s="73">
        <v>28110</v>
      </c>
      <c r="EU107" s="73">
        <v>1091</v>
      </c>
      <c r="EV107" s="73">
        <v>29345</v>
      </c>
      <c r="EW107" s="73">
        <v>-150</v>
      </c>
      <c r="EX107" s="73">
        <v>31175</v>
      </c>
      <c r="EY107" s="73">
        <v>-333</v>
      </c>
      <c r="EZ107" s="73">
        <v>31885</v>
      </c>
      <c r="FA107" s="73">
        <v>156</v>
      </c>
      <c r="FB107" s="73">
        <v>32773</v>
      </c>
      <c r="FC107" s="73">
        <v>1281</v>
      </c>
      <c r="FD107" s="73">
        <v>34209</v>
      </c>
      <c r="FE107" s="73">
        <v>1209</v>
      </c>
      <c r="FF107" s="73">
        <v>37178</v>
      </c>
      <c r="FG107" s="73">
        <v>1651</v>
      </c>
      <c r="FH107" s="73">
        <v>2896</v>
      </c>
      <c r="FI107" s="73">
        <v>4547</v>
      </c>
      <c r="FJ107" s="79">
        <v>6720</v>
      </c>
      <c r="FK107" s="80">
        <v>17530</v>
      </c>
      <c r="FL107" s="80">
        <v>14617</v>
      </c>
      <c r="FM107" s="80">
        <v>5396</v>
      </c>
      <c r="FN107" s="76">
        <v>59</v>
      </c>
      <c r="FO107" s="80">
        <v>15609</v>
      </c>
      <c r="FP107" s="80">
        <v>1090</v>
      </c>
      <c r="FQ107" s="80">
        <v>831</v>
      </c>
      <c r="FR107" s="80">
        <v>1562</v>
      </c>
      <c r="FS107" s="81">
        <v>-1408</v>
      </c>
      <c r="FT107" s="76">
        <v>1053</v>
      </c>
      <c r="FU107" s="76">
        <v>7251</v>
      </c>
      <c r="FV107" s="76">
        <v>1408</v>
      </c>
      <c r="FW107" s="80">
        <v>35850</v>
      </c>
      <c r="FX107" s="80">
        <v>509</v>
      </c>
      <c r="FY107" s="73">
        <v>6731</v>
      </c>
      <c r="FZ107" s="73">
        <v>17435</v>
      </c>
      <c r="GA107" s="73">
        <v>15567</v>
      </c>
      <c r="GB107" s="73">
        <v>5881</v>
      </c>
      <c r="GC107" s="73">
        <v>98</v>
      </c>
      <c r="GD107" s="73">
        <v>15074</v>
      </c>
      <c r="GE107" s="73">
        <v>1331</v>
      </c>
      <c r="GF107" s="73">
        <v>1030</v>
      </c>
      <c r="GG107" s="73">
        <v>1082</v>
      </c>
      <c r="GH107" s="73">
        <v>-1751</v>
      </c>
      <c r="GI107" s="73">
        <v>1121</v>
      </c>
      <c r="GJ107" s="73">
        <v>8322</v>
      </c>
      <c r="GK107" s="73">
        <v>1751</v>
      </c>
      <c r="GL107" s="73">
        <v>37739</v>
      </c>
      <c r="GM107" s="73">
        <v>-45</v>
      </c>
      <c r="GN107" s="73">
        <v>5010</v>
      </c>
      <c r="GO107" s="77">
        <v>19.5</v>
      </c>
      <c r="GP107" s="78">
        <v>6681</v>
      </c>
      <c r="GQ107" s="73">
        <v>18562</v>
      </c>
      <c r="GR107" s="65">
        <v>16589</v>
      </c>
      <c r="GS107" s="65">
        <v>6173</v>
      </c>
      <c r="GT107" s="65">
        <v>121</v>
      </c>
      <c r="GU107" s="65">
        <v>15881</v>
      </c>
      <c r="GV107" s="65">
        <v>1634</v>
      </c>
      <c r="GW107" s="65">
        <v>1047</v>
      </c>
      <c r="GX107" s="65">
        <v>738</v>
      </c>
      <c r="GY107" s="65">
        <v>-2436</v>
      </c>
      <c r="GZ107" s="65">
        <v>1206</v>
      </c>
      <c r="HA107" s="65">
        <v>9294</v>
      </c>
      <c r="HB107" s="65">
        <v>2436</v>
      </c>
      <c r="HC107" s="65">
        <v>40493</v>
      </c>
      <c r="HD107" s="65">
        <v>-473</v>
      </c>
      <c r="HE107" s="78">
        <v>6666</v>
      </c>
      <c r="HF107" s="73">
        <v>18971</v>
      </c>
      <c r="HG107" s="65">
        <v>17645</v>
      </c>
      <c r="HH107" s="65">
        <v>6183</v>
      </c>
      <c r="HI107" s="65">
        <v>297</v>
      </c>
      <c r="HJ107" s="65">
        <v>16660</v>
      </c>
      <c r="HK107" s="65">
        <v>1242</v>
      </c>
      <c r="HL107" s="65">
        <v>1069</v>
      </c>
      <c r="HM107" s="65">
        <v>484</v>
      </c>
      <c r="HN107" s="65">
        <v>-3248</v>
      </c>
      <c r="HO107" s="65">
        <v>1256</v>
      </c>
      <c r="HP107" s="65">
        <v>11500</v>
      </c>
      <c r="HQ107" s="65">
        <v>3248</v>
      </c>
      <c r="HR107" s="65">
        <v>42348</v>
      </c>
      <c r="HS107" s="65">
        <v>-775</v>
      </c>
      <c r="HT107" s="65">
        <v>3763</v>
      </c>
      <c r="HU107" s="77">
        <v>19.5</v>
      </c>
      <c r="HV107" s="180">
        <v>330</v>
      </c>
      <c r="HW107" s="30" t="s">
        <v>760</v>
      </c>
    </row>
    <row r="108" spans="1:231" ht="15" x14ac:dyDescent="0.25">
      <c r="A108" s="27">
        <v>290</v>
      </c>
      <c r="B108" s="27" t="s">
        <v>236</v>
      </c>
      <c r="C108" s="27">
        <v>18</v>
      </c>
      <c r="D108" s="27" t="s">
        <v>108</v>
      </c>
      <c r="E108" s="27">
        <v>3</v>
      </c>
      <c r="F108" s="27" t="s">
        <v>743</v>
      </c>
      <c r="G108" s="29" t="s">
        <v>132</v>
      </c>
      <c r="H108" s="27" t="s">
        <v>99</v>
      </c>
      <c r="I108" s="31" t="s">
        <v>108</v>
      </c>
      <c r="J108" s="69">
        <v>11574</v>
      </c>
      <c r="K108" s="69">
        <v>11348</v>
      </c>
      <c r="L108" s="36">
        <v>11167</v>
      </c>
      <c r="M108" s="36">
        <v>10951</v>
      </c>
      <c r="N108" s="36">
        <v>10767</v>
      </c>
      <c r="O108" s="36">
        <v>10630</v>
      </c>
      <c r="P108" s="36">
        <v>10449</v>
      </c>
      <c r="Q108" s="36">
        <v>10271</v>
      </c>
      <c r="R108" s="69">
        <v>10072</v>
      </c>
      <c r="S108" s="69">
        <v>9943</v>
      </c>
      <c r="T108" s="71">
        <v>9798</v>
      </c>
      <c r="U108" s="36">
        <v>22682</v>
      </c>
      <c r="V108" s="36">
        <v>14838</v>
      </c>
      <c r="W108" s="36">
        <v>8179</v>
      </c>
      <c r="X108" s="36">
        <v>715.97600294665233</v>
      </c>
      <c r="Y108" s="36">
        <v>21560</v>
      </c>
      <c r="Z108" s="36">
        <v>14447</v>
      </c>
      <c r="AA108" s="36">
        <v>8869</v>
      </c>
      <c r="AB108" s="36">
        <v>856.2447336155526</v>
      </c>
      <c r="AC108" s="36">
        <v>20953</v>
      </c>
      <c r="AD108" s="36">
        <v>14816</v>
      </c>
      <c r="AE108" s="36">
        <v>8470</v>
      </c>
      <c r="AF108" s="36">
        <v>553.67465391129429</v>
      </c>
      <c r="AG108" s="36">
        <v>21459</v>
      </c>
      <c r="AH108" s="36">
        <v>17127</v>
      </c>
      <c r="AI108" s="36">
        <v>7791</v>
      </c>
      <c r="AJ108" s="36">
        <v>474.45814054792265</v>
      </c>
      <c r="AK108" s="36">
        <v>21602</v>
      </c>
      <c r="AL108" s="36">
        <v>19292</v>
      </c>
      <c r="AM108" s="36">
        <v>8228</v>
      </c>
      <c r="AN108" s="36">
        <v>609</v>
      </c>
      <c r="AO108" s="36">
        <v>20428</v>
      </c>
      <c r="AP108" s="36">
        <v>20971</v>
      </c>
      <c r="AQ108" s="36">
        <v>9174</v>
      </c>
      <c r="AR108" s="36">
        <v>713</v>
      </c>
      <c r="AS108" s="36">
        <v>21167</v>
      </c>
      <c r="AT108" s="36">
        <v>21491</v>
      </c>
      <c r="AU108" s="36">
        <v>9083</v>
      </c>
      <c r="AV108" s="36">
        <v>796</v>
      </c>
      <c r="AW108" s="36">
        <v>21691</v>
      </c>
      <c r="AX108" s="69">
        <v>19823</v>
      </c>
      <c r="AY108" s="36">
        <v>7857</v>
      </c>
      <c r="AZ108" s="36">
        <v>560</v>
      </c>
      <c r="BA108" s="36">
        <v>22677</v>
      </c>
      <c r="BB108" s="36">
        <v>21338</v>
      </c>
      <c r="BC108" s="36">
        <v>7316</v>
      </c>
      <c r="BD108" s="36">
        <v>670</v>
      </c>
      <c r="BE108" s="70">
        <v>23422</v>
      </c>
      <c r="BF108" s="70">
        <v>21329</v>
      </c>
      <c r="BG108" s="70">
        <v>7694</v>
      </c>
      <c r="BH108" s="70">
        <v>1541</v>
      </c>
      <c r="BI108" s="36">
        <v>25569</v>
      </c>
      <c r="BJ108" s="36">
        <v>23098</v>
      </c>
      <c r="BK108" s="36">
        <v>7835</v>
      </c>
      <c r="BL108" s="36">
        <v>0</v>
      </c>
      <c r="BM108" s="36">
        <v>16720.739085024041</v>
      </c>
      <c r="BN108" s="36">
        <v>5332.5663963886691</v>
      </c>
      <c r="BO108" s="36">
        <v>628.3500932602052</v>
      </c>
      <c r="BP108" s="36">
        <v>16294.382691444111</v>
      </c>
      <c r="BQ108" s="36">
        <v>4420.4832711878944</v>
      </c>
      <c r="BR108" s="36">
        <v>845.48070632201609</v>
      </c>
      <c r="BS108" s="36">
        <v>15269.613655514126</v>
      </c>
      <c r="BT108" s="36">
        <v>4828.0026170041356</v>
      </c>
      <c r="BU108" s="36">
        <v>854.89923020386061</v>
      </c>
      <c r="BV108" s="36">
        <v>17400</v>
      </c>
      <c r="BW108" s="36">
        <v>3214</v>
      </c>
      <c r="BX108" s="36">
        <v>845</v>
      </c>
      <c r="BY108" s="36">
        <v>18916</v>
      </c>
      <c r="BZ108" s="36">
        <v>1734</v>
      </c>
      <c r="CA108" s="36">
        <v>952</v>
      </c>
      <c r="CB108" s="36">
        <v>18351</v>
      </c>
      <c r="CC108" s="36">
        <v>1100</v>
      </c>
      <c r="CD108" s="36">
        <v>977</v>
      </c>
      <c r="CE108" s="36">
        <v>18705</v>
      </c>
      <c r="CF108" s="36">
        <v>1422</v>
      </c>
      <c r="CG108" s="36">
        <v>1040</v>
      </c>
      <c r="CH108" s="36">
        <v>18493</v>
      </c>
      <c r="CI108" s="36">
        <v>2193</v>
      </c>
      <c r="CJ108" s="70">
        <v>1005</v>
      </c>
      <c r="CK108" s="70">
        <v>19093</v>
      </c>
      <c r="CL108" s="70">
        <v>2520</v>
      </c>
      <c r="CM108" s="36">
        <v>1064</v>
      </c>
      <c r="CN108" s="36">
        <v>19573</v>
      </c>
      <c r="CO108" s="36">
        <v>2705</v>
      </c>
      <c r="CP108" s="36">
        <v>1137</v>
      </c>
      <c r="CQ108" s="36">
        <v>21785</v>
      </c>
      <c r="CR108" s="36">
        <v>2599</v>
      </c>
      <c r="CS108" s="36">
        <v>1185</v>
      </c>
      <c r="CT108" s="36">
        <v>3148.9825471388704</v>
      </c>
      <c r="CU108" s="36">
        <v>-1598.4580530000001</v>
      </c>
      <c r="CV108" s="36">
        <v>2062.6567301239711</v>
      </c>
      <c r="CW108" s="36">
        <v>5848</v>
      </c>
      <c r="CX108" s="36">
        <v>1890.7686692803072</v>
      </c>
      <c r="CY108" s="36">
        <v>-2423.419832</v>
      </c>
      <c r="CZ108" s="36">
        <v>2022.1234398467468</v>
      </c>
      <c r="DA108" s="36">
        <v>4523</v>
      </c>
      <c r="DB108" s="36">
        <v>-1091.3714548087451</v>
      </c>
      <c r="DC108" s="36">
        <v>-1524.9599289999999</v>
      </c>
      <c r="DD108" s="36">
        <v>2028.8509569052076</v>
      </c>
      <c r="DE108" s="36">
        <v>4930</v>
      </c>
      <c r="DF108" s="36">
        <v>-1.1773154852305772</v>
      </c>
      <c r="DG108" s="36">
        <v>-1653</v>
      </c>
      <c r="DH108" s="36">
        <v>1403.5282463213098</v>
      </c>
      <c r="DI108" s="36">
        <v>6176</v>
      </c>
      <c r="DJ108" s="36">
        <v>2487</v>
      </c>
      <c r="DK108" s="36">
        <v>11887</v>
      </c>
      <c r="DL108" s="36">
        <v>1422</v>
      </c>
      <c r="DM108" s="36">
        <v>7113</v>
      </c>
      <c r="DN108" s="36">
        <v>1819</v>
      </c>
      <c r="DO108" s="69">
        <v>-1908</v>
      </c>
      <c r="DP108" s="36">
        <v>1799</v>
      </c>
      <c r="DQ108" s="36">
        <v>6716</v>
      </c>
      <c r="DR108" s="36">
        <v>1044</v>
      </c>
      <c r="DS108" s="36">
        <v>-2594</v>
      </c>
      <c r="DT108" s="36">
        <v>2131</v>
      </c>
      <c r="DU108" s="36">
        <v>7093</v>
      </c>
      <c r="DV108" s="36">
        <v>390</v>
      </c>
      <c r="DW108" s="71">
        <v>-2712</v>
      </c>
      <c r="DX108" s="39">
        <v>1438</v>
      </c>
      <c r="DY108" s="71">
        <v>7379</v>
      </c>
      <c r="DZ108" s="70">
        <v>1323</v>
      </c>
      <c r="EA108" s="35">
        <v>-1509</v>
      </c>
      <c r="EB108" s="35">
        <v>1405</v>
      </c>
      <c r="EC108" s="38">
        <v>9249</v>
      </c>
      <c r="ED108" s="38">
        <v>1554</v>
      </c>
      <c r="EE108" s="38">
        <v>-2182</v>
      </c>
      <c r="EF108" s="38">
        <v>1364</v>
      </c>
      <c r="EG108" s="73">
        <v>10283</v>
      </c>
      <c r="EH108" s="73">
        <v>-54</v>
      </c>
      <c r="EI108" s="73">
        <v>-4414</v>
      </c>
      <c r="EJ108" s="73">
        <v>1397</v>
      </c>
      <c r="EK108" s="73">
        <v>12335</v>
      </c>
      <c r="EL108" s="73">
        <v>40718.63337218474</v>
      </c>
      <c r="EM108" s="73">
        <v>10.764027293536707</v>
      </c>
      <c r="EN108" s="73">
        <v>41525.767231273538</v>
      </c>
      <c r="EO108" s="73">
        <v>93.007923333215601</v>
      </c>
      <c r="EP108" s="73">
        <v>43538.303959311976</v>
      </c>
      <c r="EQ108" s="73">
        <v>-1326.329988075476</v>
      </c>
      <c r="ER108" s="73">
        <v>43391.64408743754</v>
      </c>
      <c r="ES108" s="73">
        <v>-1145.3597792028902</v>
      </c>
      <c r="ET108" s="73">
        <v>45750</v>
      </c>
      <c r="EU108" s="73">
        <v>1602</v>
      </c>
      <c r="EV108" s="73">
        <v>48826</v>
      </c>
      <c r="EW108" s="73">
        <v>684</v>
      </c>
      <c r="EX108" s="73">
        <v>50975</v>
      </c>
      <c r="EY108" s="73">
        <v>-658</v>
      </c>
      <c r="EZ108" s="73">
        <v>49161</v>
      </c>
      <c r="FA108" s="73">
        <v>-970</v>
      </c>
      <c r="FB108" s="73">
        <v>50391</v>
      </c>
      <c r="FC108" s="73">
        <v>-248</v>
      </c>
      <c r="FD108" s="73">
        <v>51817</v>
      </c>
      <c r="FE108" s="73">
        <v>254</v>
      </c>
      <c r="FF108" s="73">
        <v>55740</v>
      </c>
      <c r="FG108" s="73">
        <v>745</v>
      </c>
      <c r="FH108" s="73">
        <v>-1695</v>
      </c>
      <c r="FI108" s="73">
        <v>-950</v>
      </c>
      <c r="FJ108" s="79">
        <v>9636</v>
      </c>
      <c r="FK108" s="80">
        <v>25062</v>
      </c>
      <c r="FL108" s="80">
        <v>25024</v>
      </c>
      <c r="FM108" s="80">
        <v>8322</v>
      </c>
      <c r="FN108" s="76">
        <v>1019</v>
      </c>
      <c r="FO108" s="80">
        <v>21452</v>
      </c>
      <c r="FP108" s="80">
        <v>2420</v>
      </c>
      <c r="FQ108" s="80">
        <v>1190</v>
      </c>
      <c r="FR108" s="80">
        <v>1735</v>
      </c>
      <c r="FS108" s="81">
        <v>-1091</v>
      </c>
      <c r="FT108" s="76">
        <v>1499</v>
      </c>
      <c r="FU108" s="76">
        <v>12843</v>
      </c>
      <c r="FV108" s="76">
        <v>1091</v>
      </c>
      <c r="FW108" s="80">
        <v>57325</v>
      </c>
      <c r="FX108" s="80">
        <v>289</v>
      </c>
      <c r="FY108" s="73">
        <v>9492</v>
      </c>
      <c r="FZ108" s="73">
        <v>26505</v>
      </c>
      <c r="GA108" s="73">
        <v>26933</v>
      </c>
      <c r="GB108" s="73">
        <v>8672</v>
      </c>
      <c r="GC108" s="73">
        <v>698</v>
      </c>
      <c r="GD108" s="73">
        <v>21881</v>
      </c>
      <c r="GE108" s="73">
        <v>3211</v>
      </c>
      <c r="GF108" s="73">
        <v>1413</v>
      </c>
      <c r="GG108" s="73">
        <v>3505</v>
      </c>
      <c r="GH108" s="73">
        <v>-2437</v>
      </c>
      <c r="GI108" s="73">
        <v>2449</v>
      </c>
      <c r="GJ108" s="73">
        <v>13213</v>
      </c>
      <c r="GK108" s="73">
        <v>2437</v>
      </c>
      <c r="GL108" s="73">
        <v>59105</v>
      </c>
      <c r="GM108" s="73">
        <v>1087</v>
      </c>
      <c r="GN108" s="73">
        <v>426</v>
      </c>
      <c r="GO108" s="77">
        <v>20.25</v>
      </c>
      <c r="GP108" s="78">
        <v>9334</v>
      </c>
      <c r="GQ108" s="73">
        <v>26138</v>
      </c>
      <c r="GR108" s="65">
        <v>26543</v>
      </c>
      <c r="GS108" s="65">
        <v>9077</v>
      </c>
      <c r="GT108" s="65">
        <v>403</v>
      </c>
      <c r="GU108" s="65">
        <v>21470</v>
      </c>
      <c r="GV108" s="65">
        <v>3234</v>
      </c>
      <c r="GW108" s="65">
        <v>1434</v>
      </c>
      <c r="GX108" s="65">
        <v>409</v>
      </c>
      <c r="GY108" s="65">
        <v>-1565</v>
      </c>
      <c r="GZ108" s="65">
        <v>2315</v>
      </c>
      <c r="HA108" s="65">
        <v>13468</v>
      </c>
      <c r="HB108" s="65">
        <v>1565</v>
      </c>
      <c r="HC108" s="65">
        <v>61525</v>
      </c>
      <c r="HD108" s="65">
        <v>-1875</v>
      </c>
      <c r="HE108" s="78">
        <v>9240</v>
      </c>
      <c r="HF108" s="73">
        <v>25148</v>
      </c>
      <c r="HG108" s="65">
        <v>29129</v>
      </c>
      <c r="HH108" s="65">
        <v>9419</v>
      </c>
      <c r="HI108" s="65">
        <v>722</v>
      </c>
      <c r="HJ108" s="65">
        <v>21706</v>
      </c>
      <c r="HK108" s="65">
        <v>1987</v>
      </c>
      <c r="HL108" s="65">
        <v>1455</v>
      </c>
      <c r="HM108" s="65">
        <v>-409</v>
      </c>
      <c r="HN108" s="65">
        <v>-2733</v>
      </c>
      <c r="HO108" s="65">
        <v>1589</v>
      </c>
      <c r="HP108" s="65">
        <v>14913</v>
      </c>
      <c r="HQ108" s="65">
        <v>2733</v>
      </c>
      <c r="HR108" s="65">
        <v>64604</v>
      </c>
      <c r="HS108" s="65">
        <v>-3381</v>
      </c>
      <c r="HT108" s="65">
        <v>-4830</v>
      </c>
      <c r="HU108" s="77">
        <v>20.25</v>
      </c>
      <c r="HV108" s="180">
        <v>240</v>
      </c>
      <c r="HW108" s="30" t="s">
        <v>757</v>
      </c>
    </row>
    <row r="109" spans="1:231" ht="15" x14ac:dyDescent="0.25">
      <c r="A109" s="27">
        <v>291</v>
      </c>
      <c r="B109" s="27" t="s">
        <v>237</v>
      </c>
      <c r="C109" s="27">
        <v>13</v>
      </c>
      <c r="D109" s="27" t="s">
        <v>111</v>
      </c>
      <c r="E109" s="27">
        <v>2</v>
      </c>
      <c r="F109" s="27" t="s">
        <v>744</v>
      </c>
      <c r="G109" s="29" t="s">
        <v>130</v>
      </c>
      <c r="H109" s="27" t="s">
        <v>98</v>
      </c>
      <c r="I109" s="31" t="s">
        <v>111</v>
      </c>
      <c r="J109" s="69">
        <v>3053</v>
      </c>
      <c r="K109" s="69">
        <v>3023</v>
      </c>
      <c r="L109" s="36">
        <v>2973</v>
      </c>
      <c r="M109" s="36">
        <v>2948</v>
      </c>
      <c r="N109" s="36">
        <v>2917</v>
      </c>
      <c r="O109" s="36">
        <v>2880</v>
      </c>
      <c r="P109" s="36">
        <v>2838</v>
      </c>
      <c r="Q109" s="36">
        <v>2805</v>
      </c>
      <c r="R109" s="69">
        <v>2731</v>
      </c>
      <c r="S109" s="69">
        <v>2703</v>
      </c>
      <c r="T109" s="71">
        <v>2639</v>
      </c>
      <c r="U109" s="36">
        <v>7035</v>
      </c>
      <c r="V109" s="36">
        <v>2975</v>
      </c>
      <c r="W109" s="36">
        <v>1927</v>
      </c>
      <c r="X109" s="36">
        <v>313.67048285071809</v>
      </c>
      <c r="Y109" s="36">
        <v>6754</v>
      </c>
      <c r="Z109" s="36">
        <v>2933</v>
      </c>
      <c r="AA109" s="36">
        <v>2025</v>
      </c>
      <c r="AB109" s="36">
        <v>361.60404189224869</v>
      </c>
      <c r="AC109" s="36">
        <v>7644</v>
      </c>
      <c r="AD109" s="36">
        <v>3042</v>
      </c>
      <c r="AE109" s="36">
        <v>1951</v>
      </c>
      <c r="AF109" s="36">
        <v>312.82954321841049</v>
      </c>
      <c r="AG109" s="36">
        <v>7180</v>
      </c>
      <c r="AH109" s="36">
        <v>3079</v>
      </c>
      <c r="AI109" s="36">
        <v>1936</v>
      </c>
      <c r="AJ109" s="36">
        <v>142.95973749228438</v>
      </c>
      <c r="AK109" s="36">
        <v>6226</v>
      </c>
      <c r="AL109" s="36">
        <v>3739</v>
      </c>
      <c r="AM109" s="36">
        <v>2058</v>
      </c>
      <c r="AN109" s="36">
        <v>154</v>
      </c>
      <c r="AO109" s="36">
        <v>5923</v>
      </c>
      <c r="AP109" s="36">
        <v>5323</v>
      </c>
      <c r="AQ109" s="36">
        <v>2398</v>
      </c>
      <c r="AR109" s="36">
        <v>185</v>
      </c>
      <c r="AS109" s="36">
        <v>6503</v>
      </c>
      <c r="AT109" s="36">
        <v>5473</v>
      </c>
      <c r="AU109" s="36">
        <v>1746</v>
      </c>
      <c r="AV109" s="36">
        <v>239</v>
      </c>
      <c r="AW109" s="36">
        <v>6427</v>
      </c>
      <c r="AX109" s="69">
        <v>5156</v>
      </c>
      <c r="AY109" s="36">
        <v>2038</v>
      </c>
      <c r="AZ109" s="36">
        <v>354</v>
      </c>
      <c r="BA109" s="36">
        <v>7060</v>
      </c>
      <c r="BB109" s="36">
        <v>5979</v>
      </c>
      <c r="BC109" s="36">
        <v>1706</v>
      </c>
      <c r="BD109" s="36">
        <v>0</v>
      </c>
      <c r="BE109" s="70">
        <v>6984</v>
      </c>
      <c r="BF109" s="70">
        <v>6039</v>
      </c>
      <c r="BG109" s="70">
        <v>2023</v>
      </c>
      <c r="BH109" s="70">
        <v>124</v>
      </c>
      <c r="BI109" s="36">
        <v>7300</v>
      </c>
      <c r="BJ109" s="36">
        <v>6959</v>
      </c>
      <c r="BK109" s="36">
        <v>2779</v>
      </c>
      <c r="BL109" s="36">
        <v>0</v>
      </c>
      <c r="BM109" s="36">
        <v>3827.9572062639909</v>
      </c>
      <c r="BN109" s="36">
        <v>2811.9339425100029</v>
      </c>
      <c r="BO109" s="36">
        <v>395.57800303747393</v>
      </c>
      <c r="BP109" s="36">
        <v>4093.0213783673325</v>
      </c>
      <c r="BQ109" s="36">
        <v>2175.8472046325683</v>
      </c>
      <c r="BR109" s="36">
        <v>485.39035576792082</v>
      </c>
      <c r="BS109" s="36">
        <v>4093.0213783673325</v>
      </c>
      <c r="BT109" s="36">
        <v>2934.2065650475215</v>
      </c>
      <c r="BU109" s="36">
        <v>617.24969011374549</v>
      </c>
      <c r="BV109" s="36">
        <v>4577</v>
      </c>
      <c r="BW109" s="36">
        <v>1944</v>
      </c>
      <c r="BX109" s="36">
        <v>659</v>
      </c>
      <c r="BY109" s="36">
        <v>4957</v>
      </c>
      <c r="BZ109" s="36">
        <v>582</v>
      </c>
      <c r="CA109" s="36">
        <v>687</v>
      </c>
      <c r="CB109" s="36">
        <v>4759</v>
      </c>
      <c r="CC109" s="36">
        <v>476</v>
      </c>
      <c r="CD109" s="36">
        <v>688</v>
      </c>
      <c r="CE109" s="36">
        <v>5123</v>
      </c>
      <c r="CF109" s="36">
        <v>679</v>
      </c>
      <c r="CG109" s="36">
        <v>701</v>
      </c>
      <c r="CH109" s="36">
        <v>4771</v>
      </c>
      <c r="CI109" s="36">
        <v>933</v>
      </c>
      <c r="CJ109" s="70">
        <v>723</v>
      </c>
      <c r="CK109" s="70">
        <v>5188</v>
      </c>
      <c r="CL109" s="70">
        <v>1131</v>
      </c>
      <c r="CM109" s="36">
        <v>741</v>
      </c>
      <c r="CN109" s="36">
        <v>5082</v>
      </c>
      <c r="CO109" s="36">
        <v>1144</v>
      </c>
      <c r="CP109" s="36">
        <v>758</v>
      </c>
      <c r="CQ109" s="36">
        <v>5559</v>
      </c>
      <c r="CR109" s="36">
        <v>919</v>
      </c>
      <c r="CS109" s="36">
        <v>822</v>
      </c>
      <c r="CT109" s="36">
        <v>714.63049953496034</v>
      </c>
      <c r="CU109" s="36">
        <v>-3701.8162609999995</v>
      </c>
      <c r="CV109" s="36">
        <v>751.96821920941579</v>
      </c>
      <c r="CW109" s="36">
        <v>4799</v>
      </c>
      <c r="CX109" s="36">
        <v>464.53505288669351</v>
      </c>
      <c r="CY109" s="36">
        <v>-919.8197697999999</v>
      </c>
      <c r="CZ109" s="36">
        <v>852.37641130693805</v>
      </c>
      <c r="DA109" s="36">
        <v>5486</v>
      </c>
      <c r="DB109" s="36">
        <v>933.94755564077059</v>
      </c>
      <c r="DC109" s="36">
        <v>-698.14808270000003</v>
      </c>
      <c r="DD109" s="36">
        <v>873.39990211462691</v>
      </c>
      <c r="DE109" s="36">
        <v>5764</v>
      </c>
      <c r="DF109" s="36">
        <v>-339.06685974640624</v>
      </c>
      <c r="DG109" s="36">
        <v>-856</v>
      </c>
      <c r="DH109" s="36">
        <v>853.72191471862993</v>
      </c>
      <c r="DI109" s="36">
        <v>5737</v>
      </c>
      <c r="DJ109" s="36">
        <v>-1231</v>
      </c>
      <c r="DK109" s="36">
        <v>-463</v>
      </c>
      <c r="DL109" s="36">
        <v>851</v>
      </c>
      <c r="DM109" s="36">
        <v>7057</v>
      </c>
      <c r="DN109" s="36">
        <v>649</v>
      </c>
      <c r="DO109" s="69">
        <v>-197</v>
      </c>
      <c r="DP109" s="36">
        <v>444</v>
      </c>
      <c r="DQ109" s="36">
        <v>6263</v>
      </c>
      <c r="DR109" s="36">
        <v>803</v>
      </c>
      <c r="DS109" s="36">
        <v>180</v>
      </c>
      <c r="DT109" s="36">
        <v>706</v>
      </c>
      <c r="DU109" s="36">
        <v>6239</v>
      </c>
      <c r="DV109" s="36">
        <v>323</v>
      </c>
      <c r="DW109" s="71">
        <v>-27</v>
      </c>
      <c r="DX109" s="39">
        <v>463</v>
      </c>
      <c r="DY109" s="71">
        <v>7472</v>
      </c>
      <c r="DZ109" s="70">
        <v>884</v>
      </c>
      <c r="EA109" s="35">
        <v>-907</v>
      </c>
      <c r="EB109" s="35">
        <v>484</v>
      </c>
      <c r="EC109" s="38">
        <v>7114</v>
      </c>
      <c r="ED109" s="38">
        <v>767</v>
      </c>
      <c r="EE109" s="38">
        <v>-393</v>
      </c>
      <c r="EF109" s="38">
        <v>512</v>
      </c>
      <c r="EG109" s="73">
        <v>5859</v>
      </c>
      <c r="EH109" s="73">
        <v>1436</v>
      </c>
      <c r="EI109" s="73">
        <v>390</v>
      </c>
      <c r="EJ109" s="73">
        <v>587</v>
      </c>
      <c r="EK109" s="73">
        <v>4493</v>
      </c>
      <c r="EL109" s="73">
        <v>10851.148639443769</v>
      </c>
      <c r="EM109" s="73">
        <v>5.8865774261528863</v>
      </c>
      <c r="EN109" s="73">
        <v>10867.631056236996</v>
      </c>
      <c r="EO109" s="73">
        <v>-313.50229492425655</v>
      </c>
      <c r="EP109" s="73">
        <v>11286.923556905544</v>
      </c>
      <c r="EQ109" s="73">
        <v>97.380809421214892</v>
      </c>
      <c r="ER109" s="73">
        <v>11753.14048905685</v>
      </c>
      <c r="ES109" s="73">
        <v>107.30389708244404</v>
      </c>
      <c r="ET109" s="73">
        <v>12216</v>
      </c>
      <c r="EU109" s="73">
        <v>-2964</v>
      </c>
      <c r="EV109" s="73">
        <v>12938</v>
      </c>
      <c r="EW109" s="73">
        <v>101</v>
      </c>
      <c r="EX109" s="73">
        <v>12961</v>
      </c>
      <c r="EY109" s="73">
        <v>-913</v>
      </c>
      <c r="EZ109" s="73">
        <v>13490</v>
      </c>
      <c r="FA109" s="73">
        <v>-157</v>
      </c>
      <c r="FB109" s="73">
        <v>13712</v>
      </c>
      <c r="FC109" s="73">
        <v>380</v>
      </c>
      <c r="FD109" s="73">
        <v>14113</v>
      </c>
      <c r="FE109" s="73">
        <v>-22</v>
      </c>
      <c r="FF109" s="73">
        <v>15252</v>
      </c>
      <c r="FG109" s="73">
        <v>856</v>
      </c>
      <c r="FH109" s="73">
        <v>-85</v>
      </c>
      <c r="FI109" s="73">
        <v>771</v>
      </c>
      <c r="FJ109" s="79">
        <v>2589</v>
      </c>
      <c r="FK109" s="80">
        <v>7103</v>
      </c>
      <c r="FL109" s="80">
        <v>7587</v>
      </c>
      <c r="FM109" s="80">
        <v>2028</v>
      </c>
      <c r="FN109" s="76">
        <v>93</v>
      </c>
      <c r="FO109" s="80">
        <v>5512</v>
      </c>
      <c r="FP109" s="80">
        <v>692</v>
      </c>
      <c r="FQ109" s="80">
        <v>899</v>
      </c>
      <c r="FR109" s="80">
        <v>1629</v>
      </c>
      <c r="FS109" s="81">
        <v>-322</v>
      </c>
      <c r="FT109" s="76">
        <v>827</v>
      </c>
      <c r="FU109" s="76">
        <v>3317</v>
      </c>
      <c r="FV109" s="76">
        <v>322</v>
      </c>
      <c r="FW109" s="80">
        <v>15124</v>
      </c>
      <c r="FX109" s="80">
        <v>814</v>
      </c>
      <c r="FY109" s="73">
        <v>2554</v>
      </c>
      <c r="FZ109" s="73">
        <v>7423</v>
      </c>
      <c r="GA109" s="73">
        <v>7978</v>
      </c>
      <c r="GB109" s="73">
        <v>2057</v>
      </c>
      <c r="GC109" s="73">
        <v>17</v>
      </c>
      <c r="GD109" s="73">
        <v>5451</v>
      </c>
      <c r="GE109" s="73">
        <v>1098</v>
      </c>
      <c r="GF109" s="73">
        <v>874</v>
      </c>
      <c r="GG109" s="73">
        <v>1646</v>
      </c>
      <c r="GH109" s="73">
        <v>-575</v>
      </c>
      <c r="GI109" s="73">
        <v>773</v>
      </c>
      <c r="GJ109" s="73">
        <v>2365</v>
      </c>
      <c r="GK109" s="73">
        <v>575</v>
      </c>
      <c r="GL109" s="73">
        <v>15829</v>
      </c>
      <c r="GM109" s="73">
        <v>884</v>
      </c>
      <c r="GN109" s="73">
        <v>2469</v>
      </c>
      <c r="GO109" s="77">
        <v>19.75</v>
      </c>
      <c r="GP109" s="78">
        <v>2505</v>
      </c>
      <c r="GQ109" s="73">
        <v>7413</v>
      </c>
      <c r="GR109" s="65">
        <v>8119</v>
      </c>
      <c r="GS109" s="65">
        <v>2150</v>
      </c>
      <c r="GT109" s="65">
        <v>99</v>
      </c>
      <c r="GU109" s="65">
        <v>5453</v>
      </c>
      <c r="GV109" s="65">
        <v>854</v>
      </c>
      <c r="GW109" s="65">
        <v>1106</v>
      </c>
      <c r="GX109" s="65">
        <v>1538</v>
      </c>
      <c r="GY109" s="65">
        <v>-691</v>
      </c>
      <c r="GZ109" s="65">
        <v>793</v>
      </c>
      <c r="HA109" s="65">
        <v>1586</v>
      </c>
      <c r="HB109" s="65">
        <v>691</v>
      </c>
      <c r="HC109" s="65">
        <v>16243</v>
      </c>
      <c r="HD109" s="65">
        <v>756</v>
      </c>
      <c r="HE109" s="78">
        <v>2438</v>
      </c>
      <c r="HF109" s="73">
        <v>7390</v>
      </c>
      <c r="HG109" s="65">
        <v>8740</v>
      </c>
      <c r="HH109" s="65">
        <v>2373</v>
      </c>
      <c r="HI109" s="65">
        <v>76</v>
      </c>
      <c r="HJ109" s="65">
        <v>5723</v>
      </c>
      <c r="HK109" s="65">
        <v>531</v>
      </c>
      <c r="HL109" s="65">
        <v>1136</v>
      </c>
      <c r="HM109" s="65">
        <v>1228</v>
      </c>
      <c r="HN109" s="65">
        <v>-590</v>
      </c>
      <c r="HO109" s="65">
        <v>831</v>
      </c>
      <c r="HP109" s="65">
        <v>1021</v>
      </c>
      <c r="HQ109" s="65">
        <v>590</v>
      </c>
      <c r="HR109" s="65">
        <v>17351</v>
      </c>
      <c r="HS109" s="65">
        <v>409</v>
      </c>
      <c r="HT109" s="65">
        <v>3634</v>
      </c>
      <c r="HU109" s="77">
        <v>19.75</v>
      </c>
      <c r="HV109" s="180">
        <v>340</v>
      </c>
      <c r="HW109" s="30" t="s">
        <v>761</v>
      </c>
    </row>
    <row r="110" spans="1:231" ht="15" x14ac:dyDescent="0.25">
      <c r="A110" s="27">
        <v>297</v>
      </c>
      <c r="B110" s="27" t="s">
        <v>238</v>
      </c>
      <c r="C110" s="27">
        <v>11</v>
      </c>
      <c r="D110" s="27" t="s">
        <v>118</v>
      </c>
      <c r="E110" s="27">
        <v>7</v>
      </c>
      <c r="F110" s="27" t="s">
        <v>104</v>
      </c>
      <c r="G110" s="29" t="s">
        <v>141</v>
      </c>
      <c r="H110" s="27" t="s">
        <v>97</v>
      </c>
      <c r="I110" s="31" t="s">
        <v>118</v>
      </c>
      <c r="J110" s="85">
        <v>108915</v>
      </c>
      <c r="K110" s="85">
        <v>108976</v>
      </c>
      <c r="L110" s="85">
        <v>108890</v>
      </c>
      <c r="M110" s="85">
        <v>109338</v>
      </c>
      <c r="N110" s="85">
        <v>109539</v>
      </c>
      <c r="O110" s="85">
        <v>109849</v>
      </c>
      <c r="P110" s="85">
        <v>110025</v>
      </c>
      <c r="Q110" s="85">
        <v>110208</v>
      </c>
      <c r="R110" s="85">
        <v>110417</v>
      </c>
      <c r="S110" s="85">
        <v>110713</v>
      </c>
      <c r="T110" s="85">
        <v>111218</v>
      </c>
      <c r="U110" s="85">
        <v>224412</v>
      </c>
      <c r="V110" s="85">
        <v>73950</v>
      </c>
      <c r="W110" s="85">
        <v>115317</v>
      </c>
      <c r="X110" s="85">
        <v>8336.4027629912562</v>
      </c>
      <c r="Y110" s="85">
        <v>226321</v>
      </c>
      <c r="Z110" s="85">
        <v>75015</v>
      </c>
      <c r="AA110" s="85">
        <v>120005</v>
      </c>
      <c r="AB110" s="85">
        <v>7359.5672861028006</v>
      </c>
      <c r="AC110" s="85">
        <v>229983</v>
      </c>
      <c r="AD110" s="85">
        <v>79669</v>
      </c>
      <c r="AE110" s="85">
        <v>121465</v>
      </c>
      <c r="AF110" s="85">
        <v>5419.5195543692689</v>
      </c>
      <c r="AG110" s="85">
        <v>247489</v>
      </c>
      <c r="AH110" s="85">
        <v>89377</v>
      </c>
      <c r="AI110" s="85">
        <v>126399</v>
      </c>
      <c r="AJ110" s="85">
        <v>3998.8361395488864</v>
      </c>
      <c r="AK110" s="85">
        <v>263376</v>
      </c>
      <c r="AL110" s="85">
        <v>101658</v>
      </c>
      <c r="AM110" s="85">
        <v>129273</v>
      </c>
      <c r="AN110" s="85">
        <v>2803</v>
      </c>
      <c r="AO110" s="85">
        <v>255314</v>
      </c>
      <c r="AP110" s="85">
        <v>104254</v>
      </c>
      <c r="AQ110" s="85">
        <v>141336</v>
      </c>
      <c r="AR110" s="85">
        <v>3562</v>
      </c>
      <c r="AS110" s="85">
        <v>260544</v>
      </c>
      <c r="AT110" s="85">
        <v>109591</v>
      </c>
      <c r="AU110" s="85">
        <v>157260</v>
      </c>
      <c r="AV110" s="85">
        <v>7120</v>
      </c>
      <c r="AW110" s="85">
        <v>274586</v>
      </c>
      <c r="AX110" s="85">
        <v>115071</v>
      </c>
      <c r="AY110" s="85">
        <v>168123</v>
      </c>
      <c r="AZ110" s="85">
        <v>5546</v>
      </c>
      <c r="BA110" s="85">
        <v>290834</v>
      </c>
      <c r="BB110" s="85">
        <v>121521</v>
      </c>
      <c r="BC110" s="85">
        <v>182847</v>
      </c>
      <c r="BD110" s="85">
        <v>45362</v>
      </c>
      <c r="BE110" s="85">
        <v>309371</v>
      </c>
      <c r="BF110" s="85">
        <v>127030</v>
      </c>
      <c r="BG110" s="85">
        <v>165082</v>
      </c>
      <c r="BH110" s="85">
        <v>5609</v>
      </c>
      <c r="BI110" s="85">
        <v>332337</v>
      </c>
      <c r="BJ110" s="85">
        <v>142974</v>
      </c>
      <c r="BK110" s="85">
        <v>170329</v>
      </c>
      <c r="BL110" s="85">
        <v>2335</v>
      </c>
      <c r="BM110" s="85">
        <v>190591.06282996369</v>
      </c>
      <c r="BN110" s="85">
        <v>26639.117484312272</v>
      </c>
      <c r="BO110" s="85">
        <v>7065.4066027216168</v>
      </c>
      <c r="BP110" s="85">
        <v>190761.77357532212</v>
      </c>
      <c r="BQ110" s="85">
        <v>26257.499079171099</v>
      </c>
      <c r="BR110" s="85">
        <v>9110.5717884935893</v>
      </c>
      <c r="BS110" s="85">
        <v>183037.74305257725</v>
      </c>
      <c r="BT110" s="85">
        <v>37395.408133231751</v>
      </c>
      <c r="BU110" s="85">
        <v>9363.3582419652412</v>
      </c>
      <c r="BV110" s="85">
        <v>212039</v>
      </c>
      <c r="BW110" s="85">
        <v>25596</v>
      </c>
      <c r="BX110" s="85">
        <v>9680</v>
      </c>
      <c r="BY110" s="85">
        <v>231737</v>
      </c>
      <c r="BZ110" s="85">
        <v>21330</v>
      </c>
      <c r="CA110" s="85">
        <v>10144</v>
      </c>
      <c r="CB110" s="85">
        <v>229627</v>
      </c>
      <c r="CC110" s="85">
        <v>12173</v>
      </c>
      <c r="CD110" s="85">
        <v>13361</v>
      </c>
      <c r="CE110" s="85">
        <v>233534</v>
      </c>
      <c r="CF110" s="85">
        <v>13472</v>
      </c>
      <c r="CG110" s="85">
        <v>13389</v>
      </c>
      <c r="CH110" s="85">
        <v>245004</v>
      </c>
      <c r="CI110" s="85">
        <v>15078</v>
      </c>
      <c r="CJ110" s="85">
        <v>14365</v>
      </c>
      <c r="CK110" s="85">
        <v>258645</v>
      </c>
      <c r="CL110" s="85">
        <v>16813</v>
      </c>
      <c r="CM110" s="85">
        <v>15242</v>
      </c>
      <c r="CN110" s="85">
        <v>270323</v>
      </c>
      <c r="CO110" s="85">
        <v>20183</v>
      </c>
      <c r="CP110" s="85">
        <v>18742</v>
      </c>
      <c r="CQ110" s="85">
        <v>291834</v>
      </c>
      <c r="CR110" s="85">
        <v>19859</v>
      </c>
      <c r="CS110" s="85">
        <v>20536</v>
      </c>
      <c r="CT110" s="85">
        <v>18116.867062581045</v>
      </c>
      <c r="CU110" s="85">
        <v>-44557.354607399997</v>
      </c>
      <c r="CV110" s="85">
        <v>28388.440107438444</v>
      </c>
      <c r="CW110" s="85">
        <v>48503</v>
      </c>
      <c r="CX110" s="85">
        <v>25481.143610624767</v>
      </c>
      <c r="CY110" s="85">
        <v>-17800.337389299999</v>
      </c>
      <c r="CZ110" s="85">
        <v>28920.418518836206</v>
      </c>
      <c r="DA110" s="85">
        <v>42702</v>
      </c>
      <c r="DB110" s="85">
        <v>17504.326634408222</v>
      </c>
      <c r="DC110" s="85">
        <v>-33784.581544400011</v>
      </c>
      <c r="DD110" s="85">
        <v>29325.583233681991</v>
      </c>
      <c r="DE110" s="85">
        <v>38395</v>
      </c>
      <c r="DF110" s="85">
        <v>27404.54073763861</v>
      </c>
      <c r="DG110" s="85">
        <v>-33194</v>
      </c>
      <c r="DH110" s="85">
        <v>29651.867811017317</v>
      </c>
      <c r="DI110" s="85">
        <v>31902</v>
      </c>
      <c r="DJ110" s="85">
        <v>48015</v>
      </c>
      <c r="DK110" s="85">
        <v>-39939</v>
      </c>
      <c r="DL110" s="85">
        <v>31089</v>
      </c>
      <c r="DM110" s="85">
        <v>47151</v>
      </c>
      <c r="DN110" s="85">
        <v>34470</v>
      </c>
      <c r="DO110" s="85">
        <v>-44893</v>
      </c>
      <c r="DP110" s="85">
        <v>31644</v>
      </c>
      <c r="DQ110" s="85">
        <v>39956</v>
      </c>
      <c r="DR110" s="85">
        <v>17968</v>
      </c>
      <c r="DS110" s="85">
        <v>-45154</v>
      </c>
      <c r="DT110" s="85">
        <v>33405</v>
      </c>
      <c r="DU110" s="85">
        <v>70249</v>
      </c>
      <c r="DV110" s="85">
        <v>24019</v>
      </c>
      <c r="DW110" s="85">
        <v>-45707</v>
      </c>
      <c r="DX110" s="85">
        <v>34321</v>
      </c>
      <c r="DY110" s="85">
        <v>82208</v>
      </c>
      <c r="DZ110" s="85">
        <v>31884</v>
      </c>
      <c r="EA110" s="85">
        <v>-20869</v>
      </c>
      <c r="EB110" s="85">
        <v>36309</v>
      </c>
      <c r="EC110" s="85">
        <v>103677</v>
      </c>
      <c r="ED110" s="85">
        <v>20143</v>
      </c>
      <c r="EE110" s="85">
        <v>-55893</v>
      </c>
      <c r="EF110" s="85">
        <v>36049</v>
      </c>
      <c r="EG110" s="85">
        <v>142989</v>
      </c>
      <c r="EH110" s="85">
        <v>28375</v>
      </c>
      <c r="EI110" s="85">
        <v>-59504</v>
      </c>
      <c r="EJ110" s="85">
        <v>40448</v>
      </c>
      <c r="EK110" s="85">
        <v>170212</v>
      </c>
      <c r="EL110" s="85">
        <v>380133.81031429279</v>
      </c>
      <c r="EM110" s="85">
        <v>-12331.034204378602</v>
      </c>
      <c r="EN110" s="85">
        <v>384179.90726117732</v>
      </c>
      <c r="EO110" s="85">
        <v>4935.1383261601177</v>
      </c>
      <c r="EP110" s="85">
        <v>400429.5519641827</v>
      </c>
      <c r="EQ110" s="85">
        <v>-8247.5995378195785</v>
      </c>
      <c r="ER110" s="85">
        <v>419615.08511150017</v>
      </c>
      <c r="ES110" s="85">
        <v>8780.7552647025695</v>
      </c>
      <c r="ET110" s="85">
        <v>447213</v>
      </c>
      <c r="EU110" s="85">
        <v>20707</v>
      </c>
      <c r="EV110" s="85">
        <v>467536</v>
      </c>
      <c r="EW110" s="85">
        <v>3104</v>
      </c>
      <c r="EX110" s="85">
        <v>511939</v>
      </c>
      <c r="EY110" s="85">
        <v>-13975</v>
      </c>
      <c r="EZ110" s="85">
        <v>536593</v>
      </c>
      <c r="FA110" s="85">
        <v>-11486</v>
      </c>
      <c r="FB110" s="85">
        <v>564991</v>
      </c>
      <c r="FC110" s="85">
        <v>46833</v>
      </c>
      <c r="FD110" s="85">
        <v>581691</v>
      </c>
      <c r="FE110" s="85">
        <v>-16205</v>
      </c>
      <c r="FF110" s="85">
        <v>617155</v>
      </c>
      <c r="FG110" s="85">
        <v>-13839</v>
      </c>
      <c r="FH110" s="85">
        <v>20367</v>
      </c>
      <c r="FI110" s="85">
        <v>6420</v>
      </c>
      <c r="FJ110" s="85">
        <v>111799</v>
      </c>
      <c r="FK110" s="85">
        <v>336516</v>
      </c>
      <c r="FL110" s="85">
        <v>155322</v>
      </c>
      <c r="FM110" s="85">
        <v>188791</v>
      </c>
      <c r="FN110" s="85">
        <v>9483</v>
      </c>
      <c r="FO110" s="85">
        <v>299939</v>
      </c>
      <c r="FP110" s="85">
        <v>14586</v>
      </c>
      <c r="FQ110" s="85">
        <v>21991</v>
      </c>
      <c r="FR110" s="85">
        <v>35874</v>
      </c>
      <c r="FS110" s="85">
        <v>-37464</v>
      </c>
      <c r="FT110" s="85">
        <v>42295</v>
      </c>
      <c r="FU110" s="85">
        <v>181607</v>
      </c>
      <c r="FV110" s="85">
        <v>37464</v>
      </c>
      <c r="FW110" s="85">
        <v>646894</v>
      </c>
      <c r="FX110" s="85">
        <v>-454</v>
      </c>
      <c r="FY110" s="85">
        <v>112336</v>
      </c>
      <c r="FZ110" s="85">
        <v>356771</v>
      </c>
      <c r="GA110" s="85">
        <v>166070</v>
      </c>
      <c r="GB110" s="85">
        <v>194794</v>
      </c>
      <c r="GC110" s="85">
        <v>4194</v>
      </c>
      <c r="GD110" s="85">
        <v>316606</v>
      </c>
      <c r="GE110" s="85">
        <v>16839</v>
      </c>
      <c r="GF110" s="85">
        <v>23326</v>
      </c>
      <c r="GG110" s="85">
        <v>47360</v>
      </c>
      <c r="GH110" s="85">
        <v>-53096</v>
      </c>
      <c r="GI110" s="85">
        <v>42139</v>
      </c>
      <c r="GJ110" s="85">
        <v>207999</v>
      </c>
      <c r="GK110" s="85">
        <v>53096</v>
      </c>
      <c r="GL110" s="85">
        <v>673297</v>
      </c>
      <c r="GM110" s="85">
        <v>6389</v>
      </c>
      <c r="GN110" s="85">
        <v>14735</v>
      </c>
      <c r="GO110" s="77">
        <v>19.5</v>
      </c>
      <c r="GP110" s="78">
        <v>112919</v>
      </c>
      <c r="GQ110" s="78">
        <v>366664</v>
      </c>
      <c r="GR110" s="78">
        <v>170858</v>
      </c>
      <c r="GS110" s="78">
        <v>228792</v>
      </c>
      <c r="GT110" s="78">
        <v>4246</v>
      </c>
      <c r="GU110" s="78">
        <v>321611</v>
      </c>
      <c r="GV110" s="78">
        <v>21042</v>
      </c>
      <c r="GW110" s="78">
        <v>24011</v>
      </c>
      <c r="GX110" s="78">
        <v>45183</v>
      </c>
      <c r="GY110" s="78">
        <v>-37315</v>
      </c>
      <c r="GZ110" s="78">
        <v>43538</v>
      </c>
      <c r="HA110" s="78">
        <v>219629</v>
      </c>
      <c r="HB110" s="78">
        <v>37315</v>
      </c>
      <c r="HC110" s="78">
        <v>723278</v>
      </c>
      <c r="HD110" s="78">
        <v>4270</v>
      </c>
      <c r="HE110" s="78">
        <v>114055</v>
      </c>
      <c r="HF110" s="78">
        <v>374708</v>
      </c>
      <c r="HG110" s="78">
        <v>177864</v>
      </c>
      <c r="HH110" s="78">
        <v>237667</v>
      </c>
      <c r="HI110" s="78">
        <v>5286</v>
      </c>
      <c r="HJ110" s="78">
        <v>333007</v>
      </c>
      <c r="HK110" s="78">
        <v>16317</v>
      </c>
      <c r="HL110" s="78">
        <v>25384</v>
      </c>
      <c r="HM110" s="78">
        <v>21890</v>
      </c>
      <c r="HN110" s="78">
        <v>-72931</v>
      </c>
      <c r="HO110" s="78">
        <v>45050</v>
      </c>
      <c r="HP110" s="78">
        <v>236289</v>
      </c>
      <c r="HQ110" s="78">
        <v>72931</v>
      </c>
      <c r="HR110" s="78">
        <v>770978</v>
      </c>
      <c r="HS110" s="78">
        <v>-9217</v>
      </c>
      <c r="HT110" s="78">
        <v>5863</v>
      </c>
      <c r="HU110" s="77">
        <v>19.5</v>
      </c>
      <c r="HV110" s="180">
        <v>120</v>
      </c>
      <c r="HW110" s="30" t="s">
        <v>751</v>
      </c>
    </row>
    <row r="111" spans="1:231" ht="15" x14ac:dyDescent="0.25">
      <c r="A111" s="27">
        <v>300</v>
      </c>
      <c r="B111" s="27" t="s">
        <v>239</v>
      </c>
      <c r="C111" s="27">
        <v>14</v>
      </c>
      <c r="D111" s="27" t="s">
        <v>106</v>
      </c>
      <c r="E111" s="27">
        <v>2</v>
      </c>
      <c r="F111" s="27" t="s">
        <v>744</v>
      </c>
      <c r="G111" s="29" t="s">
        <v>130</v>
      </c>
      <c r="H111" s="27" t="s">
        <v>98</v>
      </c>
      <c r="I111" s="31" t="s">
        <v>106</v>
      </c>
      <c r="J111" s="69">
        <v>4570</v>
      </c>
      <c r="K111" s="69">
        <v>4534</v>
      </c>
      <c r="L111" s="36">
        <v>4457</v>
      </c>
      <c r="M111" s="36">
        <v>4414</v>
      </c>
      <c r="N111" s="36">
        <v>4366</v>
      </c>
      <c r="O111" s="36">
        <v>4282</v>
      </c>
      <c r="P111" s="36">
        <v>4230</v>
      </c>
      <c r="Q111" s="36">
        <v>4185</v>
      </c>
      <c r="R111" s="69">
        <v>4167</v>
      </c>
      <c r="S111" s="69">
        <v>4073</v>
      </c>
      <c r="T111" s="71">
        <v>4019</v>
      </c>
      <c r="U111" s="36">
        <v>7448</v>
      </c>
      <c r="V111" s="36">
        <v>5621</v>
      </c>
      <c r="W111" s="36">
        <v>2659</v>
      </c>
      <c r="X111" s="36">
        <v>658.45573209681572</v>
      </c>
      <c r="Y111" s="36">
        <v>7794</v>
      </c>
      <c r="Z111" s="36">
        <v>5578</v>
      </c>
      <c r="AA111" s="36">
        <v>2642</v>
      </c>
      <c r="AB111" s="36">
        <v>404.99652691931857</v>
      </c>
      <c r="AC111" s="36">
        <v>6643</v>
      </c>
      <c r="AD111" s="36">
        <v>5909</v>
      </c>
      <c r="AE111" s="36">
        <v>2842</v>
      </c>
      <c r="AF111" s="36">
        <v>468.40337519530823</v>
      </c>
      <c r="AG111" s="36">
        <v>7834</v>
      </c>
      <c r="AH111" s="36">
        <v>6742</v>
      </c>
      <c r="AI111" s="36">
        <v>3338</v>
      </c>
      <c r="AJ111" s="36">
        <v>383.13209647932212</v>
      </c>
      <c r="AK111" s="36">
        <v>8293</v>
      </c>
      <c r="AL111" s="36">
        <v>7101</v>
      </c>
      <c r="AM111" s="36">
        <v>3112</v>
      </c>
      <c r="AN111" s="36">
        <v>263</v>
      </c>
      <c r="AO111" s="36">
        <v>7602</v>
      </c>
      <c r="AP111" s="36">
        <v>7271</v>
      </c>
      <c r="AQ111" s="36">
        <v>3281</v>
      </c>
      <c r="AR111" s="36">
        <v>128</v>
      </c>
      <c r="AS111" s="36">
        <v>7759</v>
      </c>
      <c r="AT111" s="36">
        <v>7767</v>
      </c>
      <c r="AU111" s="36">
        <v>3482</v>
      </c>
      <c r="AV111" s="36">
        <v>191</v>
      </c>
      <c r="AW111" s="36">
        <v>8148</v>
      </c>
      <c r="AX111" s="69">
        <v>8038</v>
      </c>
      <c r="AY111" s="36">
        <v>3644</v>
      </c>
      <c r="AZ111" s="36">
        <v>113</v>
      </c>
      <c r="BA111" s="36">
        <v>8513</v>
      </c>
      <c r="BB111" s="36">
        <v>8080</v>
      </c>
      <c r="BC111" s="36">
        <v>2926</v>
      </c>
      <c r="BD111" s="36">
        <v>327</v>
      </c>
      <c r="BE111" s="70">
        <v>9542</v>
      </c>
      <c r="BF111" s="70">
        <v>8407</v>
      </c>
      <c r="BG111" s="70">
        <v>2855</v>
      </c>
      <c r="BH111" s="70">
        <v>291</v>
      </c>
      <c r="BI111" s="36">
        <v>10120</v>
      </c>
      <c r="BJ111" s="36">
        <v>9313</v>
      </c>
      <c r="BK111" s="36">
        <v>3107</v>
      </c>
      <c r="BL111" s="36">
        <v>178</v>
      </c>
      <c r="BM111" s="36">
        <v>5848.0623909932001</v>
      </c>
      <c r="BN111" s="36">
        <v>1391.9232793954652</v>
      </c>
      <c r="BO111" s="36">
        <v>207.88027710642763</v>
      </c>
      <c r="BP111" s="36">
        <v>5697.8705726630715</v>
      </c>
      <c r="BQ111" s="36">
        <v>1873.9498766341558</v>
      </c>
      <c r="BR111" s="36">
        <v>222.00806292919452</v>
      </c>
      <c r="BS111" s="36">
        <v>5698.5433243689167</v>
      </c>
      <c r="BT111" s="36">
        <v>636.59130165681927</v>
      </c>
      <c r="BU111" s="36">
        <v>307.44752957164218</v>
      </c>
      <c r="BV111" s="36">
        <v>6594</v>
      </c>
      <c r="BW111" s="36">
        <v>917</v>
      </c>
      <c r="BX111" s="36">
        <v>323</v>
      </c>
      <c r="BY111" s="36">
        <v>7232</v>
      </c>
      <c r="BZ111" s="36">
        <v>729</v>
      </c>
      <c r="CA111" s="36">
        <v>332</v>
      </c>
      <c r="CB111" s="36">
        <v>6893</v>
      </c>
      <c r="CC111" s="36">
        <v>375</v>
      </c>
      <c r="CD111" s="36">
        <v>334</v>
      </c>
      <c r="CE111" s="36">
        <v>6838</v>
      </c>
      <c r="CF111" s="36">
        <v>589</v>
      </c>
      <c r="CG111" s="36">
        <v>332</v>
      </c>
      <c r="CH111" s="36">
        <v>7084</v>
      </c>
      <c r="CI111" s="36">
        <v>690</v>
      </c>
      <c r="CJ111" s="70">
        <v>374</v>
      </c>
      <c r="CK111" s="70">
        <v>7488</v>
      </c>
      <c r="CL111" s="70">
        <v>639</v>
      </c>
      <c r="CM111" s="36">
        <v>386</v>
      </c>
      <c r="CN111" s="36">
        <v>8402</v>
      </c>
      <c r="CO111" s="36">
        <v>727</v>
      </c>
      <c r="CP111" s="36">
        <v>413</v>
      </c>
      <c r="CQ111" s="36">
        <v>8936</v>
      </c>
      <c r="CR111" s="36">
        <v>636</v>
      </c>
      <c r="CS111" s="36">
        <v>548</v>
      </c>
      <c r="CT111" s="36">
        <v>906.36473570108296</v>
      </c>
      <c r="CU111" s="36">
        <v>-958.16661710000005</v>
      </c>
      <c r="CV111" s="36">
        <v>701.51184127096246</v>
      </c>
      <c r="CW111" s="36">
        <v>186</v>
      </c>
      <c r="CX111" s="36">
        <v>234.45396948734637</v>
      </c>
      <c r="CY111" s="36">
        <v>-845.98527009999998</v>
      </c>
      <c r="CZ111" s="36">
        <v>726.4036543872661</v>
      </c>
      <c r="DA111" s="36">
        <v>60</v>
      </c>
      <c r="DB111" s="36">
        <v>-444.8570654906967</v>
      </c>
      <c r="DC111" s="36">
        <v>-643.65519459999996</v>
      </c>
      <c r="DD111" s="36">
        <v>709.75304966757653</v>
      </c>
      <c r="DE111" s="36">
        <v>46</v>
      </c>
      <c r="DF111" s="36">
        <v>525.58727019222192</v>
      </c>
      <c r="DG111" s="36">
        <v>-1300</v>
      </c>
      <c r="DH111" s="36">
        <v>727.74915779895821</v>
      </c>
      <c r="DI111" s="36">
        <v>62</v>
      </c>
      <c r="DJ111" s="36">
        <v>1459</v>
      </c>
      <c r="DK111" s="36">
        <v>-1517</v>
      </c>
      <c r="DL111" s="36">
        <v>736</v>
      </c>
      <c r="DM111" s="36">
        <v>52</v>
      </c>
      <c r="DN111" s="36">
        <v>231</v>
      </c>
      <c r="DO111" s="69">
        <v>-967</v>
      </c>
      <c r="DP111" s="36">
        <v>768</v>
      </c>
      <c r="DQ111" s="36">
        <v>40</v>
      </c>
      <c r="DR111" s="36">
        <v>290</v>
      </c>
      <c r="DS111" s="36">
        <v>-951</v>
      </c>
      <c r="DT111" s="36">
        <v>869</v>
      </c>
      <c r="DU111" s="36">
        <v>29</v>
      </c>
      <c r="DV111" s="36">
        <v>631</v>
      </c>
      <c r="DW111" s="71">
        <v>-711</v>
      </c>
      <c r="DX111" s="39">
        <v>818</v>
      </c>
      <c r="DY111" s="71">
        <v>16</v>
      </c>
      <c r="DZ111" s="70">
        <v>140</v>
      </c>
      <c r="EA111" s="35">
        <v>-434</v>
      </c>
      <c r="EB111" s="35">
        <v>886</v>
      </c>
      <c r="EC111" s="38">
        <v>9</v>
      </c>
      <c r="ED111" s="38">
        <v>444</v>
      </c>
      <c r="EE111" s="38">
        <v>530</v>
      </c>
      <c r="EF111" s="38">
        <v>940</v>
      </c>
      <c r="EG111" s="73">
        <v>6</v>
      </c>
      <c r="EH111" s="73">
        <v>461</v>
      </c>
      <c r="EI111" s="73">
        <v>-1219</v>
      </c>
      <c r="EJ111" s="73">
        <v>605</v>
      </c>
      <c r="EK111" s="73">
        <v>3</v>
      </c>
      <c r="EL111" s="73">
        <v>14692.560879824681</v>
      </c>
      <c r="EM111" s="73">
        <v>180.46564509320135</v>
      </c>
      <c r="EN111" s="73">
        <v>15476.148429208861</v>
      </c>
      <c r="EO111" s="73">
        <v>-501.53639670822588</v>
      </c>
      <c r="EP111" s="73">
        <v>15578.406688497458</v>
      </c>
      <c r="EQ111" s="73">
        <v>-1147.0416584675052</v>
      </c>
      <c r="ER111" s="73">
        <v>16868.576272383711</v>
      </c>
      <c r="ES111" s="73">
        <v>-242.19061410457587</v>
      </c>
      <c r="ET111" s="73">
        <v>17220</v>
      </c>
      <c r="EU111" s="73">
        <v>723</v>
      </c>
      <c r="EV111" s="73">
        <v>18038</v>
      </c>
      <c r="EW111" s="73">
        <v>-537</v>
      </c>
      <c r="EX111" s="73">
        <v>18808</v>
      </c>
      <c r="EY111" s="73">
        <v>-494</v>
      </c>
      <c r="EZ111" s="73">
        <v>19308</v>
      </c>
      <c r="FA111" s="73">
        <v>-187</v>
      </c>
      <c r="FB111" s="73">
        <v>19706</v>
      </c>
      <c r="FC111" s="73">
        <v>-746</v>
      </c>
      <c r="FD111" s="73">
        <v>20461</v>
      </c>
      <c r="FE111" s="73">
        <v>-309</v>
      </c>
      <c r="FF111" s="73">
        <v>22257</v>
      </c>
      <c r="FG111" s="73">
        <v>-144</v>
      </c>
      <c r="FH111" s="73">
        <v>3330</v>
      </c>
      <c r="FI111" s="73">
        <v>3187</v>
      </c>
      <c r="FJ111" s="79">
        <v>3983</v>
      </c>
      <c r="FK111" s="80">
        <v>9998</v>
      </c>
      <c r="FL111" s="80">
        <v>10425</v>
      </c>
      <c r="FM111" s="80">
        <v>3109</v>
      </c>
      <c r="FN111" s="76">
        <v>142</v>
      </c>
      <c r="FO111" s="80">
        <v>8901</v>
      </c>
      <c r="FP111" s="80">
        <v>428</v>
      </c>
      <c r="FQ111" s="80">
        <v>669</v>
      </c>
      <c r="FR111" s="80">
        <v>1055</v>
      </c>
      <c r="FS111" s="81">
        <v>-766</v>
      </c>
      <c r="FT111" s="76">
        <v>675</v>
      </c>
      <c r="FU111" s="76">
        <v>0</v>
      </c>
      <c r="FV111" s="76">
        <v>766</v>
      </c>
      <c r="FW111" s="80">
        <v>22619</v>
      </c>
      <c r="FX111" s="80">
        <v>380</v>
      </c>
      <c r="FY111" s="73">
        <v>3943</v>
      </c>
      <c r="FZ111" s="73">
        <v>9897</v>
      </c>
      <c r="GA111" s="73">
        <v>10844</v>
      </c>
      <c r="GB111" s="73">
        <v>3313</v>
      </c>
      <c r="GC111" s="73">
        <v>87</v>
      </c>
      <c r="GD111" s="73">
        <v>8666</v>
      </c>
      <c r="GE111" s="73">
        <v>614</v>
      </c>
      <c r="GF111" s="73">
        <v>617</v>
      </c>
      <c r="GG111" s="73">
        <v>669</v>
      </c>
      <c r="GH111" s="73">
        <v>-1005</v>
      </c>
      <c r="GI111" s="73">
        <v>688</v>
      </c>
      <c r="GJ111" s="73">
        <v>0</v>
      </c>
      <c r="GK111" s="73">
        <v>1005</v>
      </c>
      <c r="GL111" s="73">
        <v>23472</v>
      </c>
      <c r="GM111" s="73">
        <v>-19</v>
      </c>
      <c r="GN111" s="73">
        <v>3547</v>
      </c>
      <c r="GO111" s="77">
        <v>19.5</v>
      </c>
      <c r="GP111" s="78">
        <v>3906</v>
      </c>
      <c r="GQ111" s="73">
        <v>9695</v>
      </c>
      <c r="GR111" s="65">
        <v>10984</v>
      </c>
      <c r="GS111" s="65">
        <v>4146</v>
      </c>
      <c r="GT111" s="65">
        <v>93</v>
      </c>
      <c r="GU111" s="65">
        <v>8367</v>
      </c>
      <c r="GV111" s="65">
        <v>697</v>
      </c>
      <c r="GW111" s="65">
        <v>631</v>
      </c>
      <c r="GX111" s="65">
        <v>896</v>
      </c>
      <c r="GY111" s="65">
        <v>-1044</v>
      </c>
      <c r="GZ111" s="65">
        <v>739</v>
      </c>
      <c r="HA111" s="65">
        <v>0</v>
      </c>
      <c r="HB111" s="65">
        <v>1044</v>
      </c>
      <c r="HC111" s="65">
        <v>24022</v>
      </c>
      <c r="HD111" s="65">
        <v>157</v>
      </c>
      <c r="HE111" s="78">
        <v>3849</v>
      </c>
      <c r="HF111" s="73">
        <v>10148</v>
      </c>
      <c r="HG111" s="65">
        <v>11590</v>
      </c>
      <c r="HH111" s="65">
        <v>3435</v>
      </c>
      <c r="HI111" s="65">
        <v>84</v>
      </c>
      <c r="HJ111" s="65">
        <v>9040</v>
      </c>
      <c r="HK111" s="65">
        <v>467</v>
      </c>
      <c r="HL111" s="65">
        <v>641</v>
      </c>
      <c r="HM111" s="65">
        <v>-535</v>
      </c>
      <c r="HN111" s="65">
        <v>-2295</v>
      </c>
      <c r="HO111" s="65">
        <v>742</v>
      </c>
      <c r="HP111" s="65">
        <v>3388</v>
      </c>
      <c r="HQ111" s="65">
        <v>2295</v>
      </c>
      <c r="HR111" s="65">
        <v>25792</v>
      </c>
      <c r="HS111" s="65">
        <v>-1277</v>
      </c>
      <c r="HT111" s="65">
        <v>2427</v>
      </c>
      <c r="HU111" s="77">
        <v>20</v>
      </c>
      <c r="HV111" s="180">
        <v>340</v>
      </c>
      <c r="HW111" s="30" t="s">
        <v>761</v>
      </c>
    </row>
    <row r="112" spans="1:231" ht="15" x14ac:dyDescent="0.25">
      <c r="A112" s="27">
        <v>301</v>
      </c>
      <c r="B112" s="27" t="s">
        <v>240</v>
      </c>
      <c r="C112" s="27">
        <v>14</v>
      </c>
      <c r="D112" s="27" t="s">
        <v>106</v>
      </c>
      <c r="E112" s="27">
        <v>5</v>
      </c>
      <c r="F112" s="27" t="s">
        <v>101</v>
      </c>
      <c r="G112" s="29" t="s">
        <v>132</v>
      </c>
      <c r="H112" s="27" t="s">
        <v>99</v>
      </c>
      <c r="I112" s="31" t="s">
        <v>106</v>
      </c>
      <c r="J112" s="82">
        <v>24962</v>
      </c>
      <c r="K112" s="82">
        <v>24697</v>
      </c>
      <c r="L112" s="82">
        <v>24406</v>
      </c>
      <c r="M112" s="82">
        <v>24165</v>
      </c>
      <c r="N112" s="82">
        <v>24069</v>
      </c>
      <c r="O112" s="82">
        <v>24001</v>
      </c>
      <c r="P112" s="82">
        <v>23820</v>
      </c>
      <c r="Q112" s="82">
        <v>23650</v>
      </c>
      <c r="R112" s="82">
        <v>23476</v>
      </c>
      <c r="S112" s="82">
        <v>23423</v>
      </c>
      <c r="T112" s="82">
        <v>23092</v>
      </c>
      <c r="U112" s="82">
        <v>41771</v>
      </c>
      <c r="V112" s="82">
        <v>25317</v>
      </c>
      <c r="W112" s="82">
        <v>18555</v>
      </c>
      <c r="X112" s="82">
        <v>2525.1735278931264</v>
      </c>
      <c r="Y112" s="82">
        <v>41199</v>
      </c>
      <c r="Z112" s="82">
        <v>26131</v>
      </c>
      <c r="AA112" s="82">
        <v>18670</v>
      </c>
      <c r="AB112" s="82">
        <v>2755.2546112924738</v>
      </c>
      <c r="AC112" s="82">
        <v>41922</v>
      </c>
      <c r="AD112" s="82">
        <v>28955</v>
      </c>
      <c r="AE112" s="82">
        <v>19543</v>
      </c>
      <c r="AF112" s="82">
        <v>2011.1912246267491</v>
      </c>
      <c r="AG112" s="82">
        <v>45662</v>
      </c>
      <c r="AH112" s="82">
        <v>31956</v>
      </c>
      <c r="AI112" s="82">
        <v>20433</v>
      </c>
      <c r="AJ112" s="82">
        <v>2581.6846711841945</v>
      </c>
      <c r="AK112" s="82">
        <v>46479</v>
      </c>
      <c r="AL112" s="82">
        <v>34223</v>
      </c>
      <c r="AM112" s="82">
        <v>22601</v>
      </c>
      <c r="AN112" s="82">
        <v>2576</v>
      </c>
      <c r="AO112" s="82">
        <v>43961</v>
      </c>
      <c r="AP112" s="82">
        <v>36669</v>
      </c>
      <c r="AQ112" s="82">
        <v>24803</v>
      </c>
      <c r="AR112" s="82">
        <v>2774</v>
      </c>
      <c r="AS112" s="82">
        <v>44750</v>
      </c>
      <c r="AT112" s="82">
        <v>37391</v>
      </c>
      <c r="AU112" s="82">
        <v>29632</v>
      </c>
      <c r="AV112" s="82">
        <v>3425</v>
      </c>
      <c r="AW112" s="82">
        <v>45961</v>
      </c>
      <c r="AX112" s="82">
        <v>39011</v>
      </c>
      <c r="AY112" s="82">
        <v>32021</v>
      </c>
      <c r="AZ112" s="82">
        <v>27744</v>
      </c>
      <c r="BA112" s="82">
        <v>49740</v>
      </c>
      <c r="BB112" s="82">
        <v>41358</v>
      </c>
      <c r="BC112" s="82">
        <v>33729</v>
      </c>
      <c r="BD112" s="82">
        <v>8398</v>
      </c>
      <c r="BE112" s="82">
        <v>54231</v>
      </c>
      <c r="BF112" s="82">
        <v>42014</v>
      </c>
      <c r="BG112" s="82">
        <v>38234</v>
      </c>
      <c r="BH112" s="82">
        <v>14089</v>
      </c>
      <c r="BI112" s="82">
        <v>58054</v>
      </c>
      <c r="BJ112" s="82">
        <v>45382</v>
      </c>
      <c r="BK112" s="82">
        <v>45347</v>
      </c>
      <c r="BL112" s="82">
        <v>3450</v>
      </c>
      <c r="BM112" s="82">
        <v>33399.935752212092</v>
      </c>
      <c r="BN112" s="82">
        <v>7225.8578845658985</v>
      </c>
      <c r="BO112" s="82">
        <v>1131.0638054536616</v>
      </c>
      <c r="BP112" s="82">
        <v>33424.827565328393</v>
      </c>
      <c r="BQ112" s="82">
        <v>6623.0723561278428</v>
      </c>
      <c r="BR112" s="82">
        <v>1137.118570806276</v>
      </c>
      <c r="BS112" s="82">
        <v>34078.910411337216</v>
      </c>
      <c r="BT112" s="82">
        <v>6547.7241650730857</v>
      </c>
      <c r="BU112" s="82">
        <v>1281.591999636714</v>
      </c>
      <c r="BV112" s="82">
        <v>39491</v>
      </c>
      <c r="BW112" s="82">
        <v>4683</v>
      </c>
      <c r="BX112" s="82">
        <v>1476</v>
      </c>
      <c r="BY112" s="82">
        <v>41533</v>
      </c>
      <c r="BZ112" s="82">
        <v>3453</v>
      </c>
      <c r="CA112" s="82">
        <v>1493</v>
      </c>
      <c r="CB112" s="82">
        <v>40601</v>
      </c>
      <c r="CC112" s="82">
        <v>1873</v>
      </c>
      <c r="CD112" s="82">
        <v>1487</v>
      </c>
      <c r="CE112" s="82">
        <v>40641</v>
      </c>
      <c r="CF112" s="82">
        <v>2610</v>
      </c>
      <c r="CG112" s="82">
        <v>1499</v>
      </c>
      <c r="CH112" s="82">
        <v>40997</v>
      </c>
      <c r="CI112" s="82">
        <v>3380</v>
      </c>
      <c r="CJ112" s="82">
        <v>1584</v>
      </c>
      <c r="CK112" s="82">
        <v>44050</v>
      </c>
      <c r="CL112" s="82">
        <v>4056</v>
      </c>
      <c r="CM112" s="82">
        <v>1634</v>
      </c>
      <c r="CN112" s="82">
        <v>47126</v>
      </c>
      <c r="CO112" s="82">
        <v>5278</v>
      </c>
      <c r="CP112" s="82">
        <v>1827</v>
      </c>
      <c r="CQ112" s="82">
        <v>50847</v>
      </c>
      <c r="CR112" s="82">
        <v>5285</v>
      </c>
      <c r="CS112" s="82">
        <v>1922</v>
      </c>
      <c r="CT112" s="82">
        <v>2746.508839116475</v>
      </c>
      <c r="CU112" s="82">
        <v>-9039.2601080999993</v>
      </c>
      <c r="CV112" s="82">
        <v>4021.54150962119</v>
      </c>
      <c r="CW112" s="82">
        <v>5477</v>
      </c>
      <c r="CX112" s="82">
        <v>1637.4776520292717</v>
      </c>
      <c r="CY112" s="82">
        <v>-8909.5872170000002</v>
      </c>
      <c r="CZ112" s="82">
        <v>4172.0697038042417</v>
      </c>
      <c r="DA112" s="82">
        <v>6962</v>
      </c>
      <c r="DB112" s="82">
        <v>2727.6717913527855</v>
      </c>
      <c r="DC112" s="82">
        <v>-8395.7731009999989</v>
      </c>
      <c r="DD112" s="82">
        <v>4634.0819377940134</v>
      </c>
      <c r="DE112" s="82">
        <v>7607</v>
      </c>
      <c r="DF112" s="82">
        <v>4862.3129540022837</v>
      </c>
      <c r="DG112" s="82">
        <v>-6287</v>
      </c>
      <c r="DH112" s="82">
        <v>4781.9191251536813</v>
      </c>
      <c r="DI112" s="82">
        <v>7879</v>
      </c>
      <c r="DJ112" s="82">
        <v>8536</v>
      </c>
      <c r="DK112" s="82">
        <v>-8209</v>
      </c>
      <c r="DL112" s="82">
        <v>5133</v>
      </c>
      <c r="DM112" s="82">
        <v>6910</v>
      </c>
      <c r="DN112" s="82">
        <v>5457</v>
      </c>
      <c r="DO112" s="82">
        <v>-10550</v>
      </c>
      <c r="DP112" s="82">
        <v>5154</v>
      </c>
      <c r="DQ112" s="82">
        <v>7049</v>
      </c>
      <c r="DR112" s="82">
        <v>3753</v>
      </c>
      <c r="DS112" s="82">
        <v>-13049</v>
      </c>
      <c r="DT112" s="82">
        <v>5300</v>
      </c>
      <c r="DU112" s="82">
        <v>16972</v>
      </c>
      <c r="DV112" s="82">
        <v>26690</v>
      </c>
      <c r="DW112" s="82">
        <v>-15547</v>
      </c>
      <c r="DX112" s="82">
        <v>5781</v>
      </c>
      <c r="DY112" s="82">
        <v>31951</v>
      </c>
      <c r="DZ112" s="82">
        <v>11825</v>
      </c>
      <c r="EA112" s="82">
        <v>-9145</v>
      </c>
      <c r="EB112" s="82">
        <v>6316</v>
      </c>
      <c r="EC112" s="82">
        <v>31343</v>
      </c>
      <c r="ED112" s="82">
        <v>19811</v>
      </c>
      <c r="EE112" s="82">
        <v>-11525</v>
      </c>
      <c r="EF112" s="82">
        <v>6321</v>
      </c>
      <c r="EG112" s="82">
        <v>29076</v>
      </c>
      <c r="EH112" s="82">
        <v>10526</v>
      </c>
      <c r="EI112" s="82">
        <v>-8349</v>
      </c>
      <c r="EJ112" s="82">
        <v>6846</v>
      </c>
      <c r="EK112" s="82">
        <v>23803</v>
      </c>
      <c r="EL112" s="82">
        <v>81328.617343875347</v>
      </c>
      <c r="EM112" s="82">
        <v>1823.3253107692408</v>
      </c>
      <c r="EN112" s="82">
        <v>82737.863979696354</v>
      </c>
      <c r="EO112" s="82">
        <v>-1322.6298536933227</v>
      </c>
      <c r="EP112" s="82">
        <v>85299.534287631628</v>
      </c>
      <c r="EQ112" s="82">
        <v>-1790.360477182785</v>
      </c>
      <c r="ER112" s="82">
        <v>91090.076407774992</v>
      </c>
      <c r="ES112" s="82">
        <v>-8.5775842495370398</v>
      </c>
      <c r="ET112" s="82">
        <v>96828</v>
      </c>
      <c r="EU112" s="82">
        <v>3572</v>
      </c>
      <c r="EV112" s="82">
        <v>102488</v>
      </c>
      <c r="EW112" s="82">
        <v>656</v>
      </c>
      <c r="EX112" s="82">
        <v>111001</v>
      </c>
      <c r="EY112" s="82">
        <v>-292</v>
      </c>
      <c r="EZ112" s="82">
        <v>117278</v>
      </c>
      <c r="FA112" s="82">
        <v>21370</v>
      </c>
      <c r="FB112" s="82">
        <v>120973</v>
      </c>
      <c r="FC112" s="82">
        <v>5930</v>
      </c>
      <c r="FD112" s="82">
        <v>127469</v>
      </c>
      <c r="FE112" s="82">
        <v>13792</v>
      </c>
      <c r="FF112" s="82">
        <v>141544</v>
      </c>
      <c r="FG112" s="82">
        <v>3978</v>
      </c>
      <c r="FH112" s="82">
        <v>47962</v>
      </c>
      <c r="FI112" s="82">
        <v>51939</v>
      </c>
      <c r="FJ112" s="82">
        <v>22903</v>
      </c>
      <c r="FK112" s="82">
        <v>56252</v>
      </c>
      <c r="FL112" s="82">
        <v>48819</v>
      </c>
      <c r="FM112" s="82">
        <v>44201</v>
      </c>
      <c r="FN112" s="82">
        <v>10694</v>
      </c>
      <c r="FO112" s="82">
        <v>50576</v>
      </c>
      <c r="FP112" s="82">
        <v>3717</v>
      </c>
      <c r="FQ112" s="82">
        <v>1959</v>
      </c>
      <c r="FR112" s="82">
        <v>13989</v>
      </c>
      <c r="FS112" s="82">
        <v>-7743</v>
      </c>
      <c r="FT112" s="82">
        <v>7116</v>
      </c>
      <c r="FU112" s="82">
        <v>18968</v>
      </c>
      <c r="FV112" s="82">
        <v>7743</v>
      </c>
      <c r="FW112" s="82">
        <v>145977</v>
      </c>
      <c r="FX112" s="82">
        <v>7269</v>
      </c>
      <c r="FY112" s="82">
        <v>22811</v>
      </c>
      <c r="FZ112" s="82">
        <v>55737</v>
      </c>
      <c r="GA112" s="82">
        <v>62888</v>
      </c>
      <c r="GB112" s="82">
        <v>34811</v>
      </c>
      <c r="GC112" s="82">
        <v>6150</v>
      </c>
      <c r="GD112" s="82">
        <v>47966</v>
      </c>
      <c r="GE112" s="82">
        <v>4937</v>
      </c>
      <c r="GF112" s="82">
        <v>2834</v>
      </c>
      <c r="GG112" s="82">
        <v>6802</v>
      </c>
      <c r="GH112" s="82">
        <v>-5682</v>
      </c>
      <c r="GI112" s="82">
        <v>6780</v>
      </c>
      <c r="GJ112" s="82">
        <v>15068</v>
      </c>
      <c r="GK112" s="82">
        <v>5682</v>
      </c>
      <c r="GL112" s="82">
        <v>152683</v>
      </c>
      <c r="GM112" s="82">
        <v>222</v>
      </c>
      <c r="GN112" s="82">
        <v>59144</v>
      </c>
      <c r="GO112" s="83">
        <v>18</v>
      </c>
      <c r="GP112" s="82">
        <v>22625</v>
      </c>
      <c r="GQ112" s="82">
        <v>58282</v>
      </c>
      <c r="GR112" s="82">
        <v>29886</v>
      </c>
      <c r="GS112" s="82">
        <v>35882</v>
      </c>
      <c r="GT112" s="82">
        <v>855</v>
      </c>
      <c r="GU112" s="82">
        <v>49939</v>
      </c>
      <c r="GV112" s="82">
        <v>5127</v>
      </c>
      <c r="GW112" s="82">
        <v>3216</v>
      </c>
      <c r="GX112" s="82">
        <v>-29772</v>
      </c>
      <c r="GY112" s="82">
        <v>-11430</v>
      </c>
      <c r="GZ112" s="82">
        <v>6942</v>
      </c>
      <c r="HA112" s="82">
        <v>17794</v>
      </c>
      <c r="HB112" s="82">
        <v>11430</v>
      </c>
      <c r="HC112" s="82">
        <v>154532</v>
      </c>
      <c r="HD112" s="82">
        <v>-36573</v>
      </c>
      <c r="HE112" s="82">
        <v>22466</v>
      </c>
      <c r="HF112" s="82">
        <v>57958</v>
      </c>
      <c r="HG112" s="82">
        <v>56490</v>
      </c>
      <c r="HH112" s="82">
        <v>35657</v>
      </c>
      <c r="HI112" s="82">
        <v>10285</v>
      </c>
      <c r="HJ112" s="82">
        <v>51884</v>
      </c>
      <c r="HK112" s="82">
        <v>3096</v>
      </c>
      <c r="HL112" s="82">
        <v>2978</v>
      </c>
      <c r="HM112" s="82">
        <v>1096</v>
      </c>
      <c r="HN112" s="82">
        <v>-14020</v>
      </c>
      <c r="HO112" s="82">
        <v>7411</v>
      </c>
      <c r="HP112" s="82">
        <v>26216</v>
      </c>
      <c r="HQ112" s="82">
        <v>14020</v>
      </c>
      <c r="HR112" s="82">
        <v>158999</v>
      </c>
      <c r="HS112" s="82">
        <v>-6064</v>
      </c>
      <c r="HT112" s="82">
        <v>16507</v>
      </c>
      <c r="HU112" s="83">
        <v>18</v>
      </c>
      <c r="HV112" s="180">
        <v>240</v>
      </c>
      <c r="HW112" s="30" t="s">
        <v>757</v>
      </c>
    </row>
    <row r="113" spans="1:231" ht="15" x14ac:dyDescent="0.25">
      <c r="A113" s="27">
        <v>304</v>
      </c>
      <c r="B113" s="27" t="s">
        <v>241</v>
      </c>
      <c r="C113" s="27">
        <v>2</v>
      </c>
      <c r="D113" s="27" t="s">
        <v>122</v>
      </c>
      <c r="E113" s="27">
        <v>1</v>
      </c>
      <c r="F113" s="27" t="s">
        <v>103</v>
      </c>
      <c r="G113" s="29" t="s">
        <v>130</v>
      </c>
      <c r="H113" s="27" t="s">
        <v>98</v>
      </c>
      <c r="I113" s="31" t="s">
        <v>122</v>
      </c>
      <c r="J113" s="69">
        <v>1020</v>
      </c>
      <c r="K113" s="69">
        <v>1019</v>
      </c>
      <c r="L113" s="36">
        <v>1008</v>
      </c>
      <c r="M113" s="36">
        <v>980</v>
      </c>
      <c r="N113" s="36">
        <v>973</v>
      </c>
      <c r="O113" s="36">
        <v>953</v>
      </c>
      <c r="P113" s="36">
        <v>941</v>
      </c>
      <c r="Q113" s="36">
        <v>930</v>
      </c>
      <c r="R113" s="69">
        <v>912</v>
      </c>
      <c r="S113" s="69">
        <v>901</v>
      </c>
      <c r="T113" s="71">
        <v>910</v>
      </c>
      <c r="U113" s="36">
        <v>2719</v>
      </c>
      <c r="V113" s="36">
        <v>700</v>
      </c>
      <c r="W113" s="36">
        <v>848</v>
      </c>
      <c r="X113" s="36">
        <v>72.152620451988227</v>
      </c>
      <c r="Y113" s="36">
        <v>2751</v>
      </c>
      <c r="Z113" s="36">
        <v>600</v>
      </c>
      <c r="AA113" s="36">
        <v>907</v>
      </c>
      <c r="AB113" s="36">
        <v>49.783626232607261</v>
      </c>
      <c r="AC113" s="36">
        <v>2526</v>
      </c>
      <c r="AD113" s="36">
        <v>554</v>
      </c>
      <c r="AE113" s="36">
        <v>748</v>
      </c>
      <c r="AF113" s="36">
        <v>80.562016775063782</v>
      </c>
      <c r="AG113" s="36">
        <v>2679</v>
      </c>
      <c r="AH113" s="36">
        <v>581</v>
      </c>
      <c r="AI113" s="36">
        <v>771</v>
      </c>
      <c r="AJ113" s="36">
        <v>95.194366377215246</v>
      </c>
      <c r="AK113" s="36">
        <v>2579</v>
      </c>
      <c r="AL113" s="36">
        <v>774</v>
      </c>
      <c r="AM113" s="36">
        <v>867</v>
      </c>
      <c r="AN113" s="36">
        <v>42</v>
      </c>
      <c r="AO113" s="36">
        <v>2447</v>
      </c>
      <c r="AP113" s="36">
        <v>948</v>
      </c>
      <c r="AQ113" s="36">
        <v>816</v>
      </c>
      <c r="AR113" s="36">
        <v>28</v>
      </c>
      <c r="AS113" s="36">
        <v>2491</v>
      </c>
      <c r="AT113" s="36">
        <v>1014</v>
      </c>
      <c r="AU113" s="36">
        <v>816</v>
      </c>
      <c r="AV113" s="36">
        <v>25</v>
      </c>
      <c r="AW113" s="36">
        <v>2589</v>
      </c>
      <c r="AX113" s="69">
        <v>1186</v>
      </c>
      <c r="AY113" s="36">
        <v>835</v>
      </c>
      <c r="AZ113" s="36">
        <v>22</v>
      </c>
      <c r="BA113" s="36">
        <v>2714</v>
      </c>
      <c r="BB113" s="36">
        <v>1342</v>
      </c>
      <c r="BC113" s="36">
        <v>918</v>
      </c>
      <c r="BD113" s="36">
        <v>31</v>
      </c>
      <c r="BE113" s="70">
        <v>2874</v>
      </c>
      <c r="BF113" s="70">
        <v>1488</v>
      </c>
      <c r="BG113" s="70">
        <v>1056</v>
      </c>
      <c r="BH113" s="70">
        <v>46</v>
      </c>
      <c r="BI113" s="36">
        <v>3040</v>
      </c>
      <c r="BJ113" s="36">
        <v>1674</v>
      </c>
      <c r="BK113" s="36">
        <v>855</v>
      </c>
      <c r="BL113" s="36">
        <v>52</v>
      </c>
      <c r="BM113" s="36">
        <v>1533.0329496966731</v>
      </c>
      <c r="BN113" s="36">
        <v>662.15586647896896</v>
      </c>
      <c r="BO113" s="36">
        <v>523.40082714822222</v>
      </c>
      <c r="BP113" s="36">
        <v>1718.0396688043352</v>
      </c>
      <c r="BQ113" s="36">
        <v>509.77760510483995</v>
      </c>
      <c r="BR113" s="36">
        <v>522.72807544237628</v>
      </c>
      <c r="BS113" s="36">
        <v>1428.0836835846901</v>
      </c>
      <c r="BT113" s="36">
        <v>557.71116414637061</v>
      </c>
      <c r="BU113" s="36">
        <v>540.0514318679119</v>
      </c>
      <c r="BV113" s="36">
        <v>1697</v>
      </c>
      <c r="BW113" s="36">
        <v>355</v>
      </c>
      <c r="BX113" s="36">
        <v>627</v>
      </c>
      <c r="BY113" s="36">
        <v>1811</v>
      </c>
      <c r="BZ113" s="36">
        <v>94</v>
      </c>
      <c r="CA113" s="36">
        <v>674</v>
      </c>
      <c r="CB113" s="36">
        <v>1675</v>
      </c>
      <c r="CC113" s="36">
        <v>86</v>
      </c>
      <c r="CD113" s="36">
        <v>686</v>
      </c>
      <c r="CE113" s="36">
        <v>1712</v>
      </c>
      <c r="CF113" s="36">
        <v>90</v>
      </c>
      <c r="CG113" s="36">
        <v>689</v>
      </c>
      <c r="CH113" s="36">
        <v>1786</v>
      </c>
      <c r="CI113" s="36">
        <v>89</v>
      </c>
      <c r="CJ113" s="70">
        <v>714</v>
      </c>
      <c r="CK113" s="70">
        <v>1887</v>
      </c>
      <c r="CL113" s="70">
        <v>109</v>
      </c>
      <c r="CM113" s="36">
        <v>718</v>
      </c>
      <c r="CN113" s="36">
        <v>1954</v>
      </c>
      <c r="CO113" s="36">
        <v>170</v>
      </c>
      <c r="CP113" s="36">
        <v>750</v>
      </c>
      <c r="CQ113" s="36">
        <v>2067</v>
      </c>
      <c r="CR113" s="36">
        <v>190</v>
      </c>
      <c r="CS113" s="36">
        <v>783</v>
      </c>
      <c r="CT113" s="36">
        <v>469.07612690115428</v>
      </c>
      <c r="CU113" s="36">
        <v>-141.782422</v>
      </c>
      <c r="CV113" s="36">
        <v>174.74725559350995</v>
      </c>
      <c r="CW113" s="36">
        <v>52</v>
      </c>
      <c r="CX113" s="36">
        <v>400.96001668424231</v>
      </c>
      <c r="CY113" s="36">
        <v>8.0730204700000012</v>
      </c>
      <c r="CZ113" s="36">
        <v>176.93369863750959</v>
      </c>
      <c r="DA113" s="36">
        <v>43</v>
      </c>
      <c r="DB113" s="36">
        <v>100.24000417106058</v>
      </c>
      <c r="DC113" s="36">
        <v>-149.35087870000001</v>
      </c>
      <c r="DD113" s="36">
        <v>160.95584562366605</v>
      </c>
      <c r="DE113" s="36">
        <v>54</v>
      </c>
      <c r="DF113" s="36">
        <v>-49.110874526761222</v>
      </c>
      <c r="DG113" s="36">
        <v>-577</v>
      </c>
      <c r="DH113" s="36">
        <v>169.70161779966463</v>
      </c>
      <c r="DI113" s="36">
        <v>214</v>
      </c>
      <c r="DJ113" s="36">
        <v>210</v>
      </c>
      <c r="DK113" s="36">
        <v>-197</v>
      </c>
      <c r="DL113" s="36">
        <v>181</v>
      </c>
      <c r="DM113" s="36">
        <v>279</v>
      </c>
      <c r="DN113" s="36">
        <v>29</v>
      </c>
      <c r="DO113" s="69">
        <v>-140</v>
      </c>
      <c r="DP113" s="36">
        <v>193</v>
      </c>
      <c r="DQ113" s="36">
        <v>330</v>
      </c>
      <c r="DR113" s="36">
        <v>-227</v>
      </c>
      <c r="DS113" s="36">
        <v>-32</v>
      </c>
      <c r="DT113" s="36">
        <v>189</v>
      </c>
      <c r="DU113" s="36">
        <v>521</v>
      </c>
      <c r="DV113" s="36">
        <v>93</v>
      </c>
      <c r="DW113" s="71">
        <v>-212</v>
      </c>
      <c r="DX113" s="39">
        <v>188</v>
      </c>
      <c r="DY113" s="71">
        <v>534</v>
      </c>
      <c r="DZ113" s="70">
        <v>229</v>
      </c>
      <c r="EA113" s="35">
        <v>-141</v>
      </c>
      <c r="EB113" s="35">
        <v>196</v>
      </c>
      <c r="EC113" s="38">
        <v>617</v>
      </c>
      <c r="ED113" s="38">
        <v>226</v>
      </c>
      <c r="EE113" s="38">
        <v>-317</v>
      </c>
      <c r="EF113" s="38">
        <v>203</v>
      </c>
      <c r="EG113" s="73">
        <v>615</v>
      </c>
      <c r="EH113" s="73">
        <v>310</v>
      </c>
      <c r="EI113" s="73">
        <v>-219</v>
      </c>
      <c r="EJ113" s="73">
        <v>212</v>
      </c>
      <c r="EK113" s="73">
        <v>675</v>
      </c>
      <c r="EL113" s="73">
        <v>3644.2959905680209</v>
      </c>
      <c r="EM113" s="73">
        <v>378.92739831778437</v>
      </c>
      <c r="EN113" s="73">
        <v>3738.9857931658516</v>
      </c>
      <c r="EO113" s="73">
        <v>249.9272587218054</v>
      </c>
      <c r="EP113" s="73">
        <v>3644.8005543474055</v>
      </c>
      <c r="EQ113" s="73">
        <v>-37.33771967445545</v>
      </c>
      <c r="ER113" s="73">
        <v>3999.3407033282706</v>
      </c>
      <c r="ES113" s="73">
        <v>-267.08242722087954</v>
      </c>
      <c r="ET113" s="73">
        <v>4042</v>
      </c>
      <c r="EU113" s="73">
        <v>47</v>
      </c>
      <c r="EV113" s="73">
        <v>4203</v>
      </c>
      <c r="EW113" s="73">
        <v>-141</v>
      </c>
      <c r="EX113" s="73">
        <v>4562</v>
      </c>
      <c r="EY113" s="73">
        <v>-428</v>
      </c>
      <c r="EZ113" s="73">
        <v>4525</v>
      </c>
      <c r="FA113" s="73">
        <v>-73</v>
      </c>
      <c r="FB113" s="73">
        <v>4757</v>
      </c>
      <c r="FC113" s="73">
        <v>54</v>
      </c>
      <c r="FD113" s="73">
        <v>5212</v>
      </c>
      <c r="FE113" s="73">
        <v>44</v>
      </c>
      <c r="FF113" s="73">
        <v>5280</v>
      </c>
      <c r="FG113" s="73">
        <v>119</v>
      </c>
      <c r="FH113" s="73">
        <v>468</v>
      </c>
      <c r="FI113" s="73">
        <v>587</v>
      </c>
      <c r="FJ113" s="79">
        <v>881</v>
      </c>
      <c r="FK113" s="80">
        <v>3151</v>
      </c>
      <c r="FL113" s="80">
        <v>1747</v>
      </c>
      <c r="FM113" s="80">
        <v>802</v>
      </c>
      <c r="FN113" s="76">
        <v>19</v>
      </c>
      <c r="FO113" s="80">
        <v>2121</v>
      </c>
      <c r="FP113" s="80">
        <v>141</v>
      </c>
      <c r="FQ113" s="80">
        <v>889</v>
      </c>
      <c r="FR113" s="80">
        <v>361</v>
      </c>
      <c r="FS113" s="81">
        <v>-312</v>
      </c>
      <c r="FT113" s="76">
        <v>208</v>
      </c>
      <c r="FU113" s="76">
        <v>668</v>
      </c>
      <c r="FV113" s="76">
        <v>312</v>
      </c>
      <c r="FW113" s="80">
        <v>5338</v>
      </c>
      <c r="FX113" s="80">
        <v>174</v>
      </c>
      <c r="FY113" s="73">
        <v>874</v>
      </c>
      <c r="FZ113" s="73">
        <v>3058</v>
      </c>
      <c r="GA113" s="73">
        <v>2254</v>
      </c>
      <c r="GB113" s="73">
        <v>945</v>
      </c>
      <c r="GC113" s="73">
        <v>12</v>
      </c>
      <c r="GD113" s="73">
        <v>1935</v>
      </c>
      <c r="GE113" s="73">
        <v>149</v>
      </c>
      <c r="GF113" s="73">
        <v>974</v>
      </c>
      <c r="GG113" s="73">
        <v>370</v>
      </c>
      <c r="GH113" s="73">
        <v>-476</v>
      </c>
      <c r="GI113" s="73">
        <v>214</v>
      </c>
      <c r="GJ113" s="73">
        <v>1020</v>
      </c>
      <c r="GK113" s="73">
        <v>476</v>
      </c>
      <c r="GL113" s="73">
        <v>5882</v>
      </c>
      <c r="GM113" s="73">
        <v>174</v>
      </c>
      <c r="GN113" s="73">
        <v>935</v>
      </c>
      <c r="GO113" s="77">
        <v>19.25</v>
      </c>
      <c r="GP113" s="78">
        <v>886</v>
      </c>
      <c r="GQ113" s="73">
        <v>3478</v>
      </c>
      <c r="GR113" s="65">
        <v>2193</v>
      </c>
      <c r="GS113" s="65">
        <v>1051</v>
      </c>
      <c r="GT113" s="65">
        <v>21</v>
      </c>
      <c r="GU113" s="65">
        <v>2219</v>
      </c>
      <c r="GV113" s="65">
        <v>169</v>
      </c>
      <c r="GW113" s="65">
        <v>1090</v>
      </c>
      <c r="GX113" s="65">
        <v>375</v>
      </c>
      <c r="GY113" s="65">
        <v>-634</v>
      </c>
      <c r="GZ113" s="65">
        <v>204</v>
      </c>
      <c r="HA113" s="65">
        <v>1271</v>
      </c>
      <c r="HB113" s="65">
        <v>634</v>
      </c>
      <c r="HC113" s="65">
        <v>6337</v>
      </c>
      <c r="HD113" s="65">
        <v>189</v>
      </c>
      <c r="HE113" s="78">
        <v>889</v>
      </c>
      <c r="HF113" s="73">
        <v>3585</v>
      </c>
      <c r="HG113" s="65">
        <v>2733</v>
      </c>
      <c r="HH113" s="65">
        <v>1100</v>
      </c>
      <c r="HI113" s="65">
        <v>9</v>
      </c>
      <c r="HJ113" s="65">
        <v>2296</v>
      </c>
      <c r="HK113" s="65">
        <v>120</v>
      </c>
      <c r="HL113" s="65">
        <v>1169</v>
      </c>
      <c r="HM113" s="65">
        <v>590</v>
      </c>
      <c r="HN113" s="65">
        <v>-822</v>
      </c>
      <c r="HO113" s="65">
        <v>210</v>
      </c>
      <c r="HP113" s="65">
        <v>1275</v>
      </c>
      <c r="HQ113" s="65">
        <v>822</v>
      </c>
      <c r="HR113" s="65">
        <v>6804</v>
      </c>
      <c r="HS113" s="65">
        <v>398</v>
      </c>
      <c r="HT113" s="65">
        <v>1522</v>
      </c>
      <c r="HU113" s="77">
        <v>19.25</v>
      </c>
      <c r="HV113" s="180">
        <v>320</v>
      </c>
      <c r="HW113" s="30" t="s">
        <v>759</v>
      </c>
    </row>
    <row r="114" spans="1:231" ht="15" x14ac:dyDescent="0.25">
      <c r="A114" s="27">
        <v>305</v>
      </c>
      <c r="B114" s="27" t="s">
        <v>242</v>
      </c>
      <c r="C114" s="27">
        <v>17</v>
      </c>
      <c r="D114" s="27" t="s">
        <v>117</v>
      </c>
      <c r="E114" s="27">
        <v>4</v>
      </c>
      <c r="F114" s="27" t="s">
        <v>100</v>
      </c>
      <c r="G114" s="29" t="s">
        <v>132</v>
      </c>
      <c r="H114" s="27" t="s">
        <v>99</v>
      </c>
      <c r="I114" s="31" t="s">
        <v>117</v>
      </c>
      <c r="J114" s="69">
        <v>18197</v>
      </c>
      <c r="K114" s="69">
        <v>17891</v>
      </c>
      <c r="L114" s="36">
        <v>17729</v>
      </c>
      <c r="M114" s="36">
        <v>17634</v>
      </c>
      <c r="N114" s="36">
        <v>17580</v>
      </c>
      <c r="O114" s="36">
        <v>17394</v>
      </c>
      <c r="P114" s="36">
        <v>17193</v>
      </c>
      <c r="Q114" s="36">
        <v>17113</v>
      </c>
      <c r="R114" s="69">
        <v>17000</v>
      </c>
      <c r="S114" s="69">
        <v>16899</v>
      </c>
      <c r="T114" s="71">
        <v>16775</v>
      </c>
      <c r="U114" s="36">
        <v>32817</v>
      </c>
      <c r="V114" s="36">
        <v>28438</v>
      </c>
      <c r="W114" s="36">
        <v>11880</v>
      </c>
      <c r="X114" s="36">
        <v>769.12338770848999</v>
      </c>
      <c r="Y114" s="36">
        <v>31426</v>
      </c>
      <c r="Z114" s="36">
        <v>29772</v>
      </c>
      <c r="AA114" s="36">
        <v>12493</v>
      </c>
      <c r="AB114" s="36">
        <v>1511.6730830360611</v>
      </c>
      <c r="AC114" s="36">
        <v>31183</v>
      </c>
      <c r="AD114" s="36">
        <v>31341</v>
      </c>
      <c r="AE114" s="36">
        <v>12449</v>
      </c>
      <c r="AF114" s="36">
        <v>1398.8189843803873</v>
      </c>
      <c r="AG114" s="36">
        <v>33349</v>
      </c>
      <c r="AH114" s="36">
        <v>34571</v>
      </c>
      <c r="AI114" s="36">
        <v>13599</v>
      </c>
      <c r="AJ114" s="36">
        <v>1062.7795073102882</v>
      </c>
      <c r="AK114" s="36">
        <v>33924</v>
      </c>
      <c r="AL114" s="36">
        <v>36826</v>
      </c>
      <c r="AM114" s="36">
        <v>14349</v>
      </c>
      <c r="AN114" s="36">
        <v>905</v>
      </c>
      <c r="AO114" s="36">
        <v>33194</v>
      </c>
      <c r="AP114" s="36">
        <v>39093</v>
      </c>
      <c r="AQ114" s="36">
        <v>15600</v>
      </c>
      <c r="AR114" s="36">
        <v>880</v>
      </c>
      <c r="AS114" s="36">
        <v>33683</v>
      </c>
      <c r="AT114" s="36">
        <v>38814</v>
      </c>
      <c r="AU114" s="36">
        <v>14265</v>
      </c>
      <c r="AV114" s="36">
        <v>1061</v>
      </c>
      <c r="AW114" s="36">
        <v>35604</v>
      </c>
      <c r="AX114" s="69">
        <v>39725</v>
      </c>
      <c r="AY114" s="36">
        <v>16617</v>
      </c>
      <c r="AZ114" s="36">
        <v>899</v>
      </c>
      <c r="BA114" s="36">
        <v>38459</v>
      </c>
      <c r="BB114" s="36">
        <v>39689</v>
      </c>
      <c r="BC114" s="36">
        <v>17661</v>
      </c>
      <c r="BD114" s="36">
        <v>631</v>
      </c>
      <c r="BE114" s="70">
        <v>40840</v>
      </c>
      <c r="BF114" s="70">
        <v>38961</v>
      </c>
      <c r="BG114" s="70">
        <v>18670</v>
      </c>
      <c r="BH114" s="70">
        <v>1386</v>
      </c>
      <c r="BI114" s="36">
        <v>44157</v>
      </c>
      <c r="BJ114" s="36">
        <v>37919</v>
      </c>
      <c r="BK114" s="36">
        <v>19138</v>
      </c>
      <c r="BL114" s="36">
        <v>189</v>
      </c>
      <c r="BM114" s="36">
        <v>25811.128322342251</v>
      </c>
      <c r="BN114" s="36">
        <v>5020.5777928025655</v>
      </c>
      <c r="BO114" s="36">
        <v>1985.6266598045993</v>
      </c>
      <c r="BP114" s="36">
        <v>25309.255549781104</v>
      </c>
      <c r="BQ114" s="36">
        <v>4116.0631242925592</v>
      </c>
      <c r="BR114" s="36">
        <v>2000.2590094067507</v>
      </c>
      <c r="BS114" s="36">
        <v>24207.961007311129</v>
      </c>
      <c r="BT114" s="36">
        <v>4960.871078908729</v>
      </c>
      <c r="BU114" s="36">
        <v>2014.0504193765946</v>
      </c>
      <c r="BV114" s="36">
        <v>27225</v>
      </c>
      <c r="BW114" s="36">
        <v>3861</v>
      </c>
      <c r="BX114" s="36">
        <v>2263</v>
      </c>
      <c r="BY114" s="36">
        <v>30030</v>
      </c>
      <c r="BZ114" s="36">
        <v>1501</v>
      </c>
      <c r="CA114" s="36">
        <v>2393</v>
      </c>
      <c r="CB114" s="36">
        <v>29474</v>
      </c>
      <c r="CC114" s="36">
        <v>1270</v>
      </c>
      <c r="CD114" s="36">
        <v>2450</v>
      </c>
      <c r="CE114" s="36">
        <v>29881</v>
      </c>
      <c r="CF114" s="36">
        <v>1321</v>
      </c>
      <c r="CG114" s="36">
        <v>2481</v>
      </c>
      <c r="CH114" s="36">
        <v>30547</v>
      </c>
      <c r="CI114" s="36">
        <v>1771</v>
      </c>
      <c r="CJ114" s="70">
        <v>3286</v>
      </c>
      <c r="CK114" s="70">
        <v>33026</v>
      </c>
      <c r="CL114" s="70">
        <v>2078</v>
      </c>
      <c r="CM114" s="36">
        <v>3355</v>
      </c>
      <c r="CN114" s="36">
        <v>34574</v>
      </c>
      <c r="CO114" s="36">
        <v>2659</v>
      </c>
      <c r="CP114" s="36">
        <v>3607</v>
      </c>
      <c r="CQ114" s="36">
        <v>37118</v>
      </c>
      <c r="CR114" s="36">
        <v>3146</v>
      </c>
      <c r="CS114" s="36">
        <v>3893</v>
      </c>
      <c r="CT114" s="36">
        <v>4617.4313330743234</v>
      </c>
      <c r="CU114" s="36">
        <v>5440.3748569999998</v>
      </c>
      <c r="CV114" s="36">
        <v>2596.8215845657292</v>
      </c>
      <c r="CW114" s="36">
        <v>3137</v>
      </c>
      <c r="CX114" s="36">
        <v>4631.7273068235518</v>
      </c>
      <c r="CY114" s="36">
        <v>-4803.7835560000003</v>
      </c>
      <c r="CZ114" s="36">
        <v>2880.3864285798377</v>
      </c>
      <c r="DA114" s="36">
        <v>2403</v>
      </c>
      <c r="DB114" s="36">
        <v>2638.3640024017236</v>
      </c>
      <c r="DC114" s="36">
        <v>-7200.2933199999998</v>
      </c>
      <c r="DD114" s="36">
        <v>2949.8480422084417</v>
      </c>
      <c r="DE114" s="36">
        <v>6309</v>
      </c>
      <c r="DF114" s="36">
        <v>3681.8018981689379</v>
      </c>
      <c r="DG114" s="36">
        <v>-6697</v>
      </c>
      <c r="DH114" s="36">
        <v>3248.3816116776238</v>
      </c>
      <c r="DI114" s="36">
        <v>8552</v>
      </c>
      <c r="DJ114" s="36">
        <v>6306</v>
      </c>
      <c r="DK114" s="36">
        <v>-4930</v>
      </c>
      <c r="DL114" s="36">
        <v>3398</v>
      </c>
      <c r="DM114" s="36">
        <v>8829</v>
      </c>
      <c r="DN114" s="36">
        <v>5241</v>
      </c>
      <c r="DO114" s="69">
        <v>-4939</v>
      </c>
      <c r="DP114" s="36">
        <v>3559</v>
      </c>
      <c r="DQ114" s="36">
        <v>11720</v>
      </c>
      <c r="DR114" s="36">
        <v>439</v>
      </c>
      <c r="DS114" s="36">
        <v>-5605</v>
      </c>
      <c r="DT114" s="36">
        <v>3862</v>
      </c>
      <c r="DU114" s="36">
        <v>13784</v>
      </c>
      <c r="DV114" s="36">
        <v>4138</v>
      </c>
      <c r="DW114" s="71">
        <v>-5251</v>
      </c>
      <c r="DX114" s="39">
        <v>3902</v>
      </c>
      <c r="DY114" s="71">
        <v>16396</v>
      </c>
      <c r="DZ114" s="70">
        <v>4319</v>
      </c>
      <c r="EA114" s="35">
        <v>-4232</v>
      </c>
      <c r="EB114" s="35">
        <v>3883</v>
      </c>
      <c r="EC114" s="38">
        <v>15339</v>
      </c>
      <c r="ED114" s="38">
        <v>4655</v>
      </c>
      <c r="EE114" s="38">
        <v>-9053</v>
      </c>
      <c r="EF114" s="38">
        <v>3815</v>
      </c>
      <c r="EG114" s="73">
        <v>17619</v>
      </c>
      <c r="EH114" s="73">
        <v>3907</v>
      </c>
      <c r="EI114" s="73">
        <v>-6710</v>
      </c>
      <c r="EJ114" s="73">
        <v>4068</v>
      </c>
      <c r="EK114" s="73">
        <v>16434</v>
      </c>
      <c r="EL114" s="73">
        <v>66227.359802749197</v>
      </c>
      <c r="EM114" s="73">
        <v>1349.3717340007029</v>
      </c>
      <c r="EN114" s="73">
        <v>67587.327376116969</v>
      </c>
      <c r="EO114" s="73">
        <v>942.18876403738477</v>
      </c>
      <c r="EP114" s="73">
        <v>70611.514481821403</v>
      </c>
      <c r="EQ114" s="73">
        <v>564.60686913129257</v>
      </c>
      <c r="ER114" s="73">
        <v>75220.53641857265</v>
      </c>
      <c r="ES114" s="73">
        <v>754.65922603280001</v>
      </c>
      <c r="ET114" s="73">
        <v>79110</v>
      </c>
      <c r="EU114" s="73">
        <v>3394</v>
      </c>
      <c r="EV114" s="73">
        <v>83205</v>
      </c>
      <c r="EW114" s="73">
        <v>2068</v>
      </c>
      <c r="EX114" s="73">
        <v>86694</v>
      </c>
      <c r="EY114" s="73">
        <v>-2875</v>
      </c>
      <c r="EZ114" s="73">
        <v>88442</v>
      </c>
      <c r="FA114" s="73">
        <v>541</v>
      </c>
      <c r="FB114" s="73">
        <v>92121</v>
      </c>
      <c r="FC114" s="73">
        <v>792</v>
      </c>
      <c r="FD114" s="73">
        <v>94470</v>
      </c>
      <c r="FE114" s="73">
        <v>1144</v>
      </c>
      <c r="FF114" s="73">
        <v>97364</v>
      </c>
      <c r="FG114" s="73">
        <v>145</v>
      </c>
      <c r="FH114" s="73">
        <v>8210</v>
      </c>
      <c r="FI114" s="73">
        <v>8511</v>
      </c>
      <c r="FJ114" s="79">
        <v>16669</v>
      </c>
      <c r="FK114" s="80">
        <v>44372</v>
      </c>
      <c r="FL114" s="80">
        <v>39057</v>
      </c>
      <c r="FM114" s="80">
        <v>18199</v>
      </c>
      <c r="FN114" s="76">
        <v>423</v>
      </c>
      <c r="FO114" s="80">
        <v>37550</v>
      </c>
      <c r="FP114" s="80">
        <v>2620</v>
      </c>
      <c r="FQ114" s="80">
        <v>4202</v>
      </c>
      <c r="FR114" s="80">
        <v>2766</v>
      </c>
      <c r="FS114" s="81">
        <v>-3078</v>
      </c>
      <c r="FT114" s="76">
        <v>4067</v>
      </c>
      <c r="FU114" s="76">
        <v>19750</v>
      </c>
      <c r="FV114" s="76">
        <v>3078</v>
      </c>
      <c r="FW114" s="80">
        <v>98873</v>
      </c>
      <c r="FX114" s="80">
        <v>-1007</v>
      </c>
      <c r="FY114" s="73">
        <v>16492</v>
      </c>
      <c r="FZ114" s="73">
        <v>46773</v>
      </c>
      <c r="GA114" s="73">
        <v>40265</v>
      </c>
      <c r="GB114" s="73">
        <v>18420</v>
      </c>
      <c r="GC114" s="73">
        <v>283</v>
      </c>
      <c r="GD114" s="73">
        <v>38514</v>
      </c>
      <c r="GE114" s="73">
        <v>3450</v>
      </c>
      <c r="GF114" s="73">
        <v>4809</v>
      </c>
      <c r="GG114" s="73">
        <v>3842</v>
      </c>
      <c r="GH114" s="73">
        <v>-4770</v>
      </c>
      <c r="GI114" s="73">
        <v>4007</v>
      </c>
      <c r="GJ114" s="73">
        <v>21558</v>
      </c>
      <c r="GK114" s="73">
        <v>4770</v>
      </c>
      <c r="GL114" s="73">
        <v>101451</v>
      </c>
      <c r="GM114" s="73">
        <v>122</v>
      </c>
      <c r="GN114" s="73">
        <v>7713</v>
      </c>
      <c r="GO114" s="77">
        <v>19.5</v>
      </c>
      <c r="GP114" s="78">
        <v>16373</v>
      </c>
      <c r="GQ114" s="73">
        <v>47713</v>
      </c>
      <c r="GR114" s="65">
        <v>40140</v>
      </c>
      <c r="GS114" s="65">
        <v>21146</v>
      </c>
      <c r="GT114" s="65">
        <v>828</v>
      </c>
      <c r="GU114" s="65">
        <v>38630</v>
      </c>
      <c r="GV114" s="65">
        <v>4150</v>
      </c>
      <c r="GW114" s="65">
        <v>4933</v>
      </c>
      <c r="GX114" s="65">
        <v>2525</v>
      </c>
      <c r="GY114" s="65">
        <v>-3679</v>
      </c>
      <c r="GZ114" s="65">
        <v>3865</v>
      </c>
      <c r="HA114" s="65">
        <v>26123</v>
      </c>
      <c r="HB114" s="65">
        <v>3679</v>
      </c>
      <c r="HC114" s="65">
        <v>106698</v>
      </c>
      <c r="HD114" s="65">
        <v>-1012</v>
      </c>
      <c r="HE114" s="78">
        <v>16167</v>
      </c>
      <c r="HF114" s="73">
        <v>47094</v>
      </c>
      <c r="HG114" s="65">
        <v>43513</v>
      </c>
      <c r="HH114" s="65">
        <v>20333</v>
      </c>
      <c r="HI114" s="65">
        <v>1287</v>
      </c>
      <c r="HJ114" s="65">
        <v>39017</v>
      </c>
      <c r="HK114" s="65">
        <v>2953</v>
      </c>
      <c r="HL114" s="65">
        <v>5124</v>
      </c>
      <c r="HM114" s="65">
        <v>3278</v>
      </c>
      <c r="HN114" s="65">
        <v>-3783</v>
      </c>
      <c r="HO114" s="65">
        <v>4009</v>
      </c>
      <c r="HP114" s="65">
        <v>28864</v>
      </c>
      <c r="HQ114" s="65">
        <v>3783</v>
      </c>
      <c r="HR114" s="65">
        <v>108292</v>
      </c>
      <c r="HS114" s="65">
        <v>-441</v>
      </c>
      <c r="HT114" s="65">
        <v>6260</v>
      </c>
      <c r="HU114" s="77">
        <v>19.5</v>
      </c>
      <c r="HV114" s="180">
        <v>240</v>
      </c>
      <c r="HW114" s="30" t="s">
        <v>757</v>
      </c>
    </row>
    <row r="115" spans="1:231" ht="15" x14ac:dyDescent="0.25">
      <c r="A115" s="27">
        <v>312</v>
      </c>
      <c r="B115" s="27" t="s">
        <v>243</v>
      </c>
      <c r="C115" s="27">
        <v>13</v>
      </c>
      <c r="D115" s="27" t="s">
        <v>111</v>
      </c>
      <c r="E115" s="27">
        <v>1</v>
      </c>
      <c r="F115" s="27" t="s">
        <v>103</v>
      </c>
      <c r="G115" s="29" t="s">
        <v>130</v>
      </c>
      <c r="H115" s="27" t="s">
        <v>98</v>
      </c>
      <c r="I115" s="31" t="s">
        <v>111</v>
      </c>
      <c r="J115" s="69">
        <v>1870</v>
      </c>
      <c r="K115" s="69">
        <v>1827</v>
      </c>
      <c r="L115" s="36">
        <v>1793</v>
      </c>
      <c r="M115" s="36">
        <v>1777</v>
      </c>
      <c r="N115" s="36">
        <v>1777</v>
      </c>
      <c r="O115" s="36">
        <v>1739</v>
      </c>
      <c r="P115" s="36">
        <v>1693</v>
      </c>
      <c r="Q115" s="36">
        <v>1646</v>
      </c>
      <c r="R115" s="69">
        <v>1612</v>
      </c>
      <c r="S115" s="69">
        <v>1575</v>
      </c>
      <c r="T115" s="71">
        <v>1558</v>
      </c>
      <c r="U115" s="36">
        <v>3307</v>
      </c>
      <c r="V115" s="36">
        <v>2387</v>
      </c>
      <c r="W115" s="36">
        <v>1409</v>
      </c>
      <c r="X115" s="36">
        <v>118.90886400828829</v>
      </c>
      <c r="Y115" s="36">
        <v>3050</v>
      </c>
      <c r="Z115" s="36">
        <v>2280</v>
      </c>
      <c r="AA115" s="36">
        <v>1538</v>
      </c>
      <c r="AB115" s="36">
        <v>178.6155779021247</v>
      </c>
      <c r="AC115" s="36">
        <v>3457</v>
      </c>
      <c r="AD115" s="36">
        <v>2521</v>
      </c>
      <c r="AE115" s="36">
        <v>1226</v>
      </c>
      <c r="AF115" s="36">
        <v>355.38108861317278</v>
      </c>
      <c r="AG115" s="36">
        <v>3365</v>
      </c>
      <c r="AH115" s="36">
        <v>2483</v>
      </c>
      <c r="AI115" s="36">
        <v>762</v>
      </c>
      <c r="AJ115" s="36">
        <v>335.366725364253</v>
      </c>
      <c r="AK115" s="36">
        <v>3215</v>
      </c>
      <c r="AL115" s="36">
        <v>2728</v>
      </c>
      <c r="AM115" s="36">
        <v>944</v>
      </c>
      <c r="AN115" s="36">
        <v>273</v>
      </c>
      <c r="AO115" s="36">
        <v>3064</v>
      </c>
      <c r="AP115" s="36">
        <v>3363</v>
      </c>
      <c r="AQ115" s="36">
        <v>1089</v>
      </c>
      <c r="AR115" s="36">
        <v>358</v>
      </c>
      <c r="AS115" s="36">
        <v>2991</v>
      </c>
      <c r="AT115" s="36">
        <v>3227</v>
      </c>
      <c r="AU115" s="36">
        <v>1089</v>
      </c>
      <c r="AV115" s="36">
        <v>219</v>
      </c>
      <c r="AW115" s="36">
        <v>3028</v>
      </c>
      <c r="AX115" s="69">
        <v>3401</v>
      </c>
      <c r="AY115" s="36">
        <v>1253</v>
      </c>
      <c r="AZ115" s="36">
        <v>250</v>
      </c>
      <c r="BA115" s="36">
        <v>3271</v>
      </c>
      <c r="BB115" s="36">
        <v>3721</v>
      </c>
      <c r="BC115" s="36">
        <v>1327</v>
      </c>
      <c r="BD115" s="36">
        <v>74</v>
      </c>
      <c r="BE115" s="70">
        <v>3464</v>
      </c>
      <c r="BF115" s="70">
        <v>3772</v>
      </c>
      <c r="BG115" s="70">
        <v>1489</v>
      </c>
      <c r="BH115" s="70">
        <v>269</v>
      </c>
      <c r="BI115" s="36">
        <v>3938</v>
      </c>
      <c r="BJ115" s="36">
        <v>4231</v>
      </c>
      <c r="BK115" s="36">
        <v>1585</v>
      </c>
      <c r="BL115" s="36">
        <v>0</v>
      </c>
      <c r="BM115" s="36">
        <v>2398.1916434146856</v>
      </c>
      <c r="BN115" s="36">
        <v>828.32553782294178</v>
      </c>
      <c r="BO115" s="36">
        <v>80.057452995679256</v>
      </c>
      <c r="BP115" s="36">
        <v>2271.2097589362447</v>
      </c>
      <c r="BQ115" s="36">
        <v>693.60700872727148</v>
      </c>
      <c r="BR115" s="36">
        <v>84.766714936601559</v>
      </c>
      <c r="BS115" s="36">
        <v>2348.9125809614629</v>
      </c>
      <c r="BT115" s="36">
        <v>1005.763800239836</v>
      </c>
      <c r="BU115" s="36">
        <v>102.25825928859871</v>
      </c>
      <c r="BV115" s="36">
        <v>2765</v>
      </c>
      <c r="BW115" s="36">
        <v>483</v>
      </c>
      <c r="BX115" s="36">
        <v>118</v>
      </c>
      <c r="BY115" s="36">
        <v>2741</v>
      </c>
      <c r="BZ115" s="36">
        <v>352</v>
      </c>
      <c r="CA115" s="36">
        <v>122</v>
      </c>
      <c r="CB115" s="36">
        <v>2697</v>
      </c>
      <c r="CC115" s="36">
        <v>212</v>
      </c>
      <c r="CD115" s="36">
        <v>155</v>
      </c>
      <c r="CE115" s="36">
        <v>2614</v>
      </c>
      <c r="CF115" s="36">
        <v>223</v>
      </c>
      <c r="CG115" s="36">
        <v>154</v>
      </c>
      <c r="CH115" s="36">
        <v>2619</v>
      </c>
      <c r="CI115" s="36">
        <v>251</v>
      </c>
      <c r="CJ115" s="70">
        <v>158</v>
      </c>
      <c r="CK115" s="70">
        <v>2804</v>
      </c>
      <c r="CL115" s="70">
        <v>307</v>
      </c>
      <c r="CM115" s="36">
        <v>160</v>
      </c>
      <c r="CN115" s="36">
        <v>2810</v>
      </c>
      <c r="CO115" s="36">
        <v>491</v>
      </c>
      <c r="CP115" s="36">
        <v>163</v>
      </c>
      <c r="CQ115" s="36">
        <v>3144</v>
      </c>
      <c r="CR115" s="36">
        <v>622</v>
      </c>
      <c r="CS115" s="36">
        <v>172</v>
      </c>
      <c r="CT115" s="36">
        <v>400.28726497839625</v>
      </c>
      <c r="CU115" s="36">
        <v>-1138.9686380000001</v>
      </c>
      <c r="CV115" s="36">
        <v>326.62095318825442</v>
      </c>
      <c r="CW115" s="36">
        <v>2098</v>
      </c>
      <c r="CX115" s="36">
        <v>79.889265069217743</v>
      </c>
      <c r="CY115" s="36">
        <v>-1070.1797759999999</v>
      </c>
      <c r="CZ115" s="36">
        <v>338.73048389348321</v>
      </c>
      <c r="DA115" s="36">
        <v>3439</v>
      </c>
      <c r="DB115" s="36">
        <v>567.97062766052272</v>
      </c>
      <c r="DC115" s="36">
        <v>3719.9805570000003</v>
      </c>
      <c r="DD115" s="36">
        <v>373.37719674455451</v>
      </c>
      <c r="DE115" s="36">
        <v>3161</v>
      </c>
      <c r="DF115" s="36">
        <v>-44.569800512300425</v>
      </c>
      <c r="DG115" s="36">
        <v>-1128</v>
      </c>
      <c r="DH115" s="36">
        <v>409.70578886024089</v>
      </c>
      <c r="DI115" s="36">
        <v>4331</v>
      </c>
      <c r="DJ115" s="36">
        <v>-128</v>
      </c>
      <c r="DK115" s="36">
        <v>-799</v>
      </c>
      <c r="DL115" s="36">
        <v>453</v>
      </c>
      <c r="DM115" s="36">
        <v>4922</v>
      </c>
      <c r="DN115" s="36">
        <v>364</v>
      </c>
      <c r="DO115" s="69">
        <v>-265</v>
      </c>
      <c r="DP115" s="36">
        <v>438</v>
      </c>
      <c r="DQ115" s="36">
        <v>4955</v>
      </c>
      <c r="DR115" s="36">
        <v>-425</v>
      </c>
      <c r="DS115" s="36">
        <v>-508</v>
      </c>
      <c r="DT115" s="36">
        <v>407</v>
      </c>
      <c r="DU115" s="36">
        <v>5695</v>
      </c>
      <c r="DV115" s="36">
        <v>-436</v>
      </c>
      <c r="DW115" s="71">
        <v>-132</v>
      </c>
      <c r="DX115" s="39">
        <v>380</v>
      </c>
      <c r="DY115" s="71">
        <v>6058</v>
      </c>
      <c r="DZ115" s="70">
        <v>661</v>
      </c>
      <c r="EA115" s="35">
        <v>-162</v>
      </c>
      <c r="EB115" s="35">
        <v>377</v>
      </c>
      <c r="EC115" s="38">
        <v>5788</v>
      </c>
      <c r="ED115" s="38">
        <v>609</v>
      </c>
      <c r="EE115" s="38">
        <v>-353</v>
      </c>
      <c r="EF115" s="38">
        <v>345</v>
      </c>
      <c r="EG115" s="73">
        <v>5579</v>
      </c>
      <c r="EH115" s="73">
        <v>829</v>
      </c>
      <c r="EI115" s="73">
        <v>-620</v>
      </c>
      <c r="EJ115" s="73">
        <v>348</v>
      </c>
      <c r="EK115" s="73">
        <v>5002</v>
      </c>
      <c r="EL115" s="73">
        <v>6375.1633525235757</v>
      </c>
      <c r="EM115" s="73">
        <v>59.370338040913396</v>
      </c>
      <c r="EN115" s="73">
        <v>6487.8492632527878</v>
      </c>
      <c r="EO115" s="73">
        <v>-258.84121882426547</v>
      </c>
      <c r="EP115" s="73">
        <v>6479.7762427826356</v>
      </c>
      <c r="EQ115" s="73">
        <v>4361.2811210734426</v>
      </c>
      <c r="ER115" s="73">
        <v>6298.1332822042032</v>
      </c>
      <c r="ES115" s="73">
        <v>-454.27558937254128</v>
      </c>
      <c r="ET115" s="73">
        <v>6833</v>
      </c>
      <c r="EU115" s="73">
        <v>-1254</v>
      </c>
      <c r="EV115" s="73">
        <v>7266</v>
      </c>
      <c r="EW115" s="73">
        <v>-35</v>
      </c>
      <c r="EX115" s="73">
        <v>7736</v>
      </c>
      <c r="EY115" s="73">
        <v>-900</v>
      </c>
      <c r="EZ115" s="73">
        <v>8122</v>
      </c>
      <c r="FA115" s="73">
        <v>-816</v>
      </c>
      <c r="FB115" s="73">
        <v>7637</v>
      </c>
      <c r="FC115" s="73">
        <v>284</v>
      </c>
      <c r="FD115" s="73">
        <v>8127</v>
      </c>
      <c r="FE115" s="73">
        <v>228</v>
      </c>
      <c r="FF115" s="73">
        <v>8647</v>
      </c>
      <c r="FG115" s="73">
        <v>481</v>
      </c>
      <c r="FH115" s="73">
        <v>2123</v>
      </c>
      <c r="FI115" s="73">
        <v>2605</v>
      </c>
      <c r="FJ115" s="79">
        <v>1536</v>
      </c>
      <c r="FK115" s="80">
        <v>4069</v>
      </c>
      <c r="FL115" s="80">
        <v>4371</v>
      </c>
      <c r="FM115" s="80">
        <v>1282</v>
      </c>
      <c r="FN115" s="76">
        <v>186</v>
      </c>
      <c r="FO115" s="80">
        <v>3287</v>
      </c>
      <c r="FP115" s="80">
        <v>605</v>
      </c>
      <c r="FQ115" s="80">
        <v>177</v>
      </c>
      <c r="FR115" s="80">
        <v>1192</v>
      </c>
      <c r="FS115" s="81">
        <v>-722</v>
      </c>
      <c r="FT115" s="76">
        <v>388</v>
      </c>
      <c r="FU115" s="76">
        <v>4725</v>
      </c>
      <c r="FV115" s="76">
        <v>722</v>
      </c>
      <c r="FW115" s="80">
        <v>8716</v>
      </c>
      <c r="FX115" s="80">
        <v>804</v>
      </c>
      <c r="FY115" s="73">
        <v>1508</v>
      </c>
      <c r="FZ115" s="73">
        <v>3762</v>
      </c>
      <c r="GA115" s="73">
        <v>4298</v>
      </c>
      <c r="GB115" s="73">
        <v>1366</v>
      </c>
      <c r="GC115" s="73">
        <v>132</v>
      </c>
      <c r="GD115" s="73">
        <v>2805</v>
      </c>
      <c r="GE115" s="73">
        <v>779</v>
      </c>
      <c r="GF115" s="73">
        <v>178</v>
      </c>
      <c r="GG115" s="73">
        <v>574</v>
      </c>
      <c r="GH115" s="73">
        <v>-1380</v>
      </c>
      <c r="GI115" s="73">
        <v>415</v>
      </c>
      <c r="GJ115" s="73">
        <v>5491</v>
      </c>
      <c r="GK115" s="73">
        <v>1380</v>
      </c>
      <c r="GL115" s="73">
        <v>8984</v>
      </c>
      <c r="GM115" s="73">
        <v>39</v>
      </c>
      <c r="GN115" s="73">
        <v>3446</v>
      </c>
      <c r="GO115" s="77">
        <v>19</v>
      </c>
      <c r="GP115" s="78">
        <v>1503</v>
      </c>
      <c r="GQ115" s="73">
        <v>4018</v>
      </c>
      <c r="GR115" s="65">
        <v>4457</v>
      </c>
      <c r="GS115" s="65">
        <v>1441</v>
      </c>
      <c r="GT115" s="65">
        <v>0</v>
      </c>
      <c r="GU115" s="65">
        <v>3148</v>
      </c>
      <c r="GV115" s="65">
        <v>689</v>
      </c>
      <c r="GW115" s="65">
        <v>181</v>
      </c>
      <c r="GX115" s="65">
        <v>525</v>
      </c>
      <c r="GY115" s="65">
        <v>-395</v>
      </c>
      <c r="GZ115" s="65">
        <v>456</v>
      </c>
      <c r="HA115" s="65">
        <v>5811</v>
      </c>
      <c r="HB115" s="65">
        <v>395</v>
      </c>
      <c r="HC115" s="65">
        <v>9325</v>
      </c>
      <c r="HD115" s="65">
        <v>-43</v>
      </c>
      <c r="HE115" s="78">
        <v>1469</v>
      </c>
      <c r="HF115" s="73">
        <v>3736</v>
      </c>
      <c r="HG115" s="65">
        <v>4393</v>
      </c>
      <c r="HH115" s="65">
        <v>1590</v>
      </c>
      <c r="HI115" s="65">
        <v>98</v>
      </c>
      <c r="HJ115" s="65">
        <v>3179</v>
      </c>
      <c r="HK115" s="65">
        <v>341</v>
      </c>
      <c r="HL115" s="65">
        <v>216</v>
      </c>
      <c r="HM115" s="65">
        <v>-658</v>
      </c>
      <c r="HN115" s="65">
        <v>-500</v>
      </c>
      <c r="HO115" s="65">
        <v>481</v>
      </c>
      <c r="HP115" s="65">
        <v>7031</v>
      </c>
      <c r="HQ115" s="65">
        <v>500</v>
      </c>
      <c r="HR115" s="65">
        <v>10432</v>
      </c>
      <c r="HS115" s="65">
        <v>-1272</v>
      </c>
      <c r="HT115" s="65">
        <v>2132</v>
      </c>
      <c r="HU115" s="77">
        <v>19.5</v>
      </c>
      <c r="HV115" s="180">
        <v>340</v>
      </c>
      <c r="HW115" s="30" t="s">
        <v>761</v>
      </c>
    </row>
    <row r="116" spans="1:231" ht="15" x14ac:dyDescent="0.25">
      <c r="A116" s="27">
        <v>316</v>
      </c>
      <c r="B116" s="27" t="s">
        <v>244</v>
      </c>
      <c r="C116" s="27">
        <v>7</v>
      </c>
      <c r="D116" s="27" t="s">
        <v>119</v>
      </c>
      <c r="E116" s="27">
        <v>2</v>
      </c>
      <c r="F116" s="27" t="s">
        <v>744</v>
      </c>
      <c r="G116" s="29" t="s">
        <v>130</v>
      </c>
      <c r="H116" s="27" t="s">
        <v>98</v>
      </c>
      <c r="I116" s="31" t="s">
        <v>119</v>
      </c>
      <c r="J116" s="69">
        <v>5048</v>
      </c>
      <c r="K116" s="69">
        <v>5010</v>
      </c>
      <c r="L116" s="36">
        <v>5048</v>
      </c>
      <c r="M116" s="36">
        <v>4978</v>
      </c>
      <c r="N116" s="36">
        <v>4948</v>
      </c>
      <c r="O116" s="36">
        <v>4990</v>
      </c>
      <c r="P116" s="36">
        <v>5019</v>
      </c>
      <c r="Q116" s="36">
        <v>4974</v>
      </c>
      <c r="R116" s="69">
        <v>4953</v>
      </c>
      <c r="S116" s="69">
        <v>4926</v>
      </c>
      <c r="T116" s="71">
        <v>4927</v>
      </c>
      <c r="U116" s="36">
        <v>9692</v>
      </c>
      <c r="V116" s="36">
        <v>3620</v>
      </c>
      <c r="W116" s="36">
        <v>2617</v>
      </c>
      <c r="X116" s="36">
        <v>153.72376478582109</v>
      </c>
      <c r="Y116" s="36">
        <v>10215</v>
      </c>
      <c r="Z116" s="36">
        <v>3895</v>
      </c>
      <c r="AA116" s="36">
        <v>2752</v>
      </c>
      <c r="AB116" s="36">
        <v>174.41087974058695</v>
      </c>
      <c r="AC116" s="36">
        <v>9635</v>
      </c>
      <c r="AD116" s="36">
        <v>3778</v>
      </c>
      <c r="AE116" s="36">
        <v>2841</v>
      </c>
      <c r="AF116" s="36">
        <v>192.91155165135314</v>
      </c>
      <c r="AG116" s="36">
        <v>11298</v>
      </c>
      <c r="AH116" s="36">
        <v>4395</v>
      </c>
      <c r="AI116" s="36">
        <v>2722</v>
      </c>
      <c r="AJ116" s="36">
        <v>88.130473465831784</v>
      </c>
      <c r="AK116" s="36">
        <v>10808</v>
      </c>
      <c r="AL116" s="36">
        <v>4549</v>
      </c>
      <c r="AM116" s="36">
        <v>2946</v>
      </c>
      <c r="AN116" s="36">
        <v>90</v>
      </c>
      <c r="AO116" s="36">
        <v>10555</v>
      </c>
      <c r="AP116" s="36">
        <v>5550</v>
      </c>
      <c r="AQ116" s="36">
        <v>3061</v>
      </c>
      <c r="AR116" s="36">
        <v>55</v>
      </c>
      <c r="AS116" s="36">
        <v>10417</v>
      </c>
      <c r="AT116" s="36">
        <v>5501</v>
      </c>
      <c r="AU116" s="36">
        <v>4279</v>
      </c>
      <c r="AV116" s="36">
        <v>66</v>
      </c>
      <c r="AW116" s="36">
        <v>11373</v>
      </c>
      <c r="AX116" s="69">
        <v>6050</v>
      </c>
      <c r="AY116" s="36">
        <v>4511</v>
      </c>
      <c r="AZ116" s="36">
        <v>29</v>
      </c>
      <c r="BA116" s="36">
        <v>11837</v>
      </c>
      <c r="BB116" s="36">
        <v>6155</v>
      </c>
      <c r="BC116" s="36">
        <v>4820</v>
      </c>
      <c r="BD116" s="36">
        <v>0</v>
      </c>
      <c r="BE116" s="70">
        <v>12564</v>
      </c>
      <c r="BF116" s="70">
        <v>6243</v>
      </c>
      <c r="BG116" s="70">
        <v>4765</v>
      </c>
      <c r="BH116" s="70">
        <v>65</v>
      </c>
      <c r="BI116" s="36">
        <v>13706</v>
      </c>
      <c r="BJ116" s="36">
        <v>7179</v>
      </c>
      <c r="BK116" s="36">
        <v>4814</v>
      </c>
      <c r="BL116" s="36">
        <v>683</v>
      </c>
      <c r="BM116" s="36">
        <v>7821.9158959454935</v>
      </c>
      <c r="BN116" s="36">
        <v>1728.2991323184876</v>
      </c>
      <c r="BO116" s="36">
        <v>132.02752227228615</v>
      </c>
      <c r="BP116" s="36">
        <v>8200.3387304838925</v>
      </c>
      <c r="BQ116" s="36">
        <v>1812.0567196963198</v>
      </c>
      <c r="BR116" s="36">
        <v>192.74336372489165</v>
      </c>
      <c r="BS116" s="36">
        <v>7717.3030056864336</v>
      </c>
      <c r="BT116" s="36">
        <v>1597.9534893108164</v>
      </c>
      <c r="BU116" s="36">
        <v>311.48403980671844</v>
      </c>
      <c r="BV116" s="36">
        <v>9596</v>
      </c>
      <c r="BW116" s="36">
        <v>1344</v>
      </c>
      <c r="BX116" s="36">
        <v>349</v>
      </c>
      <c r="BY116" s="36">
        <v>9982</v>
      </c>
      <c r="BZ116" s="36">
        <v>474</v>
      </c>
      <c r="CA116" s="36">
        <v>352</v>
      </c>
      <c r="CB116" s="36">
        <v>9624</v>
      </c>
      <c r="CC116" s="36">
        <v>463</v>
      </c>
      <c r="CD116" s="36">
        <v>468</v>
      </c>
      <c r="CE116" s="36">
        <v>9491</v>
      </c>
      <c r="CF116" s="36">
        <v>463</v>
      </c>
      <c r="CG116" s="36">
        <v>463</v>
      </c>
      <c r="CH116" s="36">
        <v>10196</v>
      </c>
      <c r="CI116" s="36">
        <v>595</v>
      </c>
      <c r="CJ116" s="70">
        <v>582</v>
      </c>
      <c r="CK116" s="70">
        <v>10567</v>
      </c>
      <c r="CL116" s="70">
        <v>653</v>
      </c>
      <c r="CM116" s="36">
        <v>617</v>
      </c>
      <c r="CN116" s="36">
        <v>11273</v>
      </c>
      <c r="CO116" s="36">
        <v>678</v>
      </c>
      <c r="CP116" s="36">
        <v>613</v>
      </c>
      <c r="CQ116" s="36">
        <v>12335</v>
      </c>
      <c r="CR116" s="36">
        <v>702</v>
      </c>
      <c r="CS116" s="36">
        <v>669</v>
      </c>
      <c r="CT116" s="36">
        <v>-87.457721759985731</v>
      </c>
      <c r="CU116" s="36">
        <v>-640.29143599999998</v>
      </c>
      <c r="CV116" s="36">
        <v>874.24084174693428</v>
      </c>
      <c r="CW116" s="36">
        <v>3203</v>
      </c>
      <c r="CX116" s="36">
        <v>750.11815201833917</v>
      </c>
      <c r="CY116" s="36">
        <v>-180.2974572</v>
      </c>
      <c r="CZ116" s="36">
        <v>859.60849214478287</v>
      </c>
      <c r="DA116" s="36">
        <v>2767</v>
      </c>
      <c r="DB116" s="36">
        <v>-123.61812594921059</v>
      </c>
      <c r="DC116" s="36">
        <v>-214.6077942</v>
      </c>
      <c r="DD116" s="36">
        <v>706.22110321188484</v>
      </c>
      <c r="DE116" s="36">
        <v>2405</v>
      </c>
      <c r="DF116" s="36">
        <v>794.01520082479362</v>
      </c>
      <c r="DG116" s="36">
        <v>-520</v>
      </c>
      <c r="DH116" s="36">
        <v>670.56526280204446</v>
      </c>
      <c r="DI116" s="36">
        <v>2046</v>
      </c>
      <c r="DJ116" s="36">
        <v>989</v>
      </c>
      <c r="DK116" s="36">
        <v>-596</v>
      </c>
      <c r="DL116" s="36">
        <v>633</v>
      </c>
      <c r="DM116" s="36">
        <v>1818</v>
      </c>
      <c r="DN116" s="36">
        <v>-105</v>
      </c>
      <c r="DO116" s="69">
        <v>-1816</v>
      </c>
      <c r="DP116" s="36">
        <v>589</v>
      </c>
      <c r="DQ116" s="36">
        <v>1586</v>
      </c>
      <c r="DR116" s="36">
        <v>-521</v>
      </c>
      <c r="DS116" s="36">
        <v>-1631</v>
      </c>
      <c r="DT116" s="36">
        <v>599</v>
      </c>
      <c r="DU116" s="36">
        <v>4832</v>
      </c>
      <c r="DV116" s="36">
        <v>1205</v>
      </c>
      <c r="DW116" s="71">
        <v>-70</v>
      </c>
      <c r="DX116" s="39">
        <v>701</v>
      </c>
      <c r="DY116" s="71">
        <v>4387</v>
      </c>
      <c r="DZ116" s="70">
        <v>930</v>
      </c>
      <c r="EA116" s="35">
        <v>-499</v>
      </c>
      <c r="EB116" s="35">
        <v>661</v>
      </c>
      <c r="EC116" s="38">
        <v>4053</v>
      </c>
      <c r="ED116" s="38">
        <v>59</v>
      </c>
      <c r="EE116" s="38">
        <v>-985</v>
      </c>
      <c r="EF116" s="38">
        <v>709</v>
      </c>
      <c r="EG116" s="73">
        <v>3726</v>
      </c>
      <c r="EH116" s="73">
        <v>1409</v>
      </c>
      <c r="EI116" s="73">
        <v>-3527</v>
      </c>
      <c r="EJ116" s="73">
        <v>824</v>
      </c>
      <c r="EK116" s="73">
        <v>5723</v>
      </c>
      <c r="EL116" s="73">
        <v>15202.506672855981</v>
      </c>
      <c r="EM116" s="73">
        <v>-792.16513363371689</v>
      </c>
      <c r="EN116" s="73">
        <v>15369.853659685185</v>
      </c>
      <c r="EO116" s="73">
        <v>-107.97664878829008</v>
      </c>
      <c r="EP116" s="73">
        <v>15611.203334157453</v>
      </c>
      <c r="EQ116" s="73">
        <v>-825.2981551466346</v>
      </c>
      <c r="ER116" s="73">
        <v>16714.179755892041</v>
      </c>
      <c r="ES116" s="73">
        <v>126.98188447844083</v>
      </c>
      <c r="ET116" s="73">
        <v>17289</v>
      </c>
      <c r="EU116" s="73">
        <v>676</v>
      </c>
      <c r="EV116" s="73">
        <v>19271</v>
      </c>
      <c r="EW116" s="73">
        <v>-683</v>
      </c>
      <c r="EX116" s="73">
        <v>20653</v>
      </c>
      <c r="EY116" s="73">
        <v>-822</v>
      </c>
      <c r="EZ116" s="73">
        <v>20630</v>
      </c>
      <c r="FA116" s="73">
        <v>504</v>
      </c>
      <c r="FB116" s="73">
        <v>21785</v>
      </c>
      <c r="FC116" s="73">
        <v>269</v>
      </c>
      <c r="FD116" s="73">
        <v>23428</v>
      </c>
      <c r="FE116" s="73">
        <v>-650</v>
      </c>
      <c r="FF116" s="73">
        <v>24238</v>
      </c>
      <c r="FG116" s="73">
        <v>1194</v>
      </c>
      <c r="FH116" s="73">
        <v>-1642</v>
      </c>
      <c r="FI116" s="73">
        <v>-448</v>
      </c>
      <c r="FJ116" s="79">
        <v>4875</v>
      </c>
      <c r="FK116" s="80">
        <v>14261</v>
      </c>
      <c r="FL116" s="80">
        <v>7731</v>
      </c>
      <c r="FM116" s="80">
        <v>4247</v>
      </c>
      <c r="FN116" s="76">
        <v>9</v>
      </c>
      <c r="FO116" s="80">
        <v>12822</v>
      </c>
      <c r="FP116" s="80">
        <v>763</v>
      </c>
      <c r="FQ116" s="80">
        <v>676</v>
      </c>
      <c r="FR116" s="80">
        <v>1420</v>
      </c>
      <c r="FS116" s="81">
        <v>-4863</v>
      </c>
      <c r="FT116" s="76">
        <v>1020</v>
      </c>
      <c r="FU116" s="76">
        <v>9742</v>
      </c>
      <c r="FV116" s="76">
        <v>4863</v>
      </c>
      <c r="FW116" s="80">
        <v>24633</v>
      </c>
      <c r="FX116" s="80">
        <v>400</v>
      </c>
      <c r="FY116" s="73">
        <v>4882</v>
      </c>
      <c r="FZ116" s="73">
        <v>13451</v>
      </c>
      <c r="GA116" s="73">
        <v>8022</v>
      </c>
      <c r="GB116" s="73">
        <v>4745</v>
      </c>
      <c r="GC116" s="73">
        <v>26</v>
      </c>
      <c r="GD116" s="73">
        <v>11921</v>
      </c>
      <c r="GE116" s="73">
        <v>818</v>
      </c>
      <c r="GF116" s="73">
        <v>712</v>
      </c>
      <c r="GG116" s="73">
        <v>775</v>
      </c>
      <c r="GH116" s="73">
        <v>-1330</v>
      </c>
      <c r="GI116" s="73">
        <v>1235</v>
      </c>
      <c r="GJ116" s="73">
        <v>9215</v>
      </c>
      <c r="GK116" s="73">
        <v>1330</v>
      </c>
      <c r="GL116" s="73">
        <v>25340</v>
      </c>
      <c r="GM116" s="73">
        <v>-460</v>
      </c>
      <c r="GN116" s="73">
        <v>-426</v>
      </c>
      <c r="GO116" s="77">
        <v>20.25</v>
      </c>
      <c r="GP116" s="78">
        <v>4798</v>
      </c>
      <c r="GQ116" s="73">
        <v>14193</v>
      </c>
      <c r="GR116" s="65">
        <v>9540</v>
      </c>
      <c r="GS116" s="65">
        <v>5312</v>
      </c>
      <c r="GT116" s="65">
        <v>22</v>
      </c>
      <c r="GU116" s="65">
        <v>12851</v>
      </c>
      <c r="GV116" s="65">
        <v>638</v>
      </c>
      <c r="GW116" s="65">
        <v>704</v>
      </c>
      <c r="GX116" s="65">
        <v>1635</v>
      </c>
      <c r="GY116" s="65">
        <v>-1533</v>
      </c>
      <c r="GZ116" s="65">
        <v>1271</v>
      </c>
      <c r="HA116" s="65">
        <v>10214</v>
      </c>
      <c r="HB116" s="65">
        <v>1533</v>
      </c>
      <c r="HC116" s="65">
        <v>27265</v>
      </c>
      <c r="HD116" s="65">
        <v>364</v>
      </c>
      <c r="HE116" s="78">
        <v>4772</v>
      </c>
      <c r="HF116" s="73">
        <v>14629</v>
      </c>
      <c r="HG116" s="65">
        <v>8691</v>
      </c>
      <c r="HH116" s="65">
        <v>4942</v>
      </c>
      <c r="HI116" s="65">
        <v>17</v>
      </c>
      <c r="HJ116" s="65">
        <v>13312</v>
      </c>
      <c r="HK116" s="65">
        <v>367</v>
      </c>
      <c r="HL116" s="65">
        <v>950</v>
      </c>
      <c r="HM116" s="65">
        <v>-1337</v>
      </c>
      <c r="HN116" s="65">
        <v>-600</v>
      </c>
      <c r="HO116" s="65">
        <v>1298</v>
      </c>
      <c r="HP116" s="65">
        <v>9616</v>
      </c>
      <c r="HQ116" s="65">
        <v>600</v>
      </c>
      <c r="HR116" s="65">
        <v>29467</v>
      </c>
      <c r="HS116" s="65">
        <v>-2635</v>
      </c>
      <c r="HT116" s="65">
        <v>-2607</v>
      </c>
      <c r="HU116" s="77">
        <v>20.75</v>
      </c>
      <c r="HV116" s="180">
        <v>330</v>
      </c>
      <c r="HW116" s="30" t="s">
        <v>760</v>
      </c>
    </row>
    <row r="117" spans="1:231" ht="15" x14ac:dyDescent="0.25">
      <c r="A117" s="27">
        <v>317</v>
      </c>
      <c r="B117" s="27" t="s">
        <v>245</v>
      </c>
      <c r="C117" s="27">
        <v>17</v>
      </c>
      <c r="D117" s="27" t="s">
        <v>117</v>
      </c>
      <c r="E117" s="27">
        <v>2</v>
      </c>
      <c r="F117" s="27" t="s">
        <v>744</v>
      </c>
      <c r="G117" s="29" t="s">
        <v>130</v>
      </c>
      <c r="H117" s="27" t="s">
        <v>98</v>
      </c>
      <c r="I117" s="31" t="s">
        <v>117</v>
      </c>
      <c r="J117" s="69">
        <v>3342</v>
      </c>
      <c r="K117" s="69">
        <v>3238</v>
      </c>
      <c r="L117" s="36">
        <v>3207</v>
      </c>
      <c r="M117" s="36">
        <v>3154</v>
      </c>
      <c r="N117" s="36">
        <v>3106</v>
      </c>
      <c r="O117" s="36">
        <v>3107</v>
      </c>
      <c r="P117" s="36">
        <v>3091</v>
      </c>
      <c r="Q117" s="36">
        <v>3025</v>
      </c>
      <c r="R117" s="69">
        <v>3000</v>
      </c>
      <c r="S117" s="69">
        <v>2986</v>
      </c>
      <c r="T117" s="71">
        <v>2970</v>
      </c>
      <c r="U117" s="36">
        <v>5255</v>
      </c>
      <c r="V117" s="36">
        <v>5465</v>
      </c>
      <c r="W117" s="36">
        <v>2379</v>
      </c>
      <c r="X117" s="36">
        <v>296.68350227810544</v>
      </c>
      <c r="Y117" s="36">
        <v>5253</v>
      </c>
      <c r="Z117" s="36">
        <v>5620</v>
      </c>
      <c r="AA117" s="36">
        <v>2382</v>
      </c>
      <c r="AB117" s="36">
        <v>440.31599147623587</v>
      </c>
      <c r="AC117" s="36">
        <v>4783</v>
      </c>
      <c r="AD117" s="36">
        <v>5673</v>
      </c>
      <c r="AE117" s="36">
        <v>2344</v>
      </c>
      <c r="AF117" s="36">
        <v>488.08136259130498</v>
      </c>
      <c r="AG117" s="36">
        <v>5240</v>
      </c>
      <c r="AH117" s="36">
        <v>6337</v>
      </c>
      <c r="AI117" s="36">
        <v>2349</v>
      </c>
      <c r="AJ117" s="36">
        <v>408.36028544854884</v>
      </c>
      <c r="AK117" s="36">
        <v>5378</v>
      </c>
      <c r="AL117" s="36">
        <v>6669</v>
      </c>
      <c r="AM117" s="36">
        <v>2395</v>
      </c>
      <c r="AN117" s="36">
        <v>302</v>
      </c>
      <c r="AO117" s="36">
        <v>5197</v>
      </c>
      <c r="AP117" s="36">
        <v>6906</v>
      </c>
      <c r="AQ117" s="36">
        <v>2704</v>
      </c>
      <c r="AR117" s="36">
        <v>433</v>
      </c>
      <c r="AS117" s="36">
        <v>5650</v>
      </c>
      <c r="AT117" s="36">
        <v>6932</v>
      </c>
      <c r="AU117" s="36">
        <v>1568</v>
      </c>
      <c r="AV117" s="36">
        <v>388</v>
      </c>
      <c r="AW117" s="36">
        <v>5618</v>
      </c>
      <c r="AX117" s="69">
        <v>7033</v>
      </c>
      <c r="AY117" s="36">
        <v>1982</v>
      </c>
      <c r="AZ117" s="36">
        <v>561</v>
      </c>
      <c r="BA117" s="36">
        <v>5686</v>
      </c>
      <c r="BB117" s="36">
        <v>7408</v>
      </c>
      <c r="BC117" s="36">
        <v>1649</v>
      </c>
      <c r="BD117" s="36">
        <v>109</v>
      </c>
      <c r="BE117" s="70">
        <v>6344</v>
      </c>
      <c r="BF117" s="70">
        <v>7824</v>
      </c>
      <c r="BG117" s="70">
        <v>1806</v>
      </c>
      <c r="BH117" s="70">
        <v>688</v>
      </c>
      <c r="BI117" s="36">
        <v>6824</v>
      </c>
      <c r="BJ117" s="36">
        <v>8562</v>
      </c>
      <c r="BK117" s="36">
        <v>1722</v>
      </c>
      <c r="BL117" s="36">
        <v>0</v>
      </c>
      <c r="BM117" s="36">
        <v>3970.5805679033524</v>
      </c>
      <c r="BN117" s="36">
        <v>1138.4640742179681</v>
      </c>
      <c r="BO117" s="36">
        <v>142.28698578643832</v>
      </c>
      <c r="BP117" s="36">
        <v>4202.0071547143916</v>
      </c>
      <c r="BQ117" s="36">
        <v>905.6919839952368</v>
      </c>
      <c r="BR117" s="36">
        <v>141.9506099335153</v>
      </c>
      <c r="BS117" s="36">
        <v>3717.2895506523164</v>
      </c>
      <c r="BT117" s="36">
        <v>918.47426640631181</v>
      </c>
      <c r="BU117" s="36">
        <v>143.63248919813043</v>
      </c>
      <c r="BV117" s="36">
        <v>4539</v>
      </c>
      <c r="BW117" s="36">
        <v>538</v>
      </c>
      <c r="BX117" s="36">
        <v>163</v>
      </c>
      <c r="BY117" s="36">
        <v>4833</v>
      </c>
      <c r="BZ117" s="36">
        <v>379</v>
      </c>
      <c r="CA117" s="36">
        <v>166</v>
      </c>
      <c r="CB117" s="36">
        <v>4843</v>
      </c>
      <c r="CC117" s="36">
        <v>187</v>
      </c>
      <c r="CD117" s="36">
        <v>167</v>
      </c>
      <c r="CE117" s="36">
        <v>5185</v>
      </c>
      <c r="CF117" s="36">
        <v>300</v>
      </c>
      <c r="CG117" s="36">
        <v>165</v>
      </c>
      <c r="CH117" s="36">
        <v>5021</v>
      </c>
      <c r="CI117" s="36">
        <v>417</v>
      </c>
      <c r="CJ117" s="70">
        <v>180</v>
      </c>
      <c r="CK117" s="70">
        <v>5048</v>
      </c>
      <c r="CL117" s="70">
        <v>444</v>
      </c>
      <c r="CM117" s="36">
        <v>194</v>
      </c>
      <c r="CN117" s="36">
        <v>5699</v>
      </c>
      <c r="CO117" s="36">
        <v>429</v>
      </c>
      <c r="CP117" s="36">
        <v>216</v>
      </c>
      <c r="CQ117" s="36">
        <v>6215</v>
      </c>
      <c r="CR117" s="36">
        <v>374</v>
      </c>
      <c r="CS117" s="36">
        <v>235</v>
      </c>
      <c r="CT117" s="36">
        <v>835.89399451370991</v>
      </c>
      <c r="CU117" s="36">
        <v>1142.5005839999999</v>
      </c>
      <c r="CV117" s="36">
        <v>470.25344238638479</v>
      </c>
      <c r="CW117" s="36">
        <v>3274</v>
      </c>
      <c r="CX117" s="36">
        <v>973.6399062856874</v>
      </c>
      <c r="CY117" s="36">
        <v>4283.4101110000001</v>
      </c>
      <c r="CZ117" s="36">
        <v>508.2639137666863</v>
      </c>
      <c r="DA117" s="36">
        <v>2776</v>
      </c>
      <c r="DB117" s="36">
        <v>-20.014363248919814</v>
      </c>
      <c r="DC117" s="36">
        <v>-612.20405229999994</v>
      </c>
      <c r="DD117" s="36">
        <v>577.05277568944439</v>
      </c>
      <c r="DE117" s="36">
        <v>2308</v>
      </c>
      <c r="DF117" s="36">
        <v>299.03813324856662</v>
      </c>
      <c r="DG117" s="36">
        <v>-960</v>
      </c>
      <c r="DH117" s="36">
        <v>360.93129018640269</v>
      </c>
      <c r="DI117" s="36">
        <v>2056</v>
      </c>
      <c r="DJ117" s="36">
        <v>922</v>
      </c>
      <c r="DK117" s="36">
        <v>-1682</v>
      </c>
      <c r="DL117" s="36">
        <v>376</v>
      </c>
      <c r="DM117" s="36">
        <v>3337</v>
      </c>
      <c r="DN117" s="36">
        <v>389</v>
      </c>
      <c r="DO117" s="69">
        <v>-2825</v>
      </c>
      <c r="DP117" s="36">
        <v>379</v>
      </c>
      <c r="DQ117" s="36">
        <v>5733</v>
      </c>
      <c r="DR117" s="36">
        <v>191</v>
      </c>
      <c r="DS117" s="36">
        <v>-1353</v>
      </c>
      <c r="DT117" s="36">
        <v>511</v>
      </c>
      <c r="DU117" s="36">
        <v>7665</v>
      </c>
      <c r="DV117" s="36">
        <v>293</v>
      </c>
      <c r="DW117" s="71">
        <v>-1367</v>
      </c>
      <c r="DX117" s="39">
        <v>602</v>
      </c>
      <c r="DY117" s="71">
        <v>8349</v>
      </c>
      <c r="DZ117" s="70">
        <v>-273</v>
      </c>
      <c r="EA117" s="35">
        <v>-510</v>
      </c>
      <c r="EB117" s="35">
        <v>598</v>
      </c>
      <c r="EC117" s="38">
        <v>9370</v>
      </c>
      <c r="ED117" s="38">
        <v>519</v>
      </c>
      <c r="EE117" s="38">
        <v>-298</v>
      </c>
      <c r="EF117" s="38">
        <v>555</v>
      </c>
      <c r="EG117" s="73">
        <v>9065</v>
      </c>
      <c r="EH117" s="73">
        <v>-865</v>
      </c>
      <c r="EI117" s="73">
        <v>-116</v>
      </c>
      <c r="EJ117" s="73">
        <v>498</v>
      </c>
      <c r="EK117" s="73">
        <v>8597</v>
      </c>
      <c r="EL117" s="73">
        <v>11857.585191389451</v>
      </c>
      <c r="EM117" s="73">
        <v>9.0821480289215959</v>
      </c>
      <c r="EN117" s="73">
        <v>12028.96868845373</v>
      </c>
      <c r="EO117" s="73">
        <v>46.25167977691553</v>
      </c>
      <c r="EP117" s="73">
        <v>12521.927500912419</v>
      </c>
      <c r="EQ117" s="73">
        <v>-396.92350644916604</v>
      </c>
      <c r="ER117" s="73">
        <v>13177.524038259389</v>
      </c>
      <c r="ES117" s="73">
        <v>-60.884029379066995</v>
      </c>
      <c r="ET117" s="73">
        <v>13301</v>
      </c>
      <c r="EU117" s="73">
        <v>504</v>
      </c>
      <c r="EV117" s="73">
        <v>14653</v>
      </c>
      <c r="EW117" s="73">
        <v>39</v>
      </c>
      <c r="EX117" s="73">
        <v>14015</v>
      </c>
      <c r="EY117" s="73">
        <v>-153</v>
      </c>
      <c r="EZ117" s="73">
        <v>14591</v>
      </c>
      <c r="FA117" s="73">
        <v>-221</v>
      </c>
      <c r="FB117" s="73">
        <v>15059</v>
      </c>
      <c r="FC117" s="73">
        <v>-802</v>
      </c>
      <c r="FD117" s="73">
        <v>15371</v>
      </c>
      <c r="FE117" s="73">
        <v>33</v>
      </c>
      <c r="FF117" s="73">
        <v>16443</v>
      </c>
      <c r="FG117" s="73">
        <v>-454</v>
      </c>
      <c r="FH117" s="73">
        <v>-998</v>
      </c>
      <c r="FI117" s="73">
        <v>-1452</v>
      </c>
      <c r="FJ117" s="79">
        <v>2918</v>
      </c>
      <c r="FK117" s="80">
        <v>6807</v>
      </c>
      <c r="FL117" s="80">
        <v>9487</v>
      </c>
      <c r="FM117" s="80">
        <v>1785</v>
      </c>
      <c r="FN117" s="76">
        <v>506</v>
      </c>
      <c r="FO117" s="80">
        <v>6243</v>
      </c>
      <c r="FP117" s="80">
        <v>297</v>
      </c>
      <c r="FQ117" s="80">
        <v>267</v>
      </c>
      <c r="FR117" s="80">
        <v>1204</v>
      </c>
      <c r="FS117" s="81">
        <v>-183</v>
      </c>
      <c r="FT117" s="76">
        <v>451</v>
      </c>
      <c r="FU117" s="76">
        <v>10281</v>
      </c>
      <c r="FV117" s="76">
        <v>183</v>
      </c>
      <c r="FW117" s="80">
        <v>17128</v>
      </c>
      <c r="FX117" s="80">
        <v>821</v>
      </c>
      <c r="FY117" s="73">
        <v>2872</v>
      </c>
      <c r="FZ117" s="73">
        <v>6274</v>
      </c>
      <c r="GA117" s="73">
        <v>9676</v>
      </c>
      <c r="GB117" s="73">
        <v>1255</v>
      </c>
      <c r="GC117" s="73">
        <v>468</v>
      </c>
      <c r="GD117" s="73">
        <v>5595</v>
      </c>
      <c r="GE117" s="73">
        <v>414</v>
      </c>
      <c r="GF117" s="73">
        <v>265</v>
      </c>
      <c r="GG117" s="73">
        <v>-51</v>
      </c>
      <c r="GH117" s="73">
        <v>-2758</v>
      </c>
      <c r="GI117" s="73">
        <v>476</v>
      </c>
      <c r="GJ117" s="73">
        <v>11562</v>
      </c>
      <c r="GK117" s="73">
        <v>2758</v>
      </c>
      <c r="GL117" s="73">
        <v>17510</v>
      </c>
      <c r="GM117" s="73">
        <v>-458</v>
      </c>
      <c r="GN117" s="73">
        <v>-1078</v>
      </c>
      <c r="GO117" s="77">
        <v>20.75</v>
      </c>
      <c r="GP117" s="78">
        <v>2819</v>
      </c>
      <c r="GQ117" s="73">
        <v>6457</v>
      </c>
      <c r="GR117" s="65">
        <v>10784</v>
      </c>
      <c r="GS117" s="65">
        <v>1590</v>
      </c>
      <c r="GT117" s="65">
        <v>277</v>
      </c>
      <c r="GU117" s="65">
        <v>5697</v>
      </c>
      <c r="GV117" s="65">
        <v>498</v>
      </c>
      <c r="GW117" s="65">
        <v>262</v>
      </c>
      <c r="GX117" s="65">
        <v>881</v>
      </c>
      <c r="GY117" s="65">
        <v>-1738</v>
      </c>
      <c r="GZ117" s="65">
        <v>442</v>
      </c>
      <c r="HA117" s="65">
        <v>12822</v>
      </c>
      <c r="HB117" s="65">
        <v>1738</v>
      </c>
      <c r="HC117" s="65">
        <v>17938</v>
      </c>
      <c r="HD117" s="65">
        <v>507</v>
      </c>
      <c r="HE117" s="78">
        <v>2760</v>
      </c>
      <c r="HF117" s="73">
        <v>6417</v>
      </c>
      <c r="HG117" s="65">
        <v>10232</v>
      </c>
      <c r="HH117" s="65">
        <v>1672</v>
      </c>
      <c r="HI117" s="65">
        <v>655</v>
      </c>
      <c r="HJ117" s="65">
        <v>5815</v>
      </c>
      <c r="HK117" s="65">
        <v>344</v>
      </c>
      <c r="HL117" s="65">
        <v>258</v>
      </c>
      <c r="HM117" s="65">
        <v>115</v>
      </c>
      <c r="HN117" s="65">
        <v>-536</v>
      </c>
      <c r="HO117" s="65">
        <v>531</v>
      </c>
      <c r="HP117" s="65">
        <v>13006</v>
      </c>
      <c r="HQ117" s="65">
        <v>536</v>
      </c>
      <c r="HR117" s="65">
        <v>18625</v>
      </c>
      <c r="HS117" s="65">
        <v>-348</v>
      </c>
      <c r="HT117" s="65">
        <v>-918</v>
      </c>
      <c r="HU117" s="77">
        <v>20.75</v>
      </c>
      <c r="HV117" s="180">
        <v>330</v>
      </c>
      <c r="HW117" s="30" t="s">
        <v>760</v>
      </c>
    </row>
    <row r="118" spans="1:231" ht="15" x14ac:dyDescent="0.25">
      <c r="A118" s="27">
        <v>398</v>
      </c>
      <c r="B118" s="27" t="s">
        <v>246</v>
      </c>
      <c r="C118" s="27">
        <v>7</v>
      </c>
      <c r="D118" s="27" t="s">
        <v>119</v>
      </c>
      <c r="E118" s="27">
        <v>7</v>
      </c>
      <c r="F118" s="27" t="s">
        <v>104</v>
      </c>
      <c r="G118" s="29" t="s">
        <v>141</v>
      </c>
      <c r="H118" s="27" t="s">
        <v>97</v>
      </c>
      <c r="I118" s="31" t="s">
        <v>119</v>
      </c>
      <c r="J118" s="82">
        <v>110976</v>
      </c>
      <c r="K118" s="82">
        <v>111423</v>
      </c>
      <c r="L118" s="82">
        <v>111656</v>
      </c>
      <c r="M118" s="82">
        <v>112141</v>
      </c>
      <c r="N118" s="82">
        <v>112652</v>
      </c>
      <c r="O118" s="82">
        <v>112991</v>
      </c>
      <c r="P118" s="82">
        <v>113070</v>
      </c>
      <c r="Q118" s="82">
        <v>113203</v>
      </c>
      <c r="R118" s="82">
        <v>113637</v>
      </c>
      <c r="S118" s="82">
        <v>114315</v>
      </c>
      <c r="T118" s="82">
        <v>115124</v>
      </c>
      <c r="U118" s="82">
        <v>238106</v>
      </c>
      <c r="V118" s="82">
        <v>56499</v>
      </c>
      <c r="W118" s="82">
        <v>64037</v>
      </c>
      <c r="X118" s="82">
        <v>6736.4310185629001</v>
      </c>
      <c r="Y118" s="82">
        <v>246811</v>
      </c>
      <c r="Z118" s="82">
        <v>54504</v>
      </c>
      <c r="AA118" s="82">
        <v>60270</v>
      </c>
      <c r="AB118" s="82">
        <v>9531.546168426752</v>
      </c>
      <c r="AC118" s="82">
        <v>249915</v>
      </c>
      <c r="AD118" s="82">
        <v>56805</v>
      </c>
      <c r="AE118" s="82">
        <v>72327</v>
      </c>
      <c r="AF118" s="82">
        <v>9902.7369221273075</v>
      </c>
      <c r="AG118" s="82">
        <v>280289</v>
      </c>
      <c r="AH118" s="82">
        <v>65161</v>
      </c>
      <c r="AI118" s="82">
        <v>74244</v>
      </c>
      <c r="AJ118" s="82">
        <v>15795.705489485732</v>
      </c>
      <c r="AK118" s="82">
        <v>290758</v>
      </c>
      <c r="AL118" s="82">
        <v>67848</v>
      </c>
      <c r="AM118" s="82">
        <v>76564</v>
      </c>
      <c r="AN118" s="82">
        <v>16105</v>
      </c>
      <c r="AO118" s="82">
        <v>277929</v>
      </c>
      <c r="AP118" s="82">
        <v>73162</v>
      </c>
      <c r="AQ118" s="82">
        <v>80752</v>
      </c>
      <c r="AR118" s="82">
        <v>18012</v>
      </c>
      <c r="AS118" s="82">
        <v>283262</v>
      </c>
      <c r="AT118" s="82">
        <v>83930</v>
      </c>
      <c r="AU118" s="82">
        <v>83671</v>
      </c>
      <c r="AV118" s="82">
        <v>34066</v>
      </c>
      <c r="AW118" s="82">
        <v>295518</v>
      </c>
      <c r="AX118" s="82">
        <v>93492</v>
      </c>
      <c r="AY118" s="82">
        <v>72376</v>
      </c>
      <c r="AZ118" s="82">
        <v>11712</v>
      </c>
      <c r="BA118" s="82">
        <v>314148</v>
      </c>
      <c r="BB118" s="82">
        <v>106596</v>
      </c>
      <c r="BC118" s="82">
        <v>81941</v>
      </c>
      <c r="BD118" s="82">
        <v>16011</v>
      </c>
      <c r="BE118" s="82">
        <v>332179</v>
      </c>
      <c r="BF118" s="82">
        <v>114231</v>
      </c>
      <c r="BG118" s="82">
        <v>82982</v>
      </c>
      <c r="BH118" s="82">
        <v>39496</v>
      </c>
      <c r="BI118" s="82">
        <v>360985</v>
      </c>
      <c r="BJ118" s="82">
        <v>129886</v>
      </c>
      <c r="BK118" s="82">
        <v>95075</v>
      </c>
      <c r="BL118" s="82">
        <v>33143</v>
      </c>
      <c r="BM118" s="82">
        <v>197200.00740026875</v>
      </c>
      <c r="BN118" s="82">
        <v>30117.916555242169</v>
      </c>
      <c r="BO118" s="82">
        <v>10673.037625321029</v>
      </c>
      <c r="BP118" s="82">
        <v>201623.01349035359</v>
      </c>
      <c r="BQ118" s="82">
        <v>33839.578991982482</v>
      </c>
      <c r="BR118" s="82">
        <v>11238.989997864013</v>
      </c>
      <c r="BS118" s="82">
        <v>193058.37971115403</v>
      </c>
      <c r="BT118" s="82">
        <v>42173.627124003273</v>
      </c>
      <c r="BU118" s="82">
        <v>14578.361277757314</v>
      </c>
      <c r="BV118" s="82">
        <v>228799</v>
      </c>
      <c r="BW118" s="82">
        <v>35959</v>
      </c>
      <c r="BX118" s="82">
        <v>15429</v>
      </c>
      <c r="BY118" s="82">
        <v>250352</v>
      </c>
      <c r="BZ118" s="82">
        <v>24214</v>
      </c>
      <c r="CA118" s="82">
        <v>16092</v>
      </c>
      <c r="CB118" s="82">
        <v>246048</v>
      </c>
      <c r="CC118" s="82">
        <v>15867</v>
      </c>
      <c r="CD118" s="82">
        <v>15932</v>
      </c>
      <c r="CE118" s="82">
        <v>251142</v>
      </c>
      <c r="CF118" s="82">
        <v>15610</v>
      </c>
      <c r="CG118" s="82">
        <v>16431</v>
      </c>
      <c r="CH118" s="82">
        <v>262382</v>
      </c>
      <c r="CI118" s="82">
        <v>16424</v>
      </c>
      <c r="CJ118" s="82">
        <v>16639</v>
      </c>
      <c r="CK118" s="82">
        <v>278946</v>
      </c>
      <c r="CL118" s="82">
        <v>17719</v>
      </c>
      <c r="CM118" s="82">
        <v>17410</v>
      </c>
      <c r="CN118" s="82">
        <v>291589</v>
      </c>
      <c r="CO118" s="82">
        <v>21065</v>
      </c>
      <c r="CP118" s="82">
        <v>19466</v>
      </c>
      <c r="CQ118" s="82">
        <v>317685</v>
      </c>
      <c r="CR118" s="82">
        <v>23123</v>
      </c>
      <c r="CS118" s="82">
        <v>20177</v>
      </c>
      <c r="CT118" s="82">
        <v>12134.927082124483</v>
      </c>
      <c r="CU118" s="82">
        <v>-23903.877235</v>
      </c>
      <c r="CV118" s="82">
        <v>15036.337001512009</v>
      </c>
      <c r="CW118" s="82">
        <v>99510</v>
      </c>
      <c r="CX118" s="82">
        <v>8515.3547167463039</v>
      </c>
      <c r="CY118" s="82">
        <v>-27394.449465999998</v>
      </c>
      <c r="CZ118" s="82">
        <v>15430.064937358406</v>
      </c>
      <c r="DA118" s="82">
        <v>90704</v>
      </c>
      <c r="DB118" s="82">
        <v>-1310.6885109145555</v>
      </c>
      <c r="DC118" s="82">
        <v>-23743.594138</v>
      </c>
      <c r="DD118" s="82">
        <v>16375.785647851484</v>
      </c>
      <c r="DE118" s="82">
        <v>187060</v>
      </c>
      <c r="DF118" s="82">
        <v>21210.683969840542</v>
      </c>
      <c r="DG118" s="82">
        <v>-19166</v>
      </c>
      <c r="DH118" s="82">
        <v>17124.053732678745</v>
      </c>
      <c r="DI118" s="82">
        <v>171818</v>
      </c>
      <c r="DJ118" s="82">
        <v>40395</v>
      </c>
      <c r="DK118" s="82">
        <v>-20111</v>
      </c>
      <c r="DL118" s="82">
        <v>18593</v>
      </c>
      <c r="DM118" s="82">
        <v>205601</v>
      </c>
      <c r="DN118" s="82">
        <v>9491</v>
      </c>
      <c r="DO118" s="82">
        <v>-27043</v>
      </c>
      <c r="DP118" s="82">
        <v>19139</v>
      </c>
      <c r="DQ118" s="82">
        <v>287504</v>
      </c>
      <c r="DR118" s="82">
        <v>19035</v>
      </c>
      <c r="DS118" s="82">
        <v>-26287</v>
      </c>
      <c r="DT118" s="82">
        <v>25472</v>
      </c>
      <c r="DU118" s="82">
        <v>246595</v>
      </c>
      <c r="DV118" s="82">
        <v>2481</v>
      </c>
      <c r="DW118" s="82">
        <v>-29089</v>
      </c>
      <c r="DX118" s="82">
        <v>25631</v>
      </c>
      <c r="DY118" s="82">
        <v>274797</v>
      </c>
      <c r="DZ118" s="82">
        <v>43239</v>
      </c>
      <c r="EA118" s="82">
        <v>-40425</v>
      </c>
      <c r="EB118" s="82">
        <v>26601</v>
      </c>
      <c r="EC118" s="82">
        <v>311361</v>
      </c>
      <c r="ED118" s="82">
        <v>55540</v>
      </c>
      <c r="EE118" s="82">
        <v>-38892</v>
      </c>
      <c r="EF118" s="82">
        <v>30378</v>
      </c>
      <c r="EG118" s="82">
        <v>311253</v>
      </c>
      <c r="EH118" s="82">
        <v>55278</v>
      </c>
      <c r="EI118" s="82">
        <v>19000</v>
      </c>
      <c r="EJ118" s="82">
        <v>30452</v>
      </c>
      <c r="EK118" s="82">
        <v>277949</v>
      </c>
      <c r="EL118" s="82">
        <v>330318.73293943715</v>
      </c>
      <c r="EM118" s="82">
        <v>41378.434607693249</v>
      </c>
      <c r="EN118" s="82">
        <v>341417.6223945588</v>
      </c>
      <c r="EO118" s="82">
        <v>2076.1117642408922</v>
      </c>
      <c r="EP118" s="82">
        <v>366384.1109502113</v>
      </c>
      <c r="EQ118" s="82">
        <v>-9316.9383742618647</v>
      </c>
      <c r="ER118" s="82">
        <v>386114.90935511695</v>
      </c>
      <c r="ES118" s="82">
        <v>8174.4377898088205</v>
      </c>
      <c r="ET118" s="82">
        <v>401054</v>
      </c>
      <c r="EU118" s="82">
        <v>19331</v>
      </c>
      <c r="EV118" s="82">
        <v>429275</v>
      </c>
      <c r="EW118" s="82">
        <v>-8428</v>
      </c>
      <c r="EX118" s="82">
        <v>454271</v>
      </c>
      <c r="EY118" s="82">
        <v>-5713</v>
      </c>
      <c r="EZ118" s="82">
        <v>462685</v>
      </c>
      <c r="FA118" s="82">
        <v>-22736</v>
      </c>
      <c r="FB118" s="82">
        <v>472916</v>
      </c>
      <c r="FC118" s="82">
        <v>15444</v>
      </c>
      <c r="FD118" s="82">
        <v>494854</v>
      </c>
      <c r="FE118" s="82">
        <v>14736</v>
      </c>
      <c r="FF118" s="82">
        <v>551858</v>
      </c>
      <c r="FG118" s="82">
        <v>26236</v>
      </c>
      <c r="FH118" s="82">
        <v>69421</v>
      </c>
      <c r="FI118" s="82">
        <v>95657</v>
      </c>
      <c r="FJ118" s="82">
        <v>115919</v>
      </c>
      <c r="FK118" s="82">
        <v>366367</v>
      </c>
      <c r="FL118" s="82">
        <v>140210</v>
      </c>
      <c r="FM118" s="82">
        <v>87758</v>
      </c>
      <c r="FN118" s="82">
        <v>19616</v>
      </c>
      <c r="FO118" s="82">
        <v>326826</v>
      </c>
      <c r="FP118" s="82">
        <v>18305</v>
      </c>
      <c r="FQ118" s="82">
        <v>21236</v>
      </c>
      <c r="FR118" s="82">
        <v>41012</v>
      </c>
      <c r="FS118" s="82">
        <v>-53322</v>
      </c>
      <c r="FT118" s="82">
        <v>31245</v>
      </c>
      <c r="FU118" s="82">
        <v>348914</v>
      </c>
      <c r="FV118" s="82">
        <v>53322</v>
      </c>
      <c r="FW118" s="82">
        <v>572295</v>
      </c>
      <c r="FX118" s="82">
        <v>9981</v>
      </c>
      <c r="FY118" s="82">
        <v>116582</v>
      </c>
      <c r="FZ118" s="82">
        <v>371729</v>
      </c>
      <c r="GA118" s="82">
        <v>150899</v>
      </c>
      <c r="GB118" s="82">
        <v>98446</v>
      </c>
      <c r="GC118" s="82">
        <v>17093</v>
      </c>
      <c r="GD118" s="82">
        <v>323140</v>
      </c>
      <c r="GE118" s="82">
        <v>21083</v>
      </c>
      <c r="GF118" s="82">
        <v>27506</v>
      </c>
      <c r="GG118" s="82">
        <v>42044</v>
      </c>
      <c r="GH118" s="82">
        <v>-48917</v>
      </c>
      <c r="GI118" s="82">
        <v>32631</v>
      </c>
      <c r="GJ118" s="82">
        <v>364881</v>
      </c>
      <c r="GK118" s="82">
        <v>48917</v>
      </c>
      <c r="GL118" s="82">
        <v>595523</v>
      </c>
      <c r="GM118" s="82">
        <v>10730</v>
      </c>
      <c r="GN118" s="82">
        <v>117765</v>
      </c>
      <c r="GO118" s="83">
        <v>19</v>
      </c>
      <c r="GP118" s="82">
        <v>117335</v>
      </c>
      <c r="GQ118" s="82">
        <v>391449</v>
      </c>
      <c r="GR118" s="82">
        <v>158905</v>
      </c>
      <c r="GS118" s="82">
        <v>104719</v>
      </c>
      <c r="GT118" s="82">
        <v>20579</v>
      </c>
      <c r="GU118" s="82">
        <v>336608</v>
      </c>
      <c r="GV118" s="82">
        <v>26646</v>
      </c>
      <c r="GW118" s="82">
        <v>28195</v>
      </c>
      <c r="GX118" s="82">
        <v>45151</v>
      </c>
      <c r="GY118" s="82">
        <v>-54349</v>
      </c>
      <c r="GZ118" s="82">
        <v>34951</v>
      </c>
      <c r="HA118" s="82">
        <v>405734</v>
      </c>
      <c r="HB118" s="82">
        <v>54349</v>
      </c>
      <c r="HC118" s="82">
        <v>629927</v>
      </c>
      <c r="HD118" s="82">
        <v>11190</v>
      </c>
      <c r="HE118" s="82">
        <v>118098</v>
      </c>
      <c r="HF118" s="82">
        <v>402413</v>
      </c>
      <c r="HG118" s="82">
        <v>168560</v>
      </c>
      <c r="HH118" s="82">
        <v>113710</v>
      </c>
      <c r="HI118" s="82">
        <v>29150</v>
      </c>
      <c r="HJ118" s="82">
        <v>352775</v>
      </c>
      <c r="HK118" s="82">
        <v>21083</v>
      </c>
      <c r="HL118" s="82">
        <v>28555</v>
      </c>
      <c r="HM118" s="82">
        <v>37503</v>
      </c>
      <c r="HN118" s="82">
        <v>-52943</v>
      </c>
      <c r="HO118" s="82">
        <v>33923</v>
      </c>
      <c r="HP118" s="82">
        <v>484572</v>
      </c>
      <c r="HQ118" s="82">
        <v>52943</v>
      </c>
      <c r="HR118" s="82">
        <v>675716</v>
      </c>
      <c r="HS118" s="82">
        <v>4210</v>
      </c>
      <c r="HT118" s="82">
        <v>135316</v>
      </c>
      <c r="HU118" s="83">
        <v>19.5</v>
      </c>
      <c r="HV118" s="180">
        <v>120</v>
      </c>
      <c r="HW118" s="30" t="s">
        <v>751</v>
      </c>
    </row>
    <row r="119" spans="1:231" ht="15" x14ac:dyDescent="0.25">
      <c r="A119" s="27">
        <v>399</v>
      </c>
      <c r="B119" s="27" t="s">
        <v>247</v>
      </c>
      <c r="C119" s="27">
        <v>15</v>
      </c>
      <c r="D119" s="27" t="s">
        <v>115</v>
      </c>
      <c r="E119" s="27">
        <v>3</v>
      </c>
      <c r="F119" s="27" t="s">
        <v>743</v>
      </c>
      <c r="G119" s="29" t="s">
        <v>132</v>
      </c>
      <c r="H119" s="27" t="s">
        <v>99</v>
      </c>
      <c r="I119" s="31" t="s">
        <v>115</v>
      </c>
      <c r="J119" s="69">
        <v>7463</v>
      </c>
      <c r="K119" s="69">
        <v>7449</v>
      </c>
      <c r="L119" s="36">
        <v>7414</v>
      </c>
      <c r="M119" s="36">
        <v>7443</v>
      </c>
      <c r="N119" s="36">
        <v>7532</v>
      </c>
      <c r="O119" s="36">
        <v>7471</v>
      </c>
      <c r="P119" s="36">
        <v>7522</v>
      </c>
      <c r="Q119" s="36">
        <v>7564</v>
      </c>
      <c r="R119" s="69">
        <v>7665</v>
      </c>
      <c r="S119" s="69">
        <v>7664</v>
      </c>
      <c r="T119" s="71">
        <v>7692</v>
      </c>
      <c r="U119" s="36">
        <v>13884</v>
      </c>
      <c r="V119" s="36">
        <v>6240</v>
      </c>
      <c r="W119" s="36">
        <v>3308</v>
      </c>
      <c r="X119" s="36">
        <v>540.21961979437344</v>
      </c>
      <c r="Y119" s="36">
        <v>14116</v>
      </c>
      <c r="Z119" s="36">
        <v>6268</v>
      </c>
      <c r="AA119" s="36">
        <v>3580</v>
      </c>
      <c r="AB119" s="36">
        <v>500.86364500237988</v>
      </c>
      <c r="AC119" s="36">
        <v>13998</v>
      </c>
      <c r="AD119" s="36">
        <v>6346</v>
      </c>
      <c r="AE119" s="36">
        <v>3065</v>
      </c>
      <c r="AF119" s="36">
        <v>302.06551592487381</v>
      </c>
      <c r="AG119" s="36">
        <v>15738</v>
      </c>
      <c r="AH119" s="36">
        <v>7441</v>
      </c>
      <c r="AI119" s="36">
        <v>3281</v>
      </c>
      <c r="AJ119" s="36">
        <v>305.59746238056556</v>
      </c>
      <c r="AK119" s="36">
        <v>16449</v>
      </c>
      <c r="AL119" s="36">
        <v>7877</v>
      </c>
      <c r="AM119" s="36">
        <v>3583</v>
      </c>
      <c r="AN119" s="36">
        <v>271</v>
      </c>
      <c r="AO119" s="36">
        <v>15790</v>
      </c>
      <c r="AP119" s="36">
        <v>8697</v>
      </c>
      <c r="AQ119" s="36">
        <v>3720</v>
      </c>
      <c r="AR119" s="36">
        <v>255</v>
      </c>
      <c r="AS119" s="36">
        <v>15956</v>
      </c>
      <c r="AT119" s="36">
        <v>9247</v>
      </c>
      <c r="AU119" s="36">
        <v>3784</v>
      </c>
      <c r="AV119" s="36">
        <v>229</v>
      </c>
      <c r="AW119" s="36">
        <v>16881</v>
      </c>
      <c r="AX119" s="69">
        <v>9740</v>
      </c>
      <c r="AY119" s="36">
        <v>4229</v>
      </c>
      <c r="AZ119" s="36">
        <v>198</v>
      </c>
      <c r="BA119" s="36">
        <v>18629</v>
      </c>
      <c r="BB119" s="36">
        <v>10036</v>
      </c>
      <c r="BC119" s="36">
        <v>4608</v>
      </c>
      <c r="BD119" s="36">
        <v>88</v>
      </c>
      <c r="BE119" s="70">
        <v>20139</v>
      </c>
      <c r="BF119" s="70">
        <v>10183</v>
      </c>
      <c r="BG119" s="70">
        <v>5731</v>
      </c>
      <c r="BH119" s="70">
        <v>264</v>
      </c>
      <c r="BI119" s="36">
        <v>22470</v>
      </c>
      <c r="BJ119" s="36">
        <v>11373</v>
      </c>
      <c r="BK119" s="36">
        <v>5745</v>
      </c>
      <c r="BL119" s="36">
        <v>90</v>
      </c>
      <c r="BM119" s="36">
        <v>11406.000608840293</v>
      </c>
      <c r="BN119" s="36">
        <v>2355.8082859463848</v>
      </c>
      <c r="BO119" s="36">
        <v>121.9362466845955</v>
      </c>
      <c r="BP119" s="36">
        <v>11766.763711100235</v>
      </c>
      <c r="BQ119" s="36">
        <v>2224.7898912328678</v>
      </c>
      <c r="BR119" s="36">
        <v>124.62725350797966</v>
      </c>
      <c r="BS119" s="36">
        <v>11746.581159924854</v>
      </c>
      <c r="BT119" s="36">
        <v>1958.0438398649114</v>
      </c>
      <c r="BU119" s="36">
        <v>292.9833678959522</v>
      </c>
      <c r="BV119" s="36">
        <v>13705</v>
      </c>
      <c r="BW119" s="36">
        <v>1697</v>
      </c>
      <c r="BX119" s="36">
        <v>336</v>
      </c>
      <c r="BY119" s="36">
        <v>15366</v>
      </c>
      <c r="BZ119" s="36">
        <v>739</v>
      </c>
      <c r="CA119" s="36">
        <v>344</v>
      </c>
      <c r="CB119" s="36">
        <v>14879</v>
      </c>
      <c r="CC119" s="36">
        <v>565</v>
      </c>
      <c r="CD119" s="36">
        <v>346</v>
      </c>
      <c r="CE119" s="36">
        <v>14968</v>
      </c>
      <c r="CF119" s="36">
        <v>637</v>
      </c>
      <c r="CG119" s="36">
        <v>351</v>
      </c>
      <c r="CH119" s="36">
        <v>15795</v>
      </c>
      <c r="CI119" s="36">
        <v>721</v>
      </c>
      <c r="CJ119" s="70">
        <v>365</v>
      </c>
      <c r="CK119" s="70">
        <v>17426</v>
      </c>
      <c r="CL119" s="70">
        <v>810</v>
      </c>
      <c r="CM119" s="36">
        <v>393</v>
      </c>
      <c r="CN119" s="36">
        <v>18606</v>
      </c>
      <c r="CO119" s="36">
        <v>976</v>
      </c>
      <c r="CP119" s="36">
        <v>557</v>
      </c>
      <c r="CQ119" s="36">
        <v>20809</v>
      </c>
      <c r="CR119" s="36">
        <v>1072</v>
      </c>
      <c r="CS119" s="36">
        <v>589</v>
      </c>
      <c r="CT119" s="36">
        <v>1141.8278327471983</v>
      </c>
      <c r="CU119" s="36">
        <v>-2161.2148550000002</v>
      </c>
      <c r="CV119" s="36">
        <v>1144.5188395705825</v>
      </c>
      <c r="CW119" s="36">
        <v>1058</v>
      </c>
      <c r="CX119" s="36">
        <v>1389.0640846456197</v>
      </c>
      <c r="CY119" s="36">
        <v>-5002.2453089999999</v>
      </c>
      <c r="CZ119" s="36">
        <v>1161.1694442902722</v>
      </c>
      <c r="DA119" s="36">
        <v>3255</v>
      </c>
      <c r="DB119" s="36">
        <v>-218.47611647350283</v>
      </c>
      <c r="DC119" s="36">
        <v>-1962.2485379999996</v>
      </c>
      <c r="DD119" s="36">
        <v>1386.2048898957739</v>
      </c>
      <c r="DE119" s="36">
        <v>4405</v>
      </c>
      <c r="DF119" s="36">
        <v>1114.0768248810491</v>
      </c>
      <c r="DG119" s="36">
        <v>-623</v>
      </c>
      <c r="DH119" s="36">
        <v>1573.5662399738972</v>
      </c>
      <c r="DI119" s="36">
        <v>4436</v>
      </c>
      <c r="DJ119" s="36">
        <v>2828</v>
      </c>
      <c r="DK119" s="36">
        <v>-1226</v>
      </c>
      <c r="DL119" s="36">
        <v>1460</v>
      </c>
      <c r="DM119" s="36">
        <v>3864</v>
      </c>
      <c r="DN119" s="36">
        <v>998</v>
      </c>
      <c r="DO119" s="69">
        <v>-1732</v>
      </c>
      <c r="DP119" s="36">
        <v>1478</v>
      </c>
      <c r="DQ119" s="36">
        <v>3249</v>
      </c>
      <c r="DR119" s="36">
        <v>166</v>
      </c>
      <c r="DS119" s="36">
        <v>-1039</v>
      </c>
      <c r="DT119" s="36">
        <v>1482</v>
      </c>
      <c r="DU119" s="36">
        <v>3638</v>
      </c>
      <c r="DV119" s="36">
        <v>532</v>
      </c>
      <c r="DW119" s="71">
        <v>-1936</v>
      </c>
      <c r="DX119" s="39">
        <v>1195</v>
      </c>
      <c r="DY119" s="71">
        <v>4928</v>
      </c>
      <c r="DZ119" s="70">
        <v>940</v>
      </c>
      <c r="EA119" s="35">
        <v>-3243</v>
      </c>
      <c r="EB119" s="35">
        <v>1182</v>
      </c>
      <c r="EC119" s="38">
        <v>6569</v>
      </c>
      <c r="ED119" s="38">
        <v>1199</v>
      </c>
      <c r="EE119" s="38">
        <v>-2427</v>
      </c>
      <c r="EF119" s="38">
        <v>1205</v>
      </c>
      <c r="EG119" s="73">
        <v>7989</v>
      </c>
      <c r="EH119" s="73">
        <v>3264</v>
      </c>
      <c r="EI119" s="73">
        <v>-1694</v>
      </c>
      <c r="EJ119" s="73">
        <v>1242</v>
      </c>
      <c r="EK119" s="73">
        <v>8346</v>
      </c>
      <c r="EL119" s="73">
        <v>21583.556602805711</v>
      </c>
      <c r="EM119" s="73">
        <v>-240.17235898703774</v>
      </c>
      <c r="EN119" s="73">
        <v>21799.005336602906</v>
      </c>
      <c r="EO119" s="73">
        <v>376.23639149440015</v>
      </c>
      <c r="EP119" s="73">
        <v>22512.96308443202</v>
      </c>
      <c r="EQ119" s="73">
        <v>-247.57262775134424</v>
      </c>
      <c r="ER119" s="73">
        <v>24156.495501813908</v>
      </c>
      <c r="ES119" s="73">
        <v>-313.16591907133352</v>
      </c>
      <c r="ET119" s="73">
        <v>25089</v>
      </c>
      <c r="EU119" s="73">
        <v>1513</v>
      </c>
      <c r="EV119" s="73">
        <v>27243</v>
      </c>
      <c r="EW119" s="73">
        <v>-326</v>
      </c>
      <c r="EX119" s="73">
        <v>28858</v>
      </c>
      <c r="EY119" s="73">
        <v>-1159</v>
      </c>
      <c r="EZ119" s="73">
        <v>30307</v>
      </c>
      <c r="FA119" s="73">
        <v>-537</v>
      </c>
      <c r="FB119" s="73">
        <v>32288</v>
      </c>
      <c r="FC119" s="73">
        <v>-138</v>
      </c>
      <c r="FD119" s="73">
        <v>34695</v>
      </c>
      <c r="FE119" s="73">
        <v>142</v>
      </c>
      <c r="FF119" s="73">
        <v>36184</v>
      </c>
      <c r="FG119" s="73">
        <v>2134</v>
      </c>
      <c r="FH119" s="73">
        <v>-347</v>
      </c>
      <c r="FI119" s="73">
        <v>1929</v>
      </c>
      <c r="FJ119" s="79">
        <v>7794</v>
      </c>
      <c r="FK119" s="80">
        <v>23025</v>
      </c>
      <c r="FL119" s="80">
        <v>12117</v>
      </c>
      <c r="FM119" s="80">
        <v>5603</v>
      </c>
      <c r="FN119" s="76">
        <v>96</v>
      </c>
      <c r="FO119" s="80">
        <v>21498</v>
      </c>
      <c r="FP119" s="80">
        <v>901</v>
      </c>
      <c r="FQ119" s="80">
        <v>626</v>
      </c>
      <c r="FR119" s="80">
        <v>3697</v>
      </c>
      <c r="FS119" s="81">
        <v>-1873</v>
      </c>
      <c r="FT119" s="76">
        <v>1443</v>
      </c>
      <c r="FU119" s="76">
        <v>6946</v>
      </c>
      <c r="FV119" s="76">
        <v>1873</v>
      </c>
      <c r="FW119" s="80">
        <v>36966</v>
      </c>
      <c r="FX119" s="80">
        <v>2398</v>
      </c>
      <c r="FY119" s="73">
        <v>7870</v>
      </c>
      <c r="FZ119" s="73">
        <v>22975</v>
      </c>
      <c r="GA119" s="73">
        <v>12512</v>
      </c>
      <c r="GB119" s="73">
        <v>5958</v>
      </c>
      <c r="GC119" s="73">
        <v>80</v>
      </c>
      <c r="GD119" s="73">
        <v>21166</v>
      </c>
      <c r="GE119" s="73">
        <v>1060</v>
      </c>
      <c r="GF119" s="73">
        <v>749</v>
      </c>
      <c r="GG119" s="73">
        <v>1844</v>
      </c>
      <c r="GH119" s="73">
        <v>-1303</v>
      </c>
      <c r="GI119" s="73">
        <v>1412</v>
      </c>
      <c r="GJ119" s="73">
        <v>5890</v>
      </c>
      <c r="GK119" s="73">
        <v>1303</v>
      </c>
      <c r="GL119" s="73">
        <v>39545</v>
      </c>
      <c r="GM119" s="73">
        <v>546</v>
      </c>
      <c r="GN119" s="73">
        <v>4873</v>
      </c>
      <c r="GO119" s="77">
        <v>19.5</v>
      </c>
      <c r="GP119" s="78">
        <v>7933</v>
      </c>
      <c r="GQ119" s="73">
        <v>23689</v>
      </c>
      <c r="GR119" s="65">
        <v>13057</v>
      </c>
      <c r="GS119" s="65">
        <v>6210</v>
      </c>
      <c r="GT119" s="65">
        <v>186</v>
      </c>
      <c r="GU119" s="65">
        <v>21592</v>
      </c>
      <c r="GV119" s="65">
        <v>1316</v>
      </c>
      <c r="GW119" s="65">
        <v>781</v>
      </c>
      <c r="GX119" s="65">
        <v>17</v>
      </c>
      <c r="GY119" s="65">
        <v>-3486</v>
      </c>
      <c r="GZ119" s="65">
        <v>1429</v>
      </c>
      <c r="HA119" s="65">
        <v>7264</v>
      </c>
      <c r="HB119" s="65">
        <v>3486</v>
      </c>
      <c r="HC119" s="65">
        <v>42993</v>
      </c>
      <c r="HD119" s="65">
        <v>-1410</v>
      </c>
      <c r="HE119" s="78">
        <v>7993</v>
      </c>
      <c r="HF119" s="73">
        <v>25801</v>
      </c>
      <c r="HG119" s="65">
        <v>14013</v>
      </c>
      <c r="HH119" s="65">
        <v>6581</v>
      </c>
      <c r="HI119" s="65">
        <v>82</v>
      </c>
      <c r="HJ119" s="65">
        <v>23625</v>
      </c>
      <c r="HK119" s="65">
        <v>1008</v>
      </c>
      <c r="HL119" s="65">
        <v>1168</v>
      </c>
      <c r="HM119" s="65">
        <v>624</v>
      </c>
      <c r="HN119" s="65">
        <v>-3247</v>
      </c>
      <c r="HO119" s="65">
        <v>1502</v>
      </c>
      <c r="HP119" s="65">
        <v>8998</v>
      </c>
      <c r="HQ119" s="65">
        <v>3247</v>
      </c>
      <c r="HR119" s="65">
        <v>45726</v>
      </c>
      <c r="HS119" s="65">
        <v>-775</v>
      </c>
      <c r="HT119" s="65">
        <v>2580</v>
      </c>
      <c r="HU119" s="77">
        <v>19.75</v>
      </c>
      <c r="HV119" s="180">
        <v>230</v>
      </c>
      <c r="HW119" s="30" t="s">
        <v>756</v>
      </c>
    </row>
    <row r="120" spans="1:231" ht="15" x14ac:dyDescent="0.25">
      <c r="A120" s="27">
        <v>400</v>
      </c>
      <c r="B120" s="27" t="s">
        <v>248</v>
      </c>
      <c r="C120" s="27">
        <v>2</v>
      </c>
      <c r="D120" s="27" t="s">
        <v>122</v>
      </c>
      <c r="E120" s="27">
        <v>3</v>
      </c>
      <c r="F120" s="27" t="s">
        <v>743</v>
      </c>
      <c r="G120" s="29" t="s">
        <v>132</v>
      </c>
      <c r="H120" s="27" t="s">
        <v>99</v>
      </c>
      <c r="I120" s="31" t="s">
        <v>122</v>
      </c>
      <c r="J120" s="69">
        <v>8897</v>
      </c>
      <c r="K120" s="69">
        <v>8870</v>
      </c>
      <c r="L120" s="36">
        <v>8821</v>
      </c>
      <c r="M120" s="36">
        <v>8779</v>
      </c>
      <c r="N120" s="36">
        <v>8685</v>
      </c>
      <c r="O120" s="36">
        <v>8581</v>
      </c>
      <c r="P120" s="36">
        <v>8569</v>
      </c>
      <c r="Q120" s="36">
        <v>8569</v>
      </c>
      <c r="R120" s="69">
        <v>8526</v>
      </c>
      <c r="S120" s="69">
        <v>8484</v>
      </c>
      <c r="T120" s="71">
        <v>8470</v>
      </c>
      <c r="U120" s="36">
        <v>17537</v>
      </c>
      <c r="V120" s="36">
        <v>5967</v>
      </c>
      <c r="W120" s="36">
        <v>4401</v>
      </c>
      <c r="X120" s="36">
        <v>569.14794314575329</v>
      </c>
      <c r="Y120" s="36">
        <v>17480</v>
      </c>
      <c r="Z120" s="36">
        <v>6621</v>
      </c>
      <c r="AA120" s="36">
        <v>4514</v>
      </c>
      <c r="AB120" s="36">
        <v>504.56377938453306</v>
      </c>
      <c r="AC120" s="36">
        <v>18922</v>
      </c>
      <c r="AD120" s="36">
        <v>7171</v>
      </c>
      <c r="AE120" s="36">
        <v>4627</v>
      </c>
      <c r="AF120" s="36">
        <v>472.43988543038449</v>
      </c>
      <c r="AG120" s="36">
        <v>19149</v>
      </c>
      <c r="AH120" s="36">
        <v>7478</v>
      </c>
      <c r="AI120" s="36">
        <v>4870</v>
      </c>
      <c r="AJ120" s="36">
        <v>452.93008596084923</v>
      </c>
      <c r="AK120" s="36">
        <v>19756</v>
      </c>
      <c r="AL120" s="36">
        <v>9355</v>
      </c>
      <c r="AM120" s="36">
        <v>5207</v>
      </c>
      <c r="AN120" s="36">
        <v>322</v>
      </c>
      <c r="AO120" s="36">
        <v>19073</v>
      </c>
      <c r="AP120" s="36">
        <v>10068</v>
      </c>
      <c r="AQ120" s="36">
        <v>5313</v>
      </c>
      <c r="AR120" s="36">
        <v>502</v>
      </c>
      <c r="AS120" s="36">
        <v>18991</v>
      </c>
      <c r="AT120" s="36">
        <v>10345</v>
      </c>
      <c r="AU120" s="36">
        <v>4789</v>
      </c>
      <c r="AV120" s="36">
        <v>462</v>
      </c>
      <c r="AW120" s="36">
        <v>19344</v>
      </c>
      <c r="AX120" s="69">
        <v>10803</v>
      </c>
      <c r="AY120" s="36">
        <v>5225</v>
      </c>
      <c r="AZ120" s="36">
        <v>491</v>
      </c>
      <c r="BA120" s="36">
        <v>20044</v>
      </c>
      <c r="BB120" s="36">
        <v>11168</v>
      </c>
      <c r="BC120" s="36">
        <v>6001</v>
      </c>
      <c r="BD120" s="36">
        <v>958</v>
      </c>
      <c r="BE120" s="70">
        <v>22565</v>
      </c>
      <c r="BF120" s="70">
        <v>13119</v>
      </c>
      <c r="BG120" s="70">
        <v>6451</v>
      </c>
      <c r="BH120" s="70">
        <v>708</v>
      </c>
      <c r="BI120" s="36">
        <v>25039</v>
      </c>
      <c r="BJ120" s="36">
        <v>13909</v>
      </c>
      <c r="BK120" s="36">
        <v>6996</v>
      </c>
      <c r="BL120" s="36">
        <v>420</v>
      </c>
      <c r="BM120" s="36">
        <v>13494.390091712876</v>
      </c>
      <c r="BN120" s="36">
        <v>3627.4771979218699</v>
      </c>
      <c r="BO120" s="36">
        <v>415.0878025070092</v>
      </c>
      <c r="BP120" s="36">
        <v>13660.559763056848</v>
      </c>
      <c r="BQ120" s="36">
        <v>3304.3881911893072</v>
      </c>
      <c r="BR120" s="36">
        <v>514.82324289868529</v>
      </c>
      <c r="BS120" s="36">
        <v>14514.954429481324</v>
      </c>
      <c r="BT120" s="36">
        <v>3806.7655275298407</v>
      </c>
      <c r="BU120" s="36">
        <v>600.26270954113284</v>
      </c>
      <c r="BV120" s="36">
        <v>15839</v>
      </c>
      <c r="BW120" s="36">
        <v>2663</v>
      </c>
      <c r="BX120" s="36">
        <v>647</v>
      </c>
      <c r="BY120" s="36">
        <v>17498</v>
      </c>
      <c r="BZ120" s="36">
        <v>1591</v>
      </c>
      <c r="CA120" s="36">
        <v>667</v>
      </c>
      <c r="CB120" s="36">
        <v>17272</v>
      </c>
      <c r="CC120" s="36">
        <v>1040</v>
      </c>
      <c r="CD120" s="36">
        <v>761</v>
      </c>
      <c r="CE120" s="36">
        <v>16992</v>
      </c>
      <c r="CF120" s="36">
        <v>1259</v>
      </c>
      <c r="CG120" s="36">
        <v>740</v>
      </c>
      <c r="CH120" s="36">
        <v>16930</v>
      </c>
      <c r="CI120" s="36">
        <v>1576</v>
      </c>
      <c r="CJ120" s="70">
        <v>838</v>
      </c>
      <c r="CK120" s="70">
        <v>17479</v>
      </c>
      <c r="CL120" s="70">
        <v>1707</v>
      </c>
      <c r="CM120" s="36">
        <v>858</v>
      </c>
      <c r="CN120" s="36">
        <v>19332</v>
      </c>
      <c r="CO120" s="36">
        <v>2154</v>
      </c>
      <c r="CP120" s="36">
        <v>1079</v>
      </c>
      <c r="CQ120" s="36">
        <v>21623</v>
      </c>
      <c r="CR120" s="36">
        <v>2278</v>
      </c>
      <c r="CS120" s="36">
        <v>1138</v>
      </c>
      <c r="CT120" s="36">
        <v>-786.27855620756407</v>
      </c>
      <c r="CU120" s="36">
        <v>-1897.327998</v>
      </c>
      <c r="CV120" s="36">
        <v>1014.3413844893731</v>
      </c>
      <c r="CW120" s="36">
        <v>5775</v>
      </c>
      <c r="CX120" s="36">
        <v>-208.72121673873519</v>
      </c>
      <c r="CY120" s="36">
        <v>-1132.4093089999999</v>
      </c>
      <c r="CZ120" s="36">
        <v>1084.8121256767461</v>
      </c>
      <c r="DA120" s="36">
        <v>7996</v>
      </c>
      <c r="DB120" s="36">
        <v>1269.3142810050238</v>
      </c>
      <c r="DC120" s="36">
        <v>-1528.828252</v>
      </c>
      <c r="DD120" s="36">
        <v>1097.930783940744</v>
      </c>
      <c r="DE120" s="36">
        <v>7127</v>
      </c>
      <c r="DF120" s="36">
        <v>-90.821480289215955</v>
      </c>
      <c r="DG120" s="36">
        <v>-1479</v>
      </c>
      <c r="DH120" s="36">
        <v>1093.0533340733602</v>
      </c>
      <c r="DI120" s="36">
        <v>9631</v>
      </c>
      <c r="DJ120" s="36">
        <v>3081</v>
      </c>
      <c r="DK120" s="36">
        <v>-1051</v>
      </c>
      <c r="DL120" s="36">
        <v>1140</v>
      </c>
      <c r="DM120" s="36">
        <v>8199</v>
      </c>
      <c r="DN120" s="36">
        <v>1834</v>
      </c>
      <c r="DO120" s="69">
        <v>-1203</v>
      </c>
      <c r="DP120" s="36">
        <v>1232</v>
      </c>
      <c r="DQ120" s="36">
        <v>7356</v>
      </c>
      <c r="DR120" s="36">
        <v>174</v>
      </c>
      <c r="DS120" s="36">
        <v>-2871</v>
      </c>
      <c r="DT120" s="36">
        <v>1241</v>
      </c>
      <c r="DU120" s="36">
        <v>9578</v>
      </c>
      <c r="DV120" s="36">
        <v>-845</v>
      </c>
      <c r="DW120" s="71">
        <v>-361</v>
      </c>
      <c r="DX120" s="39">
        <v>1284</v>
      </c>
      <c r="DY120" s="71">
        <v>11340</v>
      </c>
      <c r="DZ120" s="70">
        <v>-174</v>
      </c>
      <c r="EA120" s="35">
        <v>-1823</v>
      </c>
      <c r="EB120" s="35">
        <v>1286</v>
      </c>
      <c r="EC120" s="38">
        <v>14383</v>
      </c>
      <c r="ED120" s="38">
        <v>2770</v>
      </c>
      <c r="EE120" s="38">
        <v>-527</v>
      </c>
      <c r="EF120" s="38">
        <v>1301</v>
      </c>
      <c r="EG120" s="73">
        <v>9610</v>
      </c>
      <c r="EH120" s="73">
        <v>4732</v>
      </c>
      <c r="EI120" s="73">
        <v>-2281</v>
      </c>
      <c r="EJ120" s="73">
        <v>1224</v>
      </c>
      <c r="EK120" s="73">
        <v>7406</v>
      </c>
      <c r="EL120" s="73">
        <v>27556.582623159811</v>
      </c>
      <c r="EM120" s="73">
        <v>-1657.1556394252682</v>
      </c>
      <c r="EN120" s="73">
        <v>27647.740479301952</v>
      </c>
      <c r="EO120" s="73">
        <v>-1073.7117225302864</v>
      </c>
      <c r="EP120" s="73">
        <v>28091.756605160343</v>
      </c>
      <c r="EQ120" s="73">
        <v>187.52953800458479</v>
      </c>
      <c r="ER120" s="73">
        <v>30069.478432421252</v>
      </c>
      <c r="ES120" s="73">
        <v>-1152.4236721142736</v>
      </c>
      <c r="ET120" s="73">
        <v>31134</v>
      </c>
      <c r="EU120" s="73">
        <v>2019</v>
      </c>
      <c r="EV120" s="73">
        <v>32585</v>
      </c>
      <c r="EW120" s="73">
        <v>343</v>
      </c>
      <c r="EX120" s="73">
        <v>33990</v>
      </c>
      <c r="EY120" s="73">
        <v>-932</v>
      </c>
      <c r="EZ120" s="73">
        <v>36220</v>
      </c>
      <c r="FA120" s="73">
        <v>-1926</v>
      </c>
      <c r="FB120" s="73">
        <v>37217</v>
      </c>
      <c r="FC120" s="73">
        <v>-818</v>
      </c>
      <c r="FD120" s="73">
        <v>39275</v>
      </c>
      <c r="FE120" s="73">
        <v>1796</v>
      </c>
      <c r="FF120" s="73">
        <v>41291</v>
      </c>
      <c r="FG120" s="73">
        <v>2851</v>
      </c>
      <c r="FH120" s="73">
        <v>219</v>
      </c>
      <c r="FI120" s="73">
        <v>3070</v>
      </c>
      <c r="FJ120" s="79">
        <v>8442</v>
      </c>
      <c r="FK120" s="80">
        <v>24341</v>
      </c>
      <c r="FL120" s="80">
        <v>15144</v>
      </c>
      <c r="FM120" s="80">
        <v>6818</v>
      </c>
      <c r="FN120" s="76">
        <v>224</v>
      </c>
      <c r="FO120" s="80">
        <v>21356</v>
      </c>
      <c r="FP120" s="80">
        <v>1711</v>
      </c>
      <c r="FQ120" s="80">
        <v>1274</v>
      </c>
      <c r="FR120" s="80">
        <v>2709</v>
      </c>
      <c r="FS120" s="81">
        <v>-2900</v>
      </c>
      <c r="FT120" s="76">
        <v>1335</v>
      </c>
      <c r="FU120" s="76">
        <v>6000</v>
      </c>
      <c r="FV120" s="76">
        <v>2900</v>
      </c>
      <c r="FW120" s="80">
        <v>43755</v>
      </c>
      <c r="FX120" s="80">
        <v>1043</v>
      </c>
      <c r="FY120" s="73">
        <v>8440</v>
      </c>
      <c r="FZ120" s="73">
        <v>24190</v>
      </c>
      <c r="GA120" s="73">
        <v>15878</v>
      </c>
      <c r="GB120" s="73">
        <v>8836</v>
      </c>
      <c r="GC120" s="73">
        <v>590</v>
      </c>
      <c r="GD120" s="73">
        <v>20720</v>
      </c>
      <c r="GE120" s="73">
        <v>2183</v>
      </c>
      <c r="GF120" s="73">
        <v>1287</v>
      </c>
      <c r="GG120" s="73">
        <v>1735</v>
      </c>
      <c r="GH120" s="73">
        <v>-2240</v>
      </c>
      <c r="GI120" s="73">
        <v>1598</v>
      </c>
      <c r="GJ120" s="73">
        <v>7815</v>
      </c>
      <c r="GK120" s="73">
        <v>2240</v>
      </c>
      <c r="GL120" s="73">
        <v>47299</v>
      </c>
      <c r="GM120" s="73">
        <v>558</v>
      </c>
      <c r="GN120" s="73">
        <v>4672</v>
      </c>
      <c r="GO120" s="77">
        <v>19.75</v>
      </c>
      <c r="GP120" s="78">
        <v>8408</v>
      </c>
      <c r="GQ120" s="73">
        <v>25183</v>
      </c>
      <c r="GR120" s="65">
        <v>17008</v>
      </c>
      <c r="GS120" s="65">
        <v>9645</v>
      </c>
      <c r="GT120" s="65">
        <v>405</v>
      </c>
      <c r="GU120" s="65">
        <v>21248</v>
      </c>
      <c r="GV120" s="65">
        <v>2618</v>
      </c>
      <c r="GW120" s="65">
        <v>1317</v>
      </c>
      <c r="GX120" s="65">
        <v>2365</v>
      </c>
      <c r="GY120" s="65">
        <v>-4474</v>
      </c>
      <c r="GZ120" s="65">
        <v>1704</v>
      </c>
      <c r="HA120" s="65">
        <v>8743</v>
      </c>
      <c r="HB120" s="65">
        <v>4474</v>
      </c>
      <c r="HC120" s="65">
        <v>49701</v>
      </c>
      <c r="HD120" s="65">
        <v>757</v>
      </c>
      <c r="HE120" s="78">
        <v>8460</v>
      </c>
      <c r="HF120" s="73">
        <v>26071</v>
      </c>
      <c r="HG120" s="65">
        <v>17948</v>
      </c>
      <c r="HH120" s="65">
        <v>9938</v>
      </c>
      <c r="HI120" s="65">
        <v>89</v>
      </c>
      <c r="HJ120" s="65">
        <v>22954</v>
      </c>
      <c r="HK120" s="65">
        <v>1707</v>
      </c>
      <c r="HL120" s="65">
        <v>1410</v>
      </c>
      <c r="HM120" s="65">
        <v>1265</v>
      </c>
      <c r="HN120" s="65">
        <v>-2820</v>
      </c>
      <c r="HO120" s="65">
        <v>1942</v>
      </c>
      <c r="HP120" s="65">
        <v>9921</v>
      </c>
      <c r="HQ120" s="65">
        <v>2820</v>
      </c>
      <c r="HR120" s="65">
        <v>52736</v>
      </c>
      <c r="HS120" s="65">
        <v>-528</v>
      </c>
      <c r="HT120" s="65">
        <v>4901</v>
      </c>
      <c r="HU120" s="77">
        <v>20.25</v>
      </c>
      <c r="HV120" s="180">
        <v>220</v>
      </c>
      <c r="HW120" s="30" t="s">
        <v>755</v>
      </c>
    </row>
    <row r="121" spans="1:231" ht="15" x14ac:dyDescent="0.25">
      <c r="A121" s="27">
        <v>407</v>
      </c>
      <c r="B121" s="27" t="s">
        <v>249</v>
      </c>
      <c r="C121" s="27">
        <v>1</v>
      </c>
      <c r="D121" s="27" t="s">
        <v>121</v>
      </c>
      <c r="E121" s="27">
        <v>2</v>
      </c>
      <c r="F121" s="27" t="s">
        <v>744</v>
      </c>
      <c r="G121" s="29" t="s">
        <v>130</v>
      </c>
      <c r="H121" s="27" t="s">
        <v>98</v>
      </c>
      <c r="I121" s="31" t="s">
        <v>121</v>
      </c>
      <c r="J121" s="69">
        <v>3074</v>
      </c>
      <c r="K121" s="69">
        <v>3058</v>
      </c>
      <c r="L121" s="36">
        <v>3011</v>
      </c>
      <c r="M121" s="36">
        <v>2995</v>
      </c>
      <c r="N121" s="36">
        <v>2981</v>
      </c>
      <c r="O121" s="36">
        <v>2977</v>
      </c>
      <c r="P121" s="36">
        <v>2979</v>
      </c>
      <c r="Q121" s="36">
        <v>2937</v>
      </c>
      <c r="R121" s="69">
        <v>2945</v>
      </c>
      <c r="S121" s="69">
        <v>2929</v>
      </c>
      <c r="T121" s="71">
        <v>2934</v>
      </c>
      <c r="U121" s="36">
        <v>6400</v>
      </c>
      <c r="V121" s="36">
        <v>3393</v>
      </c>
      <c r="W121" s="36">
        <v>3322</v>
      </c>
      <c r="X121" s="36">
        <v>163.98322829997326</v>
      </c>
      <c r="Y121" s="36">
        <v>5802</v>
      </c>
      <c r="Z121" s="36">
        <v>3296</v>
      </c>
      <c r="AA121" s="36">
        <v>3414</v>
      </c>
      <c r="AB121" s="36">
        <v>205.18927028304344</v>
      </c>
      <c r="AC121" s="36">
        <v>6076</v>
      </c>
      <c r="AD121" s="36">
        <v>3597</v>
      </c>
      <c r="AE121" s="36">
        <v>3680</v>
      </c>
      <c r="AF121" s="36">
        <v>161.46040940305059</v>
      </c>
      <c r="AG121" s="36">
        <v>6005</v>
      </c>
      <c r="AH121" s="36">
        <v>4296</v>
      </c>
      <c r="AI121" s="36">
        <v>4075</v>
      </c>
      <c r="AJ121" s="36">
        <v>82.748459819063427</v>
      </c>
      <c r="AK121" s="36">
        <v>5776</v>
      </c>
      <c r="AL121" s="36">
        <v>4889</v>
      </c>
      <c r="AM121" s="36">
        <v>4286</v>
      </c>
      <c r="AN121" s="36">
        <v>144</v>
      </c>
      <c r="AO121" s="36">
        <v>5845</v>
      </c>
      <c r="AP121" s="36">
        <v>5793</v>
      </c>
      <c r="AQ121" s="36">
        <v>4277</v>
      </c>
      <c r="AR121" s="36">
        <v>101</v>
      </c>
      <c r="AS121" s="36">
        <v>5735</v>
      </c>
      <c r="AT121" s="36">
        <v>5825</v>
      </c>
      <c r="AU121" s="36">
        <v>4303</v>
      </c>
      <c r="AV121" s="36">
        <v>482</v>
      </c>
      <c r="AW121" s="36">
        <v>5996</v>
      </c>
      <c r="AX121" s="69">
        <v>6177</v>
      </c>
      <c r="AY121" s="36">
        <v>4417</v>
      </c>
      <c r="AZ121" s="36">
        <v>568</v>
      </c>
      <c r="BA121" s="36">
        <v>6188</v>
      </c>
      <c r="BB121" s="36">
        <v>6251</v>
      </c>
      <c r="BC121" s="36">
        <v>4884</v>
      </c>
      <c r="BD121" s="36">
        <v>515</v>
      </c>
      <c r="BE121" s="70">
        <v>6800</v>
      </c>
      <c r="BF121" s="70">
        <v>6448</v>
      </c>
      <c r="BG121" s="70">
        <v>4777</v>
      </c>
      <c r="BH121" s="70">
        <v>603</v>
      </c>
      <c r="BI121" s="36">
        <v>7223</v>
      </c>
      <c r="BJ121" s="36">
        <v>6975</v>
      </c>
      <c r="BK121" s="36">
        <v>4699</v>
      </c>
      <c r="BL121" s="36">
        <v>490</v>
      </c>
      <c r="BM121" s="36">
        <v>4283.5782990482248</v>
      </c>
      <c r="BN121" s="36">
        <v>1971.667061908294</v>
      </c>
      <c r="BO121" s="36">
        <v>144.64161675689948</v>
      </c>
      <c r="BP121" s="36">
        <v>4215.6303767577738</v>
      </c>
      <c r="BQ121" s="36">
        <v>1439.856838436996</v>
      </c>
      <c r="BR121" s="36">
        <v>146.99624772736064</v>
      </c>
      <c r="BS121" s="36">
        <v>4205.3709132436215</v>
      </c>
      <c r="BT121" s="36">
        <v>1733.5129580387938</v>
      </c>
      <c r="BU121" s="36">
        <v>137.57772384551603</v>
      </c>
      <c r="BV121" s="36">
        <v>4898</v>
      </c>
      <c r="BW121" s="36">
        <v>948</v>
      </c>
      <c r="BX121" s="36">
        <v>159</v>
      </c>
      <c r="BY121" s="36">
        <v>5273</v>
      </c>
      <c r="BZ121" s="36">
        <v>331</v>
      </c>
      <c r="CA121" s="36">
        <v>172</v>
      </c>
      <c r="CB121" s="36">
        <v>5403</v>
      </c>
      <c r="CC121" s="36">
        <v>214</v>
      </c>
      <c r="CD121" s="36">
        <v>228</v>
      </c>
      <c r="CE121" s="36">
        <v>5234</v>
      </c>
      <c r="CF121" s="36">
        <v>276</v>
      </c>
      <c r="CG121" s="36">
        <v>225</v>
      </c>
      <c r="CH121" s="36">
        <v>5436</v>
      </c>
      <c r="CI121" s="36">
        <v>328</v>
      </c>
      <c r="CJ121" s="70">
        <v>232</v>
      </c>
      <c r="CK121" s="70">
        <v>5566</v>
      </c>
      <c r="CL121" s="70">
        <v>385</v>
      </c>
      <c r="CM121" s="36">
        <v>237</v>
      </c>
      <c r="CN121" s="36">
        <v>6078</v>
      </c>
      <c r="CO121" s="36">
        <v>472</v>
      </c>
      <c r="CP121" s="36">
        <v>250</v>
      </c>
      <c r="CQ121" s="36">
        <v>6488</v>
      </c>
      <c r="CR121" s="36">
        <v>474</v>
      </c>
      <c r="CS121" s="36">
        <v>261</v>
      </c>
      <c r="CT121" s="36">
        <v>1042.5969561349068</v>
      </c>
      <c r="CU121" s="36">
        <v>-360.93129019999998</v>
      </c>
      <c r="CV121" s="36">
        <v>310.81128810087239</v>
      </c>
      <c r="CW121" s="36">
        <v>639</v>
      </c>
      <c r="CX121" s="36">
        <v>60.547653526143961</v>
      </c>
      <c r="CY121" s="36">
        <v>-869.86795570000004</v>
      </c>
      <c r="CZ121" s="36">
        <v>331.16202720271519</v>
      </c>
      <c r="DA121" s="36">
        <v>782</v>
      </c>
      <c r="DB121" s="36">
        <v>-218.47611647350286</v>
      </c>
      <c r="DC121" s="36">
        <v>-844.30339079999999</v>
      </c>
      <c r="DD121" s="36">
        <v>354.87652483378827</v>
      </c>
      <c r="DE121" s="36">
        <v>1126</v>
      </c>
      <c r="DF121" s="36">
        <v>-524.24176678052993</v>
      </c>
      <c r="DG121" s="36">
        <v>-401</v>
      </c>
      <c r="DH121" s="36">
        <v>318.04336893871738</v>
      </c>
      <c r="DI121" s="36">
        <v>1710</v>
      </c>
      <c r="DJ121" s="36">
        <v>828</v>
      </c>
      <c r="DK121" s="36">
        <v>251</v>
      </c>
      <c r="DL121" s="36">
        <v>321</v>
      </c>
      <c r="DM121" s="36">
        <v>1458</v>
      </c>
      <c r="DN121" s="36">
        <v>1097</v>
      </c>
      <c r="DO121" s="69">
        <v>-149</v>
      </c>
      <c r="DP121" s="36">
        <v>323</v>
      </c>
      <c r="DQ121" s="36">
        <v>1264</v>
      </c>
      <c r="DR121" s="36">
        <v>497</v>
      </c>
      <c r="DS121" s="36">
        <v>-628</v>
      </c>
      <c r="DT121" s="36">
        <v>302</v>
      </c>
      <c r="DU121" s="36">
        <v>1079</v>
      </c>
      <c r="DV121" s="36">
        <v>670</v>
      </c>
      <c r="DW121" s="71">
        <v>-1079</v>
      </c>
      <c r="DX121" s="39">
        <v>335</v>
      </c>
      <c r="DY121" s="71">
        <v>1458</v>
      </c>
      <c r="DZ121" s="70">
        <v>646</v>
      </c>
      <c r="EA121" s="35">
        <v>-276</v>
      </c>
      <c r="EB121" s="35">
        <v>345</v>
      </c>
      <c r="EC121" s="38">
        <v>1264</v>
      </c>
      <c r="ED121" s="38">
        <v>403</v>
      </c>
      <c r="EE121" s="38">
        <v>-978</v>
      </c>
      <c r="EF121" s="38">
        <v>358</v>
      </c>
      <c r="EG121" s="73">
        <v>1369</v>
      </c>
      <c r="EH121" s="73">
        <v>489</v>
      </c>
      <c r="EI121" s="73">
        <v>-993</v>
      </c>
      <c r="EJ121" s="73">
        <v>374</v>
      </c>
      <c r="EK121" s="73">
        <v>1144</v>
      </c>
      <c r="EL121" s="73">
        <v>11692.256459677785</v>
      </c>
      <c r="EM121" s="73">
        <v>267.08242722087954</v>
      </c>
      <c r="EN121" s="73">
        <v>12146.532049050327</v>
      </c>
      <c r="EO121" s="73">
        <v>-97.380809421214892</v>
      </c>
      <c r="EP121" s="73">
        <v>13170.628333274468</v>
      </c>
      <c r="EQ121" s="73">
        <v>-520.70982032483812</v>
      </c>
      <c r="ER121" s="73">
        <v>14372.499255768424</v>
      </c>
      <c r="ES121" s="73">
        <v>-576.88458776298285</v>
      </c>
      <c r="ET121" s="73">
        <v>14188</v>
      </c>
      <c r="EU121" s="73">
        <v>644</v>
      </c>
      <c r="EV121" s="73">
        <v>14871</v>
      </c>
      <c r="EW121" s="73">
        <v>564</v>
      </c>
      <c r="EX121" s="73">
        <v>15803</v>
      </c>
      <c r="EY121" s="73">
        <v>174</v>
      </c>
      <c r="EZ121" s="73">
        <v>16459</v>
      </c>
      <c r="FA121" s="73">
        <v>186</v>
      </c>
      <c r="FB121" s="73">
        <v>17186</v>
      </c>
      <c r="FC121" s="73">
        <v>0</v>
      </c>
      <c r="FD121" s="73">
        <v>18142</v>
      </c>
      <c r="FE121" s="73">
        <v>96</v>
      </c>
      <c r="FF121" s="73">
        <v>18867</v>
      </c>
      <c r="FG121" s="73">
        <v>53</v>
      </c>
      <c r="FH121" s="73">
        <v>1403</v>
      </c>
      <c r="FI121" s="73">
        <v>1455</v>
      </c>
      <c r="FJ121" s="79">
        <v>2926</v>
      </c>
      <c r="FK121" s="80">
        <v>7315</v>
      </c>
      <c r="FL121" s="80">
        <v>7513</v>
      </c>
      <c r="FM121" s="80">
        <v>4778</v>
      </c>
      <c r="FN121" s="76">
        <v>507</v>
      </c>
      <c r="FO121" s="80">
        <v>6705</v>
      </c>
      <c r="FP121" s="80">
        <v>333</v>
      </c>
      <c r="FQ121" s="80">
        <v>277</v>
      </c>
      <c r="FR121" s="80">
        <v>599</v>
      </c>
      <c r="FS121" s="81">
        <v>-1295</v>
      </c>
      <c r="FT121" s="76">
        <v>413</v>
      </c>
      <c r="FU121" s="76">
        <v>2142</v>
      </c>
      <c r="FV121" s="76">
        <v>1295</v>
      </c>
      <c r="FW121" s="80">
        <v>19462</v>
      </c>
      <c r="FX121" s="80">
        <v>138</v>
      </c>
      <c r="FY121" s="73">
        <v>2872</v>
      </c>
      <c r="FZ121" s="73">
        <v>7204</v>
      </c>
      <c r="GA121" s="73">
        <v>6931</v>
      </c>
      <c r="GB121" s="73">
        <v>6303</v>
      </c>
      <c r="GC121" s="73">
        <v>738</v>
      </c>
      <c r="GD121" s="73">
        <v>6514</v>
      </c>
      <c r="GE121" s="73">
        <v>405</v>
      </c>
      <c r="GF121" s="73">
        <v>285</v>
      </c>
      <c r="GG121" s="73">
        <v>-92</v>
      </c>
      <c r="GH121" s="73">
        <v>-511</v>
      </c>
      <c r="GI121" s="73">
        <v>437</v>
      </c>
      <c r="GJ121" s="73">
        <v>2260</v>
      </c>
      <c r="GK121" s="73">
        <v>511</v>
      </c>
      <c r="GL121" s="73">
        <v>21203</v>
      </c>
      <c r="GM121" s="73">
        <v>-516</v>
      </c>
      <c r="GN121" s="73">
        <v>1078</v>
      </c>
      <c r="GO121" s="77">
        <v>19</v>
      </c>
      <c r="GP121" s="78">
        <v>2848</v>
      </c>
      <c r="GQ121" s="73">
        <v>7544</v>
      </c>
      <c r="GR121" s="65">
        <v>6836</v>
      </c>
      <c r="GS121" s="65">
        <v>6505</v>
      </c>
      <c r="GT121" s="65">
        <v>744</v>
      </c>
      <c r="GU121" s="65">
        <v>6762</v>
      </c>
      <c r="GV121" s="65">
        <v>488</v>
      </c>
      <c r="GW121" s="65">
        <v>294</v>
      </c>
      <c r="GX121" s="65">
        <v>-176</v>
      </c>
      <c r="GY121" s="65">
        <v>-1708</v>
      </c>
      <c r="GZ121" s="65">
        <v>472</v>
      </c>
      <c r="HA121" s="65">
        <v>4598</v>
      </c>
      <c r="HB121" s="65">
        <v>1708</v>
      </c>
      <c r="HC121" s="65">
        <v>21697</v>
      </c>
      <c r="HD121" s="65">
        <v>90</v>
      </c>
      <c r="HE121" s="78">
        <v>2829</v>
      </c>
      <c r="HF121" s="73">
        <v>8264</v>
      </c>
      <c r="HG121" s="65">
        <v>6850</v>
      </c>
      <c r="HH121" s="65">
        <v>6912</v>
      </c>
      <c r="HI121" s="65">
        <v>740</v>
      </c>
      <c r="HJ121" s="65">
        <v>7478</v>
      </c>
      <c r="HK121" s="65">
        <v>325</v>
      </c>
      <c r="HL121" s="65">
        <v>461</v>
      </c>
      <c r="HM121" s="65">
        <v>1328</v>
      </c>
      <c r="HN121" s="65">
        <v>-1679</v>
      </c>
      <c r="HO121" s="65">
        <v>506</v>
      </c>
      <c r="HP121" s="65">
        <v>5092</v>
      </c>
      <c r="HQ121" s="65">
        <v>1679</v>
      </c>
      <c r="HR121" s="65">
        <v>21313</v>
      </c>
      <c r="HS121" s="65">
        <v>1218</v>
      </c>
      <c r="HT121" s="65">
        <v>2185</v>
      </c>
      <c r="HU121" s="77">
        <v>20.5</v>
      </c>
      <c r="HV121" s="180">
        <v>340</v>
      </c>
      <c r="HW121" s="30" t="s">
        <v>761</v>
      </c>
    </row>
    <row r="122" spans="1:231" ht="15" x14ac:dyDescent="0.25">
      <c r="A122" s="27">
        <v>402</v>
      </c>
      <c r="B122" s="27" t="s">
        <v>250</v>
      </c>
      <c r="C122" s="27">
        <v>11</v>
      </c>
      <c r="D122" s="27" t="s">
        <v>118</v>
      </c>
      <c r="E122" s="27">
        <v>3</v>
      </c>
      <c r="F122" s="27" t="s">
        <v>743</v>
      </c>
      <c r="G122" s="29" t="s">
        <v>130</v>
      </c>
      <c r="H122" s="27" t="s">
        <v>98</v>
      </c>
      <c r="I122" s="31" t="s">
        <v>118</v>
      </c>
      <c r="J122" s="36">
        <v>11222</v>
      </c>
      <c r="K122" s="36">
        <v>11153</v>
      </c>
      <c r="L122" s="36">
        <v>11082</v>
      </c>
      <c r="M122" s="36">
        <v>10953</v>
      </c>
      <c r="N122" s="36">
        <v>10804</v>
      </c>
      <c r="O122" s="36">
        <v>10748</v>
      </c>
      <c r="P122" s="36">
        <v>10683</v>
      </c>
      <c r="Q122" s="36">
        <v>10581</v>
      </c>
      <c r="R122" s="36">
        <v>10618</v>
      </c>
      <c r="S122" s="36">
        <v>10542</v>
      </c>
      <c r="T122" s="70">
        <v>10555</v>
      </c>
      <c r="U122" s="36">
        <v>17555</v>
      </c>
      <c r="V122" s="36">
        <v>13470</v>
      </c>
      <c r="W122" s="36">
        <v>8214</v>
      </c>
      <c r="X122" s="36">
        <v>468.9079389746928</v>
      </c>
      <c r="Y122" s="36">
        <v>17727</v>
      </c>
      <c r="Z122" s="36">
        <v>13719</v>
      </c>
      <c r="AA122" s="36">
        <v>8853</v>
      </c>
      <c r="AB122" s="36">
        <v>990.12232307891543</v>
      </c>
      <c r="AC122" s="36">
        <v>17777</v>
      </c>
      <c r="AD122" s="36">
        <v>14691</v>
      </c>
      <c r="AE122" s="36">
        <v>9534</v>
      </c>
      <c r="AF122" s="36">
        <v>625.99546228974407</v>
      </c>
      <c r="AG122" s="36">
        <v>18906</v>
      </c>
      <c r="AH122" s="36">
        <v>16301</v>
      </c>
      <c r="AI122" s="36">
        <v>9908</v>
      </c>
      <c r="AJ122" s="36">
        <v>1148.7235377321203</v>
      </c>
      <c r="AK122" s="36">
        <v>19470</v>
      </c>
      <c r="AL122" s="36">
        <v>17964</v>
      </c>
      <c r="AM122" s="36">
        <v>10655</v>
      </c>
      <c r="AN122" s="36">
        <v>466</v>
      </c>
      <c r="AO122" s="36">
        <v>18055</v>
      </c>
      <c r="AP122" s="36">
        <v>18729</v>
      </c>
      <c r="AQ122" s="36">
        <v>11289</v>
      </c>
      <c r="AR122" s="36">
        <v>419</v>
      </c>
      <c r="AS122" s="36">
        <v>18976</v>
      </c>
      <c r="AT122" s="36">
        <v>19278</v>
      </c>
      <c r="AU122" s="36">
        <v>11336</v>
      </c>
      <c r="AV122" s="36">
        <v>651</v>
      </c>
      <c r="AW122" s="36">
        <v>20632</v>
      </c>
      <c r="AX122" s="36">
        <v>19865</v>
      </c>
      <c r="AY122" s="36">
        <v>12506</v>
      </c>
      <c r="AZ122" s="36">
        <v>1143</v>
      </c>
      <c r="BA122" s="36">
        <v>21336</v>
      </c>
      <c r="BB122" s="36">
        <v>21027</v>
      </c>
      <c r="BC122" s="36">
        <v>15015</v>
      </c>
      <c r="BD122" s="36">
        <v>492</v>
      </c>
      <c r="BE122" s="70">
        <v>23195</v>
      </c>
      <c r="BF122" s="70">
        <v>21730</v>
      </c>
      <c r="BG122" s="70">
        <v>15635</v>
      </c>
      <c r="BH122" s="70">
        <v>498</v>
      </c>
      <c r="BI122" s="36">
        <v>25093</v>
      </c>
      <c r="BJ122" s="36">
        <v>24195</v>
      </c>
      <c r="BK122" s="36">
        <v>16101</v>
      </c>
      <c r="BL122" s="36">
        <v>1063</v>
      </c>
      <c r="BM122" s="36">
        <v>13562.842577782711</v>
      </c>
      <c r="BN122" s="36">
        <v>3307.4155738656145</v>
      </c>
      <c r="BO122" s="36">
        <v>672.41532999312108</v>
      </c>
      <c r="BP122" s="36">
        <v>13611.785264383012</v>
      </c>
      <c r="BQ122" s="36">
        <v>3323.0570510265347</v>
      </c>
      <c r="BR122" s="36">
        <v>780.56016670787267</v>
      </c>
      <c r="BS122" s="36">
        <v>13834.970642797436</v>
      </c>
      <c r="BT122" s="36">
        <v>3152.3463056681012</v>
      </c>
      <c r="BU122" s="36">
        <v>778.54191159033462</v>
      </c>
      <c r="BV122" s="36">
        <v>15908</v>
      </c>
      <c r="BW122" s="36">
        <v>2162</v>
      </c>
      <c r="BX122" s="36">
        <v>825</v>
      </c>
      <c r="BY122" s="36">
        <v>16863</v>
      </c>
      <c r="BZ122" s="36">
        <v>1743</v>
      </c>
      <c r="CA122" s="36">
        <v>852</v>
      </c>
      <c r="CB122" s="36">
        <v>16272</v>
      </c>
      <c r="CC122" s="36">
        <v>929</v>
      </c>
      <c r="CD122" s="36">
        <v>842</v>
      </c>
      <c r="CE122" s="36">
        <v>16809</v>
      </c>
      <c r="CF122" s="36">
        <v>1302</v>
      </c>
      <c r="CG122" s="36">
        <v>854</v>
      </c>
      <c r="CH122" s="36">
        <v>17869</v>
      </c>
      <c r="CI122" s="36">
        <v>1768</v>
      </c>
      <c r="CJ122" s="70">
        <v>984</v>
      </c>
      <c r="CK122" s="70">
        <v>18261</v>
      </c>
      <c r="CL122" s="70">
        <v>2131</v>
      </c>
      <c r="CM122" s="36">
        <v>934</v>
      </c>
      <c r="CN122" s="36">
        <v>19642</v>
      </c>
      <c r="CO122" s="36">
        <v>2475</v>
      </c>
      <c r="CP122" s="36">
        <v>1069</v>
      </c>
      <c r="CQ122" s="36">
        <v>21729</v>
      </c>
      <c r="CR122" s="36">
        <v>2239</v>
      </c>
      <c r="CS122" s="36">
        <v>1125</v>
      </c>
      <c r="CT122" s="36">
        <v>1740.9132268031008</v>
      </c>
      <c r="CU122" s="36">
        <v>-4174.9288990000005</v>
      </c>
      <c r="CV122" s="36">
        <v>1697.8571176289538</v>
      </c>
      <c r="CW122" s="36">
        <v>7855</v>
      </c>
      <c r="CX122" s="36">
        <v>1770.1779260074036</v>
      </c>
      <c r="CY122" s="36">
        <v>1280.2464961999999</v>
      </c>
      <c r="CZ122" s="36">
        <v>1907.7556498529198</v>
      </c>
      <c r="DA122" s="36">
        <v>8660</v>
      </c>
      <c r="DB122" s="36">
        <v>1741.4177905824852</v>
      </c>
      <c r="DC122" s="36">
        <v>-3660.6102190000001</v>
      </c>
      <c r="DD122" s="36">
        <v>1992.0178010101367</v>
      </c>
      <c r="DE122" s="36">
        <v>8460</v>
      </c>
      <c r="DF122" s="36">
        <v>3433.8928945646708</v>
      </c>
      <c r="DG122" s="36">
        <v>-3466</v>
      </c>
      <c r="DH122" s="36">
        <v>2076.4481400938153</v>
      </c>
      <c r="DI122" s="36">
        <v>8538</v>
      </c>
      <c r="DJ122" s="36">
        <v>3806</v>
      </c>
      <c r="DK122" s="36">
        <v>-2837</v>
      </c>
      <c r="DL122" s="36">
        <v>2166</v>
      </c>
      <c r="DM122" s="36">
        <v>9550</v>
      </c>
      <c r="DN122" s="36">
        <v>1429</v>
      </c>
      <c r="DO122" s="36">
        <v>-5543</v>
      </c>
      <c r="DP122" s="36">
        <v>2241</v>
      </c>
      <c r="DQ122" s="36">
        <v>14013</v>
      </c>
      <c r="DR122" s="36">
        <v>869</v>
      </c>
      <c r="DS122" s="36">
        <v>-3848</v>
      </c>
      <c r="DT122" s="36">
        <v>2260</v>
      </c>
      <c r="DU122" s="36">
        <v>17353</v>
      </c>
      <c r="DV122" s="36">
        <v>2689</v>
      </c>
      <c r="DW122" s="71">
        <v>-1846</v>
      </c>
      <c r="DX122" s="39">
        <v>2550</v>
      </c>
      <c r="DY122" s="71">
        <v>12887</v>
      </c>
      <c r="DZ122" s="70">
        <v>2639</v>
      </c>
      <c r="EA122" s="35">
        <v>-4487</v>
      </c>
      <c r="EB122" s="35">
        <v>2737</v>
      </c>
      <c r="EC122" s="38">
        <v>14543</v>
      </c>
      <c r="ED122" s="38">
        <v>3388</v>
      </c>
      <c r="EE122" s="38">
        <v>-1941</v>
      </c>
      <c r="EF122" s="38">
        <v>2454</v>
      </c>
      <c r="EG122" s="73">
        <v>13434</v>
      </c>
      <c r="EH122" s="73">
        <v>5931</v>
      </c>
      <c r="EI122" s="73">
        <v>-2783</v>
      </c>
      <c r="EJ122" s="73">
        <v>2342</v>
      </c>
      <c r="EK122" s="73">
        <v>12469</v>
      </c>
      <c r="EL122" s="73">
        <v>35906.440420267987</v>
      </c>
      <c r="EM122" s="73">
        <v>53.651948541221998</v>
      </c>
      <c r="EN122" s="73">
        <v>37484.547734256346</v>
      </c>
      <c r="EO122" s="73">
        <v>27.582819939687809</v>
      </c>
      <c r="EP122" s="73">
        <v>38665.058790089694</v>
      </c>
      <c r="EQ122" s="73">
        <v>-250.60001042765145</v>
      </c>
      <c r="ER122" s="73">
        <v>40510.753095078318</v>
      </c>
      <c r="ES122" s="73">
        <v>1475.3444909203747</v>
      </c>
      <c r="ET122" s="73">
        <v>44249</v>
      </c>
      <c r="EU122" s="73">
        <v>2235</v>
      </c>
      <c r="EV122" s="73">
        <v>46723</v>
      </c>
      <c r="EW122" s="73">
        <v>-754</v>
      </c>
      <c r="EX122" s="73">
        <v>48423</v>
      </c>
      <c r="EY122" s="73">
        <v>-1220</v>
      </c>
      <c r="EZ122" s="73">
        <v>51108</v>
      </c>
      <c r="FA122" s="73">
        <v>197</v>
      </c>
      <c r="FB122" s="73">
        <v>54875</v>
      </c>
      <c r="FC122" s="73">
        <v>-39</v>
      </c>
      <c r="FD122" s="73">
        <v>57015</v>
      </c>
      <c r="FE122" s="73">
        <v>992</v>
      </c>
      <c r="FF122" s="73">
        <v>60125</v>
      </c>
      <c r="FG122" s="73">
        <v>3647</v>
      </c>
      <c r="FH122" s="73">
        <v>4141</v>
      </c>
      <c r="FI122" s="73">
        <v>7788</v>
      </c>
      <c r="FJ122" s="79">
        <v>10477</v>
      </c>
      <c r="FK122" s="80">
        <v>24601</v>
      </c>
      <c r="FL122" s="80">
        <v>25608</v>
      </c>
      <c r="FM122" s="80">
        <v>16409</v>
      </c>
      <c r="FN122" s="76">
        <v>986</v>
      </c>
      <c r="FO122" s="80">
        <v>21920</v>
      </c>
      <c r="FP122" s="80">
        <v>1504</v>
      </c>
      <c r="FQ122" s="80">
        <v>1177</v>
      </c>
      <c r="FR122" s="80">
        <v>2894</v>
      </c>
      <c r="FS122" s="81">
        <v>-6073</v>
      </c>
      <c r="FT122" s="76">
        <v>2443</v>
      </c>
      <c r="FU122" s="76">
        <v>15204</v>
      </c>
      <c r="FV122" s="76">
        <v>6073</v>
      </c>
      <c r="FW122" s="80">
        <v>64515</v>
      </c>
      <c r="FX122" s="80">
        <v>509</v>
      </c>
      <c r="FY122" s="73">
        <v>10412</v>
      </c>
      <c r="FZ122" s="73">
        <v>24382</v>
      </c>
      <c r="GA122" s="73">
        <v>27251</v>
      </c>
      <c r="GB122" s="73">
        <v>17962</v>
      </c>
      <c r="GC122" s="73">
        <v>758</v>
      </c>
      <c r="GD122" s="73">
        <v>21339</v>
      </c>
      <c r="GE122" s="73">
        <v>1798</v>
      </c>
      <c r="GF122" s="73">
        <v>1245</v>
      </c>
      <c r="GG122" s="73">
        <v>3012</v>
      </c>
      <c r="GH122" s="73">
        <v>-7420</v>
      </c>
      <c r="GI122" s="73">
        <v>2678</v>
      </c>
      <c r="GJ122" s="73">
        <v>16692</v>
      </c>
      <c r="GK122" s="73">
        <v>7420</v>
      </c>
      <c r="GL122" s="73">
        <v>67199</v>
      </c>
      <c r="GM122" s="73">
        <v>393</v>
      </c>
      <c r="GN122" s="73">
        <v>8690</v>
      </c>
      <c r="GO122" s="77">
        <v>18.5</v>
      </c>
      <c r="GP122" s="78">
        <v>10386</v>
      </c>
      <c r="GQ122" s="73">
        <v>25209</v>
      </c>
      <c r="GR122" s="65">
        <v>28468</v>
      </c>
      <c r="GS122" s="65">
        <v>12681</v>
      </c>
      <c r="GT122" s="65">
        <v>838</v>
      </c>
      <c r="GU122" s="65">
        <v>22090</v>
      </c>
      <c r="GV122" s="65">
        <v>1792</v>
      </c>
      <c r="GW122" s="65">
        <v>1327</v>
      </c>
      <c r="GX122" s="65">
        <v>3118</v>
      </c>
      <c r="GY122" s="65">
        <v>-6401</v>
      </c>
      <c r="GZ122" s="65">
        <v>2937</v>
      </c>
      <c r="HA122" s="65">
        <v>16203</v>
      </c>
      <c r="HB122" s="65">
        <v>6401</v>
      </c>
      <c r="HC122" s="65">
        <v>63556</v>
      </c>
      <c r="HD122" s="65">
        <v>-460</v>
      </c>
      <c r="HE122" s="78">
        <v>10289</v>
      </c>
      <c r="HF122" s="73">
        <v>25378</v>
      </c>
      <c r="HG122" s="65">
        <v>29263</v>
      </c>
      <c r="HH122" s="65">
        <v>8168</v>
      </c>
      <c r="HI122" s="65">
        <v>923</v>
      </c>
      <c r="HJ122" s="65">
        <v>22409</v>
      </c>
      <c r="HK122" s="65">
        <v>1088</v>
      </c>
      <c r="HL122" s="65">
        <v>1881</v>
      </c>
      <c r="HM122" s="65">
        <v>-1384</v>
      </c>
      <c r="HN122" s="65">
        <v>7573</v>
      </c>
      <c r="HO122" s="65">
        <v>2069</v>
      </c>
      <c r="HP122" s="65">
        <v>21829</v>
      </c>
      <c r="HQ122" s="65">
        <v>-7573</v>
      </c>
      <c r="HR122" s="65">
        <v>65116</v>
      </c>
      <c r="HS122" s="65">
        <v>-3394</v>
      </c>
      <c r="HT122" s="65">
        <v>4835</v>
      </c>
      <c r="HU122" s="77">
        <v>18.5</v>
      </c>
      <c r="HV122" s="180">
        <v>340</v>
      </c>
      <c r="HW122" s="30" t="s">
        <v>761</v>
      </c>
    </row>
    <row r="123" spans="1:231" ht="15" x14ac:dyDescent="0.25">
      <c r="A123" s="27">
        <v>403</v>
      </c>
      <c r="B123" s="27" t="s">
        <v>251</v>
      </c>
      <c r="C123" s="27">
        <v>14</v>
      </c>
      <c r="D123" s="27" t="s">
        <v>106</v>
      </c>
      <c r="E123" s="27">
        <v>2</v>
      </c>
      <c r="F123" s="27" t="s">
        <v>744</v>
      </c>
      <c r="G123" s="29" t="s">
        <v>130</v>
      </c>
      <c r="H123" s="27" t="s">
        <v>98</v>
      </c>
      <c r="I123" s="31" t="s">
        <v>106</v>
      </c>
      <c r="J123" s="69">
        <v>4199</v>
      </c>
      <c r="K123" s="69">
        <v>4134</v>
      </c>
      <c r="L123" s="36">
        <v>4051</v>
      </c>
      <c r="M123" s="36">
        <v>3945</v>
      </c>
      <c r="N123" s="36">
        <v>3853</v>
      </c>
      <c r="O123" s="36">
        <v>3792</v>
      </c>
      <c r="P123" s="36">
        <v>3746</v>
      </c>
      <c r="Q123" s="36">
        <v>3670</v>
      </c>
      <c r="R123" s="69">
        <v>3608</v>
      </c>
      <c r="S123" s="69">
        <v>3564</v>
      </c>
      <c r="T123" s="71">
        <v>3517</v>
      </c>
      <c r="U123" s="36">
        <v>6915</v>
      </c>
      <c r="V123" s="36">
        <v>5698</v>
      </c>
      <c r="W123" s="36">
        <v>2772</v>
      </c>
      <c r="X123" s="36">
        <v>211.74859941504238</v>
      </c>
      <c r="Y123" s="36">
        <v>6856</v>
      </c>
      <c r="Z123" s="36">
        <v>5554</v>
      </c>
      <c r="AA123" s="36">
        <v>2328</v>
      </c>
      <c r="AB123" s="36">
        <v>214.9441700178111</v>
      </c>
      <c r="AC123" s="36">
        <v>6434</v>
      </c>
      <c r="AD123" s="36">
        <v>6179</v>
      </c>
      <c r="AE123" s="36">
        <v>2566</v>
      </c>
      <c r="AF123" s="36">
        <v>260.5230980888806</v>
      </c>
      <c r="AG123" s="36">
        <v>7057</v>
      </c>
      <c r="AH123" s="36">
        <v>6850</v>
      </c>
      <c r="AI123" s="36">
        <v>2815</v>
      </c>
      <c r="AJ123" s="36">
        <v>191.06148446027652</v>
      </c>
      <c r="AK123" s="36">
        <v>7747</v>
      </c>
      <c r="AL123" s="36">
        <v>6957</v>
      </c>
      <c r="AM123" s="36">
        <v>3020</v>
      </c>
      <c r="AN123" s="36">
        <v>43</v>
      </c>
      <c r="AO123" s="36">
        <v>6985</v>
      </c>
      <c r="AP123" s="36">
        <v>6916</v>
      </c>
      <c r="AQ123" s="36">
        <v>3016</v>
      </c>
      <c r="AR123" s="36">
        <v>72</v>
      </c>
      <c r="AS123" s="36">
        <v>7108</v>
      </c>
      <c r="AT123" s="36">
        <v>7199</v>
      </c>
      <c r="AU123" s="36">
        <v>2185</v>
      </c>
      <c r="AV123" s="36">
        <v>70</v>
      </c>
      <c r="AW123" s="36">
        <v>7517</v>
      </c>
      <c r="AX123" s="69">
        <v>6994</v>
      </c>
      <c r="AY123" s="36">
        <v>2320</v>
      </c>
      <c r="AZ123" s="36">
        <v>103</v>
      </c>
      <c r="BA123" s="36">
        <v>7824</v>
      </c>
      <c r="BB123" s="36">
        <v>6950</v>
      </c>
      <c r="BC123" s="36">
        <v>2591</v>
      </c>
      <c r="BD123" s="36">
        <v>31</v>
      </c>
      <c r="BE123" s="70">
        <v>8044</v>
      </c>
      <c r="BF123" s="70">
        <v>7231</v>
      </c>
      <c r="BG123" s="70">
        <v>2375</v>
      </c>
      <c r="BH123" s="70">
        <v>59</v>
      </c>
      <c r="BI123" s="36">
        <v>8614</v>
      </c>
      <c r="BJ123" s="36">
        <v>7929</v>
      </c>
      <c r="BK123" s="36">
        <v>2602</v>
      </c>
      <c r="BL123" s="36">
        <v>29</v>
      </c>
      <c r="BM123" s="36">
        <v>6083.0209242599312</v>
      </c>
      <c r="BN123" s="36">
        <v>584.28485652728932</v>
      </c>
      <c r="BO123" s="36">
        <v>241.18148654580682</v>
      </c>
      <c r="BP123" s="36">
        <v>5854.2853442722762</v>
      </c>
      <c r="BQ123" s="36">
        <v>658.11935624389264</v>
      </c>
      <c r="BR123" s="36">
        <v>336.71222877594511</v>
      </c>
      <c r="BS123" s="36">
        <v>5236.3629024526836</v>
      </c>
      <c r="BT123" s="36">
        <v>828.99828952878784</v>
      </c>
      <c r="BU123" s="36">
        <v>360.25853848055664</v>
      </c>
      <c r="BV123" s="36">
        <v>6038</v>
      </c>
      <c r="BW123" s="36">
        <v>640</v>
      </c>
      <c r="BX123" s="36">
        <v>371</v>
      </c>
      <c r="BY123" s="36">
        <v>6430</v>
      </c>
      <c r="BZ123" s="36">
        <v>934</v>
      </c>
      <c r="CA123" s="36">
        <v>375</v>
      </c>
      <c r="CB123" s="36">
        <v>6271</v>
      </c>
      <c r="CC123" s="36">
        <v>335</v>
      </c>
      <c r="CD123" s="36">
        <v>379</v>
      </c>
      <c r="CE123" s="36">
        <v>6235</v>
      </c>
      <c r="CF123" s="36">
        <v>493</v>
      </c>
      <c r="CG123" s="36">
        <v>380</v>
      </c>
      <c r="CH123" s="36">
        <v>6614</v>
      </c>
      <c r="CI123" s="36">
        <v>517</v>
      </c>
      <c r="CJ123" s="70">
        <v>386</v>
      </c>
      <c r="CK123" s="70">
        <v>6820</v>
      </c>
      <c r="CL123" s="70">
        <v>512</v>
      </c>
      <c r="CM123" s="36">
        <v>492</v>
      </c>
      <c r="CN123" s="36">
        <v>6995</v>
      </c>
      <c r="CO123" s="36">
        <v>550</v>
      </c>
      <c r="CP123" s="36">
        <v>499</v>
      </c>
      <c r="CQ123" s="36">
        <v>7493</v>
      </c>
      <c r="CR123" s="36">
        <v>598</v>
      </c>
      <c r="CS123" s="36">
        <v>523</v>
      </c>
      <c r="CT123" s="36">
        <v>1076.5709172801321</v>
      </c>
      <c r="CU123" s="36">
        <v>-1303.960994</v>
      </c>
      <c r="CV123" s="36">
        <v>458.81666338700211</v>
      </c>
      <c r="CW123" s="36">
        <v>242</v>
      </c>
      <c r="CX123" s="36">
        <v>-290.1241731461065</v>
      </c>
      <c r="CY123" s="36">
        <v>-1236.181259</v>
      </c>
      <c r="CZ123" s="36">
        <v>485.72673162084385</v>
      </c>
      <c r="DA123" s="36">
        <v>1541</v>
      </c>
      <c r="DB123" s="36">
        <v>-166.84242304981893</v>
      </c>
      <c r="DC123" s="36">
        <v>-1007.782055</v>
      </c>
      <c r="DD123" s="36">
        <v>536.85586126514318</v>
      </c>
      <c r="DE123" s="36">
        <v>2739</v>
      </c>
      <c r="DF123" s="36">
        <v>591.01237358574974</v>
      </c>
      <c r="DG123" s="36">
        <v>-1334</v>
      </c>
      <c r="DH123" s="36">
        <v>571.16619826329145</v>
      </c>
      <c r="DI123" s="36">
        <v>2020</v>
      </c>
      <c r="DJ123" s="36">
        <v>1619</v>
      </c>
      <c r="DK123" s="36">
        <v>-803</v>
      </c>
      <c r="DL123" s="36">
        <v>650</v>
      </c>
      <c r="DM123" s="36">
        <v>1593</v>
      </c>
      <c r="DN123" s="36">
        <v>195</v>
      </c>
      <c r="DO123" s="69">
        <v>-2339</v>
      </c>
      <c r="DP123" s="36">
        <v>674</v>
      </c>
      <c r="DQ123" s="36">
        <v>3275</v>
      </c>
      <c r="DR123" s="36">
        <v>42</v>
      </c>
      <c r="DS123" s="36">
        <v>-2790</v>
      </c>
      <c r="DT123" s="36">
        <v>756</v>
      </c>
      <c r="DU123" s="36">
        <v>5262</v>
      </c>
      <c r="DV123" s="36">
        <v>206</v>
      </c>
      <c r="DW123" s="71">
        <v>-464</v>
      </c>
      <c r="DX123" s="39">
        <v>865</v>
      </c>
      <c r="DY123" s="71">
        <v>5912</v>
      </c>
      <c r="DZ123" s="70">
        <v>336</v>
      </c>
      <c r="EA123" s="35">
        <v>-142</v>
      </c>
      <c r="EB123" s="35">
        <v>879</v>
      </c>
      <c r="EC123" s="38">
        <v>5132</v>
      </c>
      <c r="ED123" s="38">
        <v>1015</v>
      </c>
      <c r="EE123" s="38">
        <v>-846</v>
      </c>
      <c r="EF123" s="38">
        <v>806</v>
      </c>
      <c r="EG123" s="73">
        <v>4852</v>
      </c>
      <c r="EH123" s="73">
        <v>1491</v>
      </c>
      <c r="EI123" s="73">
        <v>-331</v>
      </c>
      <c r="EJ123" s="73">
        <v>899</v>
      </c>
      <c r="EK123" s="73">
        <v>4377</v>
      </c>
      <c r="EL123" s="73">
        <v>13866.926348825124</v>
      </c>
      <c r="EM123" s="73">
        <v>734.64486278388017</v>
      </c>
      <c r="EN123" s="73">
        <v>14574.66114337516</v>
      </c>
      <c r="EO123" s="73">
        <v>-775.85090476695041</v>
      </c>
      <c r="EP123" s="73">
        <v>14817.524509185583</v>
      </c>
      <c r="EQ123" s="73">
        <v>-703.69828431496217</v>
      </c>
      <c r="ER123" s="73">
        <v>15506.758631824854</v>
      </c>
      <c r="ES123" s="73">
        <v>-20.855302881227367</v>
      </c>
      <c r="ET123" s="73">
        <v>16054</v>
      </c>
      <c r="EU123" s="73">
        <v>976</v>
      </c>
      <c r="EV123" s="73">
        <v>16723</v>
      </c>
      <c r="EW123" s="73">
        <v>-479</v>
      </c>
      <c r="EX123" s="73">
        <v>16343</v>
      </c>
      <c r="EY123" s="73">
        <v>-685</v>
      </c>
      <c r="EZ123" s="73">
        <v>16541</v>
      </c>
      <c r="FA123" s="73">
        <v>-608</v>
      </c>
      <c r="FB123" s="73">
        <v>16887</v>
      </c>
      <c r="FC123" s="73">
        <v>-569</v>
      </c>
      <c r="FD123" s="73">
        <v>16465</v>
      </c>
      <c r="FE123" s="73">
        <v>222</v>
      </c>
      <c r="FF123" s="73">
        <v>17506</v>
      </c>
      <c r="FG123" s="73">
        <v>619</v>
      </c>
      <c r="FH123" s="73">
        <v>-931</v>
      </c>
      <c r="FI123" s="73">
        <v>-312</v>
      </c>
      <c r="FJ123" s="79">
        <v>3495</v>
      </c>
      <c r="FK123" s="80">
        <v>8862</v>
      </c>
      <c r="FL123" s="80">
        <v>8595</v>
      </c>
      <c r="FM123" s="80">
        <v>1602</v>
      </c>
      <c r="FN123" s="76">
        <v>36</v>
      </c>
      <c r="FO123" s="80">
        <v>7812</v>
      </c>
      <c r="FP123" s="80">
        <v>508</v>
      </c>
      <c r="FQ123" s="80">
        <v>542</v>
      </c>
      <c r="FR123" s="80">
        <v>1354</v>
      </c>
      <c r="FS123" s="81">
        <v>-393</v>
      </c>
      <c r="FT123" s="76">
        <v>876</v>
      </c>
      <c r="FU123" s="76">
        <v>4186</v>
      </c>
      <c r="FV123" s="76">
        <v>393</v>
      </c>
      <c r="FW123" s="80">
        <v>17621</v>
      </c>
      <c r="FX123" s="80">
        <v>505</v>
      </c>
      <c r="FY123" s="73">
        <v>3440</v>
      </c>
      <c r="FZ123" s="73">
        <v>8374</v>
      </c>
      <c r="GA123" s="73">
        <v>8898</v>
      </c>
      <c r="GB123" s="73">
        <v>1866</v>
      </c>
      <c r="GC123" s="73">
        <v>34</v>
      </c>
      <c r="GD123" s="73">
        <v>7249</v>
      </c>
      <c r="GE123" s="73">
        <v>579</v>
      </c>
      <c r="GF123" s="73">
        <v>546</v>
      </c>
      <c r="GG123" s="73">
        <v>950</v>
      </c>
      <c r="GH123" s="73">
        <v>-359</v>
      </c>
      <c r="GI123" s="73">
        <v>888</v>
      </c>
      <c r="GJ123" s="73">
        <v>3414</v>
      </c>
      <c r="GK123" s="73">
        <v>359</v>
      </c>
      <c r="GL123" s="73">
        <v>18139</v>
      </c>
      <c r="GM123" s="73">
        <v>89</v>
      </c>
      <c r="GN123" s="73">
        <v>282</v>
      </c>
      <c r="GO123" s="77">
        <v>20</v>
      </c>
      <c r="GP123" s="78">
        <v>3436</v>
      </c>
      <c r="GQ123" s="73">
        <v>8539</v>
      </c>
      <c r="GR123" s="65">
        <v>9259</v>
      </c>
      <c r="GS123" s="65">
        <v>1793</v>
      </c>
      <c r="GT123" s="65">
        <v>115</v>
      </c>
      <c r="GU123" s="65">
        <v>7397</v>
      </c>
      <c r="GV123" s="65">
        <v>591</v>
      </c>
      <c r="GW123" s="65">
        <v>551</v>
      </c>
      <c r="GX123" s="65">
        <v>7</v>
      </c>
      <c r="GY123" s="65">
        <v>-2046</v>
      </c>
      <c r="GZ123" s="65">
        <v>881</v>
      </c>
      <c r="HA123" s="65">
        <v>4562</v>
      </c>
      <c r="HB123" s="65">
        <v>2046</v>
      </c>
      <c r="HC123" s="65">
        <v>19539</v>
      </c>
      <c r="HD123" s="65">
        <v>-762</v>
      </c>
      <c r="HE123" s="78">
        <v>3383</v>
      </c>
      <c r="HF123" s="73">
        <v>9598</v>
      </c>
      <c r="HG123" s="65">
        <v>10107</v>
      </c>
      <c r="HH123" s="65">
        <v>2043</v>
      </c>
      <c r="HI123" s="65">
        <v>25</v>
      </c>
      <c r="HJ123" s="65">
        <v>8487</v>
      </c>
      <c r="HK123" s="65">
        <v>468</v>
      </c>
      <c r="HL123" s="65">
        <v>643</v>
      </c>
      <c r="HM123" s="65">
        <v>772</v>
      </c>
      <c r="HN123" s="65">
        <v>-3427</v>
      </c>
      <c r="HO123" s="65">
        <v>970</v>
      </c>
      <c r="HP123" s="65">
        <v>6794</v>
      </c>
      <c r="HQ123" s="65">
        <v>3427</v>
      </c>
      <c r="HR123" s="65">
        <v>20893</v>
      </c>
      <c r="HS123" s="65">
        <v>-234</v>
      </c>
      <c r="HT123" s="65">
        <v>-714</v>
      </c>
      <c r="HU123" s="77">
        <v>21</v>
      </c>
      <c r="HV123" s="180">
        <v>340</v>
      </c>
      <c r="HW123" s="30" t="s">
        <v>761</v>
      </c>
    </row>
    <row r="124" spans="1:231" ht="15" x14ac:dyDescent="0.25">
      <c r="A124" s="27">
        <v>405</v>
      </c>
      <c r="B124" s="27" t="s">
        <v>252</v>
      </c>
      <c r="C124" s="27">
        <v>9</v>
      </c>
      <c r="D124" s="27" t="s">
        <v>105</v>
      </c>
      <c r="E124" s="27">
        <v>6</v>
      </c>
      <c r="F124" s="27" t="s">
        <v>102</v>
      </c>
      <c r="G124" s="29" t="s">
        <v>141</v>
      </c>
      <c r="H124" s="27" t="s">
        <v>97</v>
      </c>
      <c r="I124" s="31" t="s">
        <v>105</v>
      </c>
      <c r="J124" s="69">
        <v>70223</v>
      </c>
      <c r="K124" s="69">
        <v>70256</v>
      </c>
      <c r="L124" s="36">
        <v>70587</v>
      </c>
      <c r="M124" s="36">
        <v>70918</v>
      </c>
      <c r="N124" s="36">
        <v>71101</v>
      </c>
      <c r="O124" s="36">
        <v>71223</v>
      </c>
      <c r="P124" s="36">
        <v>71301</v>
      </c>
      <c r="Q124" s="36">
        <v>71435</v>
      </c>
      <c r="R124" s="69">
        <v>71440</v>
      </c>
      <c r="S124" s="69">
        <v>71475</v>
      </c>
      <c r="T124" s="71">
        <v>71740</v>
      </c>
      <c r="U124" s="36">
        <v>154331</v>
      </c>
      <c r="V124" s="36">
        <v>31168</v>
      </c>
      <c r="W124" s="36">
        <v>76021</v>
      </c>
      <c r="X124" s="36">
        <v>3994.2950655344257</v>
      </c>
      <c r="Y124" s="36">
        <v>165284</v>
      </c>
      <c r="Z124" s="36">
        <v>32133</v>
      </c>
      <c r="AA124" s="36">
        <v>77505</v>
      </c>
      <c r="AB124" s="36">
        <v>3538.3375968972691</v>
      </c>
      <c r="AC124" s="36">
        <v>164880</v>
      </c>
      <c r="AD124" s="36">
        <v>34730</v>
      </c>
      <c r="AE124" s="36">
        <v>91440</v>
      </c>
      <c r="AF124" s="36">
        <v>2075.7753883879691</v>
      </c>
      <c r="AG124" s="36">
        <v>190985</v>
      </c>
      <c r="AH124" s="36">
        <v>37925</v>
      </c>
      <c r="AI124" s="36">
        <v>96890</v>
      </c>
      <c r="AJ124" s="36">
        <v>1598.2898651637395</v>
      </c>
      <c r="AK124" s="36">
        <v>187047</v>
      </c>
      <c r="AL124" s="36">
        <v>39725</v>
      </c>
      <c r="AM124" s="36">
        <v>102192</v>
      </c>
      <c r="AN124" s="36">
        <v>1653</v>
      </c>
      <c r="AO124" s="36">
        <v>178288</v>
      </c>
      <c r="AP124" s="36">
        <v>44709</v>
      </c>
      <c r="AQ124" s="36">
        <v>71934</v>
      </c>
      <c r="AR124" s="36">
        <v>7572</v>
      </c>
      <c r="AS124" s="36">
        <v>179857</v>
      </c>
      <c r="AT124" s="36">
        <v>52775</v>
      </c>
      <c r="AU124" s="36">
        <v>74709</v>
      </c>
      <c r="AV124" s="36">
        <v>7659</v>
      </c>
      <c r="AW124" s="36">
        <v>187572</v>
      </c>
      <c r="AX124" s="69">
        <v>58050</v>
      </c>
      <c r="AY124" s="36">
        <v>64187</v>
      </c>
      <c r="AZ124" s="36">
        <v>7902</v>
      </c>
      <c r="BA124" s="36">
        <v>196213</v>
      </c>
      <c r="BB124" s="36">
        <v>63366</v>
      </c>
      <c r="BC124" s="36">
        <v>88523</v>
      </c>
      <c r="BD124" s="36">
        <v>8586</v>
      </c>
      <c r="BE124" s="70">
        <v>208161</v>
      </c>
      <c r="BF124" s="70">
        <v>67670</v>
      </c>
      <c r="BG124" s="70">
        <v>97312</v>
      </c>
      <c r="BH124" s="70">
        <v>14542</v>
      </c>
      <c r="BI124" s="36">
        <v>223320</v>
      </c>
      <c r="BJ124" s="36">
        <v>75363</v>
      </c>
      <c r="BK124" s="36">
        <v>91291</v>
      </c>
      <c r="BL124" s="36">
        <v>24125</v>
      </c>
      <c r="BM124" s="36">
        <v>128267.17661245971</v>
      </c>
      <c r="BN124" s="36">
        <v>22458.470196258491</v>
      </c>
      <c r="BO124" s="36">
        <v>3565.5840409840334</v>
      </c>
      <c r="BP124" s="36">
        <v>133408.84971231455</v>
      </c>
      <c r="BQ124" s="36">
        <v>26362.448345283086</v>
      </c>
      <c r="BR124" s="36">
        <v>5473.8442546163378</v>
      </c>
      <c r="BS124" s="36">
        <v>123772.18608984935</v>
      </c>
      <c r="BT124" s="36">
        <v>35040.440786917672</v>
      </c>
      <c r="BU124" s="36">
        <v>6029.8735394980931</v>
      </c>
      <c r="BV124" s="36">
        <v>145986</v>
      </c>
      <c r="BW124" s="36">
        <v>38683</v>
      </c>
      <c r="BX124" s="36">
        <v>6279</v>
      </c>
      <c r="BY124" s="36">
        <v>159906</v>
      </c>
      <c r="BZ124" s="36">
        <v>20517</v>
      </c>
      <c r="CA124" s="36">
        <v>6592</v>
      </c>
      <c r="CB124" s="36">
        <v>154275</v>
      </c>
      <c r="CC124" s="36">
        <v>15613</v>
      </c>
      <c r="CD124" s="36">
        <v>8400</v>
      </c>
      <c r="CE124" s="36">
        <v>156216</v>
      </c>
      <c r="CF124" s="36">
        <v>14767</v>
      </c>
      <c r="CG124" s="36">
        <v>8874</v>
      </c>
      <c r="CH124" s="36">
        <v>164523</v>
      </c>
      <c r="CI124" s="36">
        <v>13694</v>
      </c>
      <c r="CJ124" s="70">
        <v>9355</v>
      </c>
      <c r="CK124" s="70">
        <v>171702</v>
      </c>
      <c r="CL124" s="70">
        <v>14605</v>
      </c>
      <c r="CM124" s="36">
        <v>9906</v>
      </c>
      <c r="CN124" s="36">
        <v>181209</v>
      </c>
      <c r="CO124" s="36">
        <v>16355</v>
      </c>
      <c r="CP124" s="36">
        <v>10597</v>
      </c>
      <c r="CQ124" s="36">
        <v>195609</v>
      </c>
      <c r="CR124" s="36">
        <v>16130</v>
      </c>
      <c r="CS124" s="36">
        <v>11581</v>
      </c>
      <c r="CT124" s="36">
        <v>12036.537145144499</v>
      </c>
      <c r="CU124" s="36">
        <v>-15760.217832800001</v>
      </c>
      <c r="CV124" s="36">
        <v>15636.767898979602</v>
      </c>
      <c r="CW124" s="36">
        <v>67913</v>
      </c>
      <c r="CX124" s="36">
        <v>22997.512500567631</v>
      </c>
      <c r="CY124" s="36">
        <v>-22164.1413269</v>
      </c>
      <c r="CZ124" s="36">
        <v>18383.78130187546</v>
      </c>
      <c r="DA124" s="36">
        <v>59414</v>
      </c>
      <c r="DB124" s="36">
        <v>10590.793729281349</v>
      </c>
      <c r="DC124" s="36">
        <v>-19606.171153699997</v>
      </c>
      <c r="DD124" s="36">
        <v>15873.408311510948</v>
      </c>
      <c r="DE124" s="36">
        <v>51104</v>
      </c>
      <c r="DF124" s="36">
        <v>22621.444296999696</v>
      </c>
      <c r="DG124" s="36">
        <v>-19918</v>
      </c>
      <c r="DH124" s="36">
        <v>15541.573532602386</v>
      </c>
      <c r="DI124" s="36">
        <v>57999</v>
      </c>
      <c r="DJ124" s="36">
        <v>16336</v>
      </c>
      <c r="DK124" s="36">
        <v>-1918</v>
      </c>
      <c r="DL124" s="36">
        <v>16222</v>
      </c>
      <c r="DM124" s="36">
        <v>61753</v>
      </c>
      <c r="DN124" s="36">
        <v>3442</v>
      </c>
      <c r="DO124" s="69">
        <v>-10531</v>
      </c>
      <c r="DP124" s="36">
        <v>13271</v>
      </c>
      <c r="DQ124" s="36">
        <v>84991</v>
      </c>
      <c r="DR124" s="36">
        <v>5153</v>
      </c>
      <c r="DS124" s="36">
        <v>-14088</v>
      </c>
      <c r="DT124" s="36">
        <v>14356</v>
      </c>
      <c r="DU124" s="36">
        <v>97885</v>
      </c>
      <c r="DV124" s="36">
        <v>7762</v>
      </c>
      <c r="DW124" s="71">
        <v>-13869</v>
      </c>
      <c r="DX124" s="39">
        <v>13398</v>
      </c>
      <c r="DY124" s="71">
        <v>98792</v>
      </c>
      <c r="DZ124" s="70">
        <v>13812</v>
      </c>
      <c r="EA124" s="35">
        <v>-13584</v>
      </c>
      <c r="EB124" s="35">
        <v>14205</v>
      </c>
      <c r="EC124" s="38">
        <v>105205</v>
      </c>
      <c r="ED124" s="38">
        <v>15995</v>
      </c>
      <c r="EE124" s="38">
        <v>5952</v>
      </c>
      <c r="EF124" s="38">
        <v>14453</v>
      </c>
      <c r="EG124" s="73">
        <v>112382</v>
      </c>
      <c r="EH124" s="73">
        <v>9399</v>
      </c>
      <c r="EI124" s="73">
        <v>-24275</v>
      </c>
      <c r="EJ124" s="73">
        <v>14780</v>
      </c>
      <c r="EK124" s="73">
        <v>152653</v>
      </c>
      <c r="EL124" s="73">
        <v>238256.69850464116</v>
      </c>
      <c r="EM124" s="73">
        <v>1929.7882682193776</v>
      </c>
      <c r="EN124" s="73">
        <v>240842.41968606043</v>
      </c>
      <c r="EO124" s="73">
        <v>4029.6145300913427</v>
      </c>
      <c r="EP124" s="73">
        <v>267837.42282276525</v>
      </c>
      <c r="EQ124" s="73">
        <v>-5841.5030618612009</v>
      </c>
      <c r="ER124" s="73">
        <v>289802.76601863856</v>
      </c>
      <c r="ES124" s="73">
        <v>6623.5769199072274</v>
      </c>
      <c r="ET124" s="73">
        <v>311494</v>
      </c>
      <c r="EU124" s="73">
        <v>42747</v>
      </c>
      <c r="EV124" s="73">
        <v>296165</v>
      </c>
      <c r="EW124" s="73">
        <v>-9831</v>
      </c>
      <c r="EX124" s="73">
        <v>306667</v>
      </c>
      <c r="EY124" s="73">
        <v>-9654</v>
      </c>
      <c r="EZ124" s="73">
        <v>320730</v>
      </c>
      <c r="FA124" s="73">
        <v>-5266</v>
      </c>
      <c r="FB124" s="73">
        <v>339221</v>
      </c>
      <c r="FC124" s="73">
        <v>2694</v>
      </c>
      <c r="FD124" s="73">
        <v>360672</v>
      </c>
      <c r="FE124" s="73">
        <v>7971</v>
      </c>
      <c r="FF124" s="73">
        <v>385298</v>
      </c>
      <c r="FG124" s="73">
        <v>12838</v>
      </c>
      <c r="FH124" s="73">
        <v>34049</v>
      </c>
      <c r="FI124" s="73">
        <v>46884</v>
      </c>
      <c r="FJ124" s="79">
        <v>71826</v>
      </c>
      <c r="FK124" s="80">
        <v>225205</v>
      </c>
      <c r="FL124" s="80">
        <v>82472</v>
      </c>
      <c r="FM124" s="80">
        <v>91930</v>
      </c>
      <c r="FN124" s="76">
        <v>6620</v>
      </c>
      <c r="FO124" s="80">
        <v>199730</v>
      </c>
      <c r="FP124" s="80">
        <v>13357</v>
      </c>
      <c r="FQ124" s="80">
        <v>12118</v>
      </c>
      <c r="FR124" s="80">
        <v>4300</v>
      </c>
      <c r="FS124" s="81">
        <v>-25080</v>
      </c>
      <c r="FT124" s="76">
        <v>13972</v>
      </c>
      <c r="FU124" s="76">
        <v>171765</v>
      </c>
      <c r="FV124" s="76">
        <v>25080</v>
      </c>
      <c r="FW124" s="80">
        <v>401769</v>
      </c>
      <c r="FX124" s="80">
        <v>-9699</v>
      </c>
      <c r="FY124" s="73">
        <v>71989</v>
      </c>
      <c r="FZ124" s="73">
        <v>233191</v>
      </c>
      <c r="GA124" s="73">
        <v>90361</v>
      </c>
      <c r="GB124" s="73">
        <v>90036</v>
      </c>
      <c r="GC124" s="73">
        <v>6692</v>
      </c>
      <c r="GD124" s="73">
        <v>204966</v>
      </c>
      <c r="GE124" s="73">
        <v>14727</v>
      </c>
      <c r="GF124" s="73">
        <v>13498</v>
      </c>
      <c r="GG124" s="73">
        <v>17794</v>
      </c>
      <c r="GH124" s="73">
        <v>-13529</v>
      </c>
      <c r="GI124" s="73">
        <v>14458</v>
      </c>
      <c r="GJ124" s="73">
        <v>196853</v>
      </c>
      <c r="GK124" s="73">
        <v>13529</v>
      </c>
      <c r="GL124" s="73">
        <v>402486</v>
      </c>
      <c r="GM124" s="73">
        <v>3147</v>
      </c>
      <c r="GN124" s="73">
        <v>51442</v>
      </c>
      <c r="GO124" s="77">
        <v>19.5</v>
      </c>
      <c r="GP124" s="78">
        <v>72133</v>
      </c>
      <c r="GQ124" s="73">
        <v>240883</v>
      </c>
      <c r="GR124" s="65">
        <v>94930</v>
      </c>
      <c r="GS124" s="65">
        <v>102110</v>
      </c>
      <c r="GT124" s="65">
        <v>5135</v>
      </c>
      <c r="GU124" s="65">
        <v>211142</v>
      </c>
      <c r="GV124" s="65">
        <v>16051</v>
      </c>
      <c r="GW124" s="65">
        <v>13690</v>
      </c>
      <c r="GX124" s="65">
        <v>17810</v>
      </c>
      <c r="GY124" s="65">
        <v>-27539</v>
      </c>
      <c r="GZ124" s="65">
        <v>16621</v>
      </c>
      <c r="HA124" s="65">
        <v>200892</v>
      </c>
      <c r="HB124" s="65">
        <v>27539</v>
      </c>
      <c r="HC124" s="65">
        <v>425248</v>
      </c>
      <c r="HD124" s="65">
        <v>1083</v>
      </c>
      <c r="HE124" s="78">
        <v>72424</v>
      </c>
      <c r="HF124" s="73">
        <v>247374</v>
      </c>
      <c r="HG124" s="65">
        <v>99406</v>
      </c>
      <c r="HH124" s="65">
        <v>87881</v>
      </c>
      <c r="HI124" s="65">
        <v>7156</v>
      </c>
      <c r="HJ124" s="65">
        <v>217590</v>
      </c>
      <c r="HK124" s="65">
        <v>13224</v>
      </c>
      <c r="HL124" s="65">
        <v>16560</v>
      </c>
      <c r="HM124" s="65">
        <v>9826</v>
      </c>
      <c r="HN124" s="65">
        <v>-37561</v>
      </c>
      <c r="HO124" s="65">
        <v>15505</v>
      </c>
      <c r="HP124" s="65">
        <v>224533</v>
      </c>
      <c r="HQ124" s="65">
        <v>37561</v>
      </c>
      <c r="HR124" s="65">
        <v>431991</v>
      </c>
      <c r="HS124" s="65">
        <v>-6029</v>
      </c>
      <c r="HT124" s="65">
        <v>47429</v>
      </c>
      <c r="HU124" s="77">
        <v>19.5</v>
      </c>
      <c r="HV124" s="180">
        <v>130</v>
      </c>
      <c r="HW124" s="30" t="s">
        <v>752</v>
      </c>
    </row>
    <row r="125" spans="1:231" ht="15" x14ac:dyDescent="0.25">
      <c r="A125" s="27">
        <v>408</v>
      </c>
      <c r="B125" s="27" t="s">
        <v>253</v>
      </c>
      <c r="C125" s="27">
        <v>14</v>
      </c>
      <c r="D125" s="27" t="s">
        <v>106</v>
      </c>
      <c r="E125" s="27">
        <v>4</v>
      </c>
      <c r="F125" s="27" t="s">
        <v>100</v>
      </c>
      <c r="G125" s="29" t="s">
        <v>132</v>
      </c>
      <c r="H125" s="27" t="s">
        <v>99</v>
      </c>
      <c r="I125" s="31" t="s">
        <v>106</v>
      </c>
      <c r="J125" s="69">
        <v>14277</v>
      </c>
      <c r="K125" s="69">
        <v>14198</v>
      </c>
      <c r="L125" s="36">
        <v>14055</v>
      </c>
      <c r="M125" s="36">
        <v>13955</v>
      </c>
      <c r="N125" s="36">
        <v>13998</v>
      </c>
      <c r="O125" s="36">
        <v>14002</v>
      </c>
      <c r="P125" s="36">
        <v>14012</v>
      </c>
      <c r="Q125" s="36">
        <v>14081</v>
      </c>
      <c r="R125" s="69">
        <v>14100</v>
      </c>
      <c r="S125" s="69">
        <v>14178</v>
      </c>
      <c r="T125" s="71">
        <v>14234</v>
      </c>
      <c r="U125" s="36">
        <v>25299</v>
      </c>
      <c r="V125" s="36">
        <v>14202</v>
      </c>
      <c r="W125" s="36">
        <v>8391</v>
      </c>
      <c r="X125" s="36">
        <v>1210.2803188170333</v>
      </c>
      <c r="Y125" s="36">
        <v>25848</v>
      </c>
      <c r="Z125" s="36">
        <v>15264</v>
      </c>
      <c r="AA125" s="36">
        <v>8580</v>
      </c>
      <c r="AB125" s="36">
        <v>1164.8695786724254</v>
      </c>
      <c r="AC125" s="36">
        <v>25894</v>
      </c>
      <c r="AD125" s="36">
        <v>16210</v>
      </c>
      <c r="AE125" s="36">
        <v>9044</v>
      </c>
      <c r="AF125" s="36">
        <v>1217.6805875813398</v>
      </c>
      <c r="AG125" s="36">
        <v>27754</v>
      </c>
      <c r="AH125" s="36">
        <v>18822</v>
      </c>
      <c r="AI125" s="36">
        <v>8881</v>
      </c>
      <c r="AJ125" s="36">
        <v>840.09869267524755</v>
      </c>
      <c r="AK125" s="36">
        <v>28911</v>
      </c>
      <c r="AL125" s="36">
        <v>19976</v>
      </c>
      <c r="AM125" s="36">
        <v>9235</v>
      </c>
      <c r="AN125" s="36">
        <v>1006</v>
      </c>
      <c r="AO125" s="36">
        <v>27544</v>
      </c>
      <c r="AP125" s="36">
        <v>19901</v>
      </c>
      <c r="AQ125" s="36">
        <v>9848</v>
      </c>
      <c r="AR125" s="36">
        <v>577</v>
      </c>
      <c r="AS125" s="36">
        <v>28242</v>
      </c>
      <c r="AT125" s="36">
        <v>20911</v>
      </c>
      <c r="AU125" s="36">
        <v>10572</v>
      </c>
      <c r="AV125" s="36">
        <v>641</v>
      </c>
      <c r="AW125" s="36">
        <v>29662</v>
      </c>
      <c r="AX125" s="69">
        <v>21722</v>
      </c>
      <c r="AY125" s="36">
        <v>10688</v>
      </c>
      <c r="AZ125" s="36">
        <v>587</v>
      </c>
      <c r="BA125" s="36">
        <v>31101</v>
      </c>
      <c r="BB125" s="36">
        <v>22668</v>
      </c>
      <c r="BC125" s="36">
        <v>12542</v>
      </c>
      <c r="BD125" s="36">
        <v>242</v>
      </c>
      <c r="BE125" s="70">
        <v>34135</v>
      </c>
      <c r="BF125" s="70">
        <v>24687</v>
      </c>
      <c r="BG125" s="70">
        <v>12454</v>
      </c>
      <c r="BH125" s="70">
        <v>502</v>
      </c>
      <c r="BI125" s="36">
        <v>38719</v>
      </c>
      <c r="BJ125" s="36">
        <v>27422</v>
      </c>
      <c r="BK125" s="36">
        <v>12397</v>
      </c>
      <c r="BL125" s="36">
        <v>165</v>
      </c>
      <c r="BM125" s="36">
        <v>20768.68609909969</v>
      </c>
      <c r="BN125" s="36">
        <v>3802.8972052212262</v>
      </c>
      <c r="BO125" s="36">
        <v>727.74915779895821</v>
      </c>
      <c r="BP125" s="36">
        <v>21662.43674031616</v>
      </c>
      <c r="BQ125" s="36">
        <v>3278.4872505142343</v>
      </c>
      <c r="BR125" s="36">
        <v>907.3738632598521</v>
      </c>
      <c r="BS125" s="36">
        <v>21424.450824373122</v>
      </c>
      <c r="BT125" s="36">
        <v>3546.2424294409602</v>
      </c>
      <c r="BU125" s="36">
        <v>923.01534042077242</v>
      </c>
      <c r="BV125" s="36">
        <v>24010</v>
      </c>
      <c r="BW125" s="36">
        <v>2772</v>
      </c>
      <c r="BX125" s="36">
        <v>972</v>
      </c>
      <c r="BY125" s="36">
        <v>26036</v>
      </c>
      <c r="BZ125" s="36">
        <v>1859</v>
      </c>
      <c r="CA125" s="36">
        <v>1016</v>
      </c>
      <c r="CB125" s="36">
        <v>25476</v>
      </c>
      <c r="CC125" s="36">
        <v>1063</v>
      </c>
      <c r="CD125" s="36">
        <v>1005</v>
      </c>
      <c r="CE125" s="36">
        <v>25978</v>
      </c>
      <c r="CF125" s="36">
        <v>1266</v>
      </c>
      <c r="CG125" s="36">
        <v>998</v>
      </c>
      <c r="CH125" s="36">
        <v>27171</v>
      </c>
      <c r="CI125" s="36">
        <v>1416</v>
      </c>
      <c r="CJ125" s="70">
        <v>1075</v>
      </c>
      <c r="CK125" s="70">
        <v>28132</v>
      </c>
      <c r="CL125" s="70">
        <v>1684</v>
      </c>
      <c r="CM125" s="36">
        <v>1285</v>
      </c>
      <c r="CN125" s="36">
        <v>30514</v>
      </c>
      <c r="CO125" s="36">
        <v>2305</v>
      </c>
      <c r="CP125" s="36">
        <v>1316</v>
      </c>
      <c r="CQ125" s="36">
        <v>34808</v>
      </c>
      <c r="CR125" s="36">
        <v>2476</v>
      </c>
      <c r="CS125" s="36">
        <v>1435</v>
      </c>
      <c r="CT125" s="36">
        <v>1783.9693359772475</v>
      </c>
      <c r="CU125" s="36">
        <v>-3813.82942</v>
      </c>
      <c r="CV125" s="36">
        <v>2314.2658681103917</v>
      </c>
      <c r="CW125" s="36">
        <v>7192</v>
      </c>
      <c r="CX125" s="36">
        <v>2457.7301693820605</v>
      </c>
      <c r="CY125" s="36">
        <v>-5616.2994280000003</v>
      </c>
      <c r="CZ125" s="36">
        <v>2599.8489672420374</v>
      </c>
      <c r="DA125" s="36">
        <v>6704</v>
      </c>
      <c r="DB125" s="36">
        <v>2498.9362113651309</v>
      </c>
      <c r="DC125" s="36">
        <v>-6163.7511290000002</v>
      </c>
      <c r="DD125" s="36">
        <v>2913.5194500927555</v>
      </c>
      <c r="DE125" s="36">
        <v>9372</v>
      </c>
      <c r="DF125" s="36">
        <v>1955.0164571886044</v>
      </c>
      <c r="DG125" s="36">
        <v>-4937</v>
      </c>
      <c r="DH125" s="36">
        <v>2719.9351467355564</v>
      </c>
      <c r="DI125" s="36">
        <v>10034</v>
      </c>
      <c r="DJ125" s="36">
        <v>5074</v>
      </c>
      <c r="DK125" s="36">
        <v>-3876</v>
      </c>
      <c r="DL125" s="36">
        <v>2708</v>
      </c>
      <c r="DM125" s="36">
        <v>9446</v>
      </c>
      <c r="DN125" s="36">
        <v>2985</v>
      </c>
      <c r="DO125" s="69">
        <v>-2570</v>
      </c>
      <c r="DP125" s="36">
        <v>2613</v>
      </c>
      <c r="DQ125" s="36">
        <v>9262</v>
      </c>
      <c r="DR125" s="36">
        <v>2077</v>
      </c>
      <c r="DS125" s="36">
        <v>-3754</v>
      </c>
      <c r="DT125" s="36">
        <v>2610</v>
      </c>
      <c r="DU125" s="36">
        <v>9531</v>
      </c>
      <c r="DV125" s="36">
        <v>2141</v>
      </c>
      <c r="DW125" s="71">
        <v>-6575</v>
      </c>
      <c r="DX125" s="39">
        <v>2731</v>
      </c>
      <c r="DY125" s="71">
        <v>10657</v>
      </c>
      <c r="DZ125" s="70">
        <v>1847</v>
      </c>
      <c r="EA125" s="35">
        <v>-7399</v>
      </c>
      <c r="EB125" s="35">
        <v>3007</v>
      </c>
      <c r="EC125" s="38">
        <v>15333</v>
      </c>
      <c r="ED125" s="38">
        <v>2734</v>
      </c>
      <c r="EE125" s="38">
        <v>-4671</v>
      </c>
      <c r="EF125" s="38">
        <v>3142</v>
      </c>
      <c r="EG125" s="73">
        <v>18497</v>
      </c>
      <c r="EH125" s="73">
        <v>5780</v>
      </c>
      <c r="EI125" s="73">
        <v>-6351</v>
      </c>
      <c r="EJ125" s="73">
        <v>3228</v>
      </c>
      <c r="EK125" s="73">
        <v>17658</v>
      </c>
      <c r="EL125" s="73">
        <v>44588.13299628473</v>
      </c>
      <c r="EM125" s="73">
        <v>-525.25089433929895</v>
      </c>
      <c r="EN125" s="73">
        <v>45904.035332919593</v>
      </c>
      <c r="EO125" s="73">
        <v>-142.11879785997681</v>
      </c>
      <c r="EP125" s="73">
        <v>47180.413506835997</v>
      </c>
      <c r="EQ125" s="73">
        <v>-414.58323872762469</v>
      </c>
      <c r="ER125" s="73">
        <v>51411.348984901771</v>
      </c>
      <c r="ES125" s="73">
        <v>-764.91868954695212</v>
      </c>
      <c r="ET125" s="73">
        <v>53559</v>
      </c>
      <c r="EU125" s="73">
        <v>2366</v>
      </c>
      <c r="EV125" s="73">
        <v>54500</v>
      </c>
      <c r="EW125" s="73">
        <v>374</v>
      </c>
      <c r="EX125" s="73">
        <v>57945</v>
      </c>
      <c r="EY125" s="73">
        <v>-533</v>
      </c>
      <c r="EZ125" s="73">
        <v>60392</v>
      </c>
      <c r="FA125" s="73">
        <v>-420</v>
      </c>
      <c r="FB125" s="73">
        <v>64495</v>
      </c>
      <c r="FC125" s="73">
        <v>-1160</v>
      </c>
      <c r="FD125" s="73">
        <v>68328</v>
      </c>
      <c r="FE125" s="73">
        <v>-408</v>
      </c>
      <c r="FF125" s="73">
        <v>72376</v>
      </c>
      <c r="FG125" s="73">
        <v>2552</v>
      </c>
      <c r="FH125" s="73">
        <v>10915</v>
      </c>
      <c r="FI125" s="73">
        <v>13467</v>
      </c>
      <c r="FJ125" s="79">
        <v>14326</v>
      </c>
      <c r="FK125" s="80">
        <v>38903</v>
      </c>
      <c r="FL125" s="80">
        <v>29865</v>
      </c>
      <c r="FM125" s="80">
        <v>12182</v>
      </c>
      <c r="FN125" s="76">
        <v>237</v>
      </c>
      <c r="FO125" s="80">
        <v>35526</v>
      </c>
      <c r="FP125" s="80">
        <v>1790</v>
      </c>
      <c r="FQ125" s="80">
        <v>1587</v>
      </c>
      <c r="FR125" s="80">
        <v>4626</v>
      </c>
      <c r="FS125" s="81">
        <v>-6713</v>
      </c>
      <c r="FT125" s="76">
        <v>3634</v>
      </c>
      <c r="FU125" s="76">
        <v>20110</v>
      </c>
      <c r="FV125" s="76">
        <v>6713</v>
      </c>
      <c r="FW125" s="80">
        <v>76032</v>
      </c>
      <c r="FX125" s="80">
        <v>992</v>
      </c>
      <c r="FY125" s="73">
        <v>14428</v>
      </c>
      <c r="FZ125" s="73">
        <v>39590</v>
      </c>
      <c r="GA125" s="73">
        <v>30856</v>
      </c>
      <c r="GB125" s="73">
        <v>12058</v>
      </c>
      <c r="GC125" s="73">
        <v>279</v>
      </c>
      <c r="GD125" s="73">
        <v>35367</v>
      </c>
      <c r="GE125" s="73">
        <v>2245</v>
      </c>
      <c r="GF125" s="73">
        <v>1978</v>
      </c>
      <c r="GG125" s="73">
        <v>5936</v>
      </c>
      <c r="GH125" s="73">
        <v>-7297</v>
      </c>
      <c r="GI125" s="73">
        <v>3862</v>
      </c>
      <c r="GJ125" s="73">
        <v>22194</v>
      </c>
      <c r="GK125" s="73">
        <v>7297</v>
      </c>
      <c r="GL125" s="73">
        <v>76308</v>
      </c>
      <c r="GM125" s="73">
        <v>2074</v>
      </c>
      <c r="GN125" s="73">
        <v>16533</v>
      </c>
      <c r="GO125" s="77">
        <v>19.5</v>
      </c>
      <c r="GP125" s="78">
        <v>14530</v>
      </c>
      <c r="GQ125" s="73">
        <v>41225</v>
      </c>
      <c r="GR125" s="65">
        <v>31538</v>
      </c>
      <c r="GS125" s="65">
        <v>12610</v>
      </c>
      <c r="GT125" s="65">
        <v>331</v>
      </c>
      <c r="GU125" s="65">
        <v>36241</v>
      </c>
      <c r="GV125" s="65">
        <v>2945</v>
      </c>
      <c r="GW125" s="65">
        <v>2039</v>
      </c>
      <c r="GX125" s="65">
        <v>2954</v>
      </c>
      <c r="GY125" s="65">
        <v>-7408</v>
      </c>
      <c r="GZ125" s="65">
        <v>4211</v>
      </c>
      <c r="HA125" s="65">
        <v>24257</v>
      </c>
      <c r="HB125" s="65">
        <v>7408</v>
      </c>
      <c r="HC125" s="65">
        <v>82236</v>
      </c>
      <c r="HD125" s="65">
        <v>-1257</v>
      </c>
      <c r="HE125" s="78">
        <v>14650</v>
      </c>
      <c r="HF125" s="73">
        <v>43260</v>
      </c>
      <c r="HG125" s="65">
        <v>32216</v>
      </c>
      <c r="HH125" s="65">
        <v>13889</v>
      </c>
      <c r="HI125" s="65">
        <v>288</v>
      </c>
      <c r="HJ125" s="65">
        <v>38821</v>
      </c>
      <c r="HK125" s="65">
        <v>2315</v>
      </c>
      <c r="HL125" s="65">
        <v>2124</v>
      </c>
      <c r="HM125" s="65">
        <v>2644</v>
      </c>
      <c r="HN125" s="65">
        <v>-8509</v>
      </c>
      <c r="HO125" s="65">
        <v>4773</v>
      </c>
      <c r="HP125" s="65">
        <v>28931</v>
      </c>
      <c r="HQ125" s="65">
        <v>8509</v>
      </c>
      <c r="HR125" s="65">
        <v>86262</v>
      </c>
      <c r="HS125" s="65">
        <v>-2129</v>
      </c>
      <c r="HT125" s="65">
        <v>13147</v>
      </c>
      <c r="HU125" s="77">
        <v>20</v>
      </c>
      <c r="HV125" s="180">
        <v>230</v>
      </c>
      <c r="HW125" s="30" t="s">
        <v>756</v>
      </c>
    </row>
    <row r="126" spans="1:231" ht="15" x14ac:dyDescent="0.25">
      <c r="A126" s="27">
        <v>410</v>
      </c>
      <c r="B126" s="27" t="s">
        <v>254</v>
      </c>
      <c r="C126" s="27">
        <v>13</v>
      </c>
      <c r="D126" s="27" t="s">
        <v>111</v>
      </c>
      <c r="E126" s="27">
        <v>4</v>
      </c>
      <c r="F126" s="27" t="s">
        <v>100</v>
      </c>
      <c r="G126" s="29" t="s">
        <v>132</v>
      </c>
      <c r="H126" s="27" t="s">
        <v>99</v>
      </c>
      <c r="I126" s="31" t="s">
        <v>111</v>
      </c>
      <c r="J126" s="69">
        <v>16544</v>
      </c>
      <c r="K126" s="69">
        <v>16467</v>
      </c>
      <c r="L126" s="36">
        <v>16548</v>
      </c>
      <c r="M126" s="36">
        <v>16634</v>
      </c>
      <c r="N126" s="36">
        <v>16756</v>
      </c>
      <c r="O126" s="36">
        <v>16929</v>
      </c>
      <c r="P126" s="36">
        <v>17068</v>
      </c>
      <c r="Q126" s="36">
        <v>17193</v>
      </c>
      <c r="R126" s="69">
        <v>17385</v>
      </c>
      <c r="S126" s="69">
        <v>17609</v>
      </c>
      <c r="T126" s="71">
        <v>17763</v>
      </c>
      <c r="U126" s="36">
        <v>30639</v>
      </c>
      <c r="V126" s="36">
        <v>13798</v>
      </c>
      <c r="W126" s="36">
        <v>8229</v>
      </c>
      <c r="X126" s="36">
        <v>612.20405231990014</v>
      </c>
      <c r="Y126" s="36">
        <v>31690</v>
      </c>
      <c r="Z126" s="36">
        <v>14031</v>
      </c>
      <c r="AA126" s="36">
        <v>7709</v>
      </c>
      <c r="AB126" s="36">
        <v>949.25265694876828</v>
      </c>
      <c r="AC126" s="36">
        <v>31251</v>
      </c>
      <c r="AD126" s="36">
        <v>15141</v>
      </c>
      <c r="AE126" s="36">
        <v>8276</v>
      </c>
      <c r="AF126" s="36">
        <v>524.40995470699136</v>
      </c>
      <c r="AG126" s="36">
        <v>35252</v>
      </c>
      <c r="AH126" s="36">
        <v>17695</v>
      </c>
      <c r="AI126" s="36">
        <v>8860</v>
      </c>
      <c r="AJ126" s="36">
        <v>518.69156520729996</v>
      </c>
      <c r="AK126" s="36">
        <v>36347</v>
      </c>
      <c r="AL126" s="36">
        <v>18890</v>
      </c>
      <c r="AM126" s="36">
        <v>9542</v>
      </c>
      <c r="AN126" s="36">
        <v>683</v>
      </c>
      <c r="AO126" s="36">
        <v>35532</v>
      </c>
      <c r="AP126" s="36">
        <v>19830</v>
      </c>
      <c r="AQ126" s="36">
        <v>10967</v>
      </c>
      <c r="AR126" s="36">
        <v>613</v>
      </c>
      <c r="AS126" s="36">
        <v>36698</v>
      </c>
      <c r="AT126" s="36">
        <v>19919</v>
      </c>
      <c r="AU126" s="36">
        <v>9941</v>
      </c>
      <c r="AV126" s="36">
        <v>685</v>
      </c>
      <c r="AW126" s="36">
        <v>37739</v>
      </c>
      <c r="AX126" s="69">
        <v>20727</v>
      </c>
      <c r="AY126" s="36">
        <v>10619</v>
      </c>
      <c r="AZ126" s="36">
        <v>583</v>
      </c>
      <c r="BA126" s="36">
        <v>41040</v>
      </c>
      <c r="BB126" s="36">
        <v>22145</v>
      </c>
      <c r="BC126" s="36">
        <v>12246</v>
      </c>
      <c r="BD126" s="36">
        <v>433</v>
      </c>
      <c r="BE126" s="70">
        <v>43395</v>
      </c>
      <c r="BF126" s="70">
        <v>23338</v>
      </c>
      <c r="BG126" s="70">
        <v>11437</v>
      </c>
      <c r="BH126" s="70">
        <v>171</v>
      </c>
      <c r="BI126" s="36">
        <v>47993</v>
      </c>
      <c r="BJ126" s="36">
        <v>25897</v>
      </c>
      <c r="BK126" s="36">
        <v>11639</v>
      </c>
      <c r="BL126" s="36">
        <v>259</v>
      </c>
      <c r="BM126" s="36">
        <v>26316.533041359096</v>
      </c>
      <c r="BN126" s="36">
        <v>3308.5928893508449</v>
      </c>
      <c r="BO126" s="36">
        <v>1013.5004448570654</v>
      </c>
      <c r="BP126" s="36">
        <v>27349.375097759232</v>
      </c>
      <c r="BQ126" s="36">
        <v>2949.3434784290575</v>
      </c>
      <c r="BR126" s="36">
        <v>1391.2505276896193</v>
      </c>
      <c r="BS126" s="36">
        <v>26499.857881202141</v>
      </c>
      <c r="BT126" s="36">
        <v>3309.6020169096141</v>
      </c>
      <c r="BU126" s="36">
        <v>1441.3705297751494</v>
      </c>
      <c r="BV126" s="36">
        <v>30647</v>
      </c>
      <c r="BW126" s="36">
        <v>3073</v>
      </c>
      <c r="BX126" s="36">
        <v>1533</v>
      </c>
      <c r="BY126" s="36">
        <v>33107</v>
      </c>
      <c r="BZ126" s="36">
        <v>1656</v>
      </c>
      <c r="CA126" s="36">
        <v>1584</v>
      </c>
      <c r="CB126" s="36">
        <v>32823</v>
      </c>
      <c r="CC126" s="36">
        <v>1122</v>
      </c>
      <c r="CD126" s="36">
        <v>1587</v>
      </c>
      <c r="CE126" s="36">
        <v>33685</v>
      </c>
      <c r="CF126" s="36">
        <v>1286</v>
      </c>
      <c r="CG126" s="36">
        <v>1727</v>
      </c>
      <c r="CH126" s="36">
        <v>34342</v>
      </c>
      <c r="CI126" s="36">
        <v>1565</v>
      </c>
      <c r="CJ126" s="70">
        <v>1832</v>
      </c>
      <c r="CK126" s="70">
        <v>37136</v>
      </c>
      <c r="CL126" s="70">
        <v>1866</v>
      </c>
      <c r="CM126" s="36">
        <v>2038</v>
      </c>
      <c r="CN126" s="36">
        <v>39255</v>
      </c>
      <c r="CO126" s="36">
        <v>2064</v>
      </c>
      <c r="CP126" s="36">
        <v>2076</v>
      </c>
      <c r="CQ126" s="36">
        <v>43676</v>
      </c>
      <c r="CR126" s="36">
        <v>2104</v>
      </c>
      <c r="CS126" s="36">
        <v>2213</v>
      </c>
      <c r="CT126" s="36">
        <v>979.02191993245572</v>
      </c>
      <c r="CU126" s="36">
        <v>73.161748009999997</v>
      </c>
      <c r="CV126" s="36">
        <v>2377.6727163863816</v>
      </c>
      <c r="CW126" s="36">
        <v>11967</v>
      </c>
      <c r="CX126" s="36">
        <v>1795.9106787560147</v>
      </c>
      <c r="CY126" s="36">
        <v>-1599.2989930000001</v>
      </c>
      <c r="CZ126" s="36">
        <v>2499.9453389238997</v>
      </c>
      <c r="DA126" s="36">
        <v>10793</v>
      </c>
      <c r="DB126" s="36">
        <v>718.66700977003666</v>
      </c>
      <c r="DC126" s="36">
        <v>-1856.7947079999999</v>
      </c>
      <c r="DD126" s="36">
        <v>1902.2054482796898</v>
      </c>
      <c r="DE126" s="36">
        <v>3224</v>
      </c>
      <c r="DF126" s="36">
        <v>2026.4963259347464</v>
      </c>
      <c r="DG126" s="36">
        <v>-4593</v>
      </c>
      <c r="DH126" s="36">
        <v>1924.0698787196861</v>
      </c>
      <c r="DI126" s="36">
        <v>7502</v>
      </c>
      <c r="DJ126" s="36">
        <v>3384</v>
      </c>
      <c r="DK126" s="36">
        <v>-5662</v>
      </c>
      <c r="DL126" s="36">
        <v>2069</v>
      </c>
      <c r="DM126" s="36">
        <v>8928</v>
      </c>
      <c r="DN126" s="36">
        <v>754</v>
      </c>
      <c r="DO126" s="69">
        <v>-3107</v>
      </c>
      <c r="DP126" s="36">
        <v>2215</v>
      </c>
      <c r="DQ126" s="36">
        <v>11780</v>
      </c>
      <c r="DR126" s="36">
        <v>-335</v>
      </c>
      <c r="DS126" s="36">
        <v>-4560</v>
      </c>
      <c r="DT126" s="36">
        <v>2286</v>
      </c>
      <c r="DU126" s="36">
        <v>14392</v>
      </c>
      <c r="DV126" s="36">
        <v>236</v>
      </c>
      <c r="DW126" s="71">
        <v>-1336</v>
      </c>
      <c r="DX126" s="39">
        <v>2401</v>
      </c>
      <c r="DY126" s="71">
        <v>15317</v>
      </c>
      <c r="DZ126" s="70">
        <v>3352</v>
      </c>
      <c r="EA126" s="35">
        <v>-2997</v>
      </c>
      <c r="EB126" s="35">
        <v>2517</v>
      </c>
      <c r="EC126" s="38">
        <v>16174</v>
      </c>
      <c r="ED126" s="38">
        <v>1333</v>
      </c>
      <c r="EE126" s="38">
        <v>-4896</v>
      </c>
      <c r="EF126" s="38">
        <v>2653</v>
      </c>
      <c r="EG126" s="73">
        <v>20437</v>
      </c>
      <c r="EH126" s="73">
        <v>3473</v>
      </c>
      <c r="EI126" s="73">
        <v>-4241</v>
      </c>
      <c r="EJ126" s="73">
        <v>3196</v>
      </c>
      <c r="EK126" s="73">
        <v>21119</v>
      </c>
      <c r="EL126" s="73">
        <v>49046.290363</v>
      </c>
      <c r="EM126" s="73">
        <v>-330.15289964394617</v>
      </c>
      <c r="EN126" s="73">
        <v>49578.773338177147</v>
      </c>
      <c r="EO126" s="73">
        <v>-704.03466016788514</v>
      </c>
      <c r="EP126" s="73">
        <v>51517.307378572521</v>
      </c>
      <c r="EQ126" s="73">
        <v>5657.6736582387693</v>
      </c>
      <c r="ER126" s="73">
        <v>57088.532442610071</v>
      </c>
      <c r="ES126" s="73">
        <v>102.42644721506022</v>
      </c>
      <c r="ET126" s="73">
        <v>61498</v>
      </c>
      <c r="EU126" s="73">
        <v>1315</v>
      </c>
      <c r="EV126" s="73">
        <v>65767</v>
      </c>
      <c r="EW126" s="73">
        <v>-1461</v>
      </c>
      <c r="EX126" s="73">
        <v>67056</v>
      </c>
      <c r="EY126" s="73">
        <v>-2621</v>
      </c>
      <c r="EZ126" s="73">
        <v>68878</v>
      </c>
      <c r="FA126" s="73">
        <v>-2165</v>
      </c>
      <c r="FB126" s="73">
        <v>71995</v>
      </c>
      <c r="FC126" s="73">
        <v>835</v>
      </c>
      <c r="FD126" s="73">
        <v>76200</v>
      </c>
      <c r="FE126" s="73">
        <v>-1320</v>
      </c>
      <c r="FF126" s="73">
        <v>81485</v>
      </c>
      <c r="FG126" s="73">
        <v>277</v>
      </c>
      <c r="FH126" s="73">
        <v>-3499</v>
      </c>
      <c r="FI126" s="73">
        <v>-3222</v>
      </c>
      <c r="FJ126" s="79">
        <v>17975</v>
      </c>
      <c r="FK126" s="80">
        <v>49163</v>
      </c>
      <c r="FL126" s="80">
        <v>27869</v>
      </c>
      <c r="FM126" s="80">
        <v>11710</v>
      </c>
      <c r="FN126" s="76">
        <v>448</v>
      </c>
      <c r="FO126" s="80">
        <v>45280</v>
      </c>
      <c r="FP126" s="80">
        <v>1526</v>
      </c>
      <c r="FQ126" s="80">
        <v>2357</v>
      </c>
      <c r="FR126" s="80">
        <v>4591</v>
      </c>
      <c r="FS126" s="81">
        <v>-6458</v>
      </c>
      <c r="FT126" s="76">
        <v>3079</v>
      </c>
      <c r="FU126" s="76">
        <v>22710</v>
      </c>
      <c r="FV126" s="76">
        <v>6458</v>
      </c>
      <c r="FW126" s="80">
        <v>84274</v>
      </c>
      <c r="FX126" s="80">
        <v>1512</v>
      </c>
      <c r="FY126" s="73">
        <v>18142</v>
      </c>
      <c r="FZ126" s="73">
        <v>50567</v>
      </c>
      <c r="GA126" s="73">
        <v>29357</v>
      </c>
      <c r="GB126" s="73">
        <v>12370</v>
      </c>
      <c r="GC126" s="73">
        <v>409</v>
      </c>
      <c r="GD126" s="73">
        <v>46265</v>
      </c>
      <c r="GE126" s="73">
        <v>1725</v>
      </c>
      <c r="GF126" s="73">
        <v>2577</v>
      </c>
      <c r="GG126" s="73">
        <v>4575</v>
      </c>
      <c r="GH126" s="73">
        <v>-6614</v>
      </c>
      <c r="GI126" s="73">
        <v>3277</v>
      </c>
      <c r="GJ126" s="73">
        <v>24300</v>
      </c>
      <c r="GK126" s="73">
        <v>6614</v>
      </c>
      <c r="GL126" s="73">
        <v>87958</v>
      </c>
      <c r="GM126" s="73">
        <v>1298</v>
      </c>
      <c r="GN126" s="73">
        <v>-411</v>
      </c>
      <c r="GO126" s="77">
        <v>19.5</v>
      </c>
      <c r="GP126" s="78">
        <v>18286</v>
      </c>
      <c r="GQ126" s="73">
        <v>53748</v>
      </c>
      <c r="GR126" s="65">
        <v>30936</v>
      </c>
      <c r="GS126" s="65">
        <v>12431</v>
      </c>
      <c r="GT126" s="65">
        <v>257</v>
      </c>
      <c r="GU126" s="65">
        <v>48531</v>
      </c>
      <c r="GV126" s="65">
        <v>2211</v>
      </c>
      <c r="GW126" s="65">
        <v>3006</v>
      </c>
      <c r="GX126" s="65">
        <v>3185</v>
      </c>
      <c r="GY126" s="65">
        <v>-8243</v>
      </c>
      <c r="GZ126" s="65">
        <v>3306</v>
      </c>
      <c r="HA126" s="65">
        <v>27138</v>
      </c>
      <c r="HB126" s="65">
        <v>8243</v>
      </c>
      <c r="HC126" s="65">
        <v>93872</v>
      </c>
      <c r="HD126" s="65">
        <v>-121</v>
      </c>
      <c r="HE126" s="78">
        <v>18481</v>
      </c>
      <c r="HF126" s="73">
        <v>55895</v>
      </c>
      <c r="HG126" s="65">
        <v>31936</v>
      </c>
      <c r="HH126" s="65">
        <v>12985</v>
      </c>
      <c r="HI126" s="65">
        <v>7</v>
      </c>
      <c r="HJ126" s="65">
        <v>51065</v>
      </c>
      <c r="HK126" s="65">
        <v>1704</v>
      </c>
      <c r="HL126" s="65">
        <v>3126</v>
      </c>
      <c r="HM126" s="65">
        <v>1824</v>
      </c>
      <c r="HN126" s="65">
        <v>-11189</v>
      </c>
      <c r="HO126" s="65">
        <v>3585</v>
      </c>
      <c r="HP126" s="65">
        <v>36431</v>
      </c>
      <c r="HQ126" s="65">
        <v>11189</v>
      </c>
      <c r="HR126" s="65">
        <v>98790</v>
      </c>
      <c r="HS126" s="65">
        <v>-1761</v>
      </c>
      <c r="HT126" s="65">
        <v>-2294</v>
      </c>
      <c r="HU126" s="77">
        <v>20.25</v>
      </c>
      <c r="HV126" s="180">
        <v>230</v>
      </c>
      <c r="HW126" s="30" t="s">
        <v>756</v>
      </c>
    </row>
    <row r="127" spans="1:231" ht="15" x14ac:dyDescent="0.25">
      <c r="A127" s="27">
        <v>416</v>
      </c>
      <c r="B127" s="27" t="s">
        <v>255</v>
      </c>
      <c r="C127" s="27">
        <v>9</v>
      </c>
      <c r="D127" s="27" t="s">
        <v>105</v>
      </c>
      <c r="E127" s="27">
        <v>2</v>
      </c>
      <c r="F127" s="27" t="s">
        <v>744</v>
      </c>
      <c r="G127" s="29" t="s">
        <v>130</v>
      </c>
      <c r="H127" s="27" t="s">
        <v>98</v>
      </c>
      <c r="I127" s="31" t="s">
        <v>105</v>
      </c>
      <c r="J127" s="69">
        <v>3146</v>
      </c>
      <c r="K127" s="69">
        <v>3130</v>
      </c>
      <c r="L127" s="36">
        <v>3137</v>
      </c>
      <c r="M127" s="36">
        <v>3149</v>
      </c>
      <c r="N127" s="36">
        <v>3121</v>
      </c>
      <c r="O127" s="36">
        <v>3137</v>
      </c>
      <c r="P127" s="36">
        <v>3109</v>
      </c>
      <c r="Q127" s="36">
        <v>3107</v>
      </c>
      <c r="R127" s="69">
        <v>3052</v>
      </c>
      <c r="S127" s="69">
        <v>3056</v>
      </c>
      <c r="T127" s="71">
        <v>3059</v>
      </c>
      <c r="U127" s="36">
        <v>5069</v>
      </c>
      <c r="V127" s="36">
        <v>2646</v>
      </c>
      <c r="W127" s="36">
        <v>1374</v>
      </c>
      <c r="X127" s="36">
        <v>140.10054274243868</v>
      </c>
      <c r="Y127" s="36">
        <v>5196</v>
      </c>
      <c r="Z127" s="36">
        <v>2667</v>
      </c>
      <c r="AA127" s="36">
        <v>1394</v>
      </c>
      <c r="AB127" s="36">
        <v>176.59732278458657</v>
      </c>
      <c r="AC127" s="36">
        <v>4938</v>
      </c>
      <c r="AD127" s="36">
        <v>2765</v>
      </c>
      <c r="AE127" s="36">
        <v>1315</v>
      </c>
      <c r="AF127" s="36">
        <v>82.916647745524941</v>
      </c>
      <c r="AG127" s="36">
        <v>5632</v>
      </c>
      <c r="AH127" s="36">
        <v>3507</v>
      </c>
      <c r="AI127" s="36">
        <v>1267</v>
      </c>
      <c r="AJ127" s="36">
        <v>107.13570915598252</v>
      </c>
      <c r="AK127" s="36">
        <v>5727</v>
      </c>
      <c r="AL127" s="36">
        <v>3669</v>
      </c>
      <c r="AM127" s="36">
        <v>1264</v>
      </c>
      <c r="AN127" s="36">
        <v>70</v>
      </c>
      <c r="AO127" s="36">
        <v>5513</v>
      </c>
      <c r="AP127" s="36">
        <v>3911</v>
      </c>
      <c r="AQ127" s="36">
        <v>1307</v>
      </c>
      <c r="AR127" s="36">
        <v>111</v>
      </c>
      <c r="AS127" s="36">
        <v>5945</v>
      </c>
      <c r="AT127" s="36">
        <v>4086</v>
      </c>
      <c r="AU127" s="36">
        <v>1269</v>
      </c>
      <c r="AV127" s="36">
        <v>84</v>
      </c>
      <c r="AW127" s="36">
        <v>5970</v>
      </c>
      <c r="AX127" s="69">
        <v>4170</v>
      </c>
      <c r="AY127" s="36">
        <v>1476</v>
      </c>
      <c r="AZ127" s="36">
        <v>76</v>
      </c>
      <c r="BA127" s="36">
        <v>6353</v>
      </c>
      <c r="BB127" s="36">
        <v>4378</v>
      </c>
      <c r="BC127" s="36">
        <v>1580</v>
      </c>
      <c r="BD127" s="36">
        <v>51</v>
      </c>
      <c r="BE127" s="70">
        <v>6911</v>
      </c>
      <c r="BF127" s="70">
        <v>4466</v>
      </c>
      <c r="BG127" s="70">
        <v>1928</v>
      </c>
      <c r="BH127" s="70">
        <v>51</v>
      </c>
      <c r="BI127" s="36">
        <v>7899</v>
      </c>
      <c r="BJ127" s="36">
        <v>4901</v>
      </c>
      <c r="BK127" s="36">
        <v>1864</v>
      </c>
      <c r="BL127" s="36">
        <v>38</v>
      </c>
      <c r="BM127" s="36">
        <v>4120.6041983070199</v>
      </c>
      <c r="BN127" s="36">
        <v>785.43761657525647</v>
      </c>
      <c r="BO127" s="36">
        <v>163.1422886676657</v>
      </c>
      <c r="BP127" s="36">
        <v>4377.763537866671</v>
      </c>
      <c r="BQ127" s="36">
        <v>650.55089955312462</v>
      </c>
      <c r="BR127" s="36">
        <v>168.01973853504953</v>
      </c>
      <c r="BS127" s="36">
        <v>4069.8114445156434</v>
      </c>
      <c r="BT127" s="36">
        <v>649.37358406789406</v>
      </c>
      <c r="BU127" s="36">
        <v>218.47611647350283</v>
      </c>
      <c r="BV127" s="36">
        <v>4895</v>
      </c>
      <c r="BW127" s="36">
        <v>499</v>
      </c>
      <c r="BX127" s="36">
        <v>238</v>
      </c>
      <c r="BY127" s="36">
        <v>5197</v>
      </c>
      <c r="BZ127" s="36">
        <v>285</v>
      </c>
      <c r="CA127" s="36">
        <v>245</v>
      </c>
      <c r="CB127" s="36">
        <v>5105</v>
      </c>
      <c r="CC127" s="36">
        <v>167</v>
      </c>
      <c r="CD127" s="36">
        <v>241</v>
      </c>
      <c r="CE127" s="36">
        <v>5458</v>
      </c>
      <c r="CF127" s="36">
        <v>237</v>
      </c>
      <c r="CG127" s="36">
        <v>250</v>
      </c>
      <c r="CH127" s="36">
        <v>5410</v>
      </c>
      <c r="CI127" s="36">
        <v>301</v>
      </c>
      <c r="CJ127" s="70">
        <v>259</v>
      </c>
      <c r="CK127" s="70">
        <v>5716</v>
      </c>
      <c r="CL127" s="70">
        <v>370</v>
      </c>
      <c r="CM127" s="36">
        <v>267</v>
      </c>
      <c r="CN127" s="36">
        <v>6184</v>
      </c>
      <c r="CO127" s="36">
        <v>422</v>
      </c>
      <c r="CP127" s="36">
        <v>305</v>
      </c>
      <c r="CQ127" s="36">
        <v>7203</v>
      </c>
      <c r="CR127" s="36">
        <v>373</v>
      </c>
      <c r="CS127" s="36">
        <v>323</v>
      </c>
      <c r="CT127" s="36">
        <v>626.33183814266704</v>
      </c>
      <c r="CU127" s="36">
        <v>-577.2209636</v>
      </c>
      <c r="CV127" s="36">
        <v>426.18820565346903</v>
      </c>
      <c r="CW127" s="36">
        <v>101</v>
      </c>
      <c r="CX127" s="36">
        <v>622.6317037605138</v>
      </c>
      <c r="CY127" s="36">
        <v>-563.26136570000006</v>
      </c>
      <c r="CZ127" s="36">
        <v>485.22216784145934</v>
      </c>
      <c r="DA127" s="36">
        <v>46</v>
      </c>
      <c r="DB127" s="36">
        <v>-104.61289025905985</v>
      </c>
      <c r="DC127" s="36">
        <v>-711.77130480000005</v>
      </c>
      <c r="DD127" s="36">
        <v>505.57290694330214</v>
      </c>
      <c r="DE127" s="36">
        <v>22</v>
      </c>
      <c r="DF127" s="36">
        <v>842.11694779278571</v>
      </c>
      <c r="DG127" s="36">
        <v>-929</v>
      </c>
      <c r="DH127" s="36">
        <v>492.28606075284284</v>
      </c>
      <c r="DI127" s="36">
        <v>0</v>
      </c>
      <c r="DJ127" s="36">
        <v>1117</v>
      </c>
      <c r="DK127" s="36">
        <v>-117</v>
      </c>
      <c r="DL127" s="36">
        <v>479</v>
      </c>
      <c r="DM127" s="36">
        <v>0</v>
      </c>
      <c r="DN127" s="36">
        <v>441</v>
      </c>
      <c r="DO127" s="69">
        <v>-286</v>
      </c>
      <c r="DP127" s="36">
        <v>481</v>
      </c>
      <c r="DQ127" s="36">
        <v>0</v>
      </c>
      <c r="DR127" s="36">
        <v>735</v>
      </c>
      <c r="DS127" s="36">
        <v>-565</v>
      </c>
      <c r="DT127" s="36">
        <v>527</v>
      </c>
      <c r="DU127" s="36">
        <v>0</v>
      </c>
      <c r="DV127" s="36">
        <v>-174</v>
      </c>
      <c r="DW127" s="71">
        <v>-895</v>
      </c>
      <c r="DX127" s="39">
        <v>537</v>
      </c>
      <c r="DY127" s="71">
        <v>0</v>
      </c>
      <c r="DZ127" s="70">
        <v>-250</v>
      </c>
      <c r="EA127" s="35">
        <v>-1153</v>
      </c>
      <c r="EB127" s="35">
        <v>522</v>
      </c>
      <c r="EC127" s="38">
        <v>0</v>
      </c>
      <c r="ED127" s="38">
        <v>276</v>
      </c>
      <c r="EE127" s="38">
        <v>-739</v>
      </c>
      <c r="EF127" s="38">
        <v>531</v>
      </c>
      <c r="EG127" s="73">
        <v>500</v>
      </c>
      <c r="EH127" s="73">
        <v>1185</v>
      </c>
      <c r="EI127" s="73">
        <v>-266</v>
      </c>
      <c r="EJ127" s="73">
        <v>530</v>
      </c>
      <c r="EK127" s="73">
        <v>450</v>
      </c>
      <c r="EL127" s="73">
        <v>8115.2356396943687</v>
      </c>
      <c r="EM127" s="73">
        <v>249.25450701595935</v>
      </c>
      <c r="EN127" s="73">
        <v>8326.1432994771039</v>
      </c>
      <c r="EO127" s="73">
        <v>173.06537632889484</v>
      </c>
      <c r="EP127" s="73">
        <v>8687.0745896635053</v>
      </c>
      <c r="EQ127" s="73">
        <v>-430.05652796208369</v>
      </c>
      <c r="ER127" s="73">
        <v>9122.5131312723588</v>
      </c>
      <c r="ES127" s="73">
        <v>227.39007657596292</v>
      </c>
      <c r="ET127" s="73">
        <v>9609</v>
      </c>
      <c r="EU127" s="73">
        <v>642</v>
      </c>
      <c r="EV127" s="73">
        <v>10370</v>
      </c>
      <c r="EW127" s="73">
        <v>-187</v>
      </c>
      <c r="EX127" s="73">
        <v>10646</v>
      </c>
      <c r="EY127" s="73">
        <v>227</v>
      </c>
      <c r="EZ127" s="73">
        <v>11862</v>
      </c>
      <c r="FA127" s="73">
        <v>-692</v>
      </c>
      <c r="FB127" s="73">
        <v>12612</v>
      </c>
      <c r="FC127" s="73">
        <v>-753</v>
      </c>
      <c r="FD127" s="73">
        <v>13057</v>
      </c>
      <c r="FE127" s="73">
        <v>-236</v>
      </c>
      <c r="FF127" s="73">
        <v>13517</v>
      </c>
      <c r="FG127" s="73">
        <v>674</v>
      </c>
      <c r="FH127" s="73">
        <v>-237</v>
      </c>
      <c r="FI127" s="73">
        <v>604</v>
      </c>
      <c r="FJ127" s="79">
        <v>3041</v>
      </c>
      <c r="FK127" s="80">
        <v>7873</v>
      </c>
      <c r="FL127" s="80">
        <v>5163</v>
      </c>
      <c r="FM127" s="80">
        <v>1731</v>
      </c>
      <c r="FN127" s="76">
        <v>22</v>
      </c>
      <c r="FO127" s="80">
        <v>7153</v>
      </c>
      <c r="FP127" s="80">
        <v>301</v>
      </c>
      <c r="FQ127" s="80">
        <v>419</v>
      </c>
      <c r="FR127" s="80">
        <v>810</v>
      </c>
      <c r="FS127" s="81">
        <v>-657</v>
      </c>
      <c r="FT127" s="76">
        <v>537</v>
      </c>
      <c r="FU127" s="76">
        <v>400</v>
      </c>
      <c r="FV127" s="76">
        <v>657</v>
      </c>
      <c r="FW127" s="80">
        <v>13979</v>
      </c>
      <c r="FX127" s="80">
        <v>292</v>
      </c>
      <c r="FY127" s="73">
        <v>3064</v>
      </c>
      <c r="FZ127" s="73">
        <v>8154</v>
      </c>
      <c r="GA127" s="73">
        <v>5553</v>
      </c>
      <c r="GB127" s="73">
        <v>1815</v>
      </c>
      <c r="GC127" s="73">
        <v>15</v>
      </c>
      <c r="GD127" s="73">
        <v>7261</v>
      </c>
      <c r="GE127" s="73">
        <v>378</v>
      </c>
      <c r="GF127" s="73">
        <v>515</v>
      </c>
      <c r="GG127" s="73">
        <v>416</v>
      </c>
      <c r="GH127" s="73">
        <v>-1814</v>
      </c>
      <c r="GI127" s="73">
        <v>641</v>
      </c>
      <c r="GJ127" s="73">
        <v>950</v>
      </c>
      <c r="GK127" s="73">
        <v>1814</v>
      </c>
      <c r="GL127" s="73">
        <v>15121</v>
      </c>
      <c r="GM127" s="73">
        <v>-206</v>
      </c>
      <c r="GN127" s="73">
        <v>689</v>
      </c>
      <c r="GO127" s="77">
        <v>19.5</v>
      </c>
      <c r="GP127" s="78">
        <v>3068</v>
      </c>
      <c r="GQ127" s="73">
        <v>8820</v>
      </c>
      <c r="GR127" s="65">
        <v>5563</v>
      </c>
      <c r="GS127" s="65">
        <v>1782</v>
      </c>
      <c r="GT127" s="65">
        <v>16</v>
      </c>
      <c r="GU127" s="65">
        <v>7915</v>
      </c>
      <c r="GV127" s="65">
        <v>392</v>
      </c>
      <c r="GW127" s="65">
        <v>513</v>
      </c>
      <c r="GX127" s="65">
        <v>471</v>
      </c>
      <c r="GY127" s="65">
        <v>-503</v>
      </c>
      <c r="GZ127" s="65">
        <v>689</v>
      </c>
      <c r="HA127" s="65">
        <v>840</v>
      </c>
      <c r="HB127" s="65">
        <v>503</v>
      </c>
      <c r="HC127" s="65">
        <v>15696</v>
      </c>
      <c r="HD127" s="65">
        <v>-199</v>
      </c>
      <c r="HE127" s="78">
        <v>3059</v>
      </c>
      <c r="HF127" s="73">
        <v>8771</v>
      </c>
      <c r="HG127" s="65">
        <v>5312</v>
      </c>
      <c r="HH127" s="65">
        <v>2019</v>
      </c>
      <c r="HI127" s="65">
        <v>9</v>
      </c>
      <c r="HJ127" s="65">
        <v>7987</v>
      </c>
      <c r="HK127" s="65">
        <v>262</v>
      </c>
      <c r="HL127" s="65">
        <v>522</v>
      </c>
      <c r="HM127" s="65">
        <v>-49</v>
      </c>
      <c r="HN127" s="65">
        <v>-2226</v>
      </c>
      <c r="HO127" s="65">
        <v>719</v>
      </c>
      <c r="HP127" s="65">
        <v>2780</v>
      </c>
      <c r="HQ127" s="65">
        <v>2226</v>
      </c>
      <c r="HR127" s="65">
        <v>16120</v>
      </c>
      <c r="HS127" s="65">
        <v>-749</v>
      </c>
      <c r="HT127" s="65">
        <v>-258</v>
      </c>
      <c r="HU127" s="77">
        <v>19.5</v>
      </c>
      <c r="HV127" s="180">
        <v>330</v>
      </c>
      <c r="HW127" s="30" t="s">
        <v>760</v>
      </c>
    </row>
    <row r="128" spans="1:231" ht="15" x14ac:dyDescent="0.25">
      <c r="A128" s="27">
        <v>418</v>
      </c>
      <c r="B128" s="27" t="s">
        <v>256</v>
      </c>
      <c r="C128" s="27">
        <v>6</v>
      </c>
      <c r="D128" s="27" t="s">
        <v>114</v>
      </c>
      <c r="E128" s="27">
        <v>5</v>
      </c>
      <c r="F128" s="27" t="s">
        <v>101</v>
      </c>
      <c r="G128" s="29" t="s">
        <v>141</v>
      </c>
      <c r="H128" s="27" t="s">
        <v>97</v>
      </c>
      <c r="I128" s="31" t="s">
        <v>114</v>
      </c>
      <c r="J128" s="69">
        <v>15705</v>
      </c>
      <c r="K128" s="69">
        <v>15964</v>
      </c>
      <c r="L128" s="36">
        <v>16331</v>
      </c>
      <c r="M128" s="36">
        <v>16761</v>
      </c>
      <c r="N128" s="36">
        <v>17098</v>
      </c>
      <c r="O128" s="36">
        <v>17397</v>
      </c>
      <c r="P128" s="36">
        <v>17733</v>
      </c>
      <c r="Q128" s="36">
        <v>18248</v>
      </c>
      <c r="R128" s="69">
        <v>18702</v>
      </c>
      <c r="S128" s="69">
        <v>19271</v>
      </c>
      <c r="T128" s="71">
        <v>19753</v>
      </c>
      <c r="U128" s="36">
        <v>32596</v>
      </c>
      <c r="V128" s="36">
        <v>7325</v>
      </c>
      <c r="W128" s="36">
        <v>6937</v>
      </c>
      <c r="X128" s="36">
        <v>1005.2592364604515</v>
      </c>
      <c r="Y128" s="36">
        <v>34412</v>
      </c>
      <c r="Z128" s="36">
        <v>7410</v>
      </c>
      <c r="AA128" s="36">
        <v>7246</v>
      </c>
      <c r="AB128" s="36">
        <v>1338.7758946336278</v>
      </c>
      <c r="AC128" s="36">
        <v>34437</v>
      </c>
      <c r="AD128" s="36">
        <v>7972</v>
      </c>
      <c r="AE128" s="36">
        <v>7404</v>
      </c>
      <c r="AF128" s="36">
        <v>1391.5869035425426</v>
      </c>
      <c r="AG128" s="36">
        <v>37580</v>
      </c>
      <c r="AH128" s="36">
        <v>9974</v>
      </c>
      <c r="AI128" s="36">
        <v>8839</v>
      </c>
      <c r="AJ128" s="36">
        <v>819.24338979402023</v>
      </c>
      <c r="AK128" s="36">
        <v>41591</v>
      </c>
      <c r="AL128" s="36">
        <v>11424</v>
      </c>
      <c r="AM128" s="36">
        <v>9648</v>
      </c>
      <c r="AN128" s="36">
        <v>312</v>
      </c>
      <c r="AO128" s="36">
        <v>41281</v>
      </c>
      <c r="AP128" s="36">
        <v>12415</v>
      </c>
      <c r="AQ128" s="36">
        <v>9755</v>
      </c>
      <c r="AR128" s="36">
        <v>491</v>
      </c>
      <c r="AS128" s="36">
        <v>41798</v>
      </c>
      <c r="AT128" s="36">
        <v>13206</v>
      </c>
      <c r="AU128" s="36">
        <v>13296</v>
      </c>
      <c r="AV128" s="36">
        <v>413</v>
      </c>
      <c r="AW128" s="36">
        <v>45007</v>
      </c>
      <c r="AX128" s="69">
        <v>14809</v>
      </c>
      <c r="AY128" s="36">
        <v>13506</v>
      </c>
      <c r="AZ128" s="36">
        <v>835</v>
      </c>
      <c r="BA128" s="36">
        <v>50826</v>
      </c>
      <c r="BB128" s="36">
        <v>15059</v>
      </c>
      <c r="BC128" s="36">
        <v>14839</v>
      </c>
      <c r="BD128" s="36">
        <v>400</v>
      </c>
      <c r="BE128" s="70">
        <v>55198</v>
      </c>
      <c r="BF128" s="70">
        <v>16822</v>
      </c>
      <c r="BG128" s="70">
        <v>14315</v>
      </c>
      <c r="BH128" s="70">
        <v>546</v>
      </c>
      <c r="BI128" s="36">
        <v>64311</v>
      </c>
      <c r="BJ128" s="36">
        <v>18926</v>
      </c>
      <c r="BK128" s="36">
        <v>16230</v>
      </c>
      <c r="BL128" s="36">
        <v>0</v>
      </c>
      <c r="BM128" s="36">
        <v>26587.98835466797</v>
      </c>
      <c r="BN128" s="36">
        <v>5291.8649181849842</v>
      </c>
      <c r="BO128" s="36">
        <v>715.97600294665244</v>
      </c>
      <c r="BP128" s="36">
        <v>28637.862802380867</v>
      </c>
      <c r="BQ128" s="36">
        <v>4663.6830128512393</v>
      </c>
      <c r="BR128" s="36">
        <v>1110.0403146459728</v>
      </c>
      <c r="BS128" s="36">
        <v>28497.93044756489</v>
      </c>
      <c r="BT128" s="36">
        <v>4714.8121424955389</v>
      </c>
      <c r="BU128" s="36">
        <v>1224.4081046398003</v>
      </c>
      <c r="BV128" s="36">
        <v>33099</v>
      </c>
      <c r="BW128" s="36">
        <v>3178</v>
      </c>
      <c r="BX128" s="36">
        <v>1303</v>
      </c>
      <c r="BY128" s="36">
        <v>37995</v>
      </c>
      <c r="BZ128" s="36">
        <v>2248</v>
      </c>
      <c r="CA128" s="36">
        <v>1348</v>
      </c>
      <c r="CB128" s="36">
        <v>38602</v>
      </c>
      <c r="CC128" s="36">
        <v>1218</v>
      </c>
      <c r="CD128" s="36">
        <v>1461</v>
      </c>
      <c r="CE128" s="36">
        <v>38709</v>
      </c>
      <c r="CF128" s="36">
        <v>1600</v>
      </c>
      <c r="CG128" s="36">
        <v>1489</v>
      </c>
      <c r="CH128" s="36">
        <v>41580</v>
      </c>
      <c r="CI128" s="36">
        <v>1873</v>
      </c>
      <c r="CJ128" s="70">
        <v>1554</v>
      </c>
      <c r="CK128" s="70">
        <v>46773</v>
      </c>
      <c r="CL128" s="70">
        <v>2084</v>
      </c>
      <c r="CM128" s="36">
        <v>1969</v>
      </c>
      <c r="CN128" s="36">
        <v>50052</v>
      </c>
      <c r="CO128" s="36">
        <v>2566</v>
      </c>
      <c r="CP128" s="36">
        <v>2580</v>
      </c>
      <c r="CQ128" s="36">
        <v>58876</v>
      </c>
      <c r="CR128" s="36">
        <v>2638</v>
      </c>
      <c r="CS128" s="36">
        <v>2797</v>
      </c>
      <c r="CT128" s="36">
        <v>3045.7151602915033</v>
      </c>
      <c r="CU128" s="36">
        <v>-3764.8867340000002</v>
      </c>
      <c r="CV128" s="36">
        <v>2388.9413074593026</v>
      </c>
      <c r="CW128" s="36">
        <v>5518</v>
      </c>
      <c r="CX128" s="36">
        <v>3781.0327747812294</v>
      </c>
      <c r="CY128" s="36">
        <v>-3686.51116</v>
      </c>
      <c r="CZ128" s="36">
        <v>2547.8788979654305</v>
      </c>
      <c r="DA128" s="36">
        <v>4798</v>
      </c>
      <c r="DB128" s="36">
        <v>1163.0195114813487</v>
      </c>
      <c r="DC128" s="36">
        <v>-7826.120594</v>
      </c>
      <c r="DD128" s="36">
        <v>2859.5311256986106</v>
      </c>
      <c r="DE128" s="36">
        <v>4820</v>
      </c>
      <c r="DF128" s="36">
        <v>2175.6790167061067</v>
      </c>
      <c r="DG128" s="36">
        <v>-4840</v>
      </c>
      <c r="DH128" s="36">
        <v>3028.3918038659676</v>
      </c>
      <c r="DI128" s="36">
        <v>6235</v>
      </c>
      <c r="DJ128" s="36">
        <v>7885</v>
      </c>
      <c r="DK128" s="36">
        <v>-4882</v>
      </c>
      <c r="DL128" s="36">
        <v>3341</v>
      </c>
      <c r="DM128" s="36">
        <v>6859</v>
      </c>
      <c r="DN128" s="36">
        <v>5764</v>
      </c>
      <c r="DO128" s="69">
        <v>-7097</v>
      </c>
      <c r="DP128" s="36">
        <v>3253</v>
      </c>
      <c r="DQ128" s="36">
        <v>8660</v>
      </c>
      <c r="DR128" s="36">
        <v>4061</v>
      </c>
      <c r="DS128" s="36">
        <v>-2919</v>
      </c>
      <c r="DT128" s="36">
        <v>3069</v>
      </c>
      <c r="DU128" s="36">
        <v>7375</v>
      </c>
      <c r="DV128" s="36">
        <v>4509</v>
      </c>
      <c r="DW128" s="71">
        <v>-8462</v>
      </c>
      <c r="DX128" s="39">
        <v>3696</v>
      </c>
      <c r="DY128" s="71">
        <v>16104</v>
      </c>
      <c r="DZ128" s="70">
        <v>4976</v>
      </c>
      <c r="EA128" s="35">
        <v>-8675</v>
      </c>
      <c r="EB128" s="35">
        <v>3302</v>
      </c>
      <c r="EC128" s="38">
        <v>19695</v>
      </c>
      <c r="ED128" s="38">
        <v>2659</v>
      </c>
      <c r="EE128" s="38">
        <v>-6770</v>
      </c>
      <c r="EF128" s="38">
        <v>3884</v>
      </c>
      <c r="EG128" s="73">
        <v>21964</v>
      </c>
      <c r="EH128" s="73">
        <v>5787</v>
      </c>
      <c r="EI128" s="73">
        <v>-7622</v>
      </c>
      <c r="EJ128" s="73">
        <v>4700</v>
      </c>
      <c r="EK128" s="73">
        <v>24286</v>
      </c>
      <c r="EL128" s="73">
        <v>42095.587926125132</v>
      </c>
      <c r="EM128" s="73">
        <v>656.77385283220053</v>
      </c>
      <c r="EN128" s="73">
        <v>44021.003308256513</v>
      </c>
      <c r="EO128" s="73">
        <v>1207.0847482142647</v>
      </c>
      <c r="EP128" s="73">
        <v>46996.415915287107</v>
      </c>
      <c r="EQ128" s="73">
        <v>-1649.5871827345002</v>
      </c>
      <c r="ER128" s="73">
        <v>51664.976378005726</v>
      </c>
      <c r="ES128" s="73">
        <v>-716.98513050542147</v>
      </c>
      <c r="ET128" s="73">
        <v>54588</v>
      </c>
      <c r="EU128" s="73">
        <v>4428</v>
      </c>
      <c r="EV128" s="73">
        <v>57920</v>
      </c>
      <c r="EW128" s="73">
        <v>2647</v>
      </c>
      <c r="EX128" s="73">
        <v>64382</v>
      </c>
      <c r="EY128" s="73">
        <v>1129</v>
      </c>
      <c r="EZ128" s="73">
        <v>69246</v>
      </c>
      <c r="FA128" s="73">
        <v>926</v>
      </c>
      <c r="FB128" s="73">
        <v>75810</v>
      </c>
      <c r="FC128" s="73">
        <v>1839</v>
      </c>
      <c r="FD128" s="73">
        <v>83358</v>
      </c>
      <c r="FE128" s="73">
        <v>-1062</v>
      </c>
      <c r="FF128" s="73">
        <v>92608</v>
      </c>
      <c r="FG128" s="73">
        <v>1311</v>
      </c>
      <c r="FH128" s="73">
        <v>13456</v>
      </c>
      <c r="FI128" s="73">
        <v>14767</v>
      </c>
      <c r="FJ128" s="79">
        <v>20178</v>
      </c>
      <c r="FK128" s="80">
        <v>64718</v>
      </c>
      <c r="FL128" s="80">
        <v>20082</v>
      </c>
      <c r="FM128" s="80">
        <v>16918</v>
      </c>
      <c r="FN128" s="76">
        <v>411</v>
      </c>
      <c r="FO128" s="80">
        <v>59780</v>
      </c>
      <c r="FP128" s="80">
        <v>1951</v>
      </c>
      <c r="FQ128" s="80">
        <v>2987</v>
      </c>
      <c r="FR128" s="80">
        <v>3503</v>
      </c>
      <c r="FS128" s="81">
        <v>-9520</v>
      </c>
      <c r="FT128" s="76">
        <v>5882</v>
      </c>
      <c r="FU128" s="76">
        <v>29621</v>
      </c>
      <c r="FV128" s="76">
        <v>9520</v>
      </c>
      <c r="FW128" s="80">
        <v>97949</v>
      </c>
      <c r="FX128" s="80">
        <v>-2155</v>
      </c>
      <c r="FY128" s="73">
        <v>20588</v>
      </c>
      <c r="FZ128" s="73">
        <v>71109</v>
      </c>
      <c r="GA128" s="73">
        <v>21852</v>
      </c>
      <c r="GB128" s="73">
        <v>20767</v>
      </c>
      <c r="GC128" s="73">
        <v>306</v>
      </c>
      <c r="GD128" s="73">
        <v>65241</v>
      </c>
      <c r="GE128" s="73">
        <v>2476</v>
      </c>
      <c r="GF128" s="73">
        <v>3392</v>
      </c>
      <c r="GG128" s="73">
        <v>10604</v>
      </c>
      <c r="GH128" s="73">
        <v>-9112</v>
      </c>
      <c r="GI128" s="73">
        <v>6461</v>
      </c>
      <c r="GJ128" s="73">
        <v>33599</v>
      </c>
      <c r="GK128" s="73">
        <v>9112</v>
      </c>
      <c r="GL128" s="73">
        <v>102618</v>
      </c>
      <c r="GM128" s="73">
        <v>4367</v>
      </c>
      <c r="GN128" s="73">
        <v>16979</v>
      </c>
      <c r="GO128" s="77">
        <v>20</v>
      </c>
      <c r="GP128" s="78">
        <v>20888</v>
      </c>
      <c r="GQ128" s="73">
        <v>73038</v>
      </c>
      <c r="GR128" s="65">
        <v>24077</v>
      </c>
      <c r="GS128" s="65">
        <v>23156</v>
      </c>
      <c r="GT128" s="65">
        <v>196</v>
      </c>
      <c r="GU128" s="65">
        <v>65952</v>
      </c>
      <c r="GV128" s="65">
        <v>3210</v>
      </c>
      <c r="GW128" s="65">
        <v>3876</v>
      </c>
      <c r="GX128" s="65">
        <v>8203</v>
      </c>
      <c r="GY128" s="65">
        <v>-9465</v>
      </c>
      <c r="GZ128" s="65">
        <v>6891</v>
      </c>
      <c r="HA128" s="65">
        <v>33515</v>
      </c>
      <c r="HB128" s="65">
        <v>9465</v>
      </c>
      <c r="HC128" s="65">
        <v>111396</v>
      </c>
      <c r="HD128" s="65">
        <v>1462</v>
      </c>
      <c r="HE128" s="78">
        <v>21440</v>
      </c>
      <c r="HF128" s="73">
        <v>76373</v>
      </c>
      <c r="HG128" s="65">
        <v>25578</v>
      </c>
      <c r="HH128" s="65">
        <v>23163</v>
      </c>
      <c r="HI128" s="65">
        <v>346</v>
      </c>
      <c r="HJ128" s="65">
        <v>69606</v>
      </c>
      <c r="HK128" s="65">
        <v>2525</v>
      </c>
      <c r="HL128" s="65">
        <v>4242</v>
      </c>
      <c r="HM128" s="65">
        <v>5723</v>
      </c>
      <c r="HN128" s="65">
        <v>-16506</v>
      </c>
      <c r="HO128" s="65">
        <v>6966</v>
      </c>
      <c r="HP128" s="65">
        <v>41140</v>
      </c>
      <c r="HQ128" s="65">
        <v>16506</v>
      </c>
      <c r="HR128" s="65">
        <v>118799</v>
      </c>
      <c r="HS128" s="65">
        <v>-1101</v>
      </c>
      <c r="HT128" s="65">
        <v>17341</v>
      </c>
      <c r="HU128" s="77">
        <v>20</v>
      </c>
      <c r="HV128" s="180">
        <v>110</v>
      </c>
      <c r="HW128" s="30" t="s">
        <v>750</v>
      </c>
    </row>
    <row r="129" spans="1:231" ht="15" x14ac:dyDescent="0.25">
      <c r="A129" s="27">
        <v>420</v>
      </c>
      <c r="B129" s="27" t="s">
        <v>257</v>
      </c>
      <c r="C129" s="27">
        <v>11</v>
      </c>
      <c r="D129" s="27" t="s">
        <v>118</v>
      </c>
      <c r="E129" s="27">
        <v>3</v>
      </c>
      <c r="F129" s="27" t="s">
        <v>743</v>
      </c>
      <c r="G129" s="29" t="s">
        <v>130</v>
      </c>
      <c r="H129" s="27" t="s">
        <v>98</v>
      </c>
      <c r="I129" s="31" t="s">
        <v>118</v>
      </c>
      <c r="J129" s="69">
        <v>11285</v>
      </c>
      <c r="K129" s="69">
        <v>11208</v>
      </c>
      <c r="L129" s="36">
        <v>11085</v>
      </c>
      <c r="M129" s="36">
        <v>11073</v>
      </c>
      <c r="N129" s="36">
        <v>11044</v>
      </c>
      <c r="O129" s="36">
        <v>11038</v>
      </c>
      <c r="P129" s="36">
        <v>10970</v>
      </c>
      <c r="Q129" s="36">
        <v>10967</v>
      </c>
      <c r="R129" s="69">
        <v>10921</v>
      </c>
      <c r="S129" s="69">
        <v>10885</v>
      </c>
      <c r="T129" s="71">
        <v>10760</v>
      </c>
      <c r="U129" s="36">
        <v>19942</v>
      </c>
      <c r="V129" s="36">
        <v>10516</v>
      </c>
      <c r="W129" s="36">
        <v>6648</v>
      </c>
      <c r="X129" s="36">
        <v>643.48700664174123</v>
      </c>
      <c r="Y129" s="36">
        <v>19945</v>
      </c>
      <c r="Z129" s="36">
        <v>10882</v>
      </c>
      <c r="AA129" s="36">
        <v>6585</v>
      </c>
      <c r="AB129" s="36">
        <v>677.62915571342796</v>
      </c>
      <c r="AC129" s="36">
        <v>19750</v>
      </c>
      <c r="AD129" s="36">
        <v>11286</v>
      </c>
      <c r="AE129" s="36">
        <v>6700</v>
      </c>
      <c r="AF129" s="36">
        <v>634.23667068635814</v>
      </c>
      <c r="AG129" s="36">
        <v>21297</v>
      </c>
      <c r="AH129" s="36">
        <v>13200</v>
      </c>
      <c r="AI129" s="36">
        <v>6801</v>
      </c>
      <c r="AJ129" s="36">
        <v>553.84284183775583</v>
      </c>
      <c r="AK129" s="36">
        <v>22641</v>
      </c>
      <c r="AL129" s="36">
        <v>14195</v>
      </c>
      <c r="AM129" s="36">
        <v>6802</v>
      </c>
      <c r="AN129" s="36">
        <v>408</v>
      </c>
      <c r="AO129" s="36">
        <v>21112</v>
      </c>
      <c r="AP129" s="36">
        <v>14750</v>
      </c>
      <c r="AQ129" s="36">
        <v>7206</v>
      </c>
      <c r="AR129" s="36">
        <v>474</v>
      </c>
      <c r="AS129" s="36">
        <v>22126</v>
      </c>
      <c r="AT129" s="36">
        <v>16434</v>
      </c>
      <c r="AU129" s="36">
        <v>9558</v>
      </c>
      <c r="AV129" s="36">
        <v>564</v>
      </c>
      <c r="AW129" s="36">
        <v>23972</v>
      </c>
      <c r="AX129" s="69">
        <v>16790</v>
      </c>
      <c r="AY129" s="36">
        <v>8848</v>
      </c>
      <c r="AZ129" s="36">
        <v>594</v>
      </c>
      <c r="BA129" s="36">
        <v>25447</v>
      </c>
      <c r="BB129" s="36">
        <v>17252</v>
      </c>
      <c r="BC129" s="36">
        <v>9407</v>
      </c>
      <c r="BD129" s="36">
        <v>385</v>
      </c>
      <c r="BE129" s="70">
        <v>27205</v>
      </c>
      <c r="BF129" s="70">
        <v>17975</v>
      </c>
      <c r="BG129" s="70">
        <v>10121</v>
      </c>
      <c r="BH129" s="70">
        <v>506</v>
      </c>
      <c r="BI129" s="36">
        <v>28647</v>
      </c>
      <c r="BJ129" s="36">
        <v>18778</v>
      </c>
      <c r="BK129" s="36">
        <v>10448</v>
      </c>
      <c r="BL129" s="36">
        <v>356</v>
      </c>
      <c r="BM129" s="36">
        <v>15114.544387316613</v>
      </c>
      <c r="BN129" s="36">
        <v>4164.5012471134742</v>
      </c>
      <c r="BO129" s="36">
        <v>662.82861818481501</v>
      </c>
      <c r="BP129" s="36">
        <v>15510.963329986393</v>
      </c>
      <c r="BQ129" s="36">
        <v>3774.6416335756917</v>
      </c>
      <c r="BR129" s="36">
        <v>659.63304758204629</v>
      </c>
      <c r="BS129" s="36">
        <v>14810.4606162742</v>
      </c>
      <c r="BT129" s="36">
        <v>4239.1766864623851</v>
      </c>
      <c r="BU129" s="36">
        <v>700.16633785927036</v>
      </c>
      <c r="BV129" s="36">
        <v>17243</v>
      </c>
      <c r="BW129" s="36">
        <v>3307</v>
      </c>
      <c r="BX129" s="36">
        <v>746</v>
      </c>
      <c r="BY129" s="36">
        <v>19279</v>
      </c>
      <c r="BZ129" s="36">
        <v>2588</v>
      </c>
      <c r="CA129" s="36">
        <v>774</v>
      </c>
      <c r="CB129" s="36">
        <v>18779</v>
      </c>
      <c r="CC129" s="36">
        <v>1373</v>
      </c>
      <c r="CD129" s="36">
        <v>960</v>
      </c>
      <c r="CE129" s="36">
        <v>19389</v>
      </c>
      <c r="CF129" s="36">
        <v>1776</v>
      </c>
      <c r="CG129" s="36">
        <v>961</v>
      </c>
      <c r="CH129" s="36">
        <v>20759</v>
      </c>
      <c r="CI129" s="36">
        <v>2175</v>
      </c>
      <c r="CJ129" s="70">
        <v>1038</v>
      </c>
      <c r="CK129" s="70">
        <v>21526</v>
      </c>
      <c r="CL129" s="70">
        <v>2610</v>
      </c>
      <c r="CM129" s="36">
        <v>1311</v>
      </c>
      <c r="CN129" s="36">
        <v>23107</v>
      </c>
      <c r="CO129" s="36">
        <v>2745</v>
      </c>
      <c r="CP129" s="36">
        <v>1353</v>
      </c>
      <c r="CQ129" s="36">
        <v>24989</v>
      </c>
      <c r="CR129" s="36">
        <v>2227</v>
      </c>
      <c r="CS129" s="36">
        <v>1431</v>
      </c>
      <c r="CT129" s="36">
        <v>2386.754864415303</v>
      </c>
      <c r="CU129" s="36">
        <v>-3383.9410800000005</v>
      </c>
      <c r="CV129" s="36">
        <v>2801.0017272900045</v>
      </c>
      <c r="CW129" s="36">
        <v>3336</v>
      </c>
      <c r="CX129" s="36">
        <v>2394.323321106071</v>
      </c>
      <c r="CY129" s="36">
        <v>2720.1033349999998</v>
      </c>
      <c r="CZ129" s="36">
        <v>2901.9144831669114</v>
      </c>
      <c r="DA129" s="36">
        <v>2885</v>
      </c>
      <c r="DB129" s="36">
        <v>915.95144750938903</v>
      </c>
      <c r="DC129" s="36">
        <v>-2255.4000940000001</v>
      </c>
      <c r="DD129" s="36">
        <v>2988.699453221051</v>
      </c>
      <c r="DE129" s="36">
        <v>1719</v>
      </c>
      <c r="DF129" s="36">
        <v>1796.5834304618609</v>
      </c>
      <c r="DG129" s="36">
        <v>-2826</v>
      </c>
      <c r="DH129" s="36">
        <v>2921.9288464158312</v>
      </c>
      <c r="DI129" s="36">
        <v>1473</v>
      </c>
      <c r="DJ129" s="36">
        <v>4396</v>
      </c>
      <c r="DK129" s="36">
        <v>-2389</v>
      </c>
      <c r="DL129" s="36">
        <v>2818</v>
      </c>
      <c r="DM129" s="36">
        <v>537</v>
      </c>
      <c r="DN129" s="36">
        <v>2118</v>
      </c>
      <c r="DO129" s="69">
        <v>-3860</v>
      </c>
      <c r="DP129" s="36">
        <v>2909</v>
      </c>
      <c r="DQ129" s="36">
        <v>873</v>
      </c>
      <c r="DR129" s="36">
        <v>3532</v>
      </c>
      <c r="DS129" s="36">
        <v>-2698</v>
      </c>
      <c r="DT129" s="36">
        <v>3195</v>
      </c>
      <c r="DU129" s="36">
        <v>2747</v>
      </c>
      <c r="DV129" s="36">
        <v>3131</v>
      </c>
      <c r="DW129" s="71">
        <v>-5537</v>
      </c>
      <c r="DX129" s="39">
        <v>3451</v>
      </c>
      <c r="DY129" s="71">
        <v>4026</v>
      </c>
      <c r="DZ129" s="70">
        <v>2720</v>
      </c>
      <c r="EA129" s="35">
        <v>-2779</v>
      </c>
      <c r="EB129" s="35">
        <v>3575</v>
      </c>
      <c r="EC129" s="38">
        <v>3386</v>
      </c>
      <c r="ED129" s="38">
        <v>4281</v>
      </c>
      <c r="EE129" s="38">
        <v>-2950</v>
      </c>
      <c r="EF129" s="38">
        <v>3598</v>
      </c>
      <c r="EG129" s="73">
        <v>2800</v>
      </c>
      <c r="EH129" s="73">
        <v>4667</v>
      </c>
      <c r="EI129" s="73">
        <v>-7308</v>
      </c>
      <c r="EJ129" s="73">
        <v>3659</v>
      </c>
      <c r="EK129" s="73">
        <v>5477</v>
      </c>
      <c r="EL129" s="73">
        <v>33305.750513393643</v>
      </c>
      <c r="EM129" s="73">
        <v>-33.301209439379186</v>
      </c>
      <c r="EN129" s="73">
        <v>33740.516303296652</v>
      </c>
      <c r="EO129" s="73">
        <v>4278.3644733279179</v>
      </c>
      <c r="EP129" s="73">
        <v>35307.355026212084</v>
      </c>
      <c r="EQ129" s="73">
        <v>-2125.0544508411917</v>
      </c>
      <c r="ER129" s="73">
        <v>37847.665467486753</v>
      </c>
      <c r="ES129" s="73">
        <v>-1123.9999125422783</v>
      </c>
      <c r="ET129" s="73">
        <v>39415</v>
      </c>
      <c r="EU129" s="73">
        <v>1338</v>
      </c>
      <c r="EV129" s="73">
        <v>41398</v>
      </c>
      <c r="EW129" s="73">
        <v>-833</v>
      </c>
      <c r="EX129" s="73">
        <v>45123</v>
      </c>
      <c r="EY129" s="73">
        <v>152</v>
      </c>
      <c r="EZ129" s="73">
        <v>46988</v>
      </c>
      <c r="FA129" s="73">
        <v>-363</v>
      </c>
      <c r="FB129" s="73">
        <v>49771</v>
      </c>
      <c r="FC129" s="73">
        <v>-899</v>
      </c>
      <c r="FD129" s="73">
        <v>51377</v>
      </c>
      <c r="FE129" s="73">
        <v>639</v>
      </c>
      <c r="FF129" s="73">
        <v>53562</v>
      </c>
      <c r="FG129" s="73">
        <v>962</v>
      </c>
      <c r="FH129" s="73">
        <v>5660</v>
      </c>
      <c r="FI129" s="73">
        <v>6622</v>
      </c>
      <c r="FJ129" s="79">
        <v>10633</v>
      </c>
      <c r="FK129" s="80">
        <v>28659</v>
      </c>
      <c r="FL129" s="80">
        <v>20165</v>
      </c>
      <c r="FM129" s="80">
        <v>11634</v>
      </c>
      <c r="FN129" s="76">
        <v>821</v>
      </c>
      <c r="FO129" s="80">
        <v>25474</v>
      </c>
      <c r="FP129" s="80">
        <v>1625</v>
      </c>
      <c r="FQ129" s="80">
        <v>1560</v>
      </c>
      <c r="FR129" s="80">
        <v>4466</v>
      </c>
      <c r="FS129" s="81">
        <v>-566</v>
      </c>
      <c r="FT129" s="76">
        <v>3733</v>
      </c>
      <c r="FU129" s="76">
        <v>4853</v>
      </c>
      <c r="FV129" s="76">
        <v>566</v>
      </c>
      <c r="FW129" s="80">
        <v>56727</v>
      </c>
      <c r="FX129" s="80">
        <v>686</v>
      </c>
      <c r="FY129" s="73">
        <v>10556</v>
      </c>
      <c r="FZ129" s="73">
        <v>28431</v>
      </c>
      <c r="GA129" s="73">
        <v>21592</v>
      </c>
      <c r="GB129" s="73">
        <v>11963</v>
      </c>
      <c r="GC129" s="73">
        <v>627</v>
      </c>
      <c r="GD129" s="73">
        <v>24855</v>
      </c>
      <c r="GE129" s="73">
        <v>2071</v>
      </c>
      <c r="GF129" s="73">
        <v>1505</v>
      </c>
      <c r="GG129" s="73">
        <v>4317</v>
      </c>
      <c r="GH129" s="73">
        <v>-7531</v>
      </c>
      <c r="GI129" s="73">
        <v>3600</v>
      </c>
      <c r="GJ129" s="73">
        <v>4243</v>
      </c>
      <c r="GK129" s="73">
        <v>7531</v>
      </c>
      <c r="GL129" s="73">
        <v>58251</v>
      </c>
      <c r="GM129" s="73">
        <v>70</v>
      </c>
      <c r="GN129" s="73">
        <v>7378</v>
      </c>
      <c r="GO129" s="77">
        <v>19</v>
      </c>
      <c r="GP129" s="78">
        <v>10405</v>
      </c>
      <c r="GQ129" s="73">
        <v>29837</v>
      </c>
      <c r="GR129" s="65">
        <v>22721</v>
      </c>
      <c r="GS129" s="65">
        <v>10417</v>
      </c>
      <c r="GT129" s="65">
        <v>353</v>
      </c>
      <c r="GU129" s="65">
        <v>26020</v>
      </c>
      <c r="GV129" s="65">
        <v>2274</v>
      </c>
      <c r="GW129" s="65">
        <v>1543</v>
      </c>
      <c r="GX129" s="65">
        <v>3853</v>
      </c>
      <c r="GY129" s="65">
        <v>-3414</v>
      </c>
      <c r="GZ129" s="65">
        <v>3752</v>
      </c>
      <c r="HA129" s="65">
        <v>3632</v>
      </c>
      <c r="HB129" s="65">
        <v>3414</v>
      </c>
      <c r="HC129" s="65">
        <v>59427</v>
      </c>
      <c r="HD129" s="65">
        <v>52</v>
      </c>
      <c r="HE129" s="78">
        <v>10274</v>
      </c>
      <c r="HF129" s="73">
        <v>28763</v>
      </c>
      <c r="HG129" s="65">
        <v>23389</v>
      </c>
      <c r="HH129" s="65">
        <v>11093</v>
      </c>
      <c r="HI129" s="65">
        <v>633</v>
      </c>
      <c r="HJ129" s="65">
        <v>25771</v>
      </c>
      <c r="HK129" s="65">
        <v>1431</v>
      </c>
      <c r="HL129" s="65">
        <v>1561</v>
      </c>
      <c r="HM129" s="65">
        <v>1218</v>
      </c>
      <c r="HN129" s="65">
        <v>-5004</v>
      </c>
      <c r="HO129" s="65">
        <v>3760</v>
      </c>
      <c r="HP129" s="65">
        <v>6822</v>
      </c>
      <c r="HQ129" s="65">
        <v>5004</v>
      </c>
      <c r="HR129" s="65">
        <v>62556</v>
      </c>
      <c r="HS129" s="65">
        <v>-2542</v>
      </c>
      <c r="HT129" s="65">
        <v>4888</v>
      </c>
      <c r="HU129" s="77">
        <v>19</v>
      </c>
      <c r="HV129" s="180">
        <v>340</v>
      </c>
      <c r="HW129" s="30" t="s">
        <v>761</v>
      </c>
    </row>
    <row r="130" spans="1:231" ht="15" x14ac:dyDescent="0.25">
      <c r="A130" s="27">
        <v>421</v>
      </c>
      <c r="B130" s="27" t="s">
        <v>258</v>
      </c>
      <c r="C130" s="27">
        <v>16</v>
      </c>
      <c r="D130" s="27" t="s">
        <v>110</v>
      </c>
      <c r="E130" s="27">
        <v>1</v>
      </c>
      <c r="F130" s="27" t="s">
        <v>103</v>
      </c>
      <c r="G130" s="29" t="s">
        <v>130</v>
      </c>
      <c r="H130" s="27" t="s">
        <v>98</v>
      </c>
      <c r="I130" s="27" t="s">
        <v>110</v>
      </c>
      <c r="J130" s="69">
        <v>1063</v>
      </c>
      <c r="K130" s="69">
        <v>1030</v>
      </c>
      <c r="L130" s="36">
        <v>1040</v>
      </c>
      <c r="M130" s="36">
        <v>1002</v>
      </c>
      <c r="N130" s="36">
        <v>982</v>
      </c>
      <c r="O130" s="36">
        <v>973</v>
      </c>
      <c r="P130" s="36">
        <v>956</v>
      </c>
      <c r="Q130" s="36">
        <v>955</v>
      </c>
      <c r="R130" s="69">
        <v>942</v>
      </c>
      <c r="S130" s="69">
        <v>904</v>
      </c>
      <c r="T130" s="71">
        <v>881</v>
      </c>
      <c r="U130" s="36">
        <v>1862</v>
      </c>
      <c r="V130" s="36">
        <v>1906</v>
      </c>
      <c r="W130" s="36">
        <v>1163</v>
      </c>
      <c r="X130" s="36">
        <v>48.942686600299709</v>
      </c>
      <c r="Y130" s="36">
        <v>1630</v>
      </c>
      <c r="Z130" s="36">
        <v>1704</v>
      </c>
      <c r="AA130" s="36">
        <v>1163</v>
      </c>
      <c r="AB130" s="36">
        <v>37.169531747993936</v>
      </c>
      <c r="AC130" s="36">
        <v>1689</v>
      </c>
      <c r="AD130" s="36">
        <v>1877</v>
      </c>
      <c r="AE130" s="36">
        <v>1322</v>
      </c>
      <c r="AF130" s="36">
        <v>16.650604719689593</v>
      </c>
      <c r="AG130" s="36">
        <v>1833</v>
      </c>
      <c r="AH130" s="36">
        <v>2073</v>
      </c>
      <c r="AI130" s="36">
        <v>1906</v>
      </c>
      <c r="AJ130" s="36">
        <v>15.305101307997504</v>
      </c>
      <c r="AK130" s="36">
        <v>1774</v>
      </c>
      <c r="AL130" s="36">
        <v>1980</v>
      </c>
      <c r="AM130" s="36">
        <v>1835</v>
      </c>
      <c r="AN130" s="36">
        <v>13</v>
      </c>
      <c r="AO130" s="36">
        <v>1778</v>
      </c>
      <c r="AP130" s="36">
        <v>2133</v>
      </c>
      <c r="AQ130" s="36">
        <v>1993</v>
      </c>
      <c r="AR130" s="36">
        <v>54</v>
      </c>
      <c r="AS130" s="36">
        <v>1750</v>
      </c>
      <c r="AT130" s="36">
        <v>2145</v>
      </c>
      <c r="AU130" s="36">
        <v>1971</v>
      </c>
      <c r="AV130" s="36">
        <v>23</v>
      </c>
      <c r="AW130" s="36">
        <v>1876</v>
      </c>
      <c r="AX130" s="69">
        <v>2222</v>
      </c>
      <c r="AY130" s="36">
        <v>1606</v>
      </c>
      <c r="AZ130" s="36">
        <v>24</v>
      </c>
      <c r="BA130" s="36">
        <v>2143</v>
      </c>
      <c r="BB130" s="36">
        <v>2266</v>
      </c>
      <c r="BC130" s="36">
        <v>1665</v>
      </c>
      <c r="BD130" s="36">
        <v>4</v>
      </c>
      <c r="BE130" s="70">
        <v>2170</v>
      </c>
      <c r="BF130" s="70">
        <v>2320</v>
      </c>
      <c r="BG130" s="70">
        <v>1361</v>
      </c>
      <c r="BH130" s="70">
        <v>127</v>
      </c>
      <c r="BI130" s="36">
        <v>2376</v>
      </c>
      <c r="BJ130" s="36">
        <v>2531</v>
      </c>
      <c r="BK130" s="36">
        <v>1186</v>
      </c>
      <c r="BL130" s="36">
        <v>60</v>
      </c>
      <c r="BM130" s="36">
        <v>1320.2752227228616</v>
      </c>
      <c r="BN130" s="36">
        <v>474.79451640084562</v>
      </c>
      <c r="BO130" s="36">
        <v>66.434230952296858</v>
      </c>
      <c r="BP130" s="36">
        <v>1185.2203177742683</v>
      </c>
      <c r="BQ130" s="36">
        <v>374.8908880827081</v>
      </c>
      <c r="BR130" s="36">
        <v>70.302553260911608</v>
      </c>
      <c r="BS130" s="36">
        <v>1176.1381697453467</v>
      </c>
      <c r="BT130" s="36">
        <v>412.39679568362504</v>
      </c>
      <c r="BU130" s="36">
        <v>100.07181624459906</v>
      </c>
      <c r="BV130" s="36">
        <v>1459</v>
      </c>
      <c r="BW130" s="36">
        <v>267</v>
      </c>
      <c r="BX130" s="36">
        <v>107</v>
      </c>
      <c r="BY130" s="36">
        <v>1508</v>
      </c>
      <c r="BZ130" s="36">
        <v>156</v>
      </c>
      <c r="CA130" s="36">
        <v>110</v>
      </c>
      <c r="CB130" s="36">
        <v>1545</v>
      </c>
      <c r="CC130" s="36">
        <v>121</v>
      </c>
      <c r="CD130" s="36">
        <v>112</v>
      </c>
      <c r="CE130" s="36">
        <v>1495</v>
      </c>
      <c r="CF130" s="36">
        <v>130</v>
      </c>
      <c r="CG130" s="36">
        <v>125</v>
      </c>
      <c r="CH130" s="36">
        <v>1533</v>
      </c>
      <c r="CI130" s="36">
        <v>221</v>
      </c>
      <c r="CJ130" s="70">
        <v>122</v>
      </c>
      <c r="CK130" s="70">
        <v>1718</v>
      </c>
      <c r="CL130" s="70">
        <v>301</v>
      </c>
      <c r="CM130" s="36">
        <v>124</v>
      </c>
      <c r="CN130" s="36">
        <v>1670</v>
      </c>
      <c r="CO130" s="36">
        <v>373</v>
      </c>
      <c r="CP130" s="36">
        <v>127</v>
      </c>
      <c r="CQ130" s="36">
        <v>1863</v>
      </c>
      <c r="CR130" s="36">
        <v>372</v>
      </c>
      <c r="CS130" s="36">
        <v>141</v>
      </c>
      <c r="CT130" s="36">
        <v>370.34981406824727</v>
      </c>
      <c r="CU130" s="36">
        <v>-111.1722194</v>
      </c>
      <c r="CV130" s="36">
        <v>119.74980364059586</v>
      </c>
      <c r="CW130" s="36">
        <v>1804</v>
      </c>
      <c r="CX130" s="36">
        <v>-308.4566571304112</v>
      </c>
      <c r="CY130" s="36">
        <v>-588.99411850000001</v>
      </c>
      <c r="CZ130" s="36">
        <v>124.29087765505666</v>
      </c>
      <c r="DA130" s="36">
        <v>2282</v>
      </c>
      <c r="DB130" s="36">
        <v>-223.85813012027117</v>
      </c>
      <c r="DC130" s="36">
        <v>-127.991012</v>
      </c>
      <c r="DD130" s="36">
        <v>143.2961133452074</v>
      </c>
      <c r="DE130" s="36">
        <v>2236</v>
      </c>
      <c r="DF130" s="36">
        <v>289.61960936672199</v>
      </c>
      <c r="DG130" s="36">
        <v>-273</v>
      </c>
      <c r="DH130" s="36">
        <v>145.98712016859156</v>
      </c>
      <c r="DI130" s="36">
        <v>2464</v>
      </c>
      <c r="DJ130" s="36">
        <v>245</v>
      </c>
      <c r="DK130" s="36">
        <v>-300</v>
      </c>
      <c r="DL130" s="36">
        <v>161</v>
      </c>
      <c r="DM130" s="36">
        <v>2669</v>
      </c>
      <c r="DN130" s="36">
        <v>230</v>
      </c>
      <c r="DO130" s="69">
        <v>-456</v>
      </c>
      <c r="DP130" s="36">
        <v>164</v>
      </c>
      <c r="DQ130" s="36">
        <v>3019</v>
      </c>
      <c r="DR130" s="36">
        <v>223</v>
      </c>
      <c r="DS130" s="36">
        <v>-178</v>
      </c>
      <c r="DT130" s="36">
        <v>188</v>
      </c>
      <c r="DU130" s="36">
        <v>3010</v>
      </c>
      <c r="DV130" s="36">
        <v>315</v>
      </c>
      <c r="DW130" s="71">
        <v>-524</v>
      </c>
      <c r="DX130" s="39">
        <v>191</v>
      </c>
      <c r="DY130" s="71">
        <v>2799</v>
      </c>
      <c r="DZ130" s="70">
        <v>314</v>
      </c>
      <c r="EA130" s="35">
        <v>-126</v>
      </c>
      <c r="EB130" s="35">
        <v>204</v>
      </c>
      <c r="EC130" s="38">
        <v>2588</v>
      </c>
      <c r="ED130" s="38">
        <v>371</v>
      </c>
      <c r="EE130" s="38">
        <v>974</v>
      </c>
      <c r="EF130" s="38">
        <v>159</v>
      </c>
      <c r="EG130" s="73">
        <v>1760</v>
      </c>
      <c r="EH130" s="73">
        <v>475</v>
      </c>
      <c r="EI130" s="73">
        <v>-7</v>
      </c>
      <c r="EJ130" s="73">
        <v>164</v>
      </c>
      <c r="EK130" s="73">
        <v>1605</v>
      </c>
      <c r="EL130" s="73">
        <v>4343.2850129420613</v>
      </c>
      <c r="EM130" s="73">
        <v>250.60001042765143</v>
      </c>
      <c r="EN130" s="73">
        <v>4609.6946884570943</v>
      </c>
      <c r="EO130" s="73">
        <v>-432.74753478546785</v>
      </c>
      <c r="EP130" s="73">
        <v>4858.6128196201307</v>
      </c>
      <c r="EQ130" s="73">
        <v>-361.77222981871023</v>
      </c>
      <c r="ER130" s="73">
        <v>5246.7905538932982</v>
      </c>
      <c r="ES130" s="73">
        <v>179.62470546089378</v>
      </c>
      <c r="ET130" s="73">
        <v>5250</v>
      </c>
      <c r="EU130" s="73">
        <v>84</v>
      </c>
      <c r="EV130" s="73">
        <v>5608</v>
      </c>
      <c r="EW130" s="73">
        <v>85</v>
      </c>
      <c r="EX130" s="73">
        <v>5580</v>
      </c>
      <c r="EY130" s="73">
        <v>35</v>
      </c>
      <c r="EZ130" s="73">
        <v>5328</v>
      </c>
      <c r="FA130" s="73">
        <v>124</v>
      </c>
      <c r="FB130" s="73">
        <v>5694</v>
      </c>
      <c r="FC130" s="73">
        <v>110</v>
      </c>
      <c r="FD130" s="73">
        <v>5443</v>
      </c>
      <c r="FE130" s="73">
        <v>279</v>
      </c>
      <c r="FF130" s="73">
        <v>5570</v>
      </c>
      <c r="FG130" s="73">
        <v>370</v>
      </c>
      <c r="FH130" s="73">
        <v>1041</v>
      </c>
      <c r="FI130" s="73">
        <v>1368</v>
      </c>
      <c r="FJ130" s="79">
        <v>860</v>
      </c>
      <c r="FK130" s="80">
        <v>2015</v>
      </c>
      <c r="FL130" s="80">
        <v>2626</v>
      </c>
      <c r="FM130" s="80">
        <v>1224</v>
      </c>
      <c r="FN130" s="76">
        <v>1</v>
      </c>
      <c r="FO130" s="80">
        <v>1584</v>
      </c>
      <c r="FP130" s="80">
        <v>280</v>
      </c>
      <c r="FQ130" s="80">
        <v>151</v>
      </c>
      <c r="FR130" s="80">
        <v>-108</v>
      </c>
      <c r="FS130" s="81">
        <v>-368</v>
      </c>
      <c r="FT130" s="76">
        <v>157</v>
      </c>
      <c r="FU130" s="76">
        <v>2283</v>
      </c>
      <c r="FV130" s="76">
        <v>368</v>
      </c>
      <c r="FW130" s="80">
        <v>5930</v>
      </c>
      <c r="FX130" s="80">
        <v>-265</v>
      </c>
      <c r="FY130" s="73">
        <v>853</v>
      </c>
      <c r="FZ130" s="73">
        <v>2256</v>
      </c>
      <c r="GA130" s="73">
        <v>3107</v>
      </c>
      <c r="GB130" s="73">
        <v>1743</v>
      </c>
      <c r="GC130" s="73">
        <v>73</v>
      </c>
      <c r="GD130" s="73">
        <v>1710</v>
      </c>
      <c r="GE130" s="73">
        <v>365</v>
      </c>
      <c r="GF130" s="73">
        <v>181</v>
      </c>
      <c r="GG130" s="73">
        <v>435</v>
      </c>
      <c r="GH130" s="73">
        <v>-572</v>
      </c>
      <c r="GI130" s="73">
        <v>157</v>
      </c>
      <c r="GJ130" s="73">
        <v>2282</v>
      </c>
      <c r="GK130" s="73">
        <v>572</v>
      </c>
      <c r="GL130" s="73">
        <v>6644</v>
      </c>
      <c r="GM130" s="73">
        <v>347</v>
      </c>
      <c r="GN130" s="73">
        <v>1450</v>
      </c>
      <c r="GO130" s="77">
        <v>20</v>
      </c>
      <c r="GP130" s="78">
        <v>847</v>
      </c>
      <c r="GQ130" s="73">
        <v>2226</v>
      </c>
      <c r="GR130" s="65">
        <v>2986</v>
      </c>
      <c r="GS130" s="65">
        <v>2170</v>
      </c>
      <c r="GT130" s="65">
        <v>0</v>
      </c>
      <c r="GU130" s="65">
        <v>1648</v>
      </c>
      <c r="GV130" s="65">
        <v>390</v>
      </c>
      <c r="GW130" s="65">
        <v>188</v>
      </c>
      <c r="GX130" s="65">
        <v>427</v>
      </c>
      <c r="GY130" s="65">
        <v>-153</v>
      </c>
      <c r="GZ130" s="65">
        <v>195</v>
      </c>
      <c r="HA130" s="65">
        <v>2348</v>
      </c>
      <c r="HB130" s="65">
        <v>153</v>
      </c>
      <c r="HC130" s="65">
        <v>6911</v>
      </c>
      <c r="HD130" s="65">
        <v>232</v>
      </c>
      <c r="HE130" s="78">
        <v>835</v>
      </c>
      <c r="HF130" s="73">
        <v>2197</v>
      </c>
      <c r="HG130" s="65">
        <v>3043</v>
      </c>
      <c r="HH130" s="65">
        <v>1775</v>
      </c>
      <c r="HI130" s="65">
        <v>1</v>
      </c>
      <c r="HJ130" s="65">
        <v>1764</v>
      </c>
      <c r="HK130" s="65">
        <v>238</v>
      </c>
      <c r="HL130" s="65">
        <v>195</v>
      </c>
      <c r="HM130" s="65">
        <v>167</v>
      </c>
      <c r="HN130" s="65">
        <v>-136</v>
      </c>
      <c r="HO130" s="65">
        <v>204</v>
      </c>
      <c r="HP130" s="65">
        <v>1717</v>
      </c>
      <c r="HQ130" s="65">
        <v>136</v>
      </c>
      <c r="HR130" s="65">
        <v>6813</v>
      </c>
      <c r="HS130" s="65">
        <v>-37</v>
      </c>
      <c r="HT130" s="65">
        <v>1645</v>
      </c>
      <c r="HU130" s="77">
        <v>20</v>
      </c>
      <c r="HV130" s="180">
        <v>340</v>
      </c>
      <c r="HW130" s="30" t="s">
        <v>761</v>
      </c>
    </row>
    <row r="131" spans="1:231" ht="15" x14ac:dyDescent="0.25">
      <c r="A131" s="27">
        <v>422</v>
      </c>
      <c r="B131" s="27" t="s">
        <v>259</v>
      </c>
      <c r="C131" s="27">
        <v>12</v>
      </c>
      <c r="D131" s="27" t="s">
        <v>116</v>
      </c>
      <c r="E131" s="27">
        <v>4</v>
      </c>
      <c r="F131" s="27" t="s">
        <v>100</v>
      </c>
      <c r="G131" s="29" t="s">
        <v>132</v>
      </c>
      <c r="H131" s="27" t="s">
        <v>99</v>
      </c>
      <c r="I131" s="28" t="s">
        <v>116</v>
      </c>
      <c r="J131" s="69">
        <v>15827</v>
      </c>
      <c r="K131" s="69">
        <v>15479</v>
      </c>
      <c r="L131" s="36">
        <v>15208</v>
      </c>
      <c r="M131" s="36">
        <v>14985</v>
      </c>
      <c r="N131" s="36">
        <v>14657</v>
      </c>
      <c r="O131" s="36">
        <v>14396</v>
      </c>
      <c r="P131" s="36">
        <v>14080</v>
      </c>
      <c r="Q131" s="36">
        <v>13722</v>
      </c>
      <c r="R131" s="69">
        <v>13505</v>
      </c>
      <c r="S131" s="69">
        <v>13181</v>
      </c>
      <c r="T131" s="71">
        <v>12918</v>
      </c>
      <c r="U131" s="36">
        <v>34884</v>
      </c>
      <c r="V131" s="36">
        <v>15488</v>
      </c>
      <c r="W131" s="36">
        <v>10186</v>
      </c>
      <c r="X131" s="36">
        <v>645.67344968574082</v>
      </c>
      <c r="Y131" s="36">
        <v>34123</v>
      </c>
      <c r="Z131" s="36">
        <v>15336</v>
      </c>
      <c r="AA131" s="36">
        <v>10505</v>
      </c>
      <c r="AB131" s="36">
        <v>924.36084383246464</v>
      </c>
      <c r="AC131" s="36">
        <v>32745</v>
      </c>
      <c r="AD131" s="36">
        <v>15760</v>
      </c>
      <c r="AE131" s="36">
        <v>11049</v>
      </c>
      <c r="AF131" s="36">
        <v>450.91183084331112</v>
      </c>
      <c r="AG131" s="36">
        <v>33733</v>
      </c>
      <c r="AH131" s="36">
        <v>19854</v>
      </c>
      <c r="AI131" s="36">
        <v>11074</v>
      </c>
      <c r="AJ131" s="36">
        <v>312.66135529194901</v>
      </c>
      <c r="AK131" s="36">
        <v>33625</v>
      </c>
      <c r="AL131" s="36">
        <v>21402</v>
      </c>
      <c r="AM131" s="36">
        <v>10603</v>
      </c>
      <c r="AN131" s="36">
        <v>529</v>
      </c>
      <c r="AO131" s="36">
        <v>30682</v>
      </c>
      <c r="AP131" s="36">
        <v>23134</v>
      </c>
      <c r="AQ131" s="36">
        <v>10733</v>
      </c>
      <c r="AR131" s="36">
        <v>751</v>
      </c>
      <c r="AS131" s="36">
        <v>31427</v>
      </c>
      <c r="AT131" s="36">
        <v>24101</v>
      </c>
      <c r="AU131" s="36">
        <v>9707</v>
      </c>
      <c r="AV131" s="36">
        <v>1216</v>
      </c>
      <c r="AW131" s="36">
        <v>31406</v>
      </c>
      <c r="AX131" s="69">
        <v>24587</v>
      </c>
      <c r="AY131" s="36">
        <v>10882</v>
      </c>
      <c r="AZ131" s="36">
        <v>531</v>
      </c>
      <c r="BA131" s="36">
        <v>32979</v>
      </c>
      <c r="BB131" s="36">
        <v>28268</v>
      </c>
      <c r="BC131" s="36">
        <v>11750</v>
      </c>
      <c r="BD131" s="36">
        <v>567</v>
      </c>
      <c r="BE131" s="70">
        <v>34016</v>
      </c>
      <c r="BF131" s="70">
        <v>28462</v>
      </c>
      <c r="BG131" s="70">
        <v>11979</v>
      </c>
      <c r="BH131" s="70">
        <v>702</v>
      </c>
      <c r="BI131" s="36">
        <v>35999</v>
      </c>
      <c r="BJ131" s="36">
        <v>31753</v>
      </c>
      <c r="BK131" s="36">
        <v>12578</v>
      </c>
      <c r="BL131" s="36">
        <v>544</v>
      </c>
      <c r="BM131" s="36">
        <v>24808.055528925801</v>
      </c>
      <c r="BN131" s="36">
        <v>8846.0121801696332</v>
      </c>
      <c r="BO131" s="36">
        <v>1229.9583062130303</v>
      </c>
      <c r="BP131" s="36">
        <v>25192.19675296389</v>
      </c>
      <c r="BQ131" s="36">
        <v>7484.5309154637025</v>
      </c>
      <c r="BR131" s="36">
        <v>1446.2479796425334</v>
      </c>
      <c r="BS131" s="36">
        <v>22691.915038187068</v>
      </c>
      <c r="BT131" s="36">
        <v>8580.9480080662925</v>
      </c>
      <c r="BU131" s="36">
        <v>1471.812544464683</v>
      </c>
      <c r="BV131" s="36">
        <v>26414</v>
      </c>
      <c r="BW131" s="36">
        <v>5758</v>
      </c>
      <c r="BX131" s="36">
        <v>1561</v>
      </c>
      <c r="BY131" s="36">
        <v>28162</v>
      </c>
      <c r="BZ131" s="36">
        <v>3748</v>
      </c>
      <c r="CA131" s="36">
        <v>1715</v>
      </c>
      <c r="CB131" s="36">
        <v>26814</v>
      </c>
      <c r="CC131" s="36">
        <v>2195</v>
      </c>
      <c r="CD131" s="36">
        <v>1673</v>
      </c>
      <c r="CE131" s="36">
        <v>27270</v>
      </c>
      <c r="CF131" s="36">
        <v>2492</v>
      </c>
      <c r="CG131" s="36">
        <v>1665</v>
      </c>
      <c r="CH131" s="36">
        <v>26803</v>
      </c>
      <c r="CI131" s="36">
        <v>2874</v>
      </c>
      <c r="CJ131" s="70">
        <v>1729</v>
      </c>
      <c r="CK131" s="70">
        <v>27895</v>
      </c>
      <c r="CL131" s="70">
        <v>3185</v>
      </c>
      <c r="CM131" s="36">
        <v>1899</v>
      </c>
      <c r="CN131" s="36">
        <v>28276</v>
      </c>
      <c r="CO131" s="36">
        <v>3790</v>
      </c>
      <c r="CP131" s="36">
        <v>1950</v>
      </c>
      <c r="CQ131" s="36">
        <v>29923</v>
      </c>
      <c r="CR131" s="36">
        <v>4062</v>
      </c>
      <c r="CS131" s="36">
        <v>2014</v>
      </c>
      <c r="CT131" s="36">
        <v>2571.2570197435807</v>
      </c>
      <c r="CU131" s="36">
        <v>-2331.9256</v>
      </c>
      <c r="CV131" s="36">
        <v>2701.770850677713</v>
      </c>
      <c r="CW131" s="36">
        <v>9567</v>
      </c>
      <c r="CX131" s="36">
        <v>2010.0139091415181</v>
      </c>
      <c r="CY131" s="36">
        <v>-2222.7716359999999</v>
      </c>
      <c r="CZ131" s="36">
        <v>2151.1235794427262</v>
      </c>
      <c r="DA131" s="36">
        <v>9136</v>
      </c>
      <c r="DB131" s="36">
        <v>-2871.1360926244547</v>
      </c>
      <c r="DC131" s="36">
        <v>-2148.432573</v>
      </c>
      <c r="DD131" s="36">
        <v>2384.0638575919188</v>
      </c>
      <c r="DE131" s="36">
        <v>11253</v>
      </c>
      <c r="DF131" s="36">
        <v>-393.2233720670128</v>
      </c>
      <c r="DG131" s="36">
        <v>-2562</v>
      </c>
      <c r="DH131" s="36">
        <v>2311.743049213469</v>
      </c>
      <c r="DI131" s="36">
        <v>14026</v>
      </c>
      <c r="DJ131" s="36">
        <v>5694</v>
      </c>
      <c r="DK131" s="36">
        <v>-2141</v>
      </c>
      <c r="DL131" s="36">
        <v>2382</v>
      </c>
      <c r="DM131" s="36">
        <v>10718</v>
      </c>
      <c r="DN131" s="36">
        <v>2911</v>
      </c>
      <c r="DO131" s="69">
        <v>-1916</v>
      </c>
      <c r="DP131" s="36">
        <v>1976</v>
      </c>
      <c r="DQ131" s="36">
        <v>10521</v>
      </c>
      <c r="DR131" s="36">
        <v>2809</v>
      </c>
      <c r="DS131" s="36">
        <v>-4621</v>
      </c>
      <c r="DT131" s="36">
        <v>1943</v>
      </c>
      <c r="DU131" s="36">
        <v>12251</v>
      </c>
      <c r="DV131" s="36">
        <v>1665</v>
      </c>
      <c r="DW131" s="71">
        <v>-2216</v>
      </c>
      <c r="DX131" s="39">
        <v>2341</v>
      </c>
      <c r="DY131" s="71">
        <v>12152</v>
      </c>
      <c r="DZ131" s="70">
        <v>7155</v>
      </c>
      <c r="EA131" s="35">
        <v>-1308</v>
      </c>
      <c r="EB131" s="35">
        <v>2396</v>
      </c>
      <c r="EC131" s="38">
        <v>8521</v>
      </c>
      <c r="ED131" s="38">
        <v>5219</v>
      </c>
      <c r="EE131" s="38">
        <v>-3741</v>
      </c>
      <c r="EF131" s="38">
        <v>2395</v>
      </c>
      <c r="EG131" s="73">
        <v>8747</v>
      </c>
      <c r="EH131" s="73">
        <v>6457</v>
      </c>
      <c r="EI131" s="73">
        <v>-4101</v>
      </c>
      <c r="EJ131" s="73">
        <v>2740</v>
      </c>
      <c r="EK131" s="73">
        <v>9046</v>
      </c>
      <c r="EL131" s="73">
        <v>55037.817055264866</v>
      </c>
      <c r="EM131" s="73">
        <v>1960.9030346147572</v>
      </c>
      <c r="EN131" s="73">
        <v>55911.889709085342</v>
      </c>
      <c r="EO131" s="73">
        <v>-3.3637585292302208</v>
      </c>
      <c r="EP131" s="73">
        <v>59711.423155777338</v>
      </c>
      <c r="EQ131" s="73">
        <v>-4143.477756305786</v>
      </c>
      <c r="ER131" s="73">
        <v>62075.472650120333</v>
      </c>
      <c r="ES131" s="73">
        <v>-2623.8998407260337</v>
      </c>
      <c r="ET131" s="73">
        <v>59843</v>
      </c>
      <c r="EU131" s="73">
        <v>3434</v>
      </c>
      <c r="EV131" s="73">
        <v>61846</v>
      </c>
      <c r="EW131" s="73">
        <v>1113</v>
      </c>
      <c r="EX131" s="73">
        <v>62694</v>
      </c>
      <c r="EY131" s="73">
        <v>1547</v>
      </c>
      <c r="EZ131" s="73">
        <v>65647</v>
      </c>
      <c r="FA131" s="73">
        <v>-647</v>
      </c>
      <c r="FB131" s="73">
        <v>66125</v>
      </c>
      <c r="FC131" s="73">
        <v>3291</v>
      </c>
      <c r="FD131" s="73">
        <v>69566</v>
      </c>
      <c r="FE131" s="73">
        <v>2849</v>
      </c>
      <c r="FF131" s="73">
        <v>74284</v>
      </c>
      <c r="FG131" s="73">
        <v>3741</v>
      </c>
      <c r="FH131" s="73">
        <v>5213</v>
      </c>
      <c r="FI131" s="73">
        <v>8954</v>
      </c>
      <c r="FJ131" s="79">
        <v>12788</v>
      </c>
      <c r="FK131" s="80">
        <v>35153</v>
      </c>
      <c r="FL131" s="80">
        <v>32761</v>
      </c>
      <c r="FM131" s="80">
        <v>13066</v>
      </c>
      <c r="FN131" s="76">
        <v>451</v>
      </c>
      <c r="FO131" s="80">
        <v>29707</v>
      </c>
      <c r="FP131" s="80">
        <v>3372</v>
      </c>
      <c r="FQ131" s="80">
        <v>2074</v>
      </c>
      <c r="FR131" s="80">
        <v>4262</v>
      </c>
      <c r="FS131" s="81">
        <v>-5467</v>
      </c>
      <c r="FT131" s="76">
        <v>2700</v>
      </c>
      <c r="FU131" s="76">
        <v>7955</v>
      </c>
      <c r="FV131" s="76">
        <v>5467</v>
      </c>
      <c r="FW131" s="80">
        <v>77064</v>
      </c>
      <c r="FX131" s="80">
        <v>1606</v>
      </c>
      <c r="FY131" s="73">
        <v>12687</v>
      </c>
      <c r="FZ131" s="73">
        <v>36027</v>
      </c>
      <c r="GA131" s="73">
        <v>34065</v>
      </c>
      <c r="GB131" s="73">
        <v>14975</v>
      </c>
      <c r="GC131" s="73">
        <v>528</v>
      </c>
      <c r="GD131" s="73">
        <v>29714</v>
      </c>
      <c r="GE131" s="73">
        <v>4115</v>
      </c>
      <c r="GF131" s="73">
        <v>2198</v>
      </c>
      <c r="GG131" s="73">
        <v>5966</v>
      </c>
      <c r="GH131" s="73">
        <v>-6070</v>
      </c>
      <c r="GI131" s="73">
        <v>3961</v>
      </c>
      <c r="GJ131" s="73">
        <v>9465</v>
      </c>
      <c r="GK131" s="73">
        <v>6070</v>
      </c>
      <c r="GL131" s="73">
        <v>79592</v>
      </c>
      <c r="GM131" s="73">
        <v>2077</v>
      </c>
      <c r="GN131" s="73">
        <v>12582</v>
      </c>
      <c r="GO131" s="77">
        <v>19.5</v>
      </c>
      <c r="GP131" s="78">
        <v>12585</v>
      </c>
      <c r="GQ131" s="73">
        <v>35668</v>
      </c>
      <c r="GR131" s="65">
        <v>33382</v>
      </c>
      <c r="GS131" s="65">
        <v>16275</v>
      </c>
      <c r="GT131" s="65">
        <v>628</v>
      </c>
      <c r="GU131" s="65">
        <v>29244</v>
      </c>
      <c r="GV131" s="65">
        <v>4230</v>
      </c>
      <c r="GW131" s="65">
        <v>2194</v>
      </c>
      <c r="GX131" s="65">
        <v>3698</v>
      </c>
      <c r="GY131" s="65">
        <v>-6829</v>
      </c>
      <c r="GZ131" s="65">
        <v>2987</v>
      </c>
      <c r="HA131" s="65">
        <v>15148</v>
      </c>
      <c r="HB131" s="65">
        <v>6829</v>
      </c>
      <c r="HC131" s="65">
        <v>82053</v>
      </c>
      <c r="HD131" s="65">
        <v>82</v>
      </c>
      <c r="HE131" s="78">
        <v>12399</v>
      </c>
      <c r="HF131" s="73">
        <v>36011</v>
      </c>
      <c r="HG131" s="65">
        <v>35294</v>
      </c>
      <c r="HH131" s="65">
        <v>17207</v>
      </c>
      <c r="HI131" s="65">
        <v>632</v>
      </c>
      <c r="HJ131" s="65">
        <v>30882</v>
      </c>
      <c r="HK131" s="65">
        <v>2704</v>
      </c>
      <c r="HL131" s="65">
        <v>2425</v>
      </c>
      <c r="HM131" s="65">
        <v>775</v>
      </c>
      <c r="HN131" s="65">
        <v>-5730</v>
      </c>
      <c r="HO131" s="65">
        <v>3481</v>
      </c>
      <c r="HP131" s="65">
        <v>18721</v>
      </c>
      <c r="HQ131" s="65">
        <v>5730</v>
      </c>
      <c r="HR131" s="65">
        <v>88084</v>
      </c>
      <c r="HS131" s="65">
        <v>-2635</v>
      </c>
      <c r="HT131" s="65">
        <v>10029</v>
      </c>
      <c r="HU131" s="77">
        <v>20</v>
      </c>
      <c r="HV131" s="180">
        <v>240</v>
      </c>
      <c r="HW131" s="30" t="s">
        <v>757</v>
      </c>
    </row>
    <row r="132" spans="1:231" ht="15" x14ac:dyDescent="0.25">
      <c r="A132" s="27">
        <v>423</v>
      </c>
      <c r="B132" s="27" t="s">
        <v>260</v>
      </c>
      <c r="C132" s="27">
        <v>2</v>
      </c>
      <c r="D132" s="27" t="s">
        <v>122</v>
      </c>
      <c r="E132" s="27">
        <v>4</v>
      </c>
      <c r="F132" s="27" t="s">
        <v>100</v>
      </c>
      <c r="G132" s="29" t="s">
        <v>132</v>
      </c>
      <c r="H132" s="27" t="s">
        <v>99</v>
      </c>
      <c r="I132" s="31" t="s">
        <v>122</v>
      </c>
      <c r="J132" s="82">
        <v>15373</v>
      </c>
      <c r="K132" s="82">
        <v>15775</v>
      </c>
      <c r="L132" s="82">
        <v>16090</v>
      </c>
      <c r="M132" s="82">
        <v>16301</v>
      </c>
      <c r="N132" s="82">
        <v>16537</v>
      </c>
      <c r="O132" s="82">
        <v>16726</v>
      </c>
      <c r="P132" s="82">
        <v>16943</v>
      </c>
      <c r="Q132" s="82">
        <v>17063</v>
      </c>
      <c r="R132" s="82">
        <v>17367</v>
      </c>
      <c r="S132" s="82">
        <v>17549</v>
      </c>
      <c r="T132" s="82">
        <v>17713</v>
      </c>
      <c r="U132" s="82">
        <v>29913</v>
      </c>
      <c r="V132" s="82">
        <v>6724</v>
      </c>
      <c r="W132" s="82">
        <v>6414</v>
      </c>
      <c r="X132" s="82">
        <v>784.76486486941042</v>
      </c>
      <c r="Y132" s="82">
        <v>31031</v>
      </c>
      <c r="Z132" s="82">
        <v>7333</v>
      </c>
      <c r="AA132" s="82">
        <v>5832</v>
      </c>
      <c r="AB132" s="82">
        <v>574.86633264544457</v>
      </c>
      <c r="AC132" s="82">
        <v>34772</v>
      </c>
      <c r="AD132" s="82">
        <v>9537</v>
      </c>
      <c r="AE132" s="82">
        <v>6602</v>
      </c>
      <c r="AF132" s="82">
        <v>527.43733738329865</v>
      </c>
      <c r="AG132" s="82">
        <v>39990</v>
      </c>
      <c r="AH132" s="82">
        <v>9277</v>
      </c>
      <c r="AI132" s="82">
        <v>6659</v>
      </c>
      <c r="AJ132" s="82">
        <v>583.10754104205864</v>
      </c>
      <c r="AK132" s="82">
        <v>41671</v>
      </c>
      <c r="AL132" s="82">
        <v>10777</v>
      </c>
      <c r="AM132" s="82">
        <v>7305</v>
      </c>
      <c r="AN132" s="82">
        <v>496</v>
      </c>
      <c r="AO132" s="82">
        <v>39790</v>
      </c>
      <c r="AP132" s="82">
        <v>11883</v>
      </c>
      <c r="AQ132" s="82">
        <v>7746</v>
      </c>
      <c r="AR132" s="82">
        <v>368</v>
      </c>
      <c r="AS132" s="82">
        <v>40524</v>
      </c>
      <c r="AT132" s="82">
        <v>13705</v>
      </c>
      <c r="AU132" s="82">
        <v>7993</v>
      </c>
      <c r="AV132" s="82">
        <v>476</v>
      </c>
      <c r="AW132" s="82">
        <v>42107</v>
      </c>
      <c r="AX132" s="82">
        <v>15211</v>
      </c>
      <c r="AY132" s="82">
        <v>8838</v>
      </c>
      <c r="AZ132" s="82">
        <v>323</v>
      </c>
      <c r="BA132" s="82">
        <v>47199</v>
      </c>
      <c r="BB132" s="82">
        <v>15527</v>
      </c>
      <c r="BC132" s="82">
        <v>9257</v>
      </c>
      <c r="BD132" s="82">
        <v>341</v>
      </c>
      <c r="BE132" s="82">
        <v>51409</v>
      </c>
      <c r="BF132" s="82">
        <v>15847</v>
      </c>
      <c r="BG132" s="82">
        <v>10398</v>
      </c>
      <c r="BH132" s="82">
        <v>405</v>
      </c>
      <c r="BI132" s="82">
        <v>55223</v>
      </c>
      <c r="BJ132" s="82">
        <v>17654</v>
      </c>
      <c r="BK132" s="82">
        <v>10701</v>
      </c>
      <c r="BL132" s="82">
        <v>336</v>
      </c>
      <c r="BM132" s="82">
        <v>26322.587806711705</v>
      </c>
      <c r="BN132" s="82">
        <v>2988.8676411475126</v>
      </c>
      <c r="BO132" s="82">
        <v>598.58083027651776</v>
      </c>
      <c r="BP132" s="82">
        <v>27354.757111406005</v>
      </c>
      <c r="BQ132" s="82">
        <v>3067.9159665844227</v>
      </c>
      <c r="BR132" s="82">
        <v>605.30834733497818</v>
      </c>
      <c r="BS132" s="82">
        <v>30099.079507478476</v>
      </c>
      <c r="BT132" s="82">
        <v>3854.1945227919869</v>
      </c>
      <c r="BU132" s="82">
        <v>816.55238297063602</v>
      </c>
      <c r="BV132" s="82">
        <v>34168</v>
      </c>
      <c r="BW132" s="82">
        <v>4921</v>
      </c>
      <c r="BX132" s="82">
        <v>899</v>
      </c>
      <c r="BY132" s="82">
        <v>38849</v>
      </c>
      <c r="BZ132" s="82">
        <v>1881</v>
      </c>
      <c r="CA132" s="82">
        <v>938</v>
      </c>
      <c r="CB132" s="82">
        <v>37106</v>
      </c>
      <c r="CC132" s="82">
        <v>1715</v>
      </c>
      <c r="CD132" s="82">
        <v>967</v>
      </c>
      <c r="CE132" s="82">
        <v>37691</v>
      </c>
      <c r="CF132" s="82">
        <v>1843</v>
      </c>
      <c r="CG132" s="82">
        <v>988</v>
      </c>
      <c r="CH132" s="82">
        <v>39012</v>
      </c>
      <c r="CI132" s="82">
        <v>1971</v>
      </c>
      <c r="CJ132" s="82">
        <v>1121</v>
      </c>
      <c r="CK132" s="82">
        <v>43751</v>
      </c>
      <c r="CL132" s="82">
        <v>1887</v>
      </c>
      <c r="CM132" s="82">
        <v>1558</v>
      </c>
      <c r="CN132" s="82">
        <v>47537</v>
      </c>
      <c r="CO132" s="82">
        <v>2231</v>
      </c>
      <c r="CP132" s="82">
        <v>1641</v>
      </c>
      <c r="CQ132" s="82">
        <v>51149</v>
      </c>
      <c r="CR132" s="82">
        <v>2338</v>
      </c>
      <c r="CS132" s="82">
        <v>1736</v>
      </c>
      <c r="CT132" s="82">
        <v>818.57063808817418</v>
      </c>
      <c r="CU132" s="82">
        <v>-3785.0692853999999</v>
      </c>
      <c r="CV132" s="82">
        <v>2333.1029158740807</v>
      </c>
      <c r="CW132" s="82">
        <v>10062</v>
      </c>
      <c r="CX132" s="82">
        <v>-267.25061514734102</v>
      </c>
      <c r="CY132" s="82">
        <v>-2238.2449254000003</v>
      </c>
      <c r="CZ132" s="82">
        <v>2502.1317819678998</v>
      </c>
      <c r="DA132" s="82">
        <v>11101</v>
      </c>
      <c r="DB132" s="82">
        <v>3514.6230992661958</v>
      </c>
      <c r="DC132" s="82">
        <v>-1941.3932355500001</v>
      </c>
      <c r="DD132" s="82">
        <v>2235.7221064528662</v>
      </c>
      <c r="DE132" s="82">
        <v>10755</v>
      </c>
      <c r="DF132" s="82">
        <v>4756.1863724050709</v>
      </c>
      <c r="DG132" s="82">
        <v>-4974</v>
      </c>
      <c r="DH132" s="82">
        <v>2328.56184185962</v>
      </c>
      <c r="DI132" s="82">
        <v>12444</v>
      </c>
      <c r="DJ132" s="82">
        <v>7190</v>
      </c>
      <c r="DK132" s="82">
        <v>-2421</v>
      </c>
      <c r="DL132" s="82">
        <v>2564</v>
      </c>
      <c r="DM132" s="82">
        <v>9043</v>
      </c>
      <c r="DN132" s="82">
        <v>1533</v>
      </c>
      <c r="DO132" s="82">
        <v>-3711</v>
      </c>
      <c r="DP132" s="82">
        <v>2625</v>
      </c>
      <c r="DQ132" s="82">
        <v>9754</v>
      </c>
      <c r="DR132" s="82">
        <v>911</v>
      </c>
      <c r="DS132" s="82">
        <v>-4534</v>
      </c>
      <c r="DT132" s="82">
        <v>2763</v>
      </c>
      <c r="DU132" s="82">
        <v>13258</v>
      </c>
      <c r="DV132" s="82">
        <v>1323</v>
      </c>
      <c r="DW132" s="82">
        <v>-8481</v>
      </c>
      <c r="DX132" s="82">
        <v>2961</v>
      </c>
      <c r="DY132" s="82">
        <v>19950</v>
      </c>
      <c r="DZ132" s="82">
        <v>2380</v>
      </c>
      <c r="EA132" s="82">
        <v>-12276</v>
      </c>
      <c r="EB132" s="82">
        <v>3442</v>
      </c>
      <c r="EC132" s="82">
        <v>31451</v>
      </c>
      <c r="ED132" s="82">
        <v>4505</v>
      </c>
      <c r="EE132" s="82">
        <v>-4139</v>
      </c>
      <c r="EF132" s="82">
        <v>3263</v>
      </c>
      <c r="EG132" s="82">
        <v>31803</v>
      </c>
      <c r="EH132" s="82">
        <v>2580</v>
      </c>
      <c r="EI132" s="82">
        <v>-2689</v>
      </c>
      <c r="EJ132" s="82">
        <v>3248</v>
      </c>
      <c r="EK132" s="82">
        <v>33341</v>
      </c>
      <c r="EL132" s="82">
        <v>40315.486912456501</v>
      </c>
      <c r="EM132" s="82">
        <v>-1473.1580478763751</v>
      </c>
      <c r="EN132" s="82">
        <v>41755.848314672883</v>
      </c>
      <c r="EO132" s="82">
        <v>-2656.696486386028</v>
      </c>
      <c r="EP132" s="82">
        <v>44917.781332149287</v>
      </c>
      <c r="EQ132" s="82">
        <v>4546.4560281075665</v>
      </c>
      <c r="ER132" s="82">
        <v>48405.830739034565</v>
      </c>
      <c r="ES132" s="82">
        <v>2429.9791615159115</v>
      </c>
      <c r="ET132" s="82">
        <v>52588</v>
      </c>
      <c r="EU132" s="82">
        <v>4662</v>
      </c>
      <c r="EV132" s="82">
        <v>57884</v>
      </c>
      <c r="EW132" s="82">
        <v>-624</v>
      </c>
      <c r="EX132" s="82">
        <v>61311</v>
      </c>
      <c r="EY132" s="82">
        <v>-1305</v>
      </c>
      <c r="EZ132" s="82">
        <v>64727</v>
      </c>
      <c r="FA132" s="82">
        <v>-1626</v>
      </c>
      <c r="FB132" s="82">
        <v>69048</v>
      </c>
      <c r="FC132" s="82">
        <v>-1051</v>
      </c>
      <c r="FD132" s="82">
        <v>72240</v>
      </c>
      <c r="FE132" s="82">
        <v>1293</v>
      </c>
      <c r="FF132" s="82">
        <v>80054</v>
      </c>
      <c r="FG132" s="82">
        <v>-657</v>
      </c>
      <c r="FH132" s="82">
        <v>8038</v>
      </c>
      <c r="FI132" s="82">
        <v>7381</v>
      </c>
      <c r="FJ132" s="82">
        <v>17981</v>
      </c>
      <c r="FK132" s="82">
        <v>56249</v>
      </c>
      <c r="FL132" s="82">
        <v>19420</v>
      </c>
      <c r="FM132" s="82">
        <v>13198</v>
      </c>
      <c r="FN132" s="82">
        <v>215</v>
      </c>
      <c r="FO132" s="82">
        <v>52475</v>
      </c>
      <c r="FP132" s="82">
        <v>1846</v>
      </c>
      <c r="FQ132" s="82">
        <v>1928</v>
      </c>
      <c r="FR132" s="82">
        <v>2942</v>
      </c>
      <c r="FS132" s="82">
        <v>-6146</v>
      </c>
      <c r="FT132" s="82">
        <v>3339</v>
      </c>
      <c r="FU132" s="82">
        <v>37299</v>
      </c>
      <c r="FV132" s="82">
        <v>6146</v>
      </c>
      <c r="FW132" s="82">
        <v>85392</v>
      </c>
      <c r="FX132" s="82">
        <v>-319</v>
      </c>
      <c r="FY132" s="82">
        <v>18205</v>
      </c>
      <c r="FZ132" s="82">
        <v>58851</v>
      </c>
      <c r="GA132" s="82">
        <v>20779</v>
      </c>
      <c r="GB132" s="82">
        <v>13191</v>
      </c>
      <c r="GC132" s="82">
        <v>221</v>
      </c>
      <c r="GD132" s="82">
        <v>53547</v>
      </c>
      <c r="GE132" s="82">
        <v>2817</v>
      </c>
      <c r="GF132" s="82">
        <v>2487</v>
      </c>
      <c r="GG132" s="82">
        <v>3201</v>
      </c>
      <c r="GH132" s="82">
        <v>-4378</v>
      </c>
      <c r="GI132" s="82">
        <v>3748</v>
      </c>
      <c r="GJ132" s="82">
        <v>37489</v>
      </c>
      <c r="GK132" s="82">
        <v>4378</v>
      </c>
      <c r="GL132" s="82">
        <v>89314</v>
      </c>
      <c r="GM132" s="82">
        <v>-541</v>
      </c>
      <c r="GN132" s="82">
        <v>6260</v>
      </c>
      <c r="GO132" s="83">
        <v>18.5</v>
      </c>
      <c r="GP132" s="82">
        <v>18634</v>
      </c>
      <c r="GQ132" s="82">
        <v>61642</v>
      </c>
      <c r="GR132" s="82">
        <v>21813</v>
      </c>
      <c r="GS132" s="82">
        <v>14529</v>
      </c>
      <c r="GT132" s="82">
        <v>245</v>
      </c>
      <c r="GU132" s="82">
        <v>55261</v>
      </c>
      <c r="GV132" s="82">
        <v>3437</v>
      </c>
      <c r="GW132" s="82">
        <v>2944</v>
      </c>
      <c r="GX132" s="82">
        <v>3514</v>
      </c>
      <c r="GY132" s="82">
        <v>-3013</v>
      </c>
      <c r="GZ132" s="82">
        <v>3973</v>
      </c>
      <c r="HA132" s="82">
        <v>41396</v>
      </c>
      <c r="HB132" s="82">
        <v>3013</v>
      </c>
      <c r="HC132" s="82">
        <v>93977</v>
      </c>
      <c r="HD132" s="82">
        <v>-452</v>
      </c>
      <c r="HE132" s="82">
        <v>18982</v>
      </c>
      <c r="HF132" s="82">
        <v>63338</v>
      </c>
      <c r="HG132" s="82">
        <v>22003</v>
      </c>
      <c r="HH132" s="82">
        <v>16283</v>
      </c>
      <c r="HI132" s="82">
        <v>286</v>
      </c>
      <c r="HJ132" s="82">
        <v>57722</v>
      </c>
      <c r="HK132" s="82">
        <v>2483</v>
      </c>
      <c r="HL132" s="82">
        <v>3133</v>
      </c>
      <c r="HM132" s="82">
        <v>1803</v>
      </c>
      <c r="HN132" s="82">
        <v>-3127</v>
      </c>
      <c r="HO132" s="82">
        <v>4098</v>
      </c>
      <c r="HP132" s="82">
        <v>45142</v>
      </c>
      <c r="HQ132" s="82">
        <v>3127</v>
      </c>
      <c r="HR132" s="82">
        <v>99066</v>
      </c>
      <c r="HS132" s="82">
        <v>-2156</v>
      </c>
      <c r="HT132" s="82">
        <v>3116</v>
      </c>
      <c r="HU132" s="83">
        <v>18.5</v>
      </c>
      <c r="HV132" s="180">
        <v>210</v>
      </c>
      <c r="HW132" s="30" t="s">
        <v>754</v>
      </c>
    </row>
    <row r="133" spans="1:231" ht="15" x14ac:dyDescent="0.25">
      <c r="A133" s="27">
        <v>425</v>
      </c>
      <c r="B133" s="27" t="s">
        <v>261</v>
      </c>
      <c r="C133" s="27">
        <v>17</v>
      </c>
      <c r="D133" s="27" t="s">
        <v>117</v>
      </c>
      <c r="E133" s="27">
        <v>4</v>
      </c>
      <c r="F133" s="27" t="s">
        <v>100</v>
      </c>
      <c r="G133" s="29" t="s">
        <v>130</v>
      </c>
      <c r="H133" s="27" t="s">
        <v>98</v>
      </c>
      <c r="I133" s="31" t="s">
        <v>117</v>
      </c>
      <c r="J133" s="69">
        <v>5585</v>
      </c>
      <c r="K133" s="69">
        <v>5639</v>
      </c>
      <c r="L133" s="36">
        <v>5735</v>
      </c>
      <c r="M133" s="36">
        <v>5910</v>
      </c>
      <c r="N133" s="36">
        <v>6186</v>
      </c>
      <c r="O133" s="36">
        <v>6475</v>
      </c>
      <c r="P133" s="36">
        <v>7039</v>
      </c>
      <c r="Q133" s="36">
        <v>7484</v>
      </c>
      <c r="R133" s="69">
        <v>7963</v>
      </c>
      <c r="S133" s="69">
        <v>8399</v>
      </c>
      <c r="T133" s="71">
        <v>8576</v>
      </c>
      <c r="U133" s="36">
        <v>9269</v>
      </c>
      <c r="V133" s="36">
        <v>6987</v>
      </c>
      <c r="W133" s="36">
        <v>3610</v>
      </c>
      <c r="X133" s="36">
        <v>197.62081359227545</v>
      </c>
      <c r="Y133" s="36">
        <v>9464</v>
      </c>
      <c r="Z133" s="36">
        <v>7359</v>
      </c>
      <c r="AA133" s="36">
        <v>3638</v>
      </c>
      <c r="AB133" s="36">
        <v>112.85409865567389</v>
      </c>
      <c r="AC133" s="36">
        <v>9375</v>
      </c>
      <c r="AD133" s="36">
        <v>7799</v>
      </c>
      <c r="AE133" s="36">
        <v>5153</v>
      </c>
      <c r="AF133" s="36">
        <v>74.507251422449386</v>
      </c>
      <c r="AG133" s="36">
        <v>11237</v>
      </c>
      <c r="AH133" s="36">
        <v>9093</v>
      </c>
      <c r="AI133" s="36">
        <v>6856</v>
      </c>
      <c r="AJ133" s="36">
        <v>50.456377938453308</v>
      </c>
      <c r="AK133" s="36">
        <v>11682</v>
      </c>
      <c r="AL133" s="36">
        <v>10042</v>
      </c>
      <c r="AM133" s="36">
        <v>5779</v>
      </c>
      <c r="AN133" s="36">
        <v>81</v>
      </c>
      <c r="AO133" s="36">
        <v>12036</v>
      </c>
      <c r="AP133" s="36">
        <v>10637</v>
      </c>
      <c r="AQ133" s="36">
        <v>6603</v>
      </c>
      <c r="AR133" s="36">
        <v>88</v>
      </c>
      <c r="AS133" s="36">
        <v>12628</v>
      </c>
      <c r="AT133" s="36">
        <v>11127</v>
      </c>
      <c r="AU133" s="36">
        <v>7477</v>
      </c>
      <c r="AV133" s="36">
        <v>61</v>
      </c>
      <c r="AW133" s="36">
        <v>14280</v>
      </c>
      <c r="AX133" s="69">
        <v>12319</v>
      </c>
      <c r="AY133" s="36">
        <v>8179</v>
      </c>
      <c r="AZ133" s="36">
        <v>48</v>
      </c>
      <c r="BA133" s="36">
        <v>15867</v>
      </c>
      <c r="BB133" s="36">
        <v>14331</v>
      </c>
      <c r="BC133" s="36">
        <v>7867</v>
      </c>
      <c r="BD133" s="36">
        <v>0</v>
      </c>
      <c r="BE133" s="70">
        <v>17930</v>
      </c>
      <c r="BF133" s="70">
        <v>16167</v>
      </c>
      <c r="BG133" s="70">
        <v>8099</v>
      </c>
      <c r="BH133" s="70">
        <v>94</v>
      </c>
      <c r="BI133" s="36">
        <v>19725</v>
      </c>
      <c r="BJ133" s="36">
        <v>18918</v>
      </c>
      <c r="BK133" s="36">
        <v>8057</v>
      </c>
      <c r="BL133" s="36">
        <v>31</v>
      </c>
      <c r="BM133" s="36">
        <v>8482.5580710863087</v>
      </c>
      <c r="BN133" s="36">
        <v>601.60821295282494</v>
      </c>
      <c r="BO133" s="36">
        <v>184.50215532827761</v>
      </c>
      <c r="BP133" s="36">
        <v>8746.1085518514974</v>
      </c>
      <c r="BQ133" s="36">
        <v>539.71505601498893</v>
      </c>
      <c r="BR133" s="36">
        <v>177.94282619627867</v>
      </c>
      <c r="BS133" s="36">
        <v>8686.2336500311994</v>
      </c>
      <c r="BT133" s="36">
        <v>485.72673162084385</v>
      </c>
      <c r="BU133" s="36">
        <v>203.33920309196682</v>
      </c>
      <c r="BV133" s="36">
        <v>10603</v>
      </c>
      <c r="BW133" s="36">
        <v>400</v>
      </c>
      <c r="BX133" s="36">
        <v>234</v>
      </c>
      <c r="BY133" s="36">
        <v>11171</v>
      </c>
      <c r="BZ133" s="36">
        <v>265</v>
      </c>
      <c r="CA133" s="36">
        <v>246</v>
      </c>
      <c r="CB133" s="36">
        <v>11629</v>
      </c>
      <c r="CC133" s="36">
        <v>147</v>
      </c>
      <c r="CD133" s="36">
        <v>260</v>
      </c>
      <c r="CE133" s="36">
        <v>12158</v>
      </c>
      <c r="CF133" s="36">
        <v>201</v>
      </c>
      <c r="CG133" s="36">
        <v>269</v>
      </c>
      <c r="CH133" s="36">
        <v>13716</v>
      </c>
      <c r="CI133" s="36">
        <v>253</v>
      </c>
      <c r="CJ133" s="70">
        <v>311</v>
      </c>
      <c r="CK133" s="70">
        <v>15254</v>
      </c>
      <c r="CL133" s="70">
        <v>276</v>
      </c>
      <c r="CM133" s="36">
        <v>337</v>
      </c>
      <c r="CN133" s="36">
        <v>17196</v>
      </c>
      <c r="CO133" s="36">
        <v>364</v>
      </c>
      <c r="CP133" s="36">
        <v>370</v>
      </c>
      <c r="CQ133" s="36">
        <v>18913</v>
      </c>
      <c r="CR133" s="36">
        <v>412</v>
      </c>
      <c r="CS133" s="36">
        <v>400</v>
      </c>
      <c r="CT133" s="36">
        <v>860.95399555647509</v>
      </c>
      <c r="CU133" s="36">
        <v>-1799.1062489999999</v>
      </c>
      <c r="CV133" s="36">
        <v>788.46499925156365</v>
      </c>
      <c r="CW133" s="36">
        <v>2161</v>
      </c>
      <c r="CX133" s="36">
        <v>601.10364917344043</v>
      </c>
      <c r="CY133" s="36">
        <v>-1591.3941600000001</v>
      </c>
      <c r="CZ133" s="36">
        <v>878.781915761395</v>
      </c>
      <c r="DA133" s="36">
        <v>2875</v>
      </c>
      <c r="DB133" s="36">
        <v>580.08015836575157</v>
      </c>
      <c r="DC133" s="36">
        <v>-1683.561144</v>
      </c>
      <c r="DD133" s="36">
        <v>970.27614775645702</v>
      </c>
      <c r="DE133" s="36">
        <v>3778</v>
      </c>
      <c r="DF133" s="36">
        <v>3732.2582761073913</v>
      </c>
      <c r="DG133" s="36">
        <v>-2312</v>
      </c>
      <c r="DH133" s="36">
        <v>1091.7078306616681</v>
      </c>
      <c r="DI133" s="36">
        <v>2725</v>
      </c>
      <c r="DJ133" s="36">
        <v>3084</v>
      </c>
      <c r="DK133" s="36">
        <v>-1262</v>
      </c>
      <c r="DL133" s="36">
        <v>1190</v>
      </c>
      <c r="DM133" s="36">
        <v>1856</v>
      </c>
      <c r="DN133" s="36">
        <v>2400</v>
      </c>
      <c r="DO133" s="69">
        <v>-2270</v>
      </c>
      <c r="DP133" s="36">
        <v>1243</v>
      </c>
      <c r="DQ133" s="36">
        <v>1157</v>
      </c>
      <c r="DR133" s="36">
        <v>1557</v>
      </c>
      <c r="DS133" s="36">
        <v>-2788</v>
      </c>
      <c r="DT133" s="36">
        <v>1311</v>
      </c>
      <c r="DU133" s="36">
        <v>2159</v>
      </c>
      <c r="DV133" s="36">
        <v>2668</v>
      </c>
      <c r="DW133" s="71">
        <v>-3597</v>
      </c>
      <c r="DX133" s="39">
        <v>1414</v>
      </c>
      <c r="DY133" s="71">
        <v>3845</v>
      </c>
      <c r="DZ133" s="70">
        <v>2471</v>
      </c>
      <c r="EA133" s="35">
        <v>-4829</v>
      </c>
      <c r="EB133" s="35">
        <v>1590</v>
      </c>
      <c r="EC133" s="38">
        <v>6270</v>
      </c>
      <c r="ED133" s="38">
        <v>3380</v>
      </c>
      <c r="EE133" s="38">
        <v>-6012</v>
      </c>
      <c r="EF133" s="38">
        <v>1706</v>
      </c>
      <c r="EG133" s="73">
        <v>12107</v>
      </c>
      <c r="EH133" s="73">
        <v>4422</v>
      </c>
      <c r="EI133" s="73">
        <v>-2994</v>
      </c>
      <c r="EJ133" s="73">
        <v>2120</v>
      </c>
      <c r="EK133" s="73">
        <v>10658</v>
      </c>
      <c r="EL133" s="73">
        <v>18268.236196396407</v>
      </c>
      <c r="EM133" s="73">
        <v>0.33637585292302208</v>
      </c>
      <c r="EN133" s="73">
        <v>18936.61501615445</v>
      </c>
      <c r="EO133" s="73">
        <v>-148.67812699197574</v>
      </c>
      <c r="EP133" s="73">
        <v>20798.287174156914</v>
      </c>
      <c r="EQ133" s="73">
        <v>-371.52712955347783</v>
      </c>
      <c r="ER133" s="73">
        <v>22365.462272925273</v>
      </c>
      <c r="ES133" s="73">
        <v>1169.0742768339633</v>
      </c>
      <c r="ET133" s="73">
        <v>24366</v>
      </c>
      <c r="EU133" s="73">
        <v>2</v>
      </c>
      <c r="EV133" s="73">
        <v>26879</v>
      </c>
      <c r="EW133" s="73">
        <v>91</v>
      </c>
      <c r="EX133" s="73">
        <v>29681</v>
      </c>
      <c r="EY133" s="73">
        <v>9</v>
      </c>
      <c r="EZ133" s="73">
        <v>32078</v>
      </c>
      <c r="FA133" s="73">
        <v>221</v>
      </c>
      <c r="FB133" s="73">
        <v>35489</v>
      </c>
      <c r="FC133" s="73">
        <v>345</v>
      </c>
      <c r="FD133" s="73">
        <v>38478</v>
      </c>
      <c r="FE133" s="73">
        <v>444</v>
      </c>
      <c r="FF133" s="73">
        <v>41907</v>
      </c>
      <c r="FG133" s="73">
        <v>1073</v>
      </c>
      <c r="FH133" s="73">
        <v>1846</v>
      </c>
      <c r="FI133" s="73">
        <v>2919</v>
      </c>
      <c r="FJ133" s="79">
        <v>8861</v>
      </c>
      <c r="FK133" s="80">
        <v>20994</v>
      </c>
      <c r="FL133" s="80">
        <v>21278</v>
      </c>
      <c r="FM133" s="80">
        <v>8414</v>
      </c>
      <c r="FN133" s="76">
        <v>71</v>
      </c>
      <c r="FO133" s="80">
        <v>20103</v>
      </c>
      <c r="FP133" s="80">
        <v>319</v>
      </c>
      <c r="FQ133" s="80">
        <v>572</v>
      </c>
      <c r="FR133" s="80">
        <v>4643</v>
      </c>
      <c r="FS133" s="81">
        <v>-2937</v>
      </c>
      <c r="FT133" s="76">
        <v>2301</v>
      </c>
      <c r="FU133" s="76">
        <v>9209</v>
      </c>
      <c r="FV133" s="76">
        <v>2937</v>
      </c>
      <c r="FW133" s="80">
        <v>45842</v>
      </c>
      <c r="FX133" s="80">
        <v>1508</v>
      </c>
      <c r="FY133" s="73">
        <v>9037</v>
      </c>
      <c r="FZ133" s="73">
        <v>23038</v>
      </c>
      <c r="GA133" s="73">
        <v>21999</v>
      </c>
      <c r="GB133" s="73">
        <v>6982</v>
      </c>
      <c r="GC133" s="73">
        <v>36</v>
      </c>
      <c r="GD133" s="73">
        <v>21853</v>
      </c>
      <c r="GE133" s="73">
        <v>425</v>
      </c>
      <c r="GF133" s="73">
        <v>760</v>
      </c>
      <c r="GG133" s="73">
        <v>6114</v>
      </c>
      <c r="GH133" s="73">
        <v>-9136</v>
      </c>
      <c r="GI133" s="73">
        <v>2278</v>
      </c>
      <c r="GJ133" s="73">
        <v>11760</v>
      </c>
      <c r="GK133" s="73">
        <v>9136</v>
      </c>
      <c r="GL133" s="73">
        <v>45762</v>
      </c>
      <c r="GM133" s="73">
        <v>694</v>
      </c>
      <c r="GN133" s="73">
        <v>5120</v>
      </c>
      <c r="GO133" s="77">
        <v>19.5</v>
      </c>
      <c r="GP133" s="78">
        <v>9164</v>
      </c>
      <c r="GQ133" s="73">
        <v>23597</v>
      </c>
      <c r="GR133" s="65">
        <v>22821</v>
      </c>
      <c r="GS133" s="65">
        <v>6940</v>
      </c>
      <c r="GT133" s="65">
        <v>64</v>
      </c>
      <c r="GU133" s="65">
        <v>22295</v>
      </c>
      <c r="GV133" s="65">
        <v>539</v>
      </c>
      <c r="GW133" s="65">
        <v>763</v>
      </c>
      <c r="GX133" s="65">
        <v>4692</v>
      </c>
      <c r="GY133" s="65">
        <v>-11063</v>
      </c>
      <c r="GZ133" s="65">
        <v>2463</v>
      </c>
      <c r="HA133" s="65">
        <v>18610</v>
      </c>
      <c r="HB133" s="65">
        <v>11063</v>
      </c>
      <c r="HC133" s="65">
        <v>48473</v>
      </c>
      <c r="HD133" s="65">
        <v>738</v>
      </c>
      <c r="HE133" s="78">
        <v>9432</v>
      </c>
      <c r="HF133" s="73">
        <v>24162</v>
      </c>
      <c r="HG133" s="65">
        <v>23548</v>
      </c>
      <c r="HH133" s="65">
        <v>7473</v>
      </c>
      <c r="HI133" s="65">
        <v>57</v>
      </c>
      <c r="HJ133" s="65">
        <v>22926</v>
      </c>
      <c r="HK133" s="65">
        <v>419</v>
      </c>
      <c r="HL133" s="65">
        <v>817</v>
      </c>
      <c r="HM133" s="65">
        <v>3374</v>
      </c>
      <c r="HN133" s="65">
        <v>-3442</v>
      </c>
      <c r="HO133" s="65">
        <v>2989</v>
      </c>
      <c r="HP133" s="65">
        <v>19592</v>
      </c>
      <c r="HQ133" s="65">
        <v>3442</v>
      </c>
      <c r="HR133" s="65">
        <v>51559</v>
      </c>
      <c r="HS133" s="65">
        <v>110</v>
      </c>
      <c r="HT133" s="65">
        <v>6468</v>
      </c>
      <c r="HU133" s="77">
        <v>19.5</v>
      </c>
      <c r="HV133" s="180">
        <v>220</v>
      </c>
      <c r="HW133" s="30" t="s">
        <v>755</v>
      </c>
    </row>
    <row r="134" spans="1:231" ht="15" x14ac:dyDescent="0.25">
      <c r="A134" s="27">
        <v>426</v>
      </c>
      <c r="B134" s="27" t="s">
        <v>262</v>
      </c>
      <c r="C134" s="27">
        <v>12</v>
      </c>
      <c r="D134" s="27" t="s">
        <v>116</v>
      </c>
      <c r="E134" s="27">
        <v>4</v>
      </c>
      <c r="F134" s="27" t="s">
        <v>100</v>
      </c>
      <c r="G134" s="29" t="s">
        <v>130</v>
      </c>
      <c r="H134" s="27" t="s">
        <v>98</v>
      </c>
      <c r="I134" s="31" t="s">
        <v>116</v>
      </c>
      <c r="J134" s="69">
        <v>11553</v>
      </c>
      <c r="K134" s="69">
        <v>11481</v>
      </c>
      <c r="L134" s="36">
        <v>11479</v>
      </c>
      <c r="M134" s="36">
        <v>11430</v>
      </c>
      <c r="N134" s="36">
        <v>11426</v>
      </c>
      <c r="O134" s="36">
        <v>11471</v>
      </c>
      <c r="P134" s="36">
        <v>11641</v>
      </c>
      <c r="Q134" s="36">
        <v>11750</v>
      </c>
      <c r="R134" s="69">
        <v>11850</v>
      </c>
      <c r="S134" s="69">
        <v>11940</v>
      </c>
      <c r="T134" s="71">
        <v>12056</v>
      </c>
      <c r="U134" s="36">
        <v>18301</v>
      </c>
      <c r="V134" s="36">
        <v>12605</v>
      </c>
      <c r="W134" s="36">
        <v>5558</v>
      </c>
      <c r="X134" s="36">
        <v>354.37196105440376</v>
      </c>
      <c r="Y134" s="36">
        <v>18768</v>
      </c>
      <c r="Z134" s="36">
        <v>13826</v>
      </c>
      <c r="AA134" s="36">
        <v>5874</v>
      </c>
      <c r="AB134" s="36">
        <v>399.10994949316569</v>
      </c>
      <c r="AC134" s="36">
        <v>18986</v>
      </c>
      <c r="AD134" s="36">
        <v>15190</v>
      </c>
      <c r="AE134" s="36">
        <v>6080</v>
      </c>
      <c r="AF134" s="36">
        <v>499.8545174436108</v>
      </c>
      <c r="AG134" s="36">
        <v>21559</v>
      </c>
      <c r="AH134" s="36">
        <v>16533</v>
      </c>
      <c r="AI134" s="36">
        <v>6034</v>
      </c>
      <c r="AJ134" s="36">
        <v>383.30028440578366</v>
      </c>
      <c r="AK134" s="36">
        <v>22218</v>
      </c>
      <c r="AL134" s="36">
        <v>17626</v>
      </c>
      <c r="AM134" s="36">
        <v>6445</v>
      </c>
      <c r="AN134" s="36">
        <v>479</v>
      </c>
      <c r="AO134" s="36">
        <v>21687</v>
      </c>
      <c r="AP134" s="36">
        <v>17596</v>
      </c>
      <c r="AQ134" s="36">
        <v>9376</v>
      </c>
      <c r="AR134" s="36">
        <v>456</v>
      </c>
      <c r="AS134" s="36">
        <v>22317</v>
      </c>
      <c r="AT134" s="36">
        <v>17749</v>
      </c>
      <c r="AU134" s="36">
        <v>9666</v>
      </c>
      <c r="AV134" s="36">
        <v>464</v>
      </c>
      <c r="AW134" s="36">
        <v>24686</v>
      </c>
      <c r="AX134" s="69">
        <v>19356</v>
      </c>
      <c r="AY134" s="36">
        <v>9895</v>
      </c>
      <c r="AZ134" s="36">
        <v>442</v>
      </c>
      <c r="BA134" s="36">
        <v>25880</v>
      </c>
      <c r="BB134" s="36">
        <v>19532</v>
      </c>
      <c r="BC134" s="36">
        <v>10000</v>
      </c>
      <c r="BD134" s="36">
        <v>325</v>
      </c>
      <c r="BE134" s="70">
        <v>26434</v>
      </c>
      <c r="BF134" s="70">
        <v>19638</v>
      </c>
      <c r="BG134" s="70">
        <v>10518</v>
      </c>
      <c r="BH134" s="70">
        <v>523</v>
      </c>
      <c r="BI134" s="36">
        <v>29227</v>
      </c>
      <c r="BJ134" s="36">
        <v>22075</v>
      </c>
      <c r="BK134" s="36">
        <v>10855</v>
      </c>
      <c r="BL134" s="36">
        <v>285</v>
      </c>
      <c r="BM134" s="36">
        <v>15614.567092686684</v>
      </c>
      <c r="BN134" s="36">
        <v>2028.0100172729001</v>
      </c>
      <c r="BO134" s="36">
        <v>658.62392002327715</v>
      </c>
      <c r="BP134" s="36">
        <v>16147.722819569673</v>
      </c>
      <c r="BQ134" s="36">
        <v>1813.2340351815503</v>
      </c>
      <c r="BR134" s="36">
        <v>807.13385908879138</v>
      </c>
      <c r="BS134" s="36">
        <v>15952.45663694786</v>
      </c>
      <c r="BT134" s="36">
        <v>1928.4427648076853</v>
      </c>
      <c r="BU134" s="36">
        <v>1105.162864778589</v>
      </c>
      <c r="BV134" s="36">
        <v>18613</v>
      </c>
      <c r="BW134" s="36">
        <v>1777</v>
      </c>
      <c r="BX134" s="36">
        <v>1169</v>
      </c>
      <c r="BY134" s="36">
        <v>20067</v>
      </c>
      <c r="BZ134" s="36">
        <v>942</v>
      </c>
      <c r="CA134" s="36">
        <v>1209</v>
      </c>
      <c r="CB134" s="36">
        <v>19845</v>
      </c>
      <c r="CC134" s="36">
        <v>633</v>
      </c>
      <c r="CD134" s="36">
        <v>1209</v>
      </c>
      <c r="CE134" s="36">
        <v>20300</v>
      </c>
      <c r="CF134" s="36">
        <v>806</v>
      </c>
      <c r="CG134" s="36">
        <v>1211</v>
      </c>
      <c r="CH134" s="36">
        <v>22351</v>
      </c>
      <c r="CI134" s="36">
        <v>1077</v>
      </c>
      <c r="CJ134" s="70">
        <v>1258</v>
      </c>
      <c r="CK134" s="70">
        <v>23331</v>
      </c>
      <c r="CL134" s="70">
        <v>1250</v>
      </c>
      <c r="CM134" s="36">
        <v>1299</v>
      </c>
      <c r="CN134" s="36">
        <v>23865</v>
      </c>
      <c r="CO134" s="36">
        <v>1296</v>
      </c>
      <c r="CP134" s="36">
        <v>1273</v>
      </c>
      <c r="CQ134" s="36">
        <v>26730</v>
      </c>
      <c r="CR134" s="36">
        <v>1110</v>
      </c>
      <c r="CS134" s="36">
        <v>1387</v>
      </c>
      <c r="CT134" s="36">
        <v>-126.64550862551781</v>
      </c>
      <c r="CU134" s="36">
        <v>-722.36714419999998</v>
      </c>
      <c r="CV134" s="36">
        <v>1150.4054169967355</v>
      </c>
      <c r="CW134" s="36">
        <v>7004</v>
      </c>
      <c r="CX134" s="36">
        <v>730.44016462234242</v>
      </c>
      <c r="CY134" s="36">
        <v>-2808.5701840000002</v>
      </c>
      <c r="CZ134" s="36">
        <v>1179.1655524216537</v>
      </c>
      <c r="DA134" s="36">
        <v>8032</v>
      </c>
      <c r="DB134" s="36">
        <v>172.72900047597182</v>
      </c>
      <c r="DC134" s="36">
        <v>-2824.2116609999998</v>
      </c>
      <c r="DD134" s="36">
        <v>1337.7667670748588</v>
      </c>
      <c r="DE134" s="36">
        <v>11229</v>
      </c>
      <c r="DF134" s="36">
        <v>1517.2232846092907</v>
      </c>
      <c r="DG134" s="36">
        <v>-2313</v>
      </c>
      <c r="DH134" s="36">
        <v>1506.1228814628312</v>
      </c>
      <c r="DI134" s="36">
        <v>12047</v>
      </c>
      <c r="DJ134" s="36">
        <v>3672</v>
      </c>
      <c r="DK134" s="36">
        <v>-2407</v>
      </c>
      <c r="DL134" s="36">
        <v>1525</v>
      </c>
      <c r="DM134" s="36">
        <v>10297</v>
      </c>
      <c r="DN134" s="36">
        <v>1259</v>
      </c>
      <c r="DO134" s="69">
        <v>-2966</v>
      </c>
      <c r="DP134" s="36">
        <v>1483</v>
      </c>
      <c r="DQ134" s="36">
        <v>11221</v>
      </c>
      <c r="DR134" s="36">
        <v>-823</v>
      </c>
      <c r="DS134" s="36">
        <v>-3821</v>
      </c>
      <c r="DT134" s="36">
        <v>1646</v>
      </c>
      <c r="DU134" s="36">
        <v>15047</v>
      </c>
      <c r="DV134" s="36">
        <v>1811</v>
      </c>
      <c r="DW134" s="71">
        <v>-2438</v>
      </c>
      <c r="DX134" s="39">
        <v>1825</v>
      </c>
      <c r="DY134" s="71">
        <v>16769</v>
      </c>
      <c r="DZ134" s="70">
        <v>1707</v>
      </c>
      <c r="EA134" s="35">
        <v>-3146</v>
      </c>
      <c r="EB134" s="35">
        <v>1555</v>
      </c>
      <c r="EC134" s="38">
        <v>17911</v>
      </c>
      <c r="ED134" s="38">
        <v>851</v>
      </c>
      <c r="EE134" s="38">
        <v>-1825</v>
      </c>
      <c r="EF134" s="38">
        <v>1613</v>
      </c>
      <c r="EG134" s="73">
        <v>19141</v>
      </c>
      <c r="EH134" s="73">
        <v>1729</v>
      </c>
      <c r="EI134" s="73">
        <v>-7718</v>
      </c>
      <c r="EJ134" s="73">
        <v>1688</v>
      </c>
      <c r="EK134" s="73">
        <v>25402</v>
      </c>
      <c r="EL134" s="73">
        <v>34679.509496731269</v>
      </c>
      <c r="EM134" s="73">
        <v>1268.8097172256391</v>
      </c>
      <c r="EN134" s="73">
        <v>35910.981494282452</v>
      </c>
      <c r="EO134" s="73">
        <v>-99.735440391676036</v>
      </c>
      <c r="EP134" s="73">
        <v>38093.051652194095</v>
      </c>
      <c r="EQ134" s="73">
        <v>-2676.3744737820248</v>
      </c>
      <c r="ER134" s="73">
        <v>40282.690266796504</v>
      </c>
      <c r="ES134" s="73">
        <v>-85.944030421832139</v>
      </c>
      <c r="ET134" s="73">
        <v>42422</v>
      </c>
      <c r="EU134" s="73">
        <v>2258</v>
      </c>
      <c r="EV134" s="73">
        <v>47333</v>
      </c>
      <c r="EW134" s="73">
        <v>-419</v>
      </c>
      <c r="EX134" s="73">
        <v>50444</v>
      </c>
      <c r="EY134" s="73">
        <v>-2358</v>
      </c>
      <c r="EZ134" s="73">
        <v>51955</v>
      </c>
      <c r="FA134" s="73">
        <v>94</v>
      </c>
      <c r="FB134" s="73">
        <v>53526</v>
      </c>
      <c r="FC134" s="73">
        <v>260</v>
      </c>
      <c r="FD134" s="73">
        <v>55538</v>
      </c>
      <c r="FE134" s="73">
        <v>-651</v>
      </c>
      <c r="FF134" s="73">
        <v>59941</v>
      </c>
      <c r="FG134" s="73">
        <v>152</v>
      </c>
      <c r="FH134" s="73">
        <v>-2769</v>
      </c>
      <c r="FI134" s="73">
        <v>-2618</v>
      </c>
      <c r="FJ134" s="79">
        <v>12133</v>
      </c>
      <c r="FK134" s="80">
        <v>30090</v>
      </c>
      <c r="FL134" s="80">
        <v>23010</v>
      </c>
      <c r="FM134" s="80">
        <v>29896</v>
      </c>
      <c r="FN134" s="76">
        <v>262</v>
      </c>
      <c r="FO134" s="80">
        <v>27733</v>
      </c>
      <c r="FP134" s="80">
        <v>857</v>
      </c>
      <c r="FQ134" s="80">
        <v>1500</v>
      </c>
      <c r="FR134" s="80">
        <v>1715</v>
      </c>
      <c r="FS134" s="81">
        <v>-6304</v>
      </c>
      <c r="FT134" s="76">
        <v>1933</v>
      </c>
      <c r="FU134" s="76">
        <v>29666</v>
      </c>
      <c r="FV134" s="76">
        <v>6304</v>
      </c>
      <c r="FW134" s="80">
        <v>80654</v>
      </c>
      <c r="FX134" s="80">
        <v>-101</v>
      </c>
      <c r="FY134" s="73">
        <v>12271</v>
      </c>
      <c r="FZ134" s="73">
        <v>31718</v>
      </c>
      <c r="GA134" s="73">
        <v>24656</v>
      </c>
      <c r="GB134" s="73">
        <v>32023</v>
      </c>
      <c r="GC134" s="73">
        <v>296</v>
      </c>
      <c r="GD134" s="73">
        <v>28828</v>
      </c>
      <c r="GE134" s="73">
        <v>1131</v>
      </c>
      <c r="GF134" s="73">
        <v>1759</v>
      </c>
      <c r="GG134" s="73">
        <v>3941</v>
      </c>
      <c r="GH134" s="73">
        <v>-1473</v>
      </c>
      <c r="GI134" s="73">
        <v>2214</v>
      </c>
      <c r="GJ134" s="73">
        <v>26348</v>
      </c>
      <c r="GK134" s="73">
        <v>1473</v>
      </c>
      <c r="GL134" s="73">
        <v>84190</v>
      </c>
      <c r="GM134" s="73">
        <v>1846</v>
      </c>
      <c r="GN134" s="73">
        <v>-872</v>
      </c>
      <c r="GO134" s="77">
        <v>20</v>
      </c>
      <c r="GP134" s="78">
        <v>12286</v>
      </c>
      <c r="GQ134" s="73">
        <v>33159</v>
      </c>
      <c r="GR134" s="65">
        <v>25170</v>
      </c>
      <c r="GS134" s="65">
        <v>34591</v>
      </c>
      <c r="GT134" s="65">
        <v>333</v>
      </c>
      <c r="GU134" s="65">
        <v>30079</v>
      </c>
      <c r="GV134" s="65">
        <v>1265</v>
      </c>
      <c r="GW134" s="65">
        <v>1815</v>
      </c>
      <c r="GX134" s="65">
        <v>2338</v>
      </c>
      <c r="GY134" s="65">
        <v>-2295</v>
      </c>
      <c r="GZ134" s="65">
        <v>2099</v>
      </c>
      <c r="HA134" s="65">
        <v>25627</v>
      </c>
      <c r="HB134" s="65">
        <v>2295</v>
      </c>
      <c r="HC134" s="65">
        <v>90370</v>
      </c>
      <c r="HD134" s="65">
        <v>358</v>
      </c>
      <c r="HE134" s="78">
        <v>12397</v>
      </c>
      <c r="HF134" s="73">
        <v>33289</v>
      </c>
      <c r="HG134" s="65">
        <v>24915</v>
      </c>
      <c r="HH134" s="65">
        <v>35872</v>
      </c>
      <c r="HI134" s="65">
        <v>379</v>
      </c>
      <c r="HJ134" s="65">
        <v>30589</v>
      </c>
      <c r="HK134" s="65">
        <v>816</v>
      </c>
      <c r="HL134" s="65">
        <v>1884</v>
      </c>
      <c r="HM134" s="65">
        <v>-2118</v>
      </c>
      <c r="HN134" s="65">
        <v>-2837</v>
      </c>
      <c r="HO134" s="65">
        <v>2243</v>
      </c>
      <c r="HP134" s="65">
        <v>31217</v>
      </c>
      <c r="HQ134" s="65">
        <v>2837</v>
      </c>
      <c r="HR134" s="65">
        <v>96037</v>
      </c>
      <c r="HS134" s="65">
        <v>-4242</v>
      </c>
      <c r="HT134" s="65">
        <v>-4756</v>
      </c>
      <c r="HU134" s="77">
        <v>20</v>
      </c>
      <c r="HV134" s="180">
        <v>330</v>
      </c>
      <c r="HW134" s="30" t="s">
        <v>760</v>
      </c>
    </row>
    <row r="135" spans="1:231" ht="15" x14ac:dyDescent="0.25">
      <c r="A135" s="27">
        <v>444</v>
      </c>
      <c r="B135" s="27" t="s">
        <v>263</v>
      </c>
      <c r="C135" s="27">
        <v>1</v>
      </c>
      <c r="D135" s="27" t="s">
        <v>121</v>
      </c>
      <c r="E135" s="27">
        <v>6</v>
      </c>
      <c r="F135" s="27" t="s">
        <v>102</v>
      </c>
      <c r="G135" s="29" t="s">
        <v>141</v>
      </c>
      <c r="H135" s="27" t="s">
        <v>97</v>
      </c>
      <c r="I135" s="31" t="s">
        <v>121</v>
      </c>
      <c r="J135" s="85">
        <v>42850</v>
      </c>
      <c r="K135" s="85">
        <v>43338</v>
      </c>
      <c r="L135" s="85">
        <v>43786</v>
      </c>
      <c r="M135" s="85">
        <v>44120</v>
      </c>
      <c r="N135" s="85">
        <v>44249</v>
      </c>
      <c r="O135" s="85">
        <v>44674</v>
      </c>
      <c r="P135" s="85">
        <v>44863</v>
      </c>
      <c r="Q135" s="85">
        <v>45361</v>
      </c>
      <c r="R135" s="85">
        <v>45747</v>
      </c>
      <c r="S135" s="85">
        <v>46180</v>
      </c>
      <c r="T135" s="85">
        <v>46627</v>
      </c>
      <c r="U135" s="85">
        <v>90892</v>
      </c>
      <c r="V135" s="85">
        <v>22985</v>
      </c>
      <c r="W135" s="85">
        <v>22570</v>
      </c>
      <c r="X135" s="85">
        <v>1821.1388677252414</v>
      </c>
      <c r="Y135" s="85">
        <v>101677</v>
      </c>
      <c r="Z135" s="85">
        <v>22797</v>
      </c>
      <c r="AA135" s="85">
        <v>23692</v>
      </c>
      <c r="AB135" s="85">
        <v>1692.1387281292625</v>
      </c>
      <c r="AC135" s="85">
        <v>103260</v>
      </c>
      <c r="AD135" s="85">
        <v>24763</v>
      </c>
      <c r="AE135" s="85">
        <v>23201</v>
      </c>
      <c r="AF135" s="85">
        <v>2451.1708402500617</v>
      </c>
      <c r="AG135" s="85">
        <v>118923</v>
      </c>
      <c r="AH135" s="85">
        <v>26281</v>
      </c>
      <c r="AI135" s="85">
        <v>25973</v>
      </c>
      <c r="AJ135" s="85">
        <v>1338.7758946336276</v>
      </c>
      <c r="AK135" s="85">
        <v>117467</v>
      </c>
      <c r="AL135" s="85">
        <v>29158</v>
      </c>
      <c r="AM135" s="85">
        <v>27013</v>
      </c>
      <c r="AN135" s="85">
        <v>1213</v>
      </c>
      <c r="AO135" s="85">
        <v>116282</v>
      </c>
      <c r="AP135" s="85">
        <v>32853</v>
      </c>
      <c r="AQ135" s="85">
        <v>28607</v>
      </c>
      <c r="AR135" s="85">
        <v>1380</v>
      </c>
      <c r="AS135" s="85">
        <v>117806</v>
      </c>
      <c r="AT135" s="85">
        <v>34618</v>
      </c>
      <c r="AU135" s="85">
        <v>31064</v>
      </c>
      <c r="AV135" s="85">
        <v>1325</v>
      </c>
      <c r="AW135" s="85">
        <v>120672</v>
      </c>
      <c r="AX135" s="85">
        <v>38288</v>
      </c>
      <c r="AY135" s="85">
        <v>35500</v>
      </c>
      <c r="AZ135" s="85">
        <v>1006</v>
      </c>
      <c r="BA135" s="85">
        <v>130532</v>
      </c>
      <c r="BB135" s="85">
        <v>41344</v>
      </c>
      <c r="BC135" s="85">
        <v>33699</v>
      </c>
      <c r="BD135" s="85">
        <v>699</v>
      </c>
      <c r="BE135" s="85">
        <v>141869</v>
      </c>
      <c r="BF135" s="85">
        <v>43441</v>
      </c>
      <c r="BG135" s="85">
        <v>36166</v>
      </c>
      <c r="BH135" s="85">
        <v>1589</v>
      </c>
      <c r="BI135" s="85">
        <v>155909</v>
      </c>
      <c r="BJ135" s="85">
        <v>49532</v>
      </c>
      <c r="BK135" s="85">
        <v>37680</v>
      </c>
      <c r="BL135" s="85">
        <v>923</v>
      </c>
      <c r="BM135" s="85">
        <v>77420.434496689224</v>
      </c>
      <c r="BN135" s="85">
        <v>9669.1238922722696</v>
      </c>
      <c r="BO135" s="85">
        <v>3771.9506267523075</v>
      </c>
      <c r="BP135" s="85">
        <v>82845.504252631727</v>
      </c>
      <c r="BQ135" s="85">
        <v>14283.359654743823</v>
      </c>
      <c r="BR135" s="85">
        <v>4516.1822013444944</v>
      </c>
      <c r="BS135" s="85">
        <v>85227.549855106088</v>
      </c>
      <c r="BT135" s="85">
        <v>13331.584178898134</v>
      </c>
      <c r="BU135" s="85">
        <v>4671.2514695420077</v>
      </c>
      <c r="BV135" s="85">
        <v>94664</v>
      </c>
      <c r="BW135" s="85">
        <v>19359</v>
      </c>
      <c r="BX135" s="85">
        <v>4869</v>
      </c>
      <c r="BY135" s="85">
        <v>106941</v>
      </c>
      <c r="BZ135" s="85">
        <v>5590</v>
      </c>
      <c r="CA135" s="85">
        <v>4906</v>
      </c>
      <c r="CB135" s="85">
        <v>103924</v>
      </c>
      <c r="CC135" s="85">
        <v>6901</v>
      </c>
      <c r="CD135" s="85">
        <v>5426</v>
      </c>
      <c r="CE135" s="85">
        <v>106516</v>
      </c>
      <c r="CF135" s="85">
        <v>5744</v>
      </c>
      <c r="CG135" s="85">
        <v>5515</v>
      </c>
      <c r="CH135" s="85">
        <v>108923</v>
      </c>
      <c r="CI135" s="85">
        <v>5845</v>
      </c>
      <c r="CJ135" s="85">
        <v>5873</v>
      </c>
      <c r="CK135" s="85">
        <v>117739</v>
      </c>
      <c r="CL135" s="85">
        <v>6771</v>
      </c>
      <c r="CM135" s="85">
        <v>5992</v>
      </c>
      <c r="CN135" s="85">
        <v>126068</v>
      </c>
      <c r="CO135" s="85">
        <v>8712</v>
      </c>
      <c r="CP135" s="85">
        <v>7059</v>
      </c>
      <c r="CQ135" s="85">
        <v>140017</v>
      </c>
      <c r="CR135" s="85">
        <v>8316</v>
      </c>
      <c r="CS135" s="85">
        <v>7547</v>
      </c>
      <c r="CT135" s="85">
        <v>4323.6070255460645</v>
      </c>
      <c r="CU135" s="85">
        <v>-8445.7249151600008</v>
      </c>
      <c r="CV135" s="85">
        <v>5846.0441358756616</v>
      </c>
      <c r="CW135" s="85">
        <v>22312</v>
      </c>
      <c r="CX135" s="85">
        <v>9931.4970575522239</v>
      </c>
      <c r="CY135" s="85">
        <v>-7440.6338665000003</v>
      </c>
      <c r="CZ135" s="85">
        <v>6135.4955573159223</v>
      </c>
      <c r="DA135" s="85">
        <v>16634</v>
      </c>
      <c r="DB135" s="85">
        <v>6868.6267287616483</v>
      </c>
      <c r="DC135" s="85">
        <v>-12664.719048699999</v>
      </c>
      <c r="DD135" s="85">
        <v>6407.4554344041853</v>
      </c>
      <c r="DE135" s="85">
        <v>17950</v>
      </c>
      <c r="DF135" s="85">
        <v>9505.1406639722973</v>
      </c>
      <c r="DG135" s="85">
        <v>-11907</v>
      </c>
      <c r="DH135" s="85">
        <v>6572.4477902629278</v>
      </c>
      <c r="DI135" s="85">
        <v>24001</v>
      </c>
      <c r="DJ135" s="85">
        <v>11749</v>
      </c>
      <c r="DK135" s="85">
        <v>-9776</v>
      </c>
      <c r="DL135" s="85">
        <v>6930</v>
      </c>
      <c r="DM135" s="85">
        <v>15128</v>
      </c>
      <c r="DN135" s="85">
        <v>9163</v>
      </c>
      <c r="DO135" s="85">
        <v>-11983</v>
      </c>
      <c r="DP135" s="85">
        <v>7206</v>
      </c>
      <c r="DQ135" s="85">
        <v>22895</v>
      </c>
      <c r="DR135" s="85">
        <v>6211</v>
      </c>
      <c r="DS135" s="85">
        <v>-12608</v>
      </c>
      <c r="DT135" s="85">
        <v>7902</v>
      </c>
      <c r="DU135" s="85">
        <v>28898</v>
      </c>
      <c r="DV135" s="85">
        <v>3178</v>
      </c>
      <c r="DW135" s="85">
        <v>-15451</v>
      </c>
      <c r="DX135" s="85">
        <v>8038</v>
      </c>
      <c r="DY135" s="85">
        <v>46603</v>
      </c>
      <c r="DZ135" s="85">
        <v>6885</v>
      </c>
      <c r="EA135" s="85">
        <v>-13658</v>
      </c>
      <c r="EB135" s="85">
        <v>8570</v>
      </c>
      <c r="EC135" s="85">
        <v>54029</v>
      </c>
      <c r="ED135" s="85">
        <v>4729</v>
      </c>
      <c r="EE135" s="85">
        <v>-9811</v>
      </c>
      <c r="EF135" s="85">
        <v>9075</v>
      </c>
      <c r="EG135" s="85">
        <v>57476</v>
      </c>
      <c r="EH135" s="85">
        <v>11215</v>
      </c>
      <c r="EI135" s="85">
        <v>-15617</v>
      </c>
      <c r="EJ135" s="85">
        <v>9512</v>
      </c>
      <c r="EK135" s="85">
        <v>64155</v>
      </c>
      <c r="EL135" s="85">
        <v>126312.32834319754</v>
      </c>
      <c r="EM135" s="85">
        <v>-626.83640192205166</v>
      </c>
      <c r="EN135" s="85">
        <v>132599.69759810821</v>
      </c>
      <c r="EO135" s="85">
        <v>4225.7216523454654</v>
      </c>
      <c r="EP135" s="85">
        <v>138905.39933700318</v>
      </c>
      <c r="EQ135" s="85">
        <v>1973.348941172909</v>
      </c>
      <c r="ER135" s="85">
        <v>154440.91810425295</v>
      </c>
      <c r="ES135" s="85">
        <v>3195.7387906951712</v>
      </c>
      <c r="ET135" s="85">
        <v>162267</v>
      </c>
      <c r="EU135" s="85">
        <v>5026</v>
      </c>
      <c r="EV135" s="85">
        <v>169088</v>
      </c>
      <c r="EW135" s="85">
        <v>2250</v>
      </c>
      <c r="EX135" s="85">
        <v>177679</v>
      </c>
      <c r="EY135" s="85">
        <v>-1298</v>
      </c>
      <c r="EZ135" s="85">
        <v>191141</v>
      </c>
      <c r="FA135" s="85">
        <v>-4499</v>
      </c>
      <c r="FB135" s="85">
        <v>198095</v>
      </c>
      <c r="FC135" s="85">
        <v>-1428</v>
      </c>
      <c r="FD135" s="85">
        <v>215876</v>
      </c>
      <c r="FE135" s="85">
        <v>-3820</v>
      </c>
      <c r="FF135" s="85">
        <v>230423</v>
      </c>
      <c r="FG135" s="85">
        <v>1950</v>
      </c>
      <c r="FH135" s="85">
        <v>15268</v>
      </c>
      <c r="FI135" s="85">
        <v>17219</v>
      </c>
      <c r="FJ135" s="85">
        <v>46963</v>
      </c>
      <c r="FK135" s="85">
        <v>155350</v>
      </c>
      <c r="FL135" s="85">
        <v>53482</v>
      </c>
      <c r="FM135" s="85">
        <v>59036</v>
      </c>
      <c r="FN135" s="85">
        <v>701</v>
      </c>
      <c r="FO135" s="85">
        <v>141938</v>
      </c>
      <c r="FP135" s="85">
        <v>6868</v>
      </c>
      <c r="FQ135" s="85">
        <v>6517</v>
      </c>
      <c r="FR135" s="85">
        <v>10742</v>
      </c>
      <c r="FS135" s="85">
        <v>-15877</v>
      </c>
      <c r="FT135" s="85">
        <v>9834</v>
      </c>
      <c r="FU135" s="85">
        <v>70285</v>
      </c>
      <c r="FV135" s="85">
        <v>15877</v>
      </c>
      <c r="FW135" s="85">
        <v>256169</v>
      </c>
      <c r="FX135" s="85">
        <v>1041</v>
      </c>
      <c r="FY135" s="85">
        <v>47341</v>
      </c>
      <c r="FZ135" s="85">
        <v>160808</v>
      </c>
      <c r="GA135" s="85">
        <v>55366</v>
      </c>
      <c r="GB135" s="85">
        <v>62547</v>
      </c>
      <c r="GC135" s="85">
        <v>919</v>
      </c>
      <c r="GD135" s="85">
        <v>144677</v>
      </c>
      <c r="GE135" s="85">
        <v>6241</v>
      </c>
      <c r="GF135" s="85">
        <v>9890</v>
      </c>
      <c r="GG135" s="85">
        <v>13036</v>
      </c>
      <c r="GH135" s="85">
        <v>-12528</v>
      </c>
      <c r="GI135" s="85">
        <v>10327</v>
      </c>
      <c r="GJ135" s="85">
        <v>66741</v>
      </c>
      <c r="GK135" s="85">
        <v>12528</v>
      </c>
      <c r="GL135" s="85">
        <v>264973</v>
      </c>
      <c r="GM135" s="85">
        <v>2832</v>
      </c>
      <c r="GN135" s="85">
        <v>20981</v>
      </c>
      <c r="GO135" s="77">
        <v>19.5</v>
      </c>
      <c r="GP135" s="78">
        <v>47374</v>
      </c>
      <c r="GQ135" s="78">
        <v>166342</v>
      </c>
      <c r="GR135" s="78">
        <v>59377</v>
      </c>
      <c r="GS135" s="78">
        <v>65714</v>
      </c>
      <c r="GT135" s="78">
        <v>841</v>
      </c>
      <c r="GU135" s="78">
        <v>148744</v>
      </c>
      <c r="GV135" s="78">
        <v>7485</v>
      </c>
      <c r="GW135" s="78">
        <v>10113</v>
      </c>
      <c r="GX135" s="78">
        <v>12565</v>
      </c>
      <c r="GY135" s="78">
        <v>-10519</v>
      </c>
      <c r="GZ135" s="78">
        <v>10765</v>
      </c>
      <c r="HA135" s="78">
        <v>68736</v>
      </c>
      <c r="HB135" s="78">
        <v>10519</v>
      </c>
      <c r="HC135" s="78">
        <v>278012</v>
      </c>
      <c r="HD135" s="78">
        <v>1600</v>
      </c>
      <c r="HE135" s="78">
        <v>47516</v>
      </c>
      <c r="HF135" s="78">
        <v>168690</v>
      </c>
      <c r="HG135" s="78">
        <v>64365</v>
      </c>
      <c r="HH135" s="78">
        <v>67618</v>
      </c>
      <c r="HI135" s="78">
        <v>727</v>
      </c>
      <c r="HJ135" s="78">
        <v>153013</v>
      </c>
      <c r="HK135" s="78">
        <v>5322</v>
      </c>
      <c r="HL135" s="78">
        <v>10355</v>
      </c>
      <c r="HM135" s="78">
        <v>1240</v>
      </c>
      <c r="HN135" s="78">
        <v>-15920</v>
      </c>
      <c r="HO135" s="78">
        <v>10801</v>
      </c>
      <c r="HP135" s="78">
        <v>78333</v>
      </c>
      <c r="HQ135" s="78">
        <v>15920</v>
      </c>
      <c r="HR135" s="78">
        <v>298709</v>
      </c>
      <c r="HS135" s="78">
        <v>-9455</v>
      </c>
      <c r="HT135" s="78">
        <v>12067</v>
      </c>
      <c r="HU135" s="77">
        <v>19.5</v>
      </c>
      <c r="HV135" s="180">
        <v>130</v>
      </c>
      <c r="HW135" s="30" t="s">
        <v>752</v>
      </c>
    </row>
    <row r="136" spans="1:231" ht="15" x14ac:dyDescent="0.25">
      <c r="A136" s="27">
        <v>430</v>
      </c>
      <c r="B136" s="27" t="s">
        <v>264</v>
      </c>
      <c r="C136" s="27">
        <v>2</v>
      </c>
      <c r="D136" s="27" t="s">
        <v>122</v>
      </c>
      <c r="E136" s="27">
        <v>4</v>
      </c>
      <c r="F136" s="27" t="s">
        <v>100</v>
      </c>
      <c r="G136" s="29" t="s">
        <v>132</v>
      </c>
      <c r="H136" s="27" t="s">
        <v>99</v>
      </c>
      <c r="I136" s="31" t="s">
        <v>122</v>
      </c>
      <c r="J136" s="69">
        <v>17748</v>
      </c>
      <c r="K136" s="69">
        <v>17638</v>
      </c>
      <c r="L136" s="36">
        <v>17585</v>
      </c>
      <c r="M136" s="36">
        <v>17560</v>
      </c>
      <c r="N136" s="36">
        <v>17414</v>
      </c>
      <c r="O136" s="36">
        <v>17363</v>
      </c>
      <c r="P136" s="36">
        <v>17365</v>
      </c>
      <c r="Q136" s="36">
        <v>17300</v>
      </c>
      <c r="R136" s="69">
        <v>17256</v>
      </c>
      <c r="S136" s="69">
        <v>17177</v>
      </c>
      <c r="T136" s="71">
        <v>17102</v>
      </c>
      <c r="U136" s="36">
        <v>33886</v>
      </c>
      <c r="V136" s="36">
        <v>13391</v>
      </c>
      <c r="W136" s="36">
        <v>8130</v>
      </c>
      <c r="X136" s="36">
        <v>1277.8918652545608</v>
      </c>
      <c r="Y136" s="36">
        <v>34223</v>
      </c>
      <c r="Z136" s="36">
        <v>14572</v>
      </c>
      <c r="AA136" s="36">
        <v>8644</v>
      </c>
      <c r="AB136" s="36">
        <v>1402.5191187625405</v>
      </c>
      <c r="AC136" s="36">
        <v>35445</v>
      </c>
      <c r="AD136" s="36">
        <v>15710</v>
      </c>
      <c r="AE136" s="36">
        <v>8755</v>
      </c>
      <c r="AF136" s="36">
        <v>1371.5725402936225</v>
      </c>
      <c r="AG136" s="36">
        <v>37558</v>
      </c>
      <c r="AH136" s="36">
        <v>18041</v>
      </c>
      <c r="AI136" s="36">
        <v>9264</v>
      </c>
      <c r="AJ136" s="36">
        <v>1192.2842106856515</v>
      </c>
      <c r="AK136" s="36">
        <v>37187</v>
      </c>
      <c r="AL136" s="36">
        <v>21031</v>
      </c>
      <c r="AM136" s="36">
        <v>9149</v>
      </c>
      <c r="AN136" s="36">
        <v>590</v>
      </c>
      <c r="AO136" s="36">
        <v>36622</v>
      </c>
      <c r="AP136" s="36">
        <v>23589</v>
      </c>
      <c r="AQ136" s="36">
        <v>9419</v>
      </c>
      <c r="AR136" s="36">
        <v>1521</v>
      </c>
      <c r="AS136" s="36">
        <v>36569</v>
      </c>
      <c r="AT136" s="36">
        <v>24749</v>
      </c>
      <c r="AU136" s="36">
        <v>10071</v>
      </c>
      <c r="AV136" s="36">
        <v>1092</v>
      </c>
      <c r="AW136" s="36">
        <v>37340</v>
      </c>
      <c r="AX136" s="69">
        <v>26151</v>
      </c>
      <c r="AY136" s="36">
        <v>11714</v>
      </c>
      <c r="AZ136" s="36">
        <v>1260</v>
      </c>
      <c r="BA136" s="36">
        <v>40947</v>
      </c>
      <c r="BB136" s="36">
        <v>28502</v>
      </c>
      <c r="BC136" s="36">
        <v>11565</v>
      </c>
      <c r="BD136" s="36">
        <v>823</v>
      </c>
      <c r="BE136" s="70">
        <v>43455</v>
      </c>
      <c r="BF136" s="70">
        <v>29295</v>
      </c>
      <c r="BG136" s="70">
        <v>11889</v>
      </c>
      <c r="BH136" s="70">
        <v>732</v>
      </c>
      <c r="BI136" s="36">
        <v>45876</v>
      </c>
      <c r="BJ136" s="36">
        <v>32706</v>
      </c>
      <c r="BK136" s="36">
        <v>12488</v>
      </c>
      <c r="BL136" s="36">
        <v>504</v>
      </c>
      <c r="BM136" s="36">
        <v>25345.584141896787</v>
      </c>
      <c r="BN136" s="36">
        <v>7458.7981627150903</v>
      </c>
      <c r="BO136" s="36">
        <v>1056.2201781782892</v>
      </c>
      <c r="BP136" s="36">
        <v>26637.267417121191</v>
      </c>
      <c r="BQ136" s="36">
        <v>6470.8622826801757</v>
      </c>
      <c r="BR136" s="36">
        <v>1090.5305151764373</v>
      </c>
      <c r="BS136" s="36">
        <v>26370.016801973848</v>
      </c>
      <c r="BT136" s="36">
        <v>7795.8467673439591</v>
      </c>
      <c r="BU136" s="36">
        <v>1256.7001865204104</v>
      </c>
      <c r="BV136" s="36">
        <v>31186</v>
      </c>
      <c r="BW136" s="36">
        <v>5011</v>
      </c>
      <c r="BX136" s="36">
        <v>1340</v>
      </c>
      <c r="BY136" s="36">
        <v>32895</v>
      </c>
      <c r="BZ136" s="36">
        <v>2903</v>
      </c>
      <c r="CA136" s="36">
        <v>1368</v>
      </c>
      <c r="CB136" s="36">
        <v>33286</v>
      </c>
      <c r="CC136" s="36">
        <v>1784</v>
      </c>
      <c r="CD136" s="36">
        <v>1532</v>
      </c>
      <c r="CE136" s="36">
        <v>33086</v>
      </c>
      <c r="CF136" s="36">
        <v>1907</v>
      </c>
      <c r="CG136" s="36">
        <v>1557</v>
      </c>
      <c r="CH136" s="36">
        <v>33680</v>
      </c>
      <c r="CI136" s="36">
        <v>2014</v>
      </c>
      <c r="CJ136" s="70">
        <v>1630</v>
      </c>
      <c r="CK136" s="70">
        <v>36880</v>
      </c>
      <c r="CL136" s="70">
        <v>2230</v>
      </c>
      <c r="CM136" s="36">
        <v>1822</v>
      </c>
      <c r="CN136" s="36">
        <v>38761</v>
      </c>
      <c r="CO136" s="36">
        <v>2682</v>
      </c>
      <c r="CP136" s="36">
        <v>1996</v>
      </c>
      <c r="CQ136" s="36">
        <v>41125</v>
      </c>
      <c r="CR136" s="36">
        <v>2645</v>
      </c>
      <c r="CS136" s="36">
        <v>2106</v>
      </c>
      <c r="CT136" s="36">
        <v>-95.698930156599744</v>
      </c>
      <c r="CU136" s="36">
        <v>-3253.4272497999996</v>
      </c>
      <c r="CV136" s="36">
        <v>2172.6516340297994</v>
      </c>
      <c r="CW136" s="36">
        <v>12678</v>
      </c>
      <c r="CX136" s="36">
        <v>451.08001876977249</v>
      </c>
      <c r="CY136" s="36">
        <v>-2663.2558156</v>
      </c>
      <c r="CZ136" s="36">
        <v>2086.8757915344286</v>
      </c>
      <c r="DA136" s="36">
        <v>12919</v>
      </c>
      <c r="DB136" s="36">
        <v>1298.7471681357881</v>
      </c>
      <c r="DC136" s="36">
        <v>-3077.3344905900003</v>
      </c>
      <c r="DD136" s="36">
        <v>2158.8602240599557</v>
      </c>
      <c r="DE136" s="36">
        <v>13737</v>
      </c>
      <c r="DF136" s="36">
        <v>844.13520291032387</v>
      </c>
      <c r="DG136" s="36">
        <v>-4330</v>
      </c>
      <c r="DH136" s="36">
        <v>2254.0545904371711</v>
      </c>
      <c r="DI136" s="36">
        <v>14385</v>
      </c>
      <c r="DJ136" s="36">
        <v>4758</v>
      </c>
      <c r="DK136" s="36">
        <v>-3257</v>
      </c>
      <c r="DL136" s="36">
        <v>2650</v>
      </c>
      <c r="DM136" s="36">
        <v>14387</v>
      </c>
      <c r="DN136" s="36">
        <v>3184</v>
      </c>
      <c r="DO136" s="69">
        <v>-2291</v>
      </c>
      <c r="DP136" s="36">
        <v>2333</v>
      </c>
      <c r="DQ136" s="36">
        <v>13545</v>
      </c>
      <c r="DR136" s="36">
        <v>-479</v>
      </c>
      <c r="DS136" s="36">
        <v>-5025</v>
      </c>
      <c r="DT136" s="36">
        <v>2315</v>
      </c>
      <c r="DU136" s="36">
        <v>17406</v>
      </c>
      <c r="DV136" s="36">
        <v>-313</v>
      </c>
      <c r="DW136" s="71">
        <v>-9615</v>
      </c>
      <c r="DX136" s="39">
        <v>2272</v>
      </c>
      <c r="DY136" s="71">
        <v>26094</v>
      </c>
      <c r="DZ136" s="70">
        <v>3326</v>
      </c>
      <c r="EA136" s="35">
        <v>-4661</v>
      </c>
      <c r="EB136" s="35">
        <v>2564</v>
      </c>
      <c r="EC136" s="38">
        <v>28895</v>
      </c>
      <c r="ED136" s="38">
        <v>3360</v>
      </c>
      <c r="EE136" s="38">
        <v>-3148</v>
      </c>
      <c r="EF136" s="38">
        <v>2586</v>
      </c>
      <c r="EG136" s="73">
        <v>29271</v>
      </c>
      <c r="EH136" s="73">
        <v>1321</v>
      </c>
      <c r="EI136" s="73">
        <v>-8518</v>
      </c>
      <c r="EJ136" s="73">
        <v>2844</v>
      </c>
      <c r="EK136" s="73">
        <v>37510</v>
      </c>
      <c r="EL136" s="73">
        <v>53316.581815857768</v>
      </c>
      <c r="EM136" s="73">
        <v>-1440.1932142899191</v>
      </c>
      <c r="EN136" s="73">
        <v>55066.913566542717</v>
      </c>
      <c r="EO136" s="73">
        <v>-1235.50850778626</v>
      </c>
      <c r="EP136" s="73">
        <v>56305.617644931735</v>
      </c>
      <c r="EQ136" s="73">
        <v>-901.82366168662202</v>
      </c>
      <c r="ER136" s="73">
        <v>61512.884036106581</v>
      </c>
      <c r="ES136" s="73">
        <v>-1370.8997885877764</v>
      </c>
      <c r="ET136" s="73">
        <v>62558</v>
      </c>
      <c r="EU136" s="73">
        <v>2257</v>
      </c>
      <c r="EV136" s="73">
        <v>66567</v>
      </c>
      <c r="EW136" s="73">
        <v>1418</v>
      </c>
      <c r="EX136" s="73">
        <v>71922</v>
      </c>
      <c r="EY136" s="73">
        <v>-1342</v>
      </c>
      <c r="EZ136" s="73">
        <v>75469</v>
      </c>
      <c r="FA136" s="73">
        <v>-1920</v>
      </c>
      <c r="FB136" s="73">
        <v>77322</v>
      </c>
      <c r="FC136" s="73">
        <v>1811</v>
      </c>
      <c r="FD136" s="73">
        <v>80896</v>
      </c>
      <c r="FE136" s="73">
        <v>904</v>
      </c>
      <c r="FF136" s="73">
        <v>88868</v>
      </c>
      <c r="FG136" s="73">
        <v>-1246</v>
      </c>
      <c r="FH136" s="73">
        <v>-924</v>
      </c>
      <c r="FI136" s="73">
        <v>-2171</v>
      </c>
      <c r="FJ136" s="79">
        <v>17005</v>
      </c>
      <c r="FK136" s="80">
        <v>45939</v>
      </c>
      <c r="FL136" s="80">
        <v>35779</v>
      </c>
      <c r="FM136" s="80">
        <v>18352</v>
      </c>
      <c r="FN136" s="76">
        <v>245</v>
      </c>
      <c r="FO136" s="80">
        <v>41858</v>
      </c>
      <c r="FP136" s="80">
        <v>1955</v>
      </c>
      <c r="FQ136" s="80">
        <v>2126</v>
      </c>
      <c r="FR136" s="80">
        <v>4891</v>
      </c>
      <c r="FS136" s="81">
        <v>-11324</v>
      </c>
      <c r="FT136" s="76">
        <v>3618</v>
      </c>
      <c r="FU136" s="76">
        <v>40602</v>
      </c>
      <c r="FV136" s="76">
        <v>11324</v>
      </c>
      <c r="FW136" s="80">
        <v>94176</v>
      </c>
      <c r="FX136" s="80">
        <v>1441</v>
      </c>
      <c r="FY136" s="73">
        <v>16916</v>
      </c>
      <c r="FZ136" s="73">
        <v>47644</v>
      </c>
      <c r="GA136" s="73">
        <v>37550</v>
      </c>
      <c r="GB136" s="73">
        <v>20674</v>
      </c>
      <c r="GC136" s="73">
        <v>182</v>
      </c>
      <c r="GD136" s="73">
        <v>42093</v>
      </c>
      <c r="GE136" s="73">
        <v>2696</v>
      </c>
      <c r="GF136" s="73">
        <v>2855</v>
      </c>
      <c r="GG136" s="73">
        <v>6398</v>
      </c>
      <c r="GH136" s="73">
        <v>-2507</v>
      </c>
      <c r="GI136" s="73">
        <v>3690</v>
      </c>
      <c r="GJ136" s="73">
        <v>38091</v>
      </c>
      <c r="GK136" s="73">
        <v>2507</v>
      </c>
      <c r="GL136" s="73">
        <v>98965</v>
      </c>
      <c r="GM136" s="73">
        <v>2837</v>
      </c>
      <c r="GN136" s="73">
        <v>2121</v>
      </c>
      <c r="GO136" s="77">
        <v>20.5</v>
      </c>
      <c r="GP136" s="78">
        <v>16848</v>
      </c>
      <c r="GQ136" s="73">
        <v>50518</v>
      </c>
      <c r="GR136" s="65">
        <v>39912</v>
      </c>
      <c r="GS136" s="65">
        <v>20017</v>
      </c>
      <c r="GT136" s="65">
        <v>310</v>
      </c>
      <c r="GU136" s="65">
        <v>44130</v>
      </c>
      <c r="GV136" s="65">
        <v>3483</v>
      </c>
      <c r="GW136" s="65">
        <v>2905</v>
      </c>
      <c r="GX136" s="65">
        <v>4215</v>
      </c>
      <c r="GY136" s="65">
        <v>-1219</v>
      </c>
      <c r="GZ136" s="65">
        <v>3624</v>
      </c>
      <c r="HA136" s="65">
        <v>30397</v>
      </c>
      <c r="HB136" s="65">
        <v>1219</v>
      </c>
      <c r="HC136" s="65">
        <v>105912</v>
      </c>
      <c r="HD136" s="65">
        <v>1336</v>
      </c>
      <c r="HE136" s="78">
        <v>16737</v>
      </c>
      <c r="HF136" s="73">
        <v>50075</v>
      </c>
      <c r="HG136" s="65">
        <v>40990</v>
      </c>
      <c r="HH136" s="65">
        <v>18584</v>
      </c>
      <c r="HI136" s="65">
        <v>340</v>
      </c>
      <c r="HJ136" s="65">
        <v>44764</v>
      </c>
      <c r="HK136" s="65">
        <v>2304</v>
      </c>
      <c r="HL136" s="65">
        <v>3007</v>
      </c>
      <c r="HM136" s="65">
        <v>-1210</v>
      </c>
      <c r="HN136" s="65">
        <v>-6500</v>
      </c>
      <c r="HO136" s="65">
        <v>3535</v>
      </c>
      <c r="HP136" s="65">
        <v>39366</v>
      </c>
      <c r="HQ136" s="65">
        <v>6500</v>
      </c>
      <c r="HR136" s="65">
        <v>110388</v>
      </c>
      <c r="HS136" s="65">
        <v>-4431</v>
      </c>
      <c r="HT136" s="65">
        <v>-975</v>
      </c>
      <c r="HU136" s="77">
        <v>20.5</v>
      </c>
      <c r="HV136" s="180">
        <v>230</v>
      </c>
      <c r="HW136" s="30" t="s">
        <v>756</v>
      </c>
    </row>
    <row r="137" spans="1:231" ht="15" x14ac:dyDescent="0.25">
      <c r="A137" s="27">
        <v>433</v>
      </c>
      <c r="B137" s="27" t="s">
        <v>265</v>
      </c>
      <c r="C137" s="27">
        <v>5</v>
      </c>
      <c r="D137" s="27" t="s">
        <v>109</v>
      </c>
      <c r="E137" s="27">
        <v>3</v>
      </c>
      <c r="F137" s="27" t="s">
        <v>743</v>
      </c>
      <c r="G137" s="29" t="s">
        <v>130</v>
      </c>
      <c r="H137" s="27" t="s">
        <v>98</v>
      </c>
      <c r="I137" s="31" t="s">
        <v>109</v>
      </c>
      <c r="J137" s="69">
        <v>7557</v>
      </c>
      <c r="K137" s="36">
        <v>7501</v>
      </c>
      <c r="L137" s="36">
        <v>7578</v>
      </c>
      <c r="M137" s="36">
        <v>7579</v>
      </c>
      <c r="N137" s="36">
        <v>7630</v>
      </c>
      <c r="O137" s="36">
        <v>7732</v>
      </c>
      <c r="P137" s="36">
        <v>7823</v>
      </c>
      <c r="Q137" s="36">
        <v>7964</v>
      </c>
      <c r="R137" s="69">
        <v>8006</v>
      </c>
      <c r="S137" s="69">
        <v>8122</v>
      </c>
      <c r="T137" s="71">
        <v>8146</v>
      </c>
      <c r="U137" s="36">
        <v>14139</v>
      </c>
      <c r="V137" s="36">
        <v>6441</v>
      </c>
      <c r="W137" s="36">
        <v>3148</v>
      </c>
      <c r="X137" s="36">
        <v>287.26497839626086</v>
      </c>
      <c r="Y137" s="36">
        <v>14058</v>
      </c>
      <c r="Z137" s="36">
        <v>6226</v>
      </c>
      <c r="AA137" s="36">
        <v>3343</v>
      </c>
      <c r="AB137" s="36">
        <v>298.7017573956436</v>
      </c>
      <c r="AC137" s="36">
        <v>14200</v>
      </c>
      <c r="AD137" s="36">
        <v>6976</v>
      </c>
      <c r="AE137" s="36">
        <v>3819</v>
      </c>
      <c r="AF137" s="36">
        <v>169.86980572612615</v>
      </c>
      <c r="AG137" s="36">
        <v>15430</v>
      </c>
      <c r="AH137" s="36">
        <v>7767</v>
      </c>
      <c r="AI137" s="36">
        <v>4030</v>
      </c>
      <c r="AJ137" s="36">
        <v>154.06014063874412</v>
      </c>
      <c r="AK137" s="36">
        <v>16350</v>
      </c>
      <c r="AL137" s="36">
        <v>9091</v>
      </c>
      <c r="AM137" s="36">
        <v>4408</v>
      </c>
      <c r="AN137" s="36">
        <v>100</v>
      </c>
      <c r="AO137" s="36">
        <v>16146</v>
      </c>
      <c r="AP137" s="36">
        <v>9376</v>
      </c>
      <c r="AQ137" s="36">
        <v>5803</v>
      </c>
      <c r="AR137" s="36">
        <v>85</v>
      </c>
      <c r="AS137" s="36">
        <v>16876</v>
      </c>
      <c r="AT137" s="36">
        <v>9901</v>
      </c>
      <c r="AU137" s="36">
        <v>6210</v>
      </c>
      <c r="AV137" s="36">
        <v>101</v>
      </c>
      <c r="AW137" s="36">
        <v>17679</v>
      </c>
      <c r="AX137" s="69">
        <v>10288</v>
      </c>
      <c r="AY137" s="36">
        <v>6426</v>
      </c>
      <c r="AZ137" s="36">
        <v>142</v>
      </c>
      <c r="BA137" s="36">
        <v>18642</v>
      </c>
      <c r="BB137" s="36">
        <v>11234</v>
      </c>
      <c r="BC137" s="36">
        <v>6482</v>
      </c>
      <c r="BD137" s="36">
        <v>27</v>
      </c>
      <c r="BE137" s="70">
        <v>20318</v>
      </c>
      <c r="BF137" s="70">
        <v>11479</v>
      </c>
      <c r="BG137" s="70">
        <v>6919</v>
      </c>
      <c r="BH137" s="70">
        <v>157</v>
      </c>
      <c r="BI137" s="36">
        <v>22221</v>
      </c>
      <c r="BJ137" s="36">
        <v>12296</v>
      </c>
      <c r="BK137" s="36">
        <v>7179</v>
      </c>
      <c r="BL137" s="36">
        <v>90</v>
      </c>
      <c r="BM137" s="36">
        <v>10547.064868401356</v>
      </c>
      <c r="BN137" s="36">
        <v>2847.926158772766</v>
      </c>
      <c r="BO137" s="36">
        <v>728.5900974312658</v>
      </c>
      <c r="BP137" s="36">
        <v>10774.118569124397</v>
      </c>
      <c r="BQ137" s="36">
        <v>2410.9739258257605</v>
      </c>
      <c r="BR137" s="36">
        <v>857.59023702724471</v>
      </c>
      <c r="BS137" s="36">
        <v>10891.009178015147</v>
      </c>
      <c r="BT137" s="36">
        <v>2428.2972822512961</v>
      </c>
      <c r="BU137" s="36">
        <v>865.66325749739724</v>
      </c>
      <c r="BV137" s="36">
        <v>12809</v>
      </c>
      <c r="BW137" s="36">
        <v>1674</v>
      </c>
      <c r="BX137" s="36">
        <v>933</v>
      </c>
      <c r="BY137" s="36">
        <v>14335</v>
      </c>
      <c r="BZ137" s="36">
        <v>1032</v>
      </c>
      <c r="CA137" s="36">
        <v>969</v>
      </c>
      <c r="CB137" s="36">
        <v>14544</v>
      </c>
      <c r="CC137" s="36">
        <v>591</v>
      </c>
      <c r="CD137" s="36">
        <v>997</v>
      </c>
      <c r="CE137" s="36">
        <v>15005</v>
      </c>
      <c r="CF137" s="36">
        <v>838</v>
      </c>
      <c r="CG137" s="36">
        <v>1020</v>
      </c>
      <c r="CH137" s="36">
        <v>15549</v>
      </c>
      <c r="CI137" s="36">
        <v>1052</v>
      </c>
      <c r="CJ137" s="70">
        <v>1065</v>
      </c>
      <c r="CK137" s="70">
        <v>16400</v>
      </c>
      <c r="CL137" s="70">
        <v>1122</v>
      </c>
      <c r="CM137" s="36">
        <v>1108</v>
      </c>
      <c r="CN137" s="36">
        <v>17954</v>
      </c>
      <c r="CO137" s="36">
        <v>1204</v>
      </c>
      <c r="CP137" s="36">
        <v>1160</v>
      </c>
      <c r="CQ137" s="36">
        <v>19739</v>
      </c>
      <c r="CR137" s="36">
        <v>1174</v>
      </c>
      <c r="CS137" s="36">
        <v>1308</v>
      </c>
      <c r="CT137" s="36">
        <v>670.06069902265995</v>
      </c>
      <c r="CU137" s="36">
        <v>-575.87546020000002</v>
      </c>
      <c r="CV137" s="36">
        <v>713.1168081968068</v>
      </c>
      <c r="CW137" s="36">
        <v>5487</v>
      </c>
      <c r="CX137" s="36">
        <v>-28.760135424918385</v>
      </c>
      <c r="CY137" s="36">
        <v>-1071.8616549999999</v>
      </c>
      <c r="CZ137" s="36">
        <v>663.83774574358404</v>
      </c>
      <c r="DA137" s="36">
        <v>6132</v>
      </c>
      <c r="DB137" s="36">
        <v>166.84242304981893</v>
      </c>
      <c r="DC137" s="36">
        <v>-1541.6105339999999</v>
      </c>
      <c r="DD137" s="36">
        <v>587.64861505651959</v>
      </c>
      <c r="DE137" s="36">
        <v>6372</v>
      </c>
      <c r="DF137" s="36">
        <v>625.65908643682098</v>
      </c>
      <c r="DG137" s="36">
        <v>-3065</v>
      </c>
      <c r="DH137" s="36">
        <v>613.21317987866917</v>
      </c>
      <c r="DI137" s="36">
        <v>9110</v>
      </c>
      <c r="DJ137" s="36">
        <v>2861</v>
      </c>
      <c r="DK137" s="36">
        <v>-2549</v>
      </c>
      <c r="DL137" s="36">
        <v>725</v>
      </c>
      <c r="DM137" s="36">
        <v>9467</v>
      </c>
      <c r="DN137" s="36">
        <v>1019</v>
      </c>
      <c r="DO137" s="69">
        <v>-1870</v>
      </c>
      <c r="DP137" s="36">
        <v>785</v>
      </c>
      <c r="DQ137" s="36">
        <v>10350</v>
      </c>
      <c r="DR137" s="36">
        <v>591</v>
      </c>
      <c r="DS137" s="36">
        <v>-2831</v>
      </c>
      <c r="DT137" s="36">
        <v>883</v>
      </c>
      <c r="DU137" s="36">
        <v>11798</v>
      </c>
      <c r="DV137" s="36">
        <v>317</v>
      </c>
      <c r="DW137" s="71">
        <v>-2454</v>
      </c>
      <c r="DX137" s="39">
        <v>947</v>
      </c>
      <c r="DY137" s="71">
        <v>14187</v>
      </c>
      <c r="DZ137" s="70">
        <v>351</v>
      </c>
      <c r="EA137" s="35">
        <v>-2574</v>
      </c>
      <c r="EB137" s="35">
        <v>991</v>
      </c>
      <c r="EC137" s="38">
        <v>17478</v>
      </c>
      <c r="ED137" s="38">
        <v>159</v>
      </c>
      <c r="EE137" s="38">
        <v>-1904</v>
      </c>
      <c r="EF137" s="38">
        <v>1100</v>
      </c>
      <c r="EG137" s="73">
        <v>19894</v>
      </c>
      <c r="EH137" s="73">
        <v>606</v>
      </c>
      <c r="EI137" s="73">
        <v>-1913</v>
      </c>
      <c r="EJ137" s="73">
        <v>1174</v>
      </c>
      <c r="EK137" s="73">
        <v>21202</v>
      </c>
      <c r="EL137" s="73">
        <v>21913.541314523194</v>
      </c>
      <c r="EM137" s="73">
        <v>-50.120002085530288</v>
      </c>
      <c r="EN137" s="73">
        <v>22418.609657687113</v>
      </c>
      <c r="EO137" s="73">
        <v>-692.59788116850245</v>
      </c>
      <c r="EP137" s="73">
        <v>23483.743795967861</v>
      </c>
      <c r="EQ137" s="73">
        <v>-420.8061920067006</v>
      </c>
      <c r="ER137" s="73">
        <v>25106.420910468521</v>
      </c>
      <c r="ES137" s="73">
        <v>12.445906558151815</v>
      </c>
      <c r="ET137" s="73">
        <v>26671</v>
      </c>
      <c r="EU137" s="73">
        <v>2136</v>
      </c>
      <c r="EV137" s="73">
        <v>30104</v>
      </c>
      <c r="EW137" s="73">
        <v>234</v>
      </c>
      <c r="EX137" s="73">
        <v>32184</v>
      </c>
      <c r="EY137" s="73">
        <v>-292</v>
      </c>
      <c r="EZ137" s="73">
        <v>33846</v>
      </c>
      <c r="FA137" s="73">
        <v>-581</v>
      </c>
      <c r="FB137" s="73">
        <v>35602</v>
      </c>
      <c r="FC137" s="73">
        <v>-640</v>
      </c>
      <c r="FD137" s="73">
        <v>37985</v>
      </c>
      <c r="FE137" s="73">
        <v>-941</v>
      </c>
      <c r="FF137" s="73">
        <v>40488</v>
      </c>
      <c r="FG137" s="73">
        <v>-568</v>
      </c>
      <c r="FH137" s="73">
        <v>1280</v>
      </c>
      <c r="FI137" s="73">
        <v>712</v>
      </c>
      <c r="FJ137" s="79">
        <v>8244</v>
      </c>
      <c r="FK137" s="80">
        <v>23243</v>
      </c>
      <c r="FL137" s="80">
        <v>13318</v>
      </c>
      <c r="FM137" s="80">
        <v>7260</v>
      </c>
      <c r="FN137" s="76">
        <v>8</v>
      </c>
      <c r="FO137" s="80">
        <v>20754</v>
      </c>
      <c r="FP137" s="80">
        <v>1039</v>
      </c>
      <c r="FQ137" s="80">
        <v>1450</v>
      </c>
      <c r="FR137" s="80">
        <v>2361</v>
      </c>
      <c r="FS137" s="81">
        <v>-3787</v>
      </c>
      <c r="FT137" s="76">
        <v>1451</v>
      </c>
      <c r="FU137" s="76">
        <v>22986</v>
      </c>
      <c r="FV137" s="76">
        <v>3787</v>
      </c>
      <c r="FW137" s="80">
        <v>40983</v>
      </c>
      <c r="FX137" s="80">
        <v>910</v>
      </c>
      <c r="FY137" s="73">
        <v>8273</v>
      </c>
      <c r="FZ137" s="73">
        <v>23126</v>
      </c>
      <c r="GA137" s="73">
        <v>14314</v>
      </c>
      <c r="GB137" s="73">
        <v>8004</v>
      </c>
      <c r="GC137" s="73">
        <v>812</v>
      </c>
      <c r="GD137" s="73">
        <v>20411</v>
      </c>
      <c r="GE137" s="73">
        <v>1247</v>
      </c>
      <c r="GF137" s="73">
        <v>1468</v>
      </c>
      <c r="GG137" s="73">
        <v>3162</v>
      </c>
      <c r="GH137" s="73">
        <v>-1534</v>
      </c>
      <c r="GI137" s="73">
        <v>1471</v>
      </c>
      <c r="GJ137" s="73">
        <v>21825</v>
      </c>
      <c r="GK137" s="73">
        <v>1534</v>
      </c>
      <c r="GL137" s="73">
        <v>41946</v>
      </c>
      <c r="GM137" s="73">
        <v>2498</v>
      </c>
      <c r="GN137" s="73">
        <v>4120</v>
      </c>
      <c r="GO137" s="77">
        <v>20</v>
      </c>
      <c r="GP137" s="78">
        <v>8377</v>
      </c>
      <c r="GQ137" s="73">
        <v>24389</v>
      </c>
      <c r="GR137" s="65">
        <v>14830</v>
      </c>
      <c r="GS137" s="65">
        <v>5365</v>
      </c>
      <c r="GT137" s="65">
        <v>34</v>
      </c>
      <c r="GU137" s="65">
        <v>21536</v>
      </c>
      <c r="GV137" s="65">
        <v>1364</v>
      </c>
      <c r="GW137" s="65">
        <v>1489</v>
      </c>
      <c r="GX137" s="65">
        <v>3473</v>
      </c>
      <c r="GY137" s="65">
        <v>-112</v>
      </c>
      <c r="GZ137" s="65">
        <v>1401</v>
      </c>
      <c r="HA137" s="65">
        <v>18148</v>
      </c>
      <c r="HB137" s="65">
        <v>112</v>
      </c>
      <c r="HC137" s="65">
        <v>40768</v>
      </c>
      <c r="HD137" s="65">
        <v>2072</v>
      </c>
      <c r="HE137" s="78">
        <v>8336</v>
      </c>
      <c r="HF137" s="73">
        <v>24981</v>
      </c>
      <c r="HG137" s="65">
        <v>15660</v>
      </c>
      <c r="HH137" s="65">
        <v>5453</v>
      </c>
      <c r="HI137" s="65">
        <v>26</v>
      </c>
      <c r="HJ137" s="65">
        <v>22472</v>
      </c>
      <c r="HK137" s="65">
        <v>970</v>
      </c>
      <c r="HL137" s="65">
        <v>1539</v>
      </c>
      <c r="HM137" s="65">
        <v>3502</v>
      </c>
      <c r="HN137" s="65">
        <v>-1647</v>
      </c>
      <c r="HO137" s="65">
        <v>1312</v>
      </c>
      <c r="HP137" s="65">
        <v>16230</v>
      </c>
      <c r="HQ137" s="65">
        <v>1647</v>
      </c>
      <c r="HR137" s="65">
        <v>42334</v>
      </c>
      <c r="HS137" s="65">
        <v>2190</v>
      </c>
      <c r="HT137" s="65">
        <v>8382</v>
      </c>
      <c r="HU137" s="77">
        <v>20</v>
      </c>
      <c r="HV137" s="180">
        <v>340</v>
      </c>
      <c r="HW137" s="30" t="s">
        <v>761</v>
      </c>
    </row>
    <row r="138" spans="1:231" ht="15" x14ac:dyDescent="0.25">
      <c r="A138" s="27">
        <v>434</v>
      </c>
      <c r="B138" s="27" t="s">
        <v>266</v>
      </c>
      <c r="C138" s="27">
        <v>1</v>
      </c>
      <c r="D138" s="27" t="s">
        <v>121</v>
      </c>
      <c r="E138" s="27">
        <v>4</v>
      </c>
      <c r="F138" s="27" t="s">
        <v>100</v>
      </c>
      <c r="G138" s="29" t="s">
        <v>132</v>
      </c>
      <c r="H138" s="27" t="s">
        <v>99</v>
      </c>
      <c r="I138" s="31" t="s">
        <v>121</v>
      </c>
      <c r="J138" s="69">
        <v>16022</v>
      </c>
      <c r="K138" s="69">
        <v>15920</v>
      </c>
      <c r="L138" s="36">
        <v>15833</v>
      </c>
      <c r="M138" s="36">
        <v>15712</v>
      </c>
      <c r="N138" s="36">
        <v>15659</v>
      </c>
      <c r="O138" s="36">
        <v>15633</v>
      </c>
      <c r="P138" s="36">
        <v>15668</v>
      </c>
      <c r="Q138" s="36">
        <v>15683</v>
      </c>
      <c r="R138" s="69">
        <v>15749</v>
      </c>
      <c r="S138" s="69">
        <v>15765</v>
      </c>
      <c r="T138" s="71">
        <v>15694</v>
      </c>
      <c r="U138" s="36">
        <v>39446</v>
      </c>
      <c r="V138" s="36">
        <v>9632</v>
      </c>
      <c r="W138" s="36">
        <v>10245</v>
      </c>
      <c r="X138" s="36">
        <v>1351.3899891182411</v>
      </c>
      <c r="Y138" s="36">
        <v>41205</v>
      </c>
      <c r="Z138" s="36">
        <v>9757</v>
      </c>
      <c r="AA138" s="36">
        <v>10365</v>
      </c>
      <c r="AB138" s="36">
        <v>925.5381593176952</v>
      </c>
      <c r="AC138" s="36">
        <v>38728</v>
      </c>
      <c r="AD138" s="36">
        <v>10650</v>
      </c>
      <c r="AE138" s="36">
        <v>11343</v>
      </c>
      <c r="AF138" s="36">
        <v>1265.445958696409</v>
      </c>
      <c r="AG138" s="36">
        <v>44103</v>
      </c>
      <c r="AH138" s="36">
        <v>12135</v>
      </c>
      <c r="AI138" s="36">
        <v>10848</v>
      </c>
      <c r="AJ138" s="36">
        <v>1398.8189843803871</v>
      </c>
      <c r="AK138" s="36">
        <v>42556</v>
      </c>
      <c r="AL138" s="36">
        <v>13078</v>
      </c>
      <c r="AM138" s="36">
        <v>10884</v>
      </c>
      <c r="AN138" s="36">
        <v>1108</v>
      </c>
      <c r="AO138" s="36">
        <v>40944</v>
      </c>
      <c r="AP138" s="36">
        <v>14286</v>
      </c>
      <c r="AQ138" s="36">
        <v>10532</v>
      </c>
      <c r="AR138" s="36">
        <v>834</v>
      </c>
      <c r="AS138" s="36">
        <v>41583</v>
      </c>
      <c r="AT138" s="36">
        <v>16491</v>
      </c>
      <c r="AU138" s="36">
        <v>11967</v>
      </c>
      <c r="AV138" s="36">
        <v>1855</v>
      </c>
      <c r="AW138" s="36">
        <v>44384</v>
      </c>
      <c r="AX138" s="69">
        <v>16307</v>
      </c>
      <c r="AY138" s="36">
        <v>13449</v>
      </c>
      <c r="AZ138" s="36">
        <v>1880</v>
      </c>
      <c r="BA138" s="36">
        <v>48057</v>
      </c>
      <c r="BB138" s="36">
        <v>18719</v>
      </c>
      <c r="BC138" s="36">
        <v>13130</v>
      </c>
      <c r="BD138" s="36">
        <v>3338</v>
      </c>
      <c r="BE138" s="70">
        <v>51362</v>
      </c>
      <c r="BF138" s="70">
        <v>18422</v>
      </c>
      <c r="BG138" s="70">
        <v>14460</v>
      </c>
      <c r="BH138" s="70">
        <v>1421</v>
      </c>
      <c r="BI138" s="36">
        <v>56337</v>
      </c>
      <c r="BJ138" s="36">
        <v>20769</v>
      </c>
      <c r="BK138" s="36">
        <v>15636</v>
      </c>
      <c r="BL138" s="36">
        <v>871</v>
      </c>
      <c r="BM138" s="36">
        <v>28918.400263718671</v>
      </c>
      <c r="BN138" s="36">
        <v>7468.5530624498597</v>
      </c>
      <c r="BO138" s="36">
        <v>3053.7881807616559</v>
      </c>
      <c r="BP138" s="36">
        <v>28696.055824936549</v>
      </c>
      <c r="BQ138" s="36">
        <v>8809.5154001274859</v>
      </c>
      <c r="BR138" s="36">
        <v>3694.9205564329363</v>
      </c>
      <c r="BS138" s="36">
        <v>27749.83055066409</v>
      </c>
      <c r="BT138" s="36">
        <v>7275.4733228720434</v>
      </c>
      <c r="BU138" s="36">
        <v>3696.7706236240119</v>
      </c>
      <c r="BV138" s="36">
        <v>31734</v>
      </c>
      <c r="BW138" s="36">
        <v>8629</v>
      </c>
      <c r="BX138" s="36">
        <v>3735</v>
      </c>
      <c r="BY138" s="36">
        <v>34556</v>
      </c>
      <c r="BZ138" s="36">
        <v>4216</v>
      </c>
      <c r="CA138" s="36">
        <v>3784</v>
      </c>
      <c r="CB138" s="36">
        <v>33931</v>
      </c>
      <c r="CC138" s="36">
        <v>3276</v>
      </c>
      <c r="CD138" s="36">
        <v>3737</v>
      </c>
      <c r="CE138" s="36">
        <v>34223</v>
      </c>
      <c r="CF138" s="36">
        <v>3664</v>
      </c>
      <c r="CG138" s="36">
        <v>3696</v>
      </c>
      <c r="CH138" s="36">
        <v>35279</v>
      </c>
      <c r="CI138" s="36">
        <v>5243</v>
      </c>
      <c r="CJ138" s="70">
        <v>3862</v>
      </c>
      <c r="CK138" s="70">
        <v>37581</v>
      </c>
      <c r="CL138" s="70">
        <v>6285</v>
      </c>
      <c r="CM138" s="36">
        <v>4191</v>
      </c>
      <c r="CN138" s="36">
        <v>39788</v>
      </c>
      <c r="CO138" s="36">
        <v>7169</v>
      </c>
      <c r="CP138" s="36">
        <v>4405</v>
      </c>
      <c r="CQ138" s="36">
        <v>44311</v>
      </c>
      <c r="CR138" s="36">
        <v>7310</v>
      </c>
      <c r="CS138" s="36">
        <v>4716</v>
      </c>
      <c r="CT138" s="36">
        <v>3989.0812398141184</v>
      </c>
      <c r="CU138" s="36">
        <v>-3440.4522241000004</v>
      </c>
      <c r="CV138" s="36">
        <v>2641.0550092251078</v>
      </c>
      <c r="CW138" s="36">
        <v>11076</v>
      </c>
      <c r="CX138" s="36">
        <v>3052.274489423502</v>
      </c>
      <c r="CY138" s="36">
        <v>-3258.6410750999999</v>
      </c>
      <c r="CZ138" s="36">
        <v>2618.8542029321884</v>
      </c>
      <c r="DA138" s="36">
        <v>11178</v>
      </c>
      <c r="DB138" s="36">
        <v>-764.91868954695235</v>
      </c>
      <c r="DC138" s="36">
        <v>-71.648056100000531</v>
      </c>
      <c r="DD138" s="36">
        <v>2717.9168916180188</v>
      </c>
      <c r="DE138" s="36">
        <v>12026</v>
      </c>
      <c r="DF138" s="36">
        <v>2657.0328622389516</v>
      </c>
      <c r="DG138" s="36">
        <v>-5414</v>
      </c>
      <c r="DH138" s="36">
        <v>2768.7096454093944</v>
      </c>
      <c r="DI138" s="36">
        <v>13754</v>
      </c>
      <c r="DJ138" s="36">
        <v>2821</v>
      </c>
      <c r="DK138" s="36">
        <v>-1893</v>
      </c>
      <c r="DL138" s="36">
        <v>2832</v>
      </c>
      <c r="DM138" s="36">
        <v>20375</v>
      </c>
      <c r="DN138" s="36">
        <v>724</v>
      </c>
      <c r="DO138" s="69">
        <v>-2599</v>
      </c>
      <c r="DP138" s="36">
        <v>2986</v>
      </c>
      <c r="DQ138" s="36">
        <v>20343</v>
      </c>
      <c r="DR138" s="36">
        <v>3177</v>
      </c>
      <c r="DS138" s="36">
        <v>-1955</v>
      </c>
      <c r="DT138" s="36">
        <v>2864</v>
      </c>
      <c r="DU138" s="36">
        <v>21082</v>
      </c>
      <c r="DV138" s="36">
        <v>749</v>
      </c>
      <c r="DW138" s="71">
        <v>-2984</v>
      </c>
      <c r="DX138" s="39">
        <v>2889</v>
      </c>
      <c r="DY138" s="71">
        <v>22393</v>
      </c>
      <c r="DZ138" s="70">
        <v>7484</v>
      </c>
      <c r="EA138" s="35">
        <v>-3312</v>
      </c>
      <c r="EB138" s="35">
        <v>2899</v>
      </c>
      <c r="EC138" s="38">
        <v>16056</v>
      </c>
      <c r="ED138" s="38">
        <v>5274</v>
      </c>
      <c r="EE138" s="38">
        <v>-5240</v>
      </c>
      <c r="EF138" s="38">
        <v>3033</v>
      </c>
      <c r="EG138" s="73">
        <v>14740</v>
      </c>
      <c r="EH138" s="73">
        <v>5095</v>
      </c>
      <c r="EI138" s="73">
        <v>-5030</v>
      </c>
      <c r="EJ138" s="73">
        <v>3458</v>
      </c>
      <c r="EK138" s="73">
        <v>16986</v>
      </c>
      <c r="EL138" s="73">
        <v>53722.755658262315</v>
      </c>
      <c r="EM138" s="73">
        <v>901.31909790723762</v>
      </c>
      <c r="EN138" s="73">
        <v>56247.592810302522</v>
      </c>
      <c r="EO138" s="73">
        <v>334.52578573194546</v>
      </c>
      <c r="EP138" s="73">
        <v>59430.381130660156</v>
      </c>
      <c r="EQ138" s="73">
        <v>-3179.592749754866</v>
      </c>
      <c r="ER138" s="73">
        <v>61779.461899548078</v>
      </c>
      <c r="ES138" s="73">
        <v>-2375.6544612688431</v>
      </c>
      <c r="ET138" s="73">
        <v>63383</v>
      </c>
      <c r="EU138" s="73">
        <v>1601</v>
      </c>
      <c r="EV138" s="73">
        <v>65122</v>
      </c>
      <c r="EW138" s="73">
        <v>-2105</v>
      </c>
      <c r="EX138" s="73">
        <v>68095</v>
      </c>
      <c r="EY138" s="73">
        <v>483</v>
      </c>
      <c r="EZ138" s="73">
        <v>74601</v>
      </c>
      <c r="FA138" s="73">
        <v>-2037</v>
      </c>
      <c r="FB138" s="73">
        <v>75635</v>
      </c>
      <c r="FC138" s="73">
        <v>4515</v>
      </c>
      <c r="FD138" s="73">
        <v>79698</v>
      </c>
      <c r="FE138" s="73">
        <v>2100</v>
      </c>
      <c r="FF138" s="73">
        <v>88168</v>
      </c>
      <c r="FG138" s="73">
        <v>1495</v>
      </c>
      <c r="FH138" s="73">
        <v>4002</v>
      </c>
      <c r="FI138" s="73">
        <v>5742</v>
      </c>
      <c r="FJ138" s="79">
        <v>15719</v>
      </c>
      <c r="FK138" s="80">
        <v>53708</v>
      </c>
      <c r="FL138" s="80">
        <v>22191</v>
      </c>
      <c r="FM138" s="80">
        <v>17353</v>
      </c>
      <c r="FN138" s="76">
        <v>1084</v>
      </c>
      <c r="FO138" s="80">
        <v>43447</v>
      </c>
      <c r="FP138" s="80">
        <v>5298</v>
      </c>
      <c r="FQ138" s="80">
        <v>4963</v>
      </c>
      <c r="FR138" s="80">
        <v>-259</v>
      </c>
      <c r="FS138" s="81">
        <v>-6449</v>
      </c>
      <c r="FT138" s="76">
        <v>3520</v>
      </c>
      <c r="FU138" s="76">
        <v>19875</v>
      </c>
      <c r="FV138" s="76">
        <v>6449</v>
      </c>
      <c r="FW138" s="80">
        <v>94075</v>
      </c>
      <c r="FX138" s="80">
        <v>-3477</v>
      </c>
      <c r="FY138" s="73">
        <v>15595</v>
      </c>
      <c r="FZ138" s="73">
        <v>54580</v>
      </c>
      <c r="GA138" s="73">
        <v>22724</v>
      </c>
      <c r="GB138" s="73">
        <v>26076</v>
      </c>
      <c r="GC138" s="73">
        <v>1543</v>
      </c>
      <c r="GD138" s="73">
        <v>43548</v>
      </c>
      <c r="GE138" s="73">
        <v>5276</v>
      </c>
      <c r="GF138" s="73">
        <v>5756</v>
      </c>
      <c r="GG138" s="73">
        <v>3584</v>
      </c>
      <c r="GH138" s="73">
        <v>-5506</v>
      </c>
      <c r="GI138" s="73">
        <v>4058</v>
      </c>
      <c r="GJ138" s="73">
        <v>23825</v>
      </c>
      <c r="GK138" s="73">
        <v>5506</v>
      </c>
      <c r="GL138" s="73">
        <v>100783</v>
      </c>
      <c r="GM138" s="73">
        <v>-917</v>
      </c>
      <c r="GN138" s="73">
        <v>1349</v>
      </c>
      <c r="GO138" s="77">
        <v>19.5</v>
      </c>
      <c r="GP138" s="78">
        <v>15552</v>
      </c>
      <c r="GQ138" s="73">
        <v>61156</v>
      </c>
      <c r="GR138" s="65">
        <v>23913</v>
      </c>
      <c r="GS138" s="65">
        <v>26066</v>
      </c>
      <c r="GT138" s="65">
        <v>1687</v>
      </c>
      <c r="GU138" s="65">
        <v>46355</v>
      </c>
      <c r="GV138" s="65">
        <v>8878</v>
      </c>
      <c r="GW138" s="65">
        <v>5923</v>
      </c>
      <c r="GX138" s="65">
        <v>8063</v>
      </c>
      <c r="GY138" s="65">
        <v>-3583</v>
      </c>
      <c r="GZ138" s="65">
        <v>5397</v>
      </c>
      <c r="HA138" s="65">
        <v>19946</v>
      </c>
      <c r="HB138" s="65">
        <v>3583</v>
      </c>
      <c r="HC138" s="65">
        <v>103975</v>
      </c>
      <c r="HD138" s="65">
        <v>2616</v>
      </c>
      <c r="HE138" s="78">
        <v>15519</v>
      </c>
      <c r="HF138" s="73">
        <v>62234</v>
      </c>
      <c r="HG138" s="65">
        <v>25765</v>
      </c>
      <c r="HH138" s="65">
        <v>26911</v>
      </c>
      <c r="HI138" s="65">
        <v>1642</v>
      </c>
      <c r="HJ138" s="65">
        <v>45532</v>
      </c>
      <c r="HK138" s="65">
        <v>10563</v>
      </c>
      <c r="HL138" s="65">
        <v>6139</v>
      </c>
      <c r="HM138" s="65">
        <v>5544</v>
      </c>
      <c r="HN138" s="65">
        <v>-4076</v>
      </c>
      <c r="HO138" s="65">
        <v>4386</v>
      </c>
      <c r="HP138" s="65">
        <v>16390</v>
      </c>
      <c r="HQ138" s="65">
        <v>4076</v>
      </c>
      <c r="HR138" s="65">
        <v>110501</v>
      </c>
      <c r="HS138" s="65">
        <v>1356</v>
      </c>
      <c r="HT138" s="65">
        <v>5304</v>
      </c>
      <c r="HU138" s="77">
        <v>19.75</v>
      </c>
      <c r="HV138" s="180">
        <v>240</v>
      </c>
      <c r="HW138" s="30" t="s">
        <v>757</v>
      </c>
    </row>
    <row r="139" spans="1:231" ht="15" x14ac:dyDescent="0.25">
      <c r="A139" s="27">
        <v>435</v>
      </c>
      <c r="B139" s="27" t="s">
        <v>267</v>
      </c>
      <c r="C139" s="27">
        <v>13</v>
      </c>
      <c r="D139" s="27" t="s">
        <v>111</v>
      </c>
      <c r="E139" s="27">
        <v>1</v>
      </c>
      <c r="F139" s="27" t="s">
        <v>103</v>
      </c>
      <c r="G139" s="29" t="s">
        <v>130</v>
      </c>
      <c r="H139" s="27" t="s">
        <v>98</v>
      </c>
      <c r="I139" s="31" t="s">
        <v>111</v>
      </c>
      <c r="J139" s="69">
        <v>963</v>
      </c>
      <c r="K139" s="69">
        <v>956</v>
      </c>
      <c r="L139" s="36">
        <v>936</v>
      </c>
      <c r="M139" s="36">
        <v>917</v>
      </c>
      <c r="N139" s="36">
        <v>915</v>
      </c>
      <c r="O139" s="36">
        <v>905</v>
      </c>
      <c r="P139" s="36">
        <v>893</v>
      </c>
      <c r="Q139" s="36">
        <v>881</v>
      </c>
      <c r="R139" s="69">
        <v>847</v>
      </c>
      <c r="S139" s="69">
        <v>852</v>
      </c>
      <c r="T139" s="71">
        <v>837</v>
      </c>
      <c r="U139" s="36">
        <v>1942</v>
      </c>
      <c r="V139" s="36">
        <v>947</v>
      </c>
      <c r="W139" s="36">
        <v>506</v>
      </c>
      <c r="X139" s="36">
        <v>61.388593158451528</v>
      </c>
      <c r="Y139" s="36">
        <v>1946</v>
      </c>
      <c r="Z139" s="36">
        <v>920</v>
      </c>
      <c r="AA139" s="36">
        <v>526</v>
      </c>
      <c r="AB139" s="36">
        <v>50.960941717837841</v>
      </c>
      <c r="AC139" s="36">
        <v>1985</v>
      </c>
      <c r="AD139" s="36">
        <v>795</v>
      </c>
      <c r="AE139" s="36">
        <v>451</v>
      </c>
      <c r="AF139" s="36">
        <v>49.447250379684242</v>
      </c>
      <c r="AG139" s="36">
        <v>1802</v>
      </c>
      <c r="AH139" s="36">
        <v>986</v>
      </c>
      <c r="AI139" s="36">
        <v>459</v>
      </c>
      <c r="AJ139" s="36">
        <v>44.233424659377398</v>
      </c>
      <c r="AK139" s="36">
        <v>1421</v>
      </c>
      <c r="AL139" s="36">
        <v>1203</v>
      </c>
      <c r="AM139" s="36">
        <v>621</v>
      </c>
      <c r="AN139" s="36">
        <v>26</v>
      </c>
      <c r="AO139" s="36">
        <v>1557</v>
      </c>
      <c r="AP139" s="36">
        <v>1928</v>
      </c>
      <c r="AQ139" s="36">
        <v>540</v>
      </c>
      <c r="AR139" s="36">
        <v>93</v>
      </c>
      <c r="AS139" s="36">
        <v>1568</v>
      </c>
      <c r="AT139" s="36">
        <v>1933</v>
      </c>
      <c r="AU139" s="36">
        <v>508</v>
      </c>
      <c r="AV139" s="36">
        <v>66</v>
      </c>
      <c r="AW139" s="36">
        <v>1712</v>
      </c>
      <c r="AX139" s="69">
        <v>2131</v>
      </c>
      <c r="AY139" s="36">
        <v>577</v>
      </c>
      <c r="AZ139" s="36">
        <v>99</v>
      </c>
      <c r="BA139" s="36">
        <v>1862</v>
      </c>
      <c r="BB139" s="36">
        <v>2083</v>
      </c>
      <c r="BC139" s="36">
        <v>596</v>
      </c>
      <c r="BD139" s="36">
        <v>212</v>
      </c>
      <c r="BE139" s="70">
        <v>1915</v>
      </c>
      <c r="BF139" s="70">
        <v>2109</v>
      </c>
      <c r="BG139" s="70">
        <v>605</v>
      </c>
      <c r="BH139" s="70">
        <v>83</v>
      </c>
      <c r="BI139" s="36">
        <v>2025</v>
      </c>
      <c r="BJ139" s="36">
        <v>2329</v>
      </c>
      <c r="BK139" s="36">
        <v>783</v>
      </c>
      <c r="BL139" s="36">
        <v>13</v>
      </c>
      <c r="BM139" s="36">
        <v>1079.7664878829007</v>
      </c>
      <c r="BN139" s="36">
        <v>758.02298456203016</v>
      </c>
      <c r="BO139" s="36">
        <v>104.27651440613684</v>
      </c>
      <c r="BP139" s="36">
        <v>1165.7105183047329</v>
      </c>
      <c r="BQ139" s="36">
        <v>662.32405440543039</v>
      </c>
      <c r="BR139" s="36">
        <v>118.40430022890375</v>
      </c>
      <c r="BS139" s="36">
        <v>998.53171940199093</v>
      </c>
      <c r="BT139" s="36">
        <v>866.8405729826278</v>
      </c>
      <c r="BU139" s="36">
        <v>119.74980364059586</v>
      </c>
      <c r="BV139" s="36">
        <v>1103</v>
      </c>
      <c r="BW139" s="36">
        <v>569</v>
      </c>
      <c r="BX139" s="36">
        <v>130</v>
      </c>
      <c r="BY139" s="36">
        <v>1182</v>
      </c>
      <c r="BZ139" s="36">
        <v>92</v>
      </c>
      <c r="CA139" s="36">
        <v>147</v>
      </c>
      <c r="CB139" s="36">
        <v>1289</v>
      </c>
      <c r="CC139" s="36">
        <v>118</v>
      </c>
      <c r="CD139" s="36">
        <v>150</v>
      </c>
      <c r="CE139" s="36">
        <v>1240</v>
      </c>
      <c r="CF139" s="36">
        <v>162</v>
      </c>
      <c r="CG139" s="36">
        <v>166</v>
      </c>
      <c r="CH139" s="36">
        <v>1300</v>
      </c>
      <c r="CI139" s="36">
        <v>256</v>
      </c>
      <c r="CJ139" s="70">
        <v>156</v>
      </c>
      <c r="CK139" s="70">
        <v>1413</v>
      </c>
      <c r="CL139" s="70">
        <v>245</v>
      </c>
      <c r="CM139" s="36">
        <v>204</v>
      </c>
      <c r="CN139" s="36">
        <v>1455</v>
      </c>
      <c r="CO139" s="36">
        <v>297</v>
      </c>
      <c r="CP139" s="36">
        <v>163</v>
      </c>
      <c r="CQ139" s="36">
        <v>1564</v>
      </c>
      <c r="CR139" s="36">
        <v>268</v>
      </c>
      <c r="CS139" s="36">
        <v>193</v>
      </c>
      <c r="CT139" s="36">
        <v>237.48135216365358</v>
      </c>
      <c r="CU139" s="36">
        <v>13.11865826</v>
      </c>
      <c r="CV139" s="36">
        <v>84.598527010140046</v>
      </c>
      <c r="CW139" s="36">
        <v>459</v>
      </c>
      <c r="CX139" s="36">
        <v>32.628457733533139</v>
      </c>
      <c r="CY139" s="36">
        <v>-39.692350640000001</v>
      </c>
      <c r="CZ139" s="36">
        <v>78.54376165752565</v>
      </c>
      <c r="DA139" s="36">
        <v>403</v>
      </c>
      <c r="DB139" s="36">
        <v>-101.41731965629116</v>
      </c>
      <c r="DC139" s="36">
        <v>-252.28188969999999</v>
      </c>
      <c r="DD139" s="36">
        <v>101.08094380336811</v>
      </c>
      <c r="DE139" s="36">
        <v>209</v>
      </c>
      <c r="DF139" s="36">
        <v>-272.80081672057088</v>
      </c>
      <c r="DG139" s="36">
        <v>-207</v>
      </c>
      <c r="DH139" s="36">
        <v>113.19047450859692</v>
      </c>
      <c r="DI139" s="36">
        <v>249</v>
      </c>
      <c r="DJ139" s="36">
        <v>-320</v>
      </c>
      <c r="DK139" s="36">
        <v>-46</v>
      </c>
      <c r="DL139" s="36">
        <v>128</v>
      </c>
      <c r="DM139" s="36">
        <v>199</v>
      </c>
      <c r="DN139" s="36">
        <v>229</v>
      </c>
      <c r="DO139" s="69">
        <v>-105</v>
      </c>
      <c r="DP139" s="36">
        <v>133</v>
      </c>
      <c r="DQ139" s="36">
        <v>180</v>
      </c>
      <c r="DR139" s="36">
        <v>-166</v>
      </c>
      <c r="DS139" s="36">
        <v>-31</v>
      </c>
      <c r="DT139" s="36">
        <v>123</v>
      </c>
      <c r="DU139" s="36">
        <v>190</v>
      </c>
      <c r="DV139" s="36">
        <v>260</v>
      </c>
      <c r="DW139" s="71">
        <v>-93</v>
      </c>
      <c r="DX139" s="39">
        <v>128</v>
      </c>
      <c r="DY139" s="71">
        <v>125</v>
      </c>
      <c r="DZ139" s="70">
        <v>-20</v>
      </c>
      <c r="EA139" s="35">
        <v>-905</v>
      </c>
      <c r="EB139" s="35">
        <v>124</v>
      </c>
      <c r="EC139" s="38">
        <v>1106</v>
      </c>
      <c r="ED139" s="38">
        <v>-217</v>
      </c>
      <c r="EE139" s="38">
        <v>-57</v>
      </c>
      <c r="EF139" s="38">
        <v>163</v>
      </c>
      <c r="EG139" s="73">
        <v>1139</v>
      </c>
      <c r="EH139" s="73">
        <v>108</v>
      </c>
      <c r="EI139" s="73">
        <v>-258</v>
      </c>
      <c r="EJ139" s="73">
        <v>166</v>
      </c>
      <c r="EK139" s="73">
        <v>1261</v>
      </c>
      <c r="EL139" s="73">
        <v>3029.7373072776595</v>
      </c>
      <c r="EM139" s="73">
        <v>160.11490599135851</v>
      </c>
      <c r="EN139" s="73">
        <v>3227.0217450170121</v>
      </c>
      <c r="EO139" s="73">
        <v>37.842283453839983</v>
      </c>
      <c r="EP139" s="73">
        <v>3212.0530195619376</v>
      </c>
      <c r="EQ139" s="73">
        <v>1.1773154852305772</v>
      </c>
      <c r="ER139" s="73">
        <v>3386.6320872289866</v>
      </c>
      <c r="ES139" s="73">
        <v>-214.27141831196505</v>
      </c>
      <c r="ET139" s="73">
        <v>3581</v>
      </c>
      <c r="EU139" s="73">
        <v>-441</v>
      </c>
      <c r="EV139" s="73">
        <v>3811</v>
      </c>
      <c r="EW139" s="73">
        <v>91</v>
      </c>
      <c r="EX139" s="73">
        <v>4197</v>
      </c>
      <c r="EY139" s="73">
        <v>-242</v>
      </c>
      <c r="EZ139" s="73">
        <v>4177</v>
      </c>
      <c r="FA139" s="73">
        <v>234</v>
      </c>
      <c r="FB139" s="73">
        <v>4566</v>
      </c>
      <c r="FC139" s="73">
        <v>112</v>
      </c>
      <c r="FD139" s="73">
        <v>4819</v>
      </c>
      <c r="FE139" s="73">
        <v>-313</v>
      </c>
      <c r="FF139" s="73">
        <v>4981</v>
      </c>
      <c r="FG139" s="73">
        <v>-3</v>
      </c>
      <c r="FH139" s="73">
        <v>-286</v>
      </c>
      <c r="FI139" s="73">
        <v>-288</v>
      </c>
      <c r="FJ139" s="79">
        <v>834</v>
      </c>
      <c r="FK139" s="80">
        <v>1945</v>
      </c>
      <c r="FL139" s="80">
        <v>2470</v>
      </c>
      <c r="FM139" s="80">
        <v>755</v>
      </c>
      <c r="FN139" s="76">
        <v>466</v>
      </c>
      <c r="FO139" s="80">
        <v>1524</v>
      </c>
      <c r="FP139" s="80">
        <v>214</v>
      </c>
      <c r="FQ139" s="80">
        <v>207</v>
      </c>
      <c r="FR139" s="80">
        <v>-57</v>
      </c>
      <c r="FS139" s="81">
        <v>-213</v>
      </c>
      <c r="FT139" s="76">
        <v>189</v>
      </c>
      <c r="FU139" s="76">
        <v>1690</v>
      </c>
      <c r="FV139" s="76">
        <v>213</v>
      </c>
      <c r="FW139" s="80">
        <v>5184</v>
      </c>
      <c r="FX139" s="80">
        <v>213</v>
      </c>
      <c r="FY139" s="73">
        <v>831</v>
      </c>
      <c r="FZ139" s="73">
        <v>2062</v>
      </c>
      <c r="GA139" s="73">
        <v>2731</v>
      </c>
      <c r="GB139" s="73">
        <v>666</v>
      </c>
      <c r="GC139" s="73">
        <v>568</v>
      </c>
      <c r="GD139" s="73">
        <v>1517</v>
      </c>
      <c r="GE139" s="73">
        <v>272</v>
      </c>
      <c r="GF139" s="73">
        <v>273</v>
      </c>
      <c r="GG139" s="73">
        <v>304</v>
      </c>
      <c r="GH139" s="73">
        <v>-49</v>
      </c>
      <c r="GI139" s="73">
        <v>237</v>
      </c>
      <c r="GJ139" s="73">
        <v>1312</v>
      </c>
      <c r="GK139" s="73">
        <v>49</v>
      </c>
      <c r="GL139" s="73">
        <v>5132</v>
      </c>
      <c r="GM139" s="73">
        <v>620</v>
      </c>
      <c r="GN139" s="73">
        <v>556</v>
      </c>
      <c r="GO139" s="77">
        <v>19</v>
      </c>
      <c r="GP139" s="78">
        <v>802</v>
      </c>
      <c r="GQ139" s="73">
        <v>2001</v>
      </c>
      <c r="GR139" s="65">
        <v>2979</v>
      </c>
      <c r="GS139" s="65">
        <v>673</v>
      </c>
      <c r="GT139" s="65">
        <v>312</v>
      </c>
      <c r="GU139" s="65">
        <v>1447</v>
      </c>
      <c r="GV139" s="65">
        <v>273</v>
      </c>
      <c r="GW139" s="65">
        <v>281</v>
      </c>
      <c r="GX139" s="65">
        <v>112</v>
      </c>
      <c r="GY139" s="65">
        <v>-553</v>
      </c>
      <c r="GZ139" s="65">
        <v>257</v>
      </c>
      <c r="HA139" s="65">
        <v>1196</v>
      </c>
      <c r="HB139" s="65">
        <v>553</v>
      </c>
      <c r="HC139" s="65">
        <v>5527</v>
      </c>
      <c r="HD139" s="65">
        <v>92</v>
      </c>
      <c r="HE139" s="78">
        <v>773</v>
      </c>
      <c r="HF139" s="73">
        <v>1968</v>
      </c>
      <c r="HG139" s="65">
        <v>3281</v>
      </c>
      <c r="HH139" s="65">
        <v>789</v>
      </c>
      <c r="HI139" s="65">
        <v>235</v>
      </c>
      <c r="HJ139" s="65">
        <v>1516</v>
      </c>
      <c r="HK139" s="65">
        <v>163</v>
      </c>
      <c r="HL139" s="65">
        <v>289</v>
      </c>
      <c r="HM139" s="65">
        <v>11</v>
      </c>
      <c r="HN139" s="65">
        <v>-433</v>
      </c>
      <c r="HO139" s="65">
        <v>265</v>
      </c>
      <c r="HP139" s="65">
        <v>1668</v>
      </c>
      <c r="HQ139" s="65">
        <v>433</v>
      </c>
      <c r="HR139" s="65">
        <v>5988</v>
      </c>
      <c r="HS139" s="65">
        <v>-35</v>
      </c>
      <c r="HT139" s="65">
        <v>612</v>
      </c>
      <c r="HU139" s="77">
        <v>19</v>
      </c>
      <c r="HV139" s="180">
        <v>340</v>
      </c>
      <c r="HW139" s="30" t="s">
        <v>761</v>
      </c>
    </row>
    <row r="140" spans="1:231" ht="15" x14ac:dyDescent="0.25">
      <c r="A140" s="27">
        <v>436</v>
      </c>
      <c r="B140" s="27" t="s">
        <v>268</v>
      </c>
      <c r="C140" s="27">
        <v>17</v>
      </c>
      <c r="D140" s="27" t="s">
        <v>117</v>
      </c>
      <c r="E140" s="27">
        <v>2</v>
      </c>
      <c r="F140" s="27" t="s">
        <v>744</v>
      </c>
      <c r="G140" s="29" t="s">
        <v>130</v>
      </c>
      <c r="H140" s="27" t="s">
        <v>98</v>
      </c>
      <c r="I140" s="31" t="s">
        <v>117</v>
      </c>
      <c r="J140" s="69">
        <v>1691</v>
      </c>
      <c r="K140" s="69">
        <v>1683</v>
      </c>
      <c r="L140" s="36">
        <v>1686</v>
      </c>
      <c r="M140" s="36">
        <v>1698</v>
      </c>
      <c r="N140" s="36">
        <v>1741</v>
      </c>
      <c r="O140" s="36">
        <v>1767</v>
      </c>
      <c r="P140" s="36">
        <v>1798</v>
      </c>
      <c r="Q140" s="36">
        <v>1856</v>
      </c>
      <c r="R140" s="69">
        <v>1890</v>
      </c>
      <c r="S140" s="69">
        <v>1895</v>
      </c>
      <c r="T140" s="71">
        <v>1941</v>
      </c>
      <c r="U140" s="36">
        <v>2324</v>
      </c>
      <c r="V140" s="36">
        <v>1880</v>
      </c>
      <c r="W140" s="36">
        <v>935</v>
      </c>
      <c r="X140" s="36">
        <v>61.052217305528494</v>
      </c>
      <c r="Y140" s="36">
        <v>2470</v>
      </c>
      <c r="Z140" s="36">
        <v>2205</v>
      </c>
      <c r="AA140" s="36">
        <v>942</v>
      </c>
      <c r="AB140" s="36">
        <v>52.47463305599144</v>
      </c>
      <c r="AC140" s="36">
        <v>2468</v>
      </c>
      <c r="AD140" s="36">
        <v>2494</v>
      </c>
      <c r="AE140" s="36">
        <v>725</v>
      </c>
      <c r="AF140" s="36">
        <v>22.705370072303989</v>
      </c>
      <c r="AG140" s="36">
        <v>2861</v>
      </c>
      <c r="AH140" s="36">
        <v>2953</v>
      </c>
      <c r="AI140" s="36">
        <v>1330</v>
      </c>
      <c r="AJ140" s="36">
        <v>30.105638836610471</v>
      </c>
      <c r="AK140" s="36">
        <v>3047</v>
      </c>
      <c r="AL140" s="36">
        <v>3162</v>
      </c>
      <c r="AM140" s="36">
        <v>761</v>
      </c>
      <c r="AN140" s="36">
        <v>36</v>
      </c>
      <c r="AO140" s="36">
        <v>2954</v>
      </c>
      <c r="AP140" s="36">
        <v>3244</v>
      </c>
      <c r="AQ140" s="36">
        <v>837</v>
      </c>
      <c r="AR140" s="36">
        <v>39</v>
      </c>
      <c r="AS140" s="36">
        <v>3052</v>
      </c>
      <c r="AT140" s="36">
        <v>3117</v>
      </c>
      <c r="AU140" s="36">
        <v>820</v>
      </c>
      <c r="AV140" s="36">
        <v>23</v>
      </c>
      <c r="AW140" s="36">
        <v>3314</v>
      </c>
      <c r="AX140" s="69">
        <v>3379</v>
      </c>
      <c r="AY140" s="36">
        <v>878</v>
      </c>
      <c r="AZ140" s="36">
        <v>6</v>
      </c>
      <c r="BA140" s="36">
        <v>3561</v>
      </c>
      <c r="BB140" s="36">
        <v>3752</v>
      </c>
      <c r="BC140" s="36">
        <v>865</v>
      </c>
      <c r="BD140" s="36">
        <v>3</v>
      </c>
      <c r="BE140" s="70">
        <v>3833</v>
      </c>
      <c r="BF140" s="70">
        <v>3929</v>
      </c>
      <c r="BG140" s="70">
        <v>857</v>
      </c>
      <c r="BH140" s="70">
        <v>17</v>
      </c>
      <c r="BI140" s="36">
        <v>4174</v>
      </c>
      <c r="BJ140" s="36">
        <v>4411</v>
      </c>
      <c r="BK140" s="36">
        <v>909</v>
      </c>
      <c r="BL140" s="36">
        <v>9</v>
      </c>
      <c r="BM140" s="36">
        <v>1964.0986052175258</v>
      </c>
      <c r="BN140" s="36">
        <v>311.98860358610295</v>
      </c>
      <c r="BO140" s="36">
        <v>48.269934894453662</v>
      </c>
      <c r="BP140" s="36">
        <v>2168.6151237947233</v>
      </c>
      <c r="BQ140" s="36">
        <v>251.94551383934353</v>
      </c>
      <c r="BR140" s="36">
        <v>48.942686600299709</v>
      </c>
      <c r="BS140" s="36">
        <v>2188.1249232642585</v>
      </c>
      <c r="BT140" s="36">
        <v>208.88940466519674</v>
      </c>
      <c r="BU140" s="36">
        <v>70.638929113834635</v>
      </c>
      <c r="BV140" s="36">
        <v>2673</v>
      </c>
      <c r="BW140" s="36">
        <v>112</v>
      </c>
      <c r="BX140" s="36">
        <v>76</v>
      </c>
      <c r="BY140" s="36">
        <v>2915</v>
      </c>
      <c r="BZ140" s="36">
        <v>53</v>
      </c>
      <c r="CA140" s="36">
        <v>79</v>
      </c>
      <c r="CB140" s="36">
        <v>2846</v>
      </c>
      <c r="CC140" s="36">
        <v>29</v>
      </c>
      <c r="CD140" s="36">
        <v>79</v>
      </c>
      <c r="CE140" s="36">
        <v>2941</v>
      </c>
      <c r="CF140" s="36">
        <v>34</v>
      </c>
      <c r="CG140" s="36">
        <v>77</v>
      </c>
      <c r="CH140" s="36">
        <v>3187</v>
      </c>
      <c r="CI140" s="36">
        <v>41</v>
      </c>
      <c r="CJ140" s="70">
        <v>86</v>
      </c>
      <c r="CK140" s="70">
        <v>3382</v>
      </c>
      <c r="CL140" s="70">
        <v>58</v>
      </c>
      <c r="CM140" s="36">
        <v>121</v>
      </c>
      <c r="CN140" s="36">
        <v>3625</v>
      </c>
      <c r="CO140" s="36">
        <v>80</v>
      </c>
      <c r="CP140" s="36">
        <v>128</v>
      </c>
      <c r="CQ140" s="36">
        <v>3948</v>
      </c>
      <c r="CR140" s="36">
        <v>87</v>
      </c>
      <c r="CS140" s="36">
        <v>139</v>
      </c>
      <c r="CT140" s="36">
        <v>-109.15396427352066</v>
      </c>
      <c r="CU140" s="36">
        <v>-281.21021300000001</v>
      </c>
      <c r="CV140" s="36">
        <v>235.63128497257696</v>
      </c>
      <c r="CW140" s="36">
        <v>711</v>
      </c>
      <c r="CX140" s="36">
        <v>159.946718064897</v>
      </c>
      <c r="CY140" s="36">
        <v>-411.89223190000001</v>
      </c>
      <c r="CZ140" s="36">
        <v>190.05235690150747</v>
      </c>
      <c r="DA140" s="36">
        <v>787</v>
      </c>
      <c r="DB140" s="36">
        <v>266.74605136795651</v>
      </c>
      <c r="DC140" s="36">
        <v>-538.03317679999998</v>
      </c>
      <c r="DD140" s="36">
        <v>217.97155269411829</v>
      </c>
      <c r="DE140" s="36">
        <v>717</v>
      </c>
      <c r="DF140" s="36">
        <v>1160.8330684373491</v>
      </c>
      <c r="DG140" s="36">
        <v>-333</v>
      </c>
      <c r="DH140" s="36">
        <v>227.22188864950138</v>
      </c>
      <c r="DI140" s="36">
        <v>649</v>
      </c>
      <c r="DJ140" s="36">
        <v>840</v>
      </c>
      <c r="DK140" s="36">
        <v>-269</v>
      </c>
      <c r="DL140" s="36">
        <v>273</v>
      </c>
      <c r="DM140" s="36">
        <v>517</v>
      </c>
      <c r="DN140" s="36">
        <v>355</v>
      </c>
      <c r="DO140" s="69">
        <v>-603</v>
      </c>
      <c r="DP140" s="36">
        <v>307</v>
      </c>
      <c r="DQ140" s="36">
        <v>439</v>
      </c>
      <c r="DR140" s="36">
        <v>-275</v>
      </c>
      <c r="DS140" s="36">
        <v>-2232</v>
      </c>
      <c r="DT140" s="36">
        <v>301</v>
      </c>
      <c r="DU140" s="36">
        <v>2761</v>
      </c>
      <c r="DV140" s="36">
        <v>-287</v>
      </c>
      <c r="DW140" s="71">
        <v>-1979</v>
      </c>
      <c r="DX140" s="39">
        <v>357</v>
      </c>
      <c r="DY140" s="71">
        <v>4487</v>
      </c>
      <c r="DZ140" s="70">
        <v>185</v>
      </c>
      <c r="EA140" s="35">
        <v>-516</v>
      </c>
      <c r="EB140" s="35">
        <v>439</v>
      </c>
      <c r="EC140" s="38">
        <v>4542</v>
      </c>
      <c r="ED140" s="38">
        <v>719</v>
      </c>
      <c r="EE140" s="38">
        <v>-19</v>
      </c>
      <c r="EF140" s="38">
        <v>384</v>
      </c>
      <c r="EG140" s="73">
        <v>3923</v>
      </c>
      <c r="EH140" s="73">
        <v>551</v>
      </c>
      <c r="EI140" s="73">
        <v>-503</v>
      </c>
      <c r="EJ140" s="73">
        <v>406</v>
      </c>
      <c r="EK140" s="73">
        <v>3670</v>
      </c>
      <c r="EL140" s="73">
        <v>4978.6989991136497</v>
      </c>
      <c r="EM140" s="73">
        <v>-334.35759780548392</v>
      </c>
      <c r="EN140" s="73">
        <v>5176.319812705925</v>
      </c>
      <c r="EO140" s="73">
        <v>-20.014363248919814</v>
      </c>
      <c r="EP140" s="73">
        <v>5106.5218232243978</v>
      </c>
      <c r="EQ140" s="73">
        <v>48.774498673838195</v>
      </c>
      <c r="ER140" s="73">
        <v>5669.6150010175361</v>
      </c>
      <c r="ES140" s="73">
        <v>922.00621286200351</v>
      </c>
      <c r="ET140" s="73">
        <v>6132</v>
      </c>
      <c r="EU140" s="73">
        <v>558</v>
      </c>
      <c r="EV140" s="73">
        <v>6698</v>
      </c>
      <c r="EW140" s="73">
        <v>48</v>
      </c>
      <c r="EX140" s="73">
        <v>7253</v>
      </c>
      <c r="EY140" s="73">
        <v>-576</v>
      </c>
      <c r="EZ140" s="73">
        <v>7837</v>
      </c>
      <c r="FA140" s="73">
        <v>-644</v>
      </c>
      <c r="FB140" s="73">
        <v>7849</v>
      </c>
      <c r="FC140" s="73">
        <v>-254</v>
      </c>
      <c r="FD140" s="73">
        <v>7772</v>
      </c>
      <c r="FE140" s="73">
        <v>335</v>
      </c>
      <c r="FF140" s="73">
        <v>8814</v>
      </c>
      <c r="FG140" s="73">
        <v>145</v>
      </c>
      <c r="FH140" s="73">
        <v>399</v>
      </c>
      <c r="FI140" s="73">
        <v>543</v>
      </c>
      <c r="FJ140" s="79">
        <v>1994</v>
      </c>
      <c r="FK140" s="80">
        <v>4390</v>
      </c>
      <c r="FL140" s="80">
        <v>4811</v>
      </c>
      <c r="FM140" s="80">
        <v>1078</v>
      </c>
      <c r="FN140" s="76">
        <v>5</v>
      </c>
      <c r="FO140" s="80">
        <v>4171</v>
      </c>
      <c r="FP140" s="80">
        <v>73</v>
      </c>
      <c r="FQ140" s="80">
        <v>146</v>
      </c>
      <c r="FR140" s="80">
        <v>1087</v>
      </c>
      <c r="FS140" s="81">
        <v>-985</v>
      </c>
      <c r="FT140" s="76">
        <v>442</v>
      </c>
      <c r="FU140" s="76">
        <v>3505</v>
      </c>
      <c r="FV140" s="76">
        <v>985</v>
      </c>
      <c r="FW140" s="80">
        <v>9087</v>
      </c>
      <c r="FX140" s="80">
        <v>645</v>
      </c>
      <c r="FY140" s="73">
        <v>1994</v>
      </c>
      <c r="FZ140" s="73">
        <v>4688</v>
      </c>
      <c r="GA140" s="73">
        <v>4969</v>
      </c>
      <c r="GB140" s="73">
        <v>1135</v>
      </c>
      <c r="GC140" s="73">
        <v>3</v>
      </c>
      <c r="GD140" s="73">
        <v>4437</v>
      </c>
      <c r="GE140" s="73">
        <v>100</v>
      </c>
      <c r="GF140" s="73">
        <v>151</v>
      </c>
      <c r="GG140" s="73">
        <v>1055</v>
      </c>
      <c r="GH140" s="73">
        <v>-615</v>
      </c>
      <c r="GI140" s="73">
        <v>445</v>
      </c>
      <c r="GJ140" s="73">
        <v>3514</v>
      </c>
      <c r="GK140" s="73">
        <v>615</v>
      </c>
      <c r="GL140" s="73">
        <v>9663</v>
      </c>
      <c r="GM140" s="73">
        <v>210</v>
      </c>
      <c r="GN140" s="73">
        <v>1398</v>
      </c>
      <c r="GO140" s="77">
        <v>20.5</v>
      </c>
      <c r="GP140" s="78">
        <v>2037</v>
      </c>
      <c r="GQ140" s="73">
        <v>4661</v>
      </c>
      <c r="GR140" s="65">
        <v>5217</v>
      </c>
      <c r="GS140" s="65">
        <v>1382</v>
      </c>
      <c r="GT140" s="65">
        <v>2</v>
      </c>
      <c r="GU140" s="65">
        <v>4384</v>
      </c>
      <c r="GV140" s="65">
        <v>124</v>
      </c>
      <c r="GW140" s="65">
        <v>153</v>
      </c>
      <c r="GX140" s="65">
        <v>137</v>
      </c>
      <c r="GY140" s="65">
        <v>-761</v>
      </c>
      <c r="GZ140" s="65">
        <v>445</v>
      </c>
      <c r="HA140" s="65">
        <v>3595</v>
      </c>
      <c r="HB140" s="65">
        <v>761</v>
      </c>
      <c r="HC140" s="65">
        <v>11044</v>
      </c>
      <c r="HD140" s="65">
        <v>-308</v>
      </c>
      <c r="HE140" s="78">
        <v>2059</v>
      </c>
      <c r="HF140" s="73">
        <v>4905</v>
      </c>
      <c r="HG140" s="65">
        <v>5479</v>
      </c>
      <c r="HH140" s="65">
        <v>1581</v>
      </c>
      <c r="HI140" s="65">
        <v>2</v>
      </c>
      <c r="HJ140" s="65">
        <v>4648</v>
      </c>
      <c r="HK140" s="65">
        <v>94</v>
      </c>
      <c r="HL140" s="65">
        <v>163</v>
      </c>
      <c r="HM140" s="65">
        <v>792</v>
      </c>
      <c r="HN140" s="65">
        <v>-325</v>
      </c>
      <c r="HO140" s="65">
        <v>473</v>
      </c>
      <c r="HP140" s="65">
        <v>3176</v>
      </c>
      <c r="HQ140" s="65">
        <v>325</v>
      </c>
      <c r="HR140" s="65">
        <v>11103</v>
      </c>
      <c r="HS140" s="65">
        <v>19</v>
      </c>
      <c r="HT140" s="65">
        <v>1110</v>
      </c>
      <c r="HU140" s="77">
        <v>20.5</v>
      </c>
      <c r="HV140" s="180">
        <v>340</v>
      </c>
      <c r="HW140" s="30" t="s">
        <v>761</v>
      </c>
    </row>
    <row r="141" spans="1:231" ht="15" x14ac:dyDescent="0.25">
      <c r="A141" s="27">
        <v>440</v>
      </c>
      <c r="B141" s="27" t="s">
        <v>269</v>
      </c>
      <c r="C141" s="27">
        <v>15</v>
      </c>
      <c r="D141" s="27" t="s">
        <v>115</v>
      </c>
      <c r="E141" s="27">
        <v>3</v>
      </c>
      <c r="F141" s="27" t="s">
        <v>743</v>
      </c>
      <c r="G141" s="29" t="s">
        <v>130</v>
      </c>
      <c r="H141" s="27" t="s">
        <v>98</v>
      </c>
      <c r="I141" s="31" t="s">
        <v>115</v>
      </c>
      <c r="J141" s="69">
        <v>4025</v>
      </c>
      <c r="K141" s="69">
        <v>4055</v>
      </c>
      <c r="L141" s="36">
        <v>4111</v>
      </c>
      <c r="M141" s="36">
        <v>4128</v>
      </c>
      <c r="N141" s="36">
        <v>4181</v>
      </c>
      <c r="O141" s="36">
        <v>4251</v>
      </c>
      <c r="P141" s="36">
        <v>4323</v>
      </c>
      <c r="Q141" s="36">
        <v>4393</v>
      </c>
      <c r="R141" s="69">
        <v>4473</v>
      </c>
      <c r="S141" s="69">
        <v>4572</v>
      </c>
      <c r="T141" s="71">
        <v>4651</v>
      </c>
      <c r="U141" s="36">
        <v>6319</v>
      </c>
      <c r="V141" s="36">
        <v>5248</v>
      </c>
      <c r="W141" s="36">
        <v>1338</v>
      </c>
      <c r="X141" s="36">
        <v>143.46430127166892</v>
      </c>
      <c r="Y141" s="36">
        <v>6830</v>
      </c>
      <c r="Z141" s="36">
        <v>5505</v>
      </c>
      <c r="AA141" s="36">
        <v>1292</v>
      </c>
      <c r="AB141" s="36">
        <v>205.18927028304344</v>
      </c>
      <c r="AC141" s="36">
        <v>6450</v>
      </c>
      <c r="AD141" s="36">
        <v>5951</v>
      </c>
      <c r="AE141" s="36">
        <v>1823</v>
      </c>
      <c r="AF141" s="36">
        <v>170.54255743197217</v>
      </c>
      <c r="AG141" s="36">
        <v>7094</v>
      </c>
      <c r="AH141" s="36">
        <v>6918</v>
      </c>
      <c r="AI141" s="36">
        <v>1539</v>
      </c>
      <c r="AJ141" s="36">
        <v>264.39142039749532</v>
      </c>
      <c r="AK141" s="36">
        <v>7750</v>
      </c>
      <c r="AL141" s="36">
        <v>7560</v>
      </c>
      <c r="AM141" s="36">
        <v>1573</v>
      </c>
      <c r="AN141" s="36">
        <v>325</v>
      </c>
      <c r="AO141" s="36">
        <v>7672</v>
      </c>
      <c r="AP141" s="36">
        <v>7289</v>
      </c>
      <c r="AQ141" s="36">
        <v>1631</v>
      </c>
      <c r="AR141" s="36">
        <v>117</v>
      </c>
      <c r="AS141" s="36">
        <v>7859</v>
      </c>
      <c r="AT141" s="36">
        <v>7300</v>
      </c>
      <c r="AU141" s="36">
        <v>1726</v>
      </c>
      <c r="AV141" s="36">
        <v>341</v>
      </c>
      <c r="AW141" s="36">
        <v>8589</v>
      </c>
      <c r="AX141" s="69">
        <v>7618</v>
      </c>
      <c r="AY141" s="36">
        <v>1660</v>
      </c>
      <c r="AZ141" s="36">
        <v>77</v>
      </c>
      <c r="BA141" s="36">
        <v>9181</v>
      </c>
      <c r="BB141" s="36">
        <v>7969</v>
      </c>
      <c r="BC141" s="36">
        <v>1992</v>
      </c>
      <c r="BD141" s="36">
        <v>165</v>
      </c>
      <c r="BE141" s="70">
        <v>9998</v>
      </c>
      <c r="BF141" s="70">
        <v>8591</v>
      </c>
      <c r="BG141" s="70">
        <v>1870</v>
      </c>
      <c r="BH141" s="70">
        <v>291</v>
      </c>
      <c r="BI141" s="36">
        <v>10796</v>
      </c>
      <c r="BJ141" s="36">
        <v>9408</v>
      </c>
      <c r="BK141" s="36">
        <v>1967</v>
      </c>
      <c r="BL141" s="36">
        <v>113</v>
      </c>
      <c r="BM141" s="36">
        <v>5786.8419857612098</v>
      </c>
      <c r="BN141" s="36">
        <v>220.15799573811793</v>
      </c>
      <c r="BO141" s="36">
        <v>312.1567915125645</v>
      </c>
      <c r="BP141" s="36">
        <v>6249.1905956039036</v>
      </c>
      <c r="BQ141" s="36">
        <v>256.99115163318885</v>
      </c>
      <c r="BR141" s="36">
        <v>323.42538258548569</v>
      </c>
      <c r="BS141" s="36">
        <v>5845.539572096277</v>
      </c>
      <c r="BT141" s="36">
        <v>267.25061514734102</v>
      </c>
      <c r="BU141" s="36">
        <v>337.55316840825265</v>
      </c>
      <c r="BV141" s="36">
        <v>6503</v>
      </c>
      <c r="BW141" s="36">
        <v>234</v>
      </c>
      <c r="BX141" s="36">
        <v>357</v>
      </c>
      <c r="BY141" s="36">
        <v>7169</v>
      </c>
      <c r="BZ141" s="36">
        <v>212</v>
      </c>
      <c r="CA141" s="36">
        <v>369</v>
      </c>
      <c r="CB141" s="36">
        <v>7186</v>
      </c>
      <c r="CC141" s="36">
        <v>111</v>
      </c>
      <c r="CD141" s="36">
        <v>375</v>
      </c>
      <c r="CE141" s="36">
        <v>7204</v>
      </c>
      <c r="CF141" s="36">
        <v>241</v>
      </c>
      <c r="CG141" s="36">
        <v>414</v>
      </c>
      <c r="CH141" s="36">
        <v>7749</v>
      </c>
      <c r="CI141" s="36">
        <v>402</v>
      </c>
      <c r="CJ141" s="70">
        <v>438</v>
      </c>
      <c r="CK141" s="70">
        <v>8312</v>
      </c>
      <c r="CL141" s="70">
        <v>415</v>
      </c>
      <c r="CM141" s="36">
        <v>454</v>
      </c>
      <c r="CN141" s="36">
        <v>9064</v>
      </c>
      <c r="CO141" s="36">
        <v>459</v>
      </c>
      <c r="CP141" s="36">
        <v>475</v>
      </c>
      <c r="CQ141" s="36">
        <v>9791</v>
      </c>
      <c r="CR141" s="36">
        <v>497</v>
      </c>
      <c r="CS141" s="36">
        <v>508</v>
      </c>
      <c r="CT141" s="36">
        <v>830.1756050140184</v>
      </c>
      <c r="CU141" s="36">
        <v>-451.0800188</v>
      </c>
      <c r="CV141" s="36">
        <v>351.17639045163503</v>
      </c>
      <c r="CW141" s="36">
        <v>1454</v>
      </c>
      <c r="CX141" s="36">
        <v>1481.3992562729891</v>
      </c>
      <c r="CY141" s="36">
        <v>-754.82741399999986</v>
      </c>
      <c r="CZ141" s="36">
        <v>374.55451222978508</v>
      </c>
      <c r="DA141" s="36">
        <v>1462</v>
      </c>
      <c r="DB141" s="36">
        <v>887.69587586385524</v>
      </c>
      <c r="DC141" s="36">
        <v>-1349.203546</v>
      </c>
      <c r="DD141" s="36">
        <v>404.32377521347246</v>
      </c>
      <c r="DE141" s="36">
        <v>2599</v>
      </c>
      <c r="DF141" s="36">
        <v>1200.0208553028813</v>
      </c>
      <c r="DG141" s="36">
        <v>-1559</v>
      </c>
      <c r="DH141" s="36">
        <v>484.04485235622872</v>
      </c>
      <c r="DI141" s="36">
        <v>2345</v>
      </c>
      <c r="DJ141" s="36">
        <v>2419</v>
      </c>
      <c r="DK141" s="36">
        <v>-2315</v>
      </c>
      <c r="DL141" s="36">
        <v>611</v>
      </c>
      <c r="DM141" s="36">
        <v>2992</v>
      </c>
      <c r="DN141" s="36">
        <v>651</v>
      </c>
      <c r="DO141" s="69">
        <v>-1210</v>
      </c>
      <c r="DP141" s="36">
        <v>682</v>
      </c>
      <c r="DQ141" s="36">
        <v>3383</v>
      </c>
      <c r="DR141" s="36">
        <v>295</v>
      </c>
      <c r="DS141" s="36">
        <v>-803</v>
      </c>
      <c r="DT141" s="36">
        <v>727</v>
      </c>
      <c r="DU141" s="36">
        <v>3382</v>
      </c>
      <c r="DV141" s="36">
        <v>537</v>
      </c>
      <c r="DW141" s="71">
        <v>-1298</v>
      </c>
      <c r="DX141" s="39">
        <v>750</v>
      </c>
      <c r="DY141" s="71">
        <v>4227</v>
      </c>
      <c r="DZ141" s="70">
        <v>962</v>
      </c>
      <c r="EA141" s="35">
        <v>-706</v>
      </c>
      <c r="EB141" s="35">
        <v>758</v>
      </c>
      <c r="EC141" s="38">
        <v>4075</v>
      </c>
      <c r="ED141" s="38">
        <v>1141</v>
      </c>
      <c r="EE141" s="38">
        <v>-1138</v>
      </c>
      <c r="EF141" s="38">
        <v>707</v>
      </c>
      <c r="EG141" s="73">
        <v>4108</v>
      </c>
      <c r="EH141" s="73">
        <v>1376</v>
      </c>
      <c r="EI141" s="73">
        <v>-2623</v>
      </c>
      <c r="EJ141" s="73">
        <v>696</v>
      </c>
      <c r="EK141" s="73">
        <v>5219</v>
      </c>
      <c r="EL141" s="73">
        <v>11552.660480714731</v>
      </c>
      <c r="EM141" s="73">
        <v>478.15827493007583</v>
      </c>
      <c r="EN141" s="73">
        <v>11701.843171486091</v>
      </c>
      <c r="EO141" s="73">
        <v>1106.8447440432042</v>
      </c>
      <c r="EP141" s="73">
        <v>12803.642277735451</v>
      </c>
      <c r="EQ141" s="73">
        <v>483.37210065038272</v>
      </c>
      <c r="ER141" s="73">
        <v>13829.420441224205</v>
      </c>
      <c r="ES141" s="73">
        <v>707.3984186971154</v>
      </c>
      <c r="ET141" s="73">
        <v>14695</v>
      </c>
      <c r="EU141" s="73">
        <v>1791</v>
      </c>
      <c r="EV141" s="73">
        <v>15950</v>
      </c>
      <c r="EW141" s="73">
        <v>-31</v>
      </c>
      <c r="EX141" s="73">
        <v>16757</v>
      </c>
      <c r="EY141" s="73">
        <v>-431</v>
      </c>
      <c r="EZ141" s="73">
        <v>17316</v>
      </c>
      <c r="FA141" s="73">
        <v>-212</v>
      </c>
      <c r="FB141" s="73">
        <v>18235</v>
      </c>
      <c r="FC141" s="73">
        <v>202</v>
      </c>
      <c r="FD141" s="73">
        <v>19455</v>
      </c>
      <c r="FE141" s="73">
        <v>436</v>
      </c>
      <c r="FF141" s="73">
        <v>20770</v>
      </c>
      <c r="FG141" s="73">
        <v>682</v>
      </c>
      <c r="FH141" s="73">
        <v>7166</v>
      </c>
      <c r="FI141" s="73">
        <v>7848</v>
      </c>
      <c r="FJ141" s="79">
        <v>4719</v>
      </c>
      <c r="FK141" s="80">
        <v>11092</v>
      </c>
      <c r="FL141" s="80">
        <v>10086</v>
      </c>
      <c r="FM141" s="80">
        <v>2047</v>
      </c>
      <c r="FN141" s="76">
        <v>135</v>
      </c>
      <c r="FO141" s="80">
        <v>10151</v>
      </c>
      <c r="FP141" s="80">
        <v>375</v>
      </c>
      <c r="FQ141" s="80">
        <v>566</v>
      </c>
      <c r="FR141" s="80">
        <v>1441</v>
      </c>
      <c r="FS141" s="81">
        <v>-2023</v>
      </c>
      <c r="FT141" s="76">
        <v>824</v>
      </c>
      <c r="FU141" s="76">
        <v>6411</v>
      </c>
      <c r="FV141" s="76">
        <v>2023</v>
      </c>
      <c r="FW141" s="80">
        <v>21869</v>
      </c>
      <c r="FX141" s="80">
        <v>619</v>
      </c>
      <c r="FY141" s="73">
        <v>4816</v>
      </c>
      <c r="FZ141" s="73">
        <v>11294</v>
      </c>
      <c r="GA141" s="73">
        <v>10541</v>
      </c>
      <c r="GB141" s="73">
        <v>2390</v>
      </c>
      <c r="GC141" s="73">
        <v>298</v>
      </c>
      <c r="GD141" s="73">
        <v>10156</v>
      </c>
      <c r="GE141" s="73">
        <v>436</v>
      </c>
      <c r="GF141" s="73">
        <v>702</v>
      </c>
      <c r="GG141" s="73">
        <v>1751</v>
      </c>
      <c r="GH141" s="73">
        <v>-2130</v>
      </c>
      <c r="GI141" s="73">
        <v>861</v>
      </c>
      <c r="GJ141" s="73">
        <v>8152</v>
      </c>
      <c r="GK141" s="73">
        <v>2130</v>
      </c>
      <c r="GL141" s="73">
        <v>22753</v>
      </c>
      <c r="GM141" s="73">
        <v>892</v>
      </c>
      <c r="GN141" s="73">
        <v>9358</v>
      </c>
      <c r="GO141" s="77">
        <v>18.5</v>
      </c>
      <c r="GP141" s="78">
        <v>4921</v>
      </c>
      <c r="GQ141" s="73">
        <v>11626</v>
      </c>
      <c r="GR141" s="65">
        <v>10876</v>
      </c>
      <c r="GS141" s="65">
        <v>2845</v>
      </c>
      <c r="GT141" s="65">
        <v>163</v>
      </c>
      <c r="GU141" s="65">
        <v>10475</v>
      </c>
      <c r="GV141" s="65">
        <v>433</v>
      </c>
      <c r="GW141" s="65">
        <v>718</v>
      </c>
      <c r="GX141" s="65">
        <v>431</v>
      </c>
      <c r="GY141" s="65">
        <v>-1903</v>
      </c>
      <c r="GZ141" s="65">
        <v>915</v>
      </c>
      <c r="HA141" s="65">
        <v>9414</v>
      </c>
      <c r="HB141" s="65">
        <v>1903</v>
      </c>
      <c r="HC141" s="65">
        <v>25012</v>
      </c>
      <c r="HD141" s="65">
        <v>-482</v>
      </c>
      <c r="HE141" s="78">
        <v>4966</v>
      </c>
      <c r="HF141" s="73">
        <v>12949</v>
      </c>
      <c r="HG141" s="65">
        <v>11422</v>
      </c>
      <c r="HH141" s="65">
        <v>2950</v>
      </c>
      <c r="HI141" s="65">
        <v>423</v>
      </c>
      <c r="HJ141" s="65">
        <v>11917</v>
      </c>
      <c r="HK141" s="65">
        <v>232</v>
      </c>
      <c r="HL141" s="65">
        <v>800</v>
      </c>
      <c r="HM141" s="65">
        <v>1899</v>
      </c>
      <c r="HN141" s="65">
        <v>-1047</v>
      </c>
      <c r="HO141" s="65">
        <v>1016</v>
      </c>
      <c r="HP141" s="65">
        <v>10908</v>
      </c>
      <c r="HQ141" s="65">
        <v>1047</v>
      </c>
      <c r="HR141" s="65">
        <v>25780</v>
      </c>
      <c r="HS141" s="65">
        <v>924</v>
      </c>
      <c r="HT141" s="65">
        <v>9800</v>
      </c>
      <c r="HU141" s="77">
        <v>19.5</v>
      </c>
      <c r="HV141" s="180">
        <v>310</v>
      </c>
      <c r="HW141" s="30" t="s">
        <v>758</v>
      </c>
    </row>
    <row r="142" spans="1:231" ht="15" x14ac:dyDescent="0.25">
      <c r="A142" s="27">
        <v>441</v>
      </c>
      <c r="B142" s="27" t="s">
        <v>270</v>
      </c>
      <c r="C142" s="27">
        <v>9</v>
      </c>
      <c r="D142" s="27" t="s">
        <v>105</v>
      </c>
      <c r="E142" s="27">
        <v>2</v>
      </c>
      <c r="F142" s="27" t="s">
        <v>744</v>
      </c>
      <c r="G142" s="29" t="s">
        <v>130</v>
      </c>
      <c r="H142" s="27" t="s">
        <v>98</v>
      </c>
      <c r="I142" s="31" t="s">
        <v>105</v>
      </c>
      <c r="J142" s="69">
        <v>5398</v>
      </c>
      <c r="K142" s="69">
        <v>5328</v>
      </c>
      <c r="L142" s="36">
        <v>5328</v>
      </c>
      <c r="M142" s="36">
        <v>5371</v>
      </c>
      <c r="N142" s="36">
        <v>5357</v>
      </c>
      <c r="O142" s="36">
        <v>5299</v>
      </c>
      <c r="P142" s="36">
        <v>5274</v>
      </c>
      <c r="Q142" s="36">
        <v>5297</v>
      </c>
      <c r="R142" s="69">
        <v>5216</v>
      </c>
      <c r="S142" s="69">
        <v>5200</v>
      </c>
      <c r="T142" s="71">
        <v>5179</v>
      </c>
      <c r="U142" s="36">
        <v>10083</v>
      </c>
      <c r="V142" s="36">
        <v>3646</v>
      </c>
      <c r="W142" s="36">
        <v>3771</v>
      </c>
      <c r="X142" s="36">
        <v>857.25386117432174</v>
      </c>
      <c r="Y142" s="36">
        <v>10172</v>
      </c>
      <c r="Z142" s="36">
        <v>3920</v>
      </c>
      <c r="AA142" s="36">
        <v>4086</v>
      </c>
      <c r="AB142" s="36">
        <v>879.95923124662556</v>
      </c>
      <c r="AC142" s="36">
        <v>10113</v>
      </c>
      <c r="AD142" s="36">
        <v>3886</v>
      </c>
      <c r="AE142" s="36">
        <v>3968</v>
      </c>
      <c r="AF142" s="36">
        <v>805.45197982417631</v>
      </c>
      <c r="AG142" s="36">
        <v>10532</v>
      </c>
      <c r="AH142" s="36">
        <v>4975</v>
      </c>
      <c r="AI142" s="36">
        <v>4083</v>
      </c>
      <c r="AJ142" s="36">
        <v>740.86781606295608</v>
      </c>
      <c r="AK142" s="36">
        <v>10819</v>
      </c>
      <c r="AL142" s="36">
        <v>5363</v>
      </c>
      <c r="AM142" s="36">
        <v>4400</v>
      </c>
      <c r="AN142" s="36">
        <v>706</v>
      </c>
      <c r="AO142" s="36">
        <v>9958</v>
      </c>
      <c r="AP142" s="36">
        <v>6436</v>
      </c>
      <c r="AQ142" s="36">
        <v>4705</v>
      </c>
      <c r="AR142" s="36">
        <v>636</v>
      </c>
      <c r="AS142" s="36">
        <v>10323</v>
      </c>
      <c r="AT142" s="36">
        <v>7396</v>
      </c>
      <c r="AU142" s="36">
        <v>3985</v>
      </c>
      <c r="AV142" s="36">
        <v>811</v>
      </c>
      <c r="AW142" s="36">
        <v>10881</v>
      </c>
      <c r="AX142" s="69">
        <v>7689</v>
      </c>
      <c r="AY142" s="36">
        <v>4648</v>
      </c>
      <c r="AZ142" s="36">
        <v>689</v>
      </c>
      <c r="BA142" s="36">
        <v>11385</v>
      </c>
      <c r="BB142" s="36">
        <v>8298</v>
      </c>
      <c r="BC142" s="36">
        <v>4576</v>
      </c>
      <c r="BD142" s="36">
        <v>715</v>
      </c>
      <c r="BE142" s="70">
        <v>12013</v>
      </c>
      <c r="BF142" s="70">
        <v>8595</v>
      </c>
      <c r="BG142" s="70">
        <v>5241</v>
      </c>
      <c r="BH142" s="70">
        <v>927</v>
      </c>
      <c r="BI142" s="36">
        <v>12920</v>
      </c>
      <c r="BJ142" s="36">
        <v>9160</v>
      </c>
      <c r="BK142" s="36">
        <v>5565</v>
      </c>
      <c r="BL142" s="36">
        <v>1202</v>
      </c>
      <c r="BM142" s="36">
        <v>6659.0645723906064</v>
      </c>
      <c r="BN142" s="36">
        <v>3045.0424085856571</v>
      </c>
      <c r="BO142" s="36">
        <v>378.75921039132288</v>
      </c>
      <c r="BP142" s="36">
        <v>7147.9868746142192</v>
      </c>
      <c r="BQ142" s="36">
        <v>2645.5960832395685</v>
      </c>
      <c r="BR142" s="36">
        <v>378.59102246486134</v>
      </c>
      <c r="BS142" s="36">
        <v>6322.3523436146588</v>
      </c>
      <c r="BT142" s="36">
        <v>3328.2708767468421</v>
      </c>
      <c r="BU142" s="36">
        <v>462.68498569561677</v>
      </c>
      <c r="BV142" s="36">
        <v>7854</v>
      </c>
      <c r="BW142" s="36">
        <v>2185</v>
      </c>
      <c r="BX142" s="36">
        <v>493</v>
      </c>
      <c r="BY142" s="36">
        <v>8706</v>
      </c>
      <c r="BZ142" s="36">
        <v>1609</v>
      </c>
      <c r="CA142" s="36">
        <v>504</v>
      </c>
      <c r="CB142" s="36">
        <v>8541</v>
      </c>
      <c r="CC142" s="36">
        <v>906</v>
      </c>
      <c r="CD142" s="36">
        <v>511</v>
      </c>
      <c r="CE142" s="36">
        <v>8704</v>
      </c>
      <c r="CF142" s="36">
        <v>1110</v>
      </c>
      <c r="CG142" s="36">
        <v>509</v>
      </c>
      <c r="CH142" s="36">
        <v>8929</v>
      </c>
      <c r="CI142" s="36">
        <v>1420</v>
      </c>
      <c r="CJ142" s="70">
        <v>532</v>
      </c>
      <c r="CK142" s="70">
        <v>9125</v>
      </c>
      <c r="CL142" s="70">
        <v>1716</v>
      </c>
      <c r="CM142" s="36">
        <v>544</v>
      </c>
      <c r="CN142" s="36">
        <v>9527</v>
      </c>
      <c r="CO142" s="36">
        <v>1926</v>
      </c>
      <c r="CP142" s="36">
        <v>560</v>
      </c>
      <c r="CQ142" s="36">
        <v>10491</v>
      </c>
      <c r="CR142" s="36">
        <v>1763</v>
      </c>
      <c r="CS142" s="36">
        <v>666</v>
      </c>
      <c r="CT142" s="36">
        <v>1896.3188708535367</v>
      </c>
      <c r="CU142" s="36">
        <v>-1036.878567</v>
      </c>
      <c r="CV142" s="36">
        <v>787.62405961925617</v>
      </c>
      <c r="CW142" s="36">
        <v>101</v>
      </c>
      <c r="CX142" s="36">
        <v>2389.7822470916103</v>
      </c>
      <c r="CY142" s="36">
        <v>73.834499719999997</v>
      </c>
      <c r="CZ142" s="36">
        <v>869.69976773247356</v>
      </c>
      <c r="DA142" s="36">
        <v>72</v>
      </c>
      <c r="DB142" s="36">
        <v>967.08057715368841</v>
      </c>
      <c r="DC142" s="36">
        <v>-1611.072148</v>
      </c>
      <c r="DD142" s="36">
        <v>953.793730963229</v>
      </c>
      <c r="DE142" s="36">
        <v>0</v>
      </c>
      <c r="DF142" s="36">
        <v>1637.6458399557332</v>
      </c>
      <c r="DG142" s="36">
        <v>-1828</v>
      </c>
      <c r="DH142" s="36">
        <v>789.47412681033279</v>
      </c>
      <c r="DI142" s="36">
        <v>0</v>
      </c>
      <c r="DJ142" s="36">
        <v>2157</v>
      </c>
      <c r="DK142" s="36">
        <v>-590</v>
      </c>
      <c r="DL142" s="36">
        <v>805</v>
      </c>
      <c r="DM142" s="36">
        <v>0</v>
      </c>
      <c r="DN142" s="36">
        <v>2139</v>
      </c>
      <c r="DO142" s="69">
        <v>-1972</v>
      </c>
      <c r="DP142" s="36">
        <v>832</v>
      </c>
      <c r="DQ142" s="36">
        <v>0</v>
      </c>
      <c r="DR142" s="36">
        <v>2466</v>
      </c>
      <c r="DS142" s="36">
        <v>-2044</v>
      </c>
      <c r="DT142" s="36">
        <v>955</v>
      </c>
      <c r="DU142" s="36">
        <v>0</v>
      </c>
      <c r="DV142" s="36">
        <v>2079</v>
      </c>
      <c r="DW142" s="71">
        <v>-1865</v>
      </c>
      <c r="DX142" s="39">
        <v>1101</v>
      </c>
      <c r="DY142" s="71">
        <v>0</v>
      </c>
      <c r="DZ142" s="70">
        <v>1822</v>
      </c>
      <c r="EA142" s="35">
        <v>-1964</v>
      </c>
      <c r="EB142" s="35">
        <v>1147</v>
      </c>
      <c r="EC142" s="38">
        <v>0</v>
      </c>
      <c r="ED142" s="38">
        <v>3422</v>
      </c>
      <c r="EE142" s="38">
        <v>-1737</v>
      </c>
      <c r="EF142" s="38">
        <v>1181</v>
      </c>
      <c r="EG142" s="73">
        <v>0</v>
      </c>
      <c r="EH142" s="73">
        <v>2733</v>
      </c>
      <c r="EI142" s="73">
        <v>-3895</v>
      </c>
      <c r="EJ142" s="73">
        <v>1238</v>
      </c>
      <c r="EK142" s="73">
        <v>0</v>
      </c>
      <c r="EL142" s="73">
        <v>15635.086019714989</v>
      </c>
      <c r="EM142" s="73">
        <v>200.14363248919813</v>
      </c>
      <c r="EN142" s="73">
        <v>15843.302672674339</v>
      </c>
      <c r="EO142" s="73">
        <v>13.959597896305416</v>
      </c>
      <c r="EP142" s="73">
        <v>16943.419899659082</v>
      </c>
      <c r="EQ142" s="73">
        <v>175.08363144643297</v>
      </c>
      <c r="ER142" s="73">
        <v>17779.986645878638</v>
      </c>
      <c r="ES142" s="73">
        <v>164.31960415289626</v>
      </c>
      <c r="ET142" s="73">
        <v>19115</v>
      </c>
      <c r="EU142" s="73">
        <v>148</v>
      </c>
      <c r="EV142" s="73">
        <v>19596</v>
      </c>
      <c r="EW142" s="73">
        <v>261</v>
      </c>
      <c r="EX142" s="73">
        <v>20049</v>
      </c>
      <c r="EY142" s="73">
        <v>445</v>
      </c>
      <c r="EZ142" s="73">
        <v>21828</v>
      </c>
      <c r="FA142" s="73">
        <v>583</v>
      </c>
      <c r="FB142" s="73">
        <v>23152</v>
      </c>
      <c r="FC142" s="73">
        <v>667</v>
      </c>
      <c r="FD142" s="73">
        <v>23354</v>
      </c>
      <c r="FE142" s="73">
        <v>887</v>
      </c>
      <c r="FF142" s="73">
        <v>26114</v>
      </c>
      <c r="FG142" s="73">
        <v>749</v>
      </c>
      <c r="FH142" s="73">
        <v>9830</v>
      </c>
      <c r="FI142" s="73">
        <v>10581</v>
      </c>
      <c r="FJ142" s="79">
        <v>5179</v>
      </c>
      <c r="FK142" s="80">
        <v>12749</v>
      </c>
      <c r="FL142" s="80">
        <v>9830</v>
      </c>
      <c r="FM142" s="80">
        <v>4999</v>
      </c>
      <c r="FN142" s="76">
        <v>686</v>
      </c>
      <c r="FO142" s="80">
        <v>10659</v>
      </c>
      <c r="FP142" s="80">
        <v>1359</v>
      </c>
      <c r="FQ142" s="80">
        <v>731</v>
      </c>
      <c r="FR142" s="80">
        <v>1425</v>
      </c>
      <c r="FS142" s="81">
        <v>-2553</v>
      </c>
      <c r="FT142" s="76">
        <v>1258</v>
      </c>
      <c r="FU142" s="76">
        <v>0</v>
      </c>
      <c r="FV142" s="76">
        <v>2553</v>
      </c>
      <c r="FW142" s="80">
        <v>26839</v>
      </c>
      <c r="FX142" s="80">
        <v>468</v>
      </c>
      <c r="FY142" s="73">
        <v>5147</v>
      </c>
      <c r="FZ142" s="73">
        <v>13625</v>
      </c>
      <c r="GA142" s="73">
        <v>10655</v>
      </c>
      <c r="GB142" s="73">
        <v>4306</v>
      </c>
      <c r="GC142" s="73">
        <v>633</v>
      </c>
      <c r="GD142" s="73">
        <v>11081</v>
      </c>
      <c r="GE142" s="73">
        <v>1673</v>
      </c>
      <c r="GF142" s="73">
        <v>871</v>
      </c>
      <c r="GG142" s="73">
        <v>2540</v>
      </c>
      <c r="GH142" s="73">
        <v>-1096</v>
      </c>
      <c r="GI142" s="73">
        <v>1374</v>
      </c>
      <c r="GJ142" s="73">
        <v>0</v>
      </c>
      <c r="GK142" s="73">
        <v>1096</v>
      </c>
      <c r="GL142" s="73">
        <v>26679</v>
      </c>
      <c r="GM142" s="73">
        <v>2090</v>
      </c>
      <c r="GN142" s="73">
        <v>13138</v>
      </c>
      <c r="GO142" s="77">
        <v>18</v>
      </c>
      <c r="GP142" s="78">
        <v>5119</v>
      </c>
      <c r="GQ142" s="73">
        <v>13743</v>
      </c>
      <c r="GR142" s="65">
        <v>10590</v>
      </c>
      <c r="GS142" s="65">
        <v>4171</v>
      </c>
      <c r="GT142" s="65">
        <v>731</v>
      </c>
      <c r="GU142" s="65">
        <v>11131</v>
      </c>
      <c r="GV142" s="65">
        <v>1708</v>
      </c>
      <c r="GW142" s="65">
        <v>904</v>
      </c>
      <c r="GX142" s="65">
        <v>1747</v>
      </c>
      <c r="GY142" s="65">
        <v>-1589</v>
      </c>
      <c r="GZ142" s="65">
        <v>1385</v>
      </c>
      <c r="HA142" s="65">
        <v>0</v>
      </c>
      <c r="HB142" s="65">
        <v>1589</v>
      </c>
      <c r="HC142" s="65">
        <v>27488</v>
      </c>
      <c r="HD142" s="65">
        <v>668</v>
      </c>
      <c r="HE142" s="78">
        <v>5022</v>
      </c>
      <c r="HF142" s="73">
        <v>14006</v>
      </c>
      <c r="HG142" s="65">
        <v>11279</v>
      </c>
      <c r="HH142" s="65">
        <v>5094</v>
      </c>
      <c r="HI142" s="65">
        <v>690</v>
      </c>
      <c r="HJ142" s="65">
        <v>11963</v>
      </c>
      <c r="HK142" s="65">
        <v>1139</v>
      </c>
      <c r="HL142" s="65">
        <v>904</v>
      </c>
      <c r="HM142" s="65">
        <v>2302</v>
      </c>
      <c r="HN142" s="65">
        <v>-3320</v>
      </c>
      <c r="HO142" s="65">
        <v>1464</v>
      </c>
      <c r="HP142" s="65">
        <v>0</v>
      </c>
      <c r="HQ142" s="65">
        <v>3320</v>
      </c>
      <c r="HR142" s="65">
        <v>28767</v>
      </c>
      <c r="HS142" s="65">
        <v>1069</v>
      </c>
      <c r="HT142" s="65">
        <v>14938</v>
      </c>
      <c r="HU142" s="77">
        <v>18</v>
      </c>
      <c r="HV142" s="180">
        <v>340</v>
      </c>
      <c r="HW142" s="30" t="s">
        <v>761</v>
      </c>
    </row>
    <row r="143" spans="1:231" ht="15" x14ac:dyDescent="0.25">
      <c r="A143" s="27">
        <v>475</v>
      </c>
      <c r="B143" s="27" t="s">
        <v>271</v>
      </c>
      <c r="C143" s="27">
        <v>15</v>
      </c>
      <c r="D143" s="27" t="s">
        <v>115</v>
      </c>
      <c r="E143" s="27">
        <v>3</v>
      </c>
      <c r="F143" s="27" t="s">
        <v>743</v>
      </c>
      <c r="G143" s="29" t="s">
        <v>130</v>
      </c>
      <c r="H143" s="27" t="s">
        <v>98</v>
      </c>
      <c r="I143" s="31" t="s">
        <v>115</v>
      </c>
      <c r="J143" s="69">
        <v>5750</v>
      </c>
      <c r="K143" s="69">
        <v>5661</v>
      </c>
      <c r="L143" s="36">
        <v>5638</v>
      </c>
      <c r="M143" s="36">
        <v>5602</v>
      </c>
      <c r="N143" s="36">
        <v>5583</v>
      </c>
      <c r="O143" s="36">
        <v>5549</v>
      </c>
      <c r="P143" s="36">
        <v>5554</v>
      </c>
      <c r="Q143" s="36">
        <v>5542</v>
      </c>
      <c r="R143" s="69">
        <v>5519</v>
      </c>
      <c r="S143" s="69">
        <v>5515</v>
      </c>
      <c r="T143" s="71">
        <v>5549</v>
      </c>
      <c r="U143" s="36">
        <v>10896</v>
      </c>
      <c r="V143" s="36">
        <v>6686</v>
      </c>
      <c r="W143" s="36">
        <v>3148</v>
      </c>
      <c r="X143" s="36">
        <v>258.84121882426547</v>
      </c>
      <c r="Y143" s="36">
        <v>10631</v>
      </c>
      <c r="Z143" s="36">
        <v>6682</v>
      </c>
      <c r="AA143" s="36">
        <v>3023</v>
      </c>
      <c r="AB143" s="36">
        <v>343.60793376086701</v>
      </c>
      <c r="AC143" s="36">
        <v>10420</v>
      </c>
      <c r="AD143" s="36">
        <v>7789</v>
      </c>
      <c r="AE143" s="36">
        <v>2917</v>
      </c>
      <c r="AF143" s="36">
        <v>194.0888671365837</v>
      </c>
      <c r="AG143" s="36">
        <v>11902</v>
      </c>
      <c r="AH143" s="36">
        <v>9232</v>
      </c>
      <c r="AI143" s="36">
        <v>3068</v>
      </c>
      <c r="AJ143" s="36">
        <v>199.97544456273661</v>
      </c>
      <c r="AK143" s="36">
        <v>12512</v>
      </c>
      <c r="AL143" s="36">
        <v>9992</v>
      </c>
      <c r="AM143" s="36">
        <v>3119</v>
      </c>
      <c r="AN143" s="36">
        <v>210</v>
      </c>
      <c r="AO143" s="36">
        <v>11463</v>
      </c>
      <c r="AP143" s="36">
        <v>10365</v>
      </c>
      <c r="AQ143" s="36">
        <v>3176</v>
      </c>
      <c r="AR143" s="36">
        <v>252</v>
      </c>
      <c r="AS143" s="36">
        <v>11534</v>
      </c>
      <c r="AT143" s="36">
        <v>10908</v>
      </c>
      <c r="AU143" s="36">
        <v>3206</v>
      </c>
      <c r="AV143" s="36">
        <v>202</v>
      </c>
      <c r="AW143" s="36">
        <v>11835</v>
      </c>
      <c r="AX143" s="69">
        <v>11149</v>
      </c>
      <c r="AY143" s="36">
        <v>3402</v>
      </c>
      <c r="AZ143" s="36">
        <v>184</v>
      </c>
      <c r="BA143" s="36">
        <v>13202</v>
      </c>
      <c r="BB143" s="36">
        <v>11812</v>
      </c>
      <c r="BC143" s="36">
        <v>3710</v>
      </c>
      <c r="BD143" s="36">
        <v>108</v>
      </c>
      <c r="BE143" s="70">
        <v>14468</v>
      </c>
      <c r="BF143" s="70">
        <v>12009</v>
      </c>
      <c r="BG143" s="70">
        <v>3987</v>
      </c>
      <c r="BH143" s="70">
        <v>198</v>
      </c>
      <c r="BI143" s="36">
        <v>15072</v>
      </c>
      <c r="BJ143" s="36">
        <v>13295</v>
      </c>
      <c r="BK143" s="36">
        <v>3923</v>
      </c>
      <c r="BL143" s="36">
        <v>182</v>
      </c>
      <c r="BM143" s="36">
        <v>9023.786818439452</v>
      </c>
      <c r="BN143" s="36">
        <v>1405.2101255859247</v>
      </c>
      <c r="BO143" s="36">
        <v>467.39424763653921</v>
      </c>
      <c r="BP143" s="36">
        <v>8888.0591617850114</v>
      </c>
      <c r="BQ143" s="36">
        <v>1173.9517267013471</v>
      </c>
      <c r="BR143" s="36">
        <v>568.64337936636878</v>
      </c>
      <c r="BS143" s="36">
        <v>8573.2113634490634</v>
      </c>
      <c r="BT143" s="36">
        <v>1244.2542799622586</v>
      </c>
      <c r="BU143" s="36">
        <v>602.61734051159397</v>
      </c>
      <c r="BV143" s="36">
        <v>10351</v>
      </c>
      <c r="BW143" s="36">
        <v>916</v>
      </c>
      <c r="BX143" s="36">
        <v>635</v>
      </c>
      <c r="BY143" s="36">
        <v>11164</v>
      </c>
      <c r="BZ143" s="36">
        <v>746</v>
      </c>
      <c r="CA143" s="36">
        <v>602</v>
      </c>
      <c r="CB143" s="36">
        <v>10492</v>
      </c>
      <c r="CC143" s="36">
        <v>362</v>
      </c>
      <c r="CD143" s="36">
        <v>609</v>
      </c>
      <c r="CE143" s="36">
        <v>10406</v>
      </c>
      <c r="CF143" s="36">
        <v>534</v>
      </c>
      <c r="CG143" s="36">
        <v>594</v>
      </c>
      <c r="CH143" s="36">
        <v>10523</v>
      </c>
      <c r="CI143" s="36">
        <v>681</v>
      </c>
      <c r="CJ143" s="70">
        <v>631</v>
      </c>
      <c r="CK143" s="70">
        <v>11701</v>
      </c>
      <c r="CL143" s="70">
        <v>762</v>
      </c>
      <c r="CM143" s="36">
        <v>739</v>
      </c>
      <c r="CN143" s="36">
        <v>12793</v>
      </c>
      <c r="CO143" s="36">
        <v>897</v>
      </c>
      <c r="CP143" s="36">
        <v>778</v>
      </c>
      <c r="CQ143" s="36">
        <v>13345</v>
      </c>
      <c r="CR143" s="36">
        <v>910</v>
      </c>
      <c r="CS143" s="36">
        <v>817</v>
      </c>
      <c r="CT143" s="36">
        <v>144.80980468336099</v>
      </c>
      <c r="CU143" s="36">
        <v>-697.47533099999998</v>
      </c>
      <c r="CV143" s="36">
        <v>719.67613732880568</v>
      </c>
      <c r="CW143" s="36">
        <v>2679</v>
      </c>
      <c r="CX143" s="36">
        <v>238.15410386949961</v>
      </c>
      <c r="CY143" s="36">
        <v>-461.67585810000003</v>
      </c>
      <c r="CZ143" s="36">
        <v>695.4570759183481</v>
      </c>
      <c r="DA143" s="36">
        <v>3339</v>
      </c>
      <c r="DB143" s="36">
        <v>115.54510547905808</v>
      </c>
      <c r="DC143" s="36">
        <v>-1197.8344119999999</v>
      </c>
      <c r="DD143" s="36">
        <v>703.19372053557765</v>
      </c>
      <c r="DE143" s="36">
        <v>3674</v>
      </c>
      <c r="DF143" s="36">
        <v>1862.6812855612347</v>
      </c>
      <c r="DG143" s="36">
        <v>-807</v>
      </c>
      <c r="DH143" s="36">
        <v>782.57842182541094</v>
      </c>
      <c r="DI143" s="36">
        <v>2426</v>
      </c>
      <c r="DJ143" s="36">
        <v>3307</v>
      </c>
      <c r="DK143" s="36">
        <v>-2150</v>
      </c>
      <c r="DL143" s="36">
        <v>705</v>
      </c>
      <c r="DM143" s="36">
        <v>1681</v>
      </c>
      <c r="DN143" s="36">
        <v>778</v>
      </c>
      <c r="DO143" s="69">
        <v>-4664</v>
      </c>
      <c r="DP143" s="36">
        <v>791</v>
      </c>
      <c r="DQ143" s="36">
        <v>4524</v>
      </c>
      <c r="DR143" s="36">
        <v>668</v>
      </c>
      <c r="DS143" s="36">
        <v>-1503</v>
      </c>
      <c r="DT143" s="36">
        <v>887</v>
      </c>
      <c r="DU143" s="36">
        <v>6150</v>
      </c>
      <c r="DV143" s="36">
        <v>567</v>
      </c>
      <c r="DW143" s="71">
        <v>-3886</v>
      </c>
      <c r="DX143" s="39">
        <v>922</v>
      </c>
      <c r="DY143" s="71">
        <v>8417</v>
      </c>
      <c r="DZ143" s="70">
        <v>1449</v>
      </c>
      <c r="EA143" s="35">
        <v>-2567</v>
      </c>
      <c r="EB143" s="35">
        <v>955</v>
      </c>
      <c r="EC143" s="38">
        <v>10184</v>
      </c>
      <c r="ED143" s="38">
        <v>1918</v>
      </c>
      <c r="EE143" s="38">
        <v>-1873</v>
      </c>
      <c r="EF143" s="38">
        <v>1087</v>
      </c>
      <c r="EG143" s="73">
        <v>9668</v>
      </c>
      <c r="EH143" s="73">
        <v>1728</v>
      </c>
      <c r="EI143" s="73">
        <v>315</v>
      </c>
      <c r="EJ143" s="73">
        <v>1107</v>
      </c>
      <c r="EK143" s="73">
        <v>7300</v>
      </c>
      <c r="EL143" s="73">
        <v>19808.164851078</v>
      </c>
      <c r="EM143" s="73">
        <v>-394.06431169932034</v>
      </c>
      <c r="EN143" s="73">
        <v>19433.442150921754</v>
      </c>
      <c r="EO143" s="73">
        <v>-457.30297204884846</v>
      </c>
      <c r="EP143" s="73">
        <v>20113.762313458566</v>
      </c>
      <c r="EQ143" s="73">
        <v>-587.64861505651959</v>
      </c>
      <c r="ER143" s="73">
        <v>21351.961828068212</v>
      </c>
      <c r="ES143" s="73">
        <v>1073.5435346038248</v>
      </c>
      <c r="ET143" s="73">
        <v>22389</v>
      </c>
      <c r="EU143" s="73">
        <v>1577</v>
      </c>
      <c r="EV143" s="73">
        <v>24372</v>
      </c>
      <c r="EW143" s="73">
        <v>-13</v>
      </c>
      <c r="EX143" s="73">
        <v>25017</v>
      </c>
      <c r="EY143" s="73">
        <v>-213</v>
      </c>
      <c r="EZ143" s="73">
        <v>25865</v>
      </c>
      <c r="FA143" s="73">
        <v>-337</v>
      </c>
      <c r="FB143" s="73">
        <v>27151</v>
      </c>
      <c r="FC143" s="73">
        <v>511</v>
      </c>
      <c r="FD143" s="73">
        <v>28351</v>
      </c>
      <c r="FE143" s="73">
        <v>746</v>
      </c>
      <c r="FF143" s="73">
        <v>30402</v>
      </c>
      <c r="FG143" s="73">
        <v>42</v>
      </c>
      <c r="FH143" s="73">
        <v>2021</v>
      </c>
      <c r="FI143" s="73">
        <v>2063</v>
      </c>
      <c r="FJ143" s="79">
        <v>5614</v>
      </c>
      <c r="FK143" s="80">
        <v>15497</v>
      </c>
      <c r="FL143" s="80">
        <v>14382</v>
      </c>
      <c r="FM143" s="80">
        <v>6385</v>
      </c>
      <c r="FN143" s="76">
        <v>167</v>
      </c>
      <c r="FO143" s="80">
        <v>13966</v>
      </c>
      <c r="FP143" s="80">
        <v>656</v>
      </c>
      <c r="FQ143" s="80">
        <v>875</v>
      </c>
      <c r="FR143" s="80">
        <v>2029</v>
      </c>
      <c r="FS143" s="81">
        <v>-2351</v>
      </c>
      <c r="FT143" s="76">
        <v>1188</v>
      </c>
      <c r="FU143" s="76">
        <v>6698</v>
      </c>
      <c r="FV143" s="76">
        <v>2351</v>
      </c>
      <c r="FW143" s="80">
        <v>34091</v>
      </c>
      <c r="FX143" s="80">
        <v>948</v>
      </c>
      <c r="FY143" s="73">
        <v>5605</v>
      </c>
      <c r="FZ143" s="73">
        <v>15580</v>
      </c>
      <c r="GA143" s="73">
        <v>14643</v>
      </c>
      <c r="GB143" s="73">
        <v>7431</v>
      </c>
      <c r="GC143" s="73">
        <v>58</v>
      </c>
      <c r="GD143" s="73">
        <v>13726</v>
      </c>
      <c r="GE143" s="73">
        <v>824</v>
      </c>
      <c r="GF143" s="73">
        <v>1030</v>
      </c>
      <c r="GG143" s="73">
        <v>1664</v>
      </c>
      <c r="GH143" s="73">
        <v>-3067</v>
      </c>
      <c r="GI143" s="73">
        <v>1216</v>
      </c>
      <c r="GJ143" s="73">
        <v>8796</v>
      </c>
      <c r="GK143" s="73">
        <v>3067</v>
      </c>
      <c r="GL143" s="73">
        <v>35872</v>
      </c>
      <c r="GM143" s="73">
        <v>471</v>
      </c>
      <c r="GN143" s="73">
        <v>3481</v>
      </c>
      <c r="GO143" s="77">
        <v>19.75</v>
      </c>
      <c r="GP143" s="78">
        <v>5614</v>
      </c>
      <c r="GQ143" s="73">
        <v>16013</v>
      </c>
      <c r="GR143" s="65">
        <v>15412</v>
      </c>
      <c r="GS143" s="65">
        <v>8180</v>
      </c>
      <c r="GT143" s="65">
        <v>62</v>
      </c>
      <c r="GU143" s="65">
        <v>14044</v>
      </c>
      <c r="GV143" s="65">
        <v>969</v>
      </c>
      <c r="GW143" s="65">
        <v>1000</v>
      </c>
      <c r="GX143" s="65">
        <v>1486</v>
      </c>
      <c r="GY143" s="65">
        <v>-2555</v>
      </c>
      <c r="GZ143" s="65">
        <v>1331</v>
      </c>
      <c r="HA143" s="65">
        <v>9698</v>
      </c>
      <c r="HB143" s="65">
        <v>2555</v>
      </c>
      <c r="HC143" s="65">
        <v>37983</v>
      </c>
      <c r="HD143" s="65">
        <v>178</v>
      </c>
      <c r="HE143" s="78">
        <v>5586</v>
      </c>
      <c r="HF143" s="73">
        <v>16740</v>
      </c>
      <c r="HG143" s="65">
        <v>16204</v>
      </c>
      <c r="HH143" s="65">
        <v>8463</v>
      </c>
      <c r="HI143" s="65">
        <v>75</v>
      </c>
      <c r="HJ143" s="65">
        <v>15052</v>
      </c>
      <c r="HK143" s="65">
        <v>644</v>
      </c>
      <c r="HL143" s="65">
        <v>1044</v>
      </c>
      <c r="HM143" s="65">
        <v>647</v>
      </c>
      <c r="HN143" s="65">
        <v>-1697</v>
      </c>
      <c r="HO143" s="65">
        <v>1359</v>
      </c>
      <c r="HP143" s="65">
        <v>10104</v>
      </c>
      <c r="HQ143" s="65">
        <v>1697</v>
      </c>
      <c r="HR143" s="65">
        <v>40637</v>
      </c>
      <c r="HS143" s="65">
        <v>-689</v>
      </c>
      <c r="HT143" s="65">
        <v>2971</v>
      </c>
      <c r="HU143" s="77">
        <v>20.25</v>
      </c>
      <c r="HV143" s="180">
        <v>330</v>
      </c>
      <c r="HW143" s="30" t="s">
        <v>760</v>
      </c>
    </row>
    <row r="144" spans="1:231" ht="15" x14ac:dyDescent="0.25">
      <c r="A144" s="27">
        <v>480</v>
      </c>
      <c r="B144" s="27" t="s">
        <v>272</v>
      </c>
      <c r="C144" s="27">
        <v>2</v>
      </c>
      <c r="D144" s="27" t="s">
        <v>122</v>
      </c>
      <c r="E144" s="27">
        <v>2</v>
      </c>
      <c r="F144" s="27" t="s">
        <v>744</v>
      </c>
      <c r="G144" s="29" t="s">
        <v>130</v>
      </c>
      <c r="H144" s="27" t="s">
        <v>98</v>
      </c>
      <c r="I144" s="31" t="s">
        <v>122</v>
      </c>
      <c r="J144" s="69">
        <v>2144</v>
      </c>
      <c r="K144" s="69">
        <v>2123</v>
      </c>
      <c r="L144" s="36">
        <v>2135</v>
      </c>
      <c r="M144" s="36">
        <v>2093</v>
      </c>
      <c r="N144" s="36">
        <v>2102</v>
      </c>
      <c r="O144" s="36">
        <v>2081</v>
      </c>
      <c r="P144" s="36">
        <v>2097</v>
      </c>
      <c r="Q144" s="36">
        <v>2064</v>
      </c>
      <c r="R144" s="69">
        <v>2073</v>
      </c>
      <c r="S144" s="69">
        <v>2035</v>
      </c>
      <c r="T144" s="71">
        <v>2030</v>
      </c>
      <c r="U144" s="36">
        <v>3641</v>
      </c>
      <c r="V144" s="36">
        <v>1320</v>
      </c>
      <c r="W144" s="36">
        <v>1395</v>
      </c>
      <c r="X144" s="36">
        <v>147.16443565382215</v>
      </c>
      <c r="Y144" s="36">
        <v>3628</v>
      </c>
      <c r="Z144" s="36">
        <v>1495</v>
      </c>
      <c r="AA144" s="36">
        <v>1372</v>
      </c>
      <c r="AB144" s="36">
        <v>192.0706120190456</v>
      </c>
      <c r="AC144" s="36">
        <v>3776</v>
      </c>
      <c r="AD144" s="36">
        <v>1549</v>
      </c>
      <c r="AE144" s="36">
        <v>1262</v>
      </c>
      <c r="AF144" s="36">
        <v>139.76416688951568</v>
      </c>
      <c r="AG144" s="36">
        <v>4319</v>
      </c>
      <c r="AH144" s="36">
        <v>2079</v>
      </c>
      <c r="AI144" s="36">
        <v>1359</v>
      </c>
      <c r="AJ144" s="36">
        <v>133.20483775751674</v>
      </c>
      <c r="AK144" s="36">
        <v>3995</v>
      </c>
      <c r="AL144" s="36">
        <v>2017</v>
      </c>
      <c r="AM144" s="36">
        <v>1566</v>
      </c>
      <c r="AN144" s="36">
        <v>63</v>
      </c>
      <c r="AO144" s="36">
        <v>3793</v>
      </c>
      <c r="AP144" s="36">
        <v>2485</v>
      </c>
      <c r="AQ144" s="36">
        <v>1501</v>
      </c>
      <c r="AR144" s="36">
        <v>65</v>
      </c>
      <c r="AS144" s="36">
        <v>3916</v>
      </c>
      <c r="AT144" s="36">
        <v>2475</v>
      </c>
      <c r="AU144" s="36">
        <v>1190</v>
      </c>
      <c r="AV144" s="36">
        <v>61</v>
      </c>
      <c r="AW144" s="36">
        <v>4245</v>
      </c>
      <c r="AX144" s="69">
        <v>2439</v>
      </c>
      <c r="AY144" s="36">
        <v>1329</v>
      </c>
      <c r="AZ144" s="36">
        <v>185</v>
      </c>
      <c r="BA144" s="36">
        <v>4270</v>
      </c>
      <c r="BB144" s="36">
        <v>2488</v>
      </c>
      <c r="BC144" s="36">
        <v>1382</v>
      </c>
      <c r="BD144" s="36">
        <v>36</v>
      </c>
      <c r="BE144" s="70">
        <v>4543</v>
      </c>
      <c r="BF144" s="70">
        <v>2660</v>
      </c>
      <c r="BG144" s="70">
        <v>1478</v>
      </c>
      <c r="BH144" s="70">
        <v>87</v>
      </c>
      <c r="BI144" s="36">
        <v>5173</v>
      </c>
      <c r="BJ144" s="36">
        <v>2928</v>
      </c>
      <c r="BK144" s="36">
        <v>1480</v>
      </c>
      <c r="BL144" s="36">
        <v>37</v>
      </c>
      <c r="BM144" s="36">
        <v>2631.9728611961859</v>
      </c>
      <c r="BN144" s="36">
        <v>943.02970366969237</v>
      </c>
      <c r="BO144" s="36">
        <v>65.761479246450818</v>
      </c>
      <c r="BP144" s="36">
        <v>2832.7892453912305</v>
      </c>
      <c r="BQ144" s="36">
        <v>726.57184231372764</v>
      </c>
      <c r="BR144" s="36">
        <v>68.957049849219516</v>
      </c>
      <c r="BS144" s="36">
        <v>2835.3120642881531</v>
      </c>
      <c r="BT144" s="36">
        <v>837.91224963124796</v>
      </c>
      <c r="BU144" s="36">
        <v>102.59463514152172</v>
      </c>
      <c r="BV144" s="36">
        <v>3586</v>
      </c>
      <c r="BW144" s="36">
        <v>626</v>
      </c>
      <c r="BX144" s="36">
        <v>107</v>
      </c>
      <c r="BY144" s="36">
        <v>3701</v>
      </c>
      <c r="BZ144" s="36">
        <v>181</v>
      </c>
      <c r="CA144" s="36">
        <v>113</v>
      </c>
      <c r="CB144" s="36">
        <v>3499</v>
      </c>
      <c r="CC144" s="36">
        <v>178</v>
      </c>
      <c r="CD144" s="36">
        <v>116</v>
      </c>
      <c r="CE144" s="36">
        <v>3621</v>
      </c>
      <c r="CF144" s="36">
        <v>178</v>
      </c>
      <c r="CG144" s="36">
        <v>117</v>
      </c>
      <c r="CH144" s="36">
        <v>3905</v>
      </c>
      <c r="CI144" s="36">
        <v>218</v>
      </c>
      <c r="CJ144" s="70">
        <v>122</v>
      </c>
      <c r="CK144" s="70">
        <v>3916</v>
      </c>
      <c r="CL144" s="70">
        <v>230</v>
      </c>
      <c r="CM144" s="36">
        <v>124</v>
      </c>
      <c r="CN144" s="36">
        <v>4163</v>
      </c>
      <c r="CO144" s="36">
        <v>247</v>
      </c>
      <c r="CP144" s="36">
        <v>133</v>
      </c>
      <c r="CQ144" s="36">
        <v>4777</v>
      </c>
      <c r="CR144" s="36">
        <v>257</v>
      </c>
      <c r="CS144" s="36">
        <v>139</v>
      </c>
      <c r="CT144" s="36">
        <v>-169.36524194674161</v>
      </c>
      <c r="CU144" s="36">
        <v>-174.74725559999999</v>
      </c>
      <c r="CV144" s="36">
        <v>229.40833169350105</v>
      </c>
      <c r="CW144" s="36">
        <v>669</v>
      </c>
      <c r="CX144" s="36">
        <v>339.73961145225229</v>
      </c>
      <c r="CY144" s="36">
        <v>-295.3379989</v>
      </c>
      <c r="CZ144" s="36">
        <v>247.74081567780576</v>
      </c>
      <c r="DA144" s="36">
        <v>530</v>
      </c>
      <c r="DB144" s="36">
        <v>407.85572166916427</v>
      </c>
      <c r="DC144" s="36">
        <v>-1566.8387230000001</v>
      </c>
      <c r="DD144" s="36">
        <v>242.69517788396041</v>
      </c>
      <c r="DE144" s="36">
        <v>1134</v>
      </c>
      <c r="DF144" s="36">
        <v>1107.3493078225886</v>
      </c>
      <c r="DG144" s="36">
        <v>96</v>
      </c>
      <c r="DH144" s="36">
        <v>271.79168916180186</v>
      </c>
      <c r="DI144" s="36">
        <v>1423</v>
      </c>
      <c r="DJ144" s="36">
        <v>787</v>
      </c>
      <c r="DK144" s="36">
        <v>-82</v>
      </c>
      <c r="DL144" s="36">
        <v>263</v>
      </c>
      <c r="DM144" s="36">
        <v>1269</v>
      </c>
      <c r="DN144" s="36">
        <v>729</v>
      </c>
      <c r="DO144" s="69">
        <v>24</v>
      </c>
      <c r="DP144" s="36">
        <v>318</v>
      </c>
      <c r="DQ144" s="36">
        <v>1093</v>
      </c>
      <c r="DR144" s="36">
        <v>161</v>
      </c>
      <c r="DS144" s="36">
        <v>-174</v>
      </c>
      <c r="DT144" s="36">
        <v>323</v>
      </c>
      <c r="DU144" s="36">
        <v>797</v>
      </c>
      <c r="DV144" s="36">
        <v>482</v>
      </c>
      <c r="DW144" s="71">
        <v>-644</v>
      </c>
      <c r="DX144" s="39">
        <v>299</v>
      </c>
      <c r="DY144" s="71">
        <v>690</v>
      </c>
      <c r="DZ144" s="70">
        <v>248</v>
      </c>
      <c r="EA144" s="35">
        <v>-1130</v>
      </c>
      <c r="EB144" s="35">
        <v>316</v>
      </c>
      <c r="EC144" s="38">
        <v>584</v>
      </c>
      <c r="ED144" s="38">
        <v>520</v>
      </c>
      <c r="EE144" s="38">
        <v>-1291</v>
      </c>
      <c r="EF144" s="38">
        <v>391</v>
      </c>
      <c r="EG144" s="73">
        <v>880</v>
      </c>
      <c r="EH144" s="73">
        <v>593</v>
      </c>
      <c r="EI144" s="73">
        <v>-773</v>
      </c>
      <c r="EJ144" s="73">
        <v>402</v>
      </c>
      <c r="EK144" s="73">
        <v>732</v>
      </c>
      <c r="EL144" s="73">
        <v>6305.5335509685101</v>
      </c>
      <c r="EM144" s="73">
        <v>-398.77357364024266</v>
      </c>
      <c r="EN144" s="73">
        <v>5976.2215909568713</v>
      </c>
      <c r="EO144" s="73">
        <v>91.998795774446535</v>
      </c>
      <c r="EP144" s="73">
        <v>5943.5931332233386</v>
      </c>
      <c r="EQ144" s="73">
        <v>165.16054378520383</v>
      </c>
      <c r="ER144" s="73">
        <v>6345.2259016134267</v>
      </c>
      <c r="ES144" s="73">
        <v>835.55761866078683</v>
      </c>
      <c r="ET144" s="73">
        <v>6773</v>
      </c>
      <c r="EU144" s="73">
        <v>535</v>
      </c>
      <c r="EV144" s="73">
        <v>7076</v>
      </c>
      <c r="EW144" s="73">
        <v>449</v>
      </c>
      <c r="EX144" s="73">
        <v>7455</v>
      </c>
      <c r="EY144" s="73">
        <v>-128</v>
      </c>
      <c r="EZ144" s="73">
        <v>7698</v>
      </c>
      <c r="FA144" s="73">
        <v>209</v>
      </c>
      <c r="FB144" s="73">
        <v>7916</v>
      </c>
      <c r="FC144" s="73">
        <v>-50</v>
      </c>
      <c r="FD144" s="73">
        <v>8215</v>
      </c>
      <c r="FE144" s="73">
        <v>146</v>
      </c>
      <c r="FF144" s="73">
        <v>8994</v>
      </c>
      <c r="FG144" s="73">
        <v>208</v>
      </c>
      <c r="FH144" s="73">
        <v>2928</v>
      </c>
      <c r="FI144" s="73">
        <v>3137</v>
      </c>
      <c r="FJ144" s="79">
        <v>2019</v>
      </c>
      <c r="FK144" s="80">
        <v>5321</v>
      </c>
      <c r="FL144" s="80">
        <v>3308</v>
      </c>
      <c r="FM144" s="80">
        <v>1581</v>
      </c>
      <c r="FN144" s="76">
        <v>20</v>
      </c>
      <c r="FO144" s="80">
        <v>4955</v>
      </c>
      <c r="FP144" s="80">
        <v>204</v>
      </c>
      <c r="FQ144" s="80">
        <v>162</v>
      </c>
      <c r="FR144" s="80">
        <v>519</v>
      </c>
      <c r="FS144" s="81">
        <v>-1235</v>
      </c>
      <c r="FT144" s="76">
        <v>411</v>
      </c>
      <c r="FU144" s="76">
        <v>1185</v>
      </c>
      <c r="FV144" s="76">
        <v>1235</v>
      </c>
      <c r="FW144" s="80">
        <v>9688</v>
      </c>
      <c r="FX144" s="80">
        <v>124</v>
      </c>
      <c r="FY144" s="73">
        <v>1994</v>
      </c>
      <c r="FZ144" s="73">
        <v>5137</v>
      </c>
      <c r="GA144" s="73">
        <v>4007</v>
      </c>
      <c r="GB144" s="73">
        <v>2077</v>
      </c>
      <c r="GC144" s="73">
        <v>19</v>
      </c>
      <c r="GD144" s="73">
        <v>4610</v>
      </c>
      <c r="GE144" s="73">
        <v>334</v>
      </c>
      <c r="GF144" s="73">
        <v>193</v>
      </c>
      <c r="GG144" s="73">
        <v>749</v>
      </c>
      <c r="GH144" s="73">
        <v>87</v>
      </c>
      <c r="GI144" s="73">
        <v>430</v>
      </c>
      <c r="GJ144" s="73">
        <v>931</v>
      </c>
      <c r="GK144" s="73">
        <v>-87</v>
      </c>
      <c r="GL144" s="73">
        <v>10474</v>
      </c>
      <c r="GM144" s="73">
        <v>335</v>
      </c>
      <c r="GN144" s="73">
        <v>3597</v>
      </c>
      <c r="GO144" s="77">
        <v>19.25</v>
      </c>
      <c r="GP144" s="78">
        <v>1998</v>
      </c>
      <c r="GQ144" s="73">
        <v>5398</v>
      </c>
      <c r="GR144" s="65">
        <v>4352</v>
      </c>
      <c r="GS144" s="65">
        <v>1685</v>
      </c>
      <c r="GT144" s="65">
        <v>26</v>
      </c>
      <c r="GU144" s="65">
        <v>4791</v>
      </c>
      <c r="GV144" s="65">
        <v>406</v>
      </c>
      <c r="GW144" s="65">
        <v>201</v>
      </c>
      <c r="GX144" s="65">
        <v>473</v>
      </c>
      <c r="GY144" s="65">
        <v>-1011</v>
      </c>
      <c r="GZ144" s="65">
        <v>447</v>
      </c>
      <c r="HA144" s="65">
        <v>680</v>
      </c>
      <c r="HB144" s="65">
        <v>1011</v>
      </c>
      <c r="HC144" s="65">
        <v>10974</v>
      </c>
      <c r="HD144" s="65">
        <v>42</v>
      </c>
      <c r="HE144" s="78">
        <v>2017</v>
      </c>
      <c r="HF144" s="73">
        <v>5197</v>
      </c>
      <c r="HG144" s="65">
        <v>4205</v>
      </c>
      <c r="HH144" s="65">
        <v>1733</v>
      </c>
      <c r="HI144" s="65">
        <v>19</v>
      </c>
      <c r="HJ144" s="65">
        <v>4809</v>
      </c>
      <c r="HK144" s="65">
        <v>187</v>
      </c>
      <c r="HL144" s="65">
        <v>201</v>
      </c>
      <c r="HM144" s="65">
        <v>-389</v>
      </c>
      <c r="HN144" s="65">
        <v>-785</v>
      </c>
      <c r="HO144" s="65">
        <v>474</v>
      </c>
      <c r="HP144" s="65">
        <v>2282</v>
      </c>
      <c r="HQ144" s="65">
        <v>785</v>
      </c>
      <c r="HR144" s="65">
        <v>11528</v>
      </c>
      <c r="HS144" s="65">
        <v>-847</v>
      </c>
      <c r="HT144" s="65">
        <v>2793</v>
      </c>
      <c r="HU144" s="77">
        <v>19.25</v>
      </c>
      <c r="HV144" s="180">
        <v>330</v>
      </c>
      <c r="HW144" s="30" t="s">
        <v>760</v>
      </c>
    </row>
    <row r="145" spans="1:231" ht="15" x14ac:dyDescent="0.25">
      <c r="A145" s="27">
        <v>481</v>
      </c>
      <c r="B145" s="27" t="s">
        <v>273</v>
      </c>
      <c r="C145" s="27">
        <v>2</v>
      </c>
      <c r="D145" s="27" t="s">
        <v>122</v>
      </c>
      <c r="E145" s="27">
        <v>3</v>
      </c>
      <c r="F145" s="27" t="s">
        <v>743</v>
      </c>
      <c r="G145" s="29" t="s">
        <v>132</v>
      </c>
      <c r="H145" s="27" t="s">
        <v>99</v>
      </c>
      <c r="I145" s="31" t="s">
        <v>122</v>
      </c>
      <c r="J145" s="69">
        <v>7462</v>
      </c>
      <c r="K145" s="69">
        <v>7589</v>
      </c>
      <c r="L145" s="36">
        <v>7763</v>
      </c>
      <c r="M145" s="36">
        <v>7928</v>
      </c>
      <c r="N145" s="36">
        <v>8100</v>
      </c>
      <c r="O145" s="36">
        <v>8264</v>
      </c>
      <c r="P145" s="36">
        <v>8410</v>
      </c>
      <c r="Q145" s="36">
        <v>8606</v>
      </c>
      <c r="R145" s="69">
        <v>8779</v>
      </c>
      <c r="S145" s="69">
        <v>9093</v>
      </c>
      <c r="T145" s="71">
        <v>9383</v>
      </c>
      <c r="U145" s="36">
        <v>15470</v>
      </c>
      <c r="V145" s="36">
        <v>1685</v>
      </c>
      <c r="W145" s="36">
        <v>2295</v>
      </c>
      <c r="X145" s="36">
        <v>657.78298039096967</v>
      </c>
      <c r="Y145" s="36">
        <v>15852</v>
      </c>
      <c r="Z145" s="36">
        <v>1735</v>
      </c>
      <c r="AA145" s="36">
        <v>2304</v>
      </c>
      <c r="AB145" s="36">
        <v>497.33169854668813</v>
      </c>
      <c r="AC145" s="36">
        <v>15366</v>
      </c>
      <c r="AD145" s="36">
        <v>2410</v>
      </c>
      <c r="AE145" s="36">
        <v>2530</v>
      </c>
      <c r="AF145" s="36">
        <v>705.54835150603867</v>
      </c>
      <c r="AG145" s="36">
        <v>17520</v>
      </c>
      <c r="AH145" s="36">
        <v>3156</v>
      </c>
      <c r="AI145" s="36">
        <v>2689</v>
      </c>
      <c r="AJ145" s="36">
        <v>678.47009534573544</v>
      </c>
      <c r="AK145" s="36">
        <v>19021</v>
      </c>
      <c r="AL145" s="36">
        <v>3657</v>
      </c>
      <c r="AM145" s="36">
        <v>2699</v>
      </c>
      <c r="AN145" s="36">
        <v>557</v>
      </c>
      <c r="AO145" s="36">
        <v>18052</v>
      </c>
      <c r="AP145" s="36">
        <v>4105</v>
      </c>
      <c r="AQ145" s="36">
        <v>2754</v>
      </c>
      <c r="AR145" s="36">
        <v>743</v>
      </c>
      <c r="AS145" s="36">
        <v>18768</v>
      </c>
      <c r="AT145" s="36">
        <v>4922</v>
      </c>
      <c r="AU145" s="36">
        <v>3799</v>
      </c>
      <c r="AV145" s="36">
        <v>302</v>
      </c>
      <c r="AW145" s="36">
        <v>20039</v>
      </c>
      <c r="AX145" s="69">
        <v>5415</v>
      </c>
      <c r="AY145" s="36">
        <v>4280</v>
      </c>
      <c r="AZ145" s="36">
        <v>495</v>
      </c>
      <c r="BA145" s="36">
        <v>22088</v>
      </c>
      <c r="BB145" s="36">
        <v>5591</v>
      </c>
      <c r="BC145" s="36">
        <v>4884</v>
      </c>
      <c r="BD145" s="36">
        <v>180</v>
      </c>
      <c r="BE145" s="70">
        <v>23558</v>
      </c>
      <c r="BF145" s="70">
        <v>6338</v>
      </c>
      <c r="BG145" s="70">
        <v>4820</v>
      </c>
      <c r="BH145" s="70">
        <v>371</v>
      </c>
      <c r="BI145" s="36">
        <v>26247</v>
      </c>
      <c r="BJ145" s="36">
        <v>7461</v>
      </c>
      <c r="BK145" s="36">
        <v>4698</v>
      </c>
      <c r="BL145" s="36">
        <v>163</v>
      </c>
      <c r="BM145" s="36">
        <v>13266.159075504605</v>
      </c>
      <c r="BN145" s="36">
        <v>1802.3018199615522</v>
      </c>
      <c r="BO145" s="36">
        <v>393.22337206701275</v>
      </c>
      <c r="BP145" s="36">
        <v>13640.71358773439</v>
      </c>
      <c r="BQ145" s="36">
        <v>1795.5743029030918</v>
      </c>
      <c r="BR145" s="36">
        <v>408.52847337501032</v>
      </c>
      <c r="BS145" s="36">
        <v>13302.31947969383</v>
      </c>
      <c r="BT145" s="36">
        <v>1521.7643586237518</v>
      </c>
      <c r="BU145" s="36">
        <v>534.83760614760513</v>
      </c>
      <c r="BV145" s="36">
        <v>15610</v>
      </c>
      <c r="BW145" s="36">
        <v>1312</v>
      </c>
      <c r="BX145" s="36">
        <v>590</v>
      </c>
      <c r="BY145" s="36">
        <v>17251</v>
      </c>
      <c r="BZ145" s="36">
        <v>1116</v>
      </c>
      <c r="CA145" s="36">
        <v>647</v>
      </c>
      <c r="CB145" s="36">
        <v>16839</v>
      </c>
      <c r="CC145" s="36">
        <v>546</v>
      </c>
      <c r="CD145" s="36">
        <v>661</v>
      </c>
      <c r="CE145" s="36">
        <v>17306</v>
      </c>
      <c r="CF145" s="36">
        <v>770</v>
      </c>
      <c r="CG145" s="36">
        <v>686</v>
      </c>
      <c r="CH145" s="36">
        <v>18419</v>
      </c>
      <c r="CI145" s="36">
        <v>876</v>
      </c>
      <c r="CJ145" s="70">
        <v>737</v>
      </c>
      <c r="CK145" s="70">
        <v>20380</v>
      </c>
      <c r="CL145" s="70">
        <v>898</v>
      </c>
      <c r="CM145" s="36">
        <v>804</v>
      </c>
      <c r="CN145" s="36">
        <v>21584</v>
      </c>
      <c r="CO145" s="36">
        <v>1095</v>
      </c>
      <c r="CP145" s="36">
        <v>875</v>
      </c>
      <c r="CQ145" s="36">
        <v>24076</v>
      </c>
      <c r="CR145" s="36">
        <v>1226</v>
      </c>
      <c r="CS145" s="36">
        <v>942</v>
      </c>
      <c r="CT145" s="36">
        <v>2338.8213053737722</v>
      </c>
      <c r="CU145" s="36">
        <v>-2815.12951307</v>
      </c>
      <c r="CV145" s="36">
        <v>959.00755668353588</v>
      </c>
      <c r="CW145" s="36">
        <v>1946</v>
      </c>
      <c r="CX145" s="36">
        <v>971.28527531522616</v>
      </c>
      <c r="CY145" s="36">
        <v>-2416.8605029299997</v>
      </c>
      <c r="CZ145" s="36">
        <v>1017.032391312757</v>
      </c>
      <c r="DA145" s="36">
        <v>3012</v>
      </c>
      <c r="DB145" s="36">
        <v>-28.255571645533855</v>
      </c>
      <c r="DC145" s="36">
        <v>-1888.7504140000001</v>
      </c>
      <c r="DD145" s="36">
        <v>1036.5421907822924</v>
      </c>
      <c r="DE145" s="36">
        <v>3609</v>
      </c>
      <c r="DF145" s="36">
        <v>1512.0094588889842</v>
      </c>
      <c r="DG145" s="36">
        <v>-1864</v>
      </c>
      <c r="DH145" s="36">
        <v>1114.4132007339722</v>
      </c>
      <c r="DI145" s="36">
        <v>3040</v>
      </c>
      <c r="DJ145" s="36">
        <v>2538</v>
      </c>
      <c r="DK145" s="36">
        <v>-1645</v>
      </c>
      <c r="DL145" s="36">
        <v>1151</v>
      </c>
      <c r="DM145" s="36">
        <v>3288</v>
      </c>
      <c r="DN145" s="36">
        <v>578</v>
      </c>
      <c r="DO145" s="69">
        <v>-1840</v>
      </c>
      <c r="DP145" s="36">
        <v>1175</v>
      </c>
      <c r="DQ145" s="36">
        <v>3131</v>
      </c>
      <c r="DR145" s="36">
        <v>90</v>
      </c>
      <c r="DS145" s="36">
        <v>-2149</v>
      </c>
      <c r="DT145" s="36">
        <v>1231</v>
      </c>
      <c r="DU145" s="36">
        <v>4304</v>
      </c>
      <c r="DV145" s="36">
        <v>447</v>
      </c>
      <c r="DW145" s="71">
        <v>-283</v>
      </c>
      <c r="DX145" s="39">
        <v>1270</v>
      </c>
      <c r="DY145" s="71">
        <v>4644</v>
      </c>
      <c r="DZ145" s="70">
        <v>962</v>
      </c>
      <c r="EA145" s="35">
        <v>-1762</v>
      </c>
      <c r="EB145" s="35">
        <v>1285</v>
      </c>
      <c r="EC145" s="38">
        <v>5840</v>
      </c>
      <c r="ED145" s="38">
        <v>849</v>
      </c>
      <c r="EE145" s="38">
        <v>-4373</v>
      </c>
      <c r="EF145" s="38">
        <v>1422</v>
      </c>
      <c r="EG145" s="73">
        <v>9661</v>
      </c>
      <c r="EH145" s="73">
        <v>-250</v>
      </c>
      <c r="EI145" s="73">
        <v>-5082</v>
      </c>
      <c r="EJ145" s="73">
        <v>1566</v>
      </c>
      <c r="EK145" s="73">
        <v>15579</v>
      </c>
      <c r="EL145" s="73">
        <v>16510.840552800077</v>
      </c>
      <c r="EM145" s="73">
        <v>1567.0069108418984</v>
      </c>
      <c r="EN145" s="73">
        <v>18118.212565992737</v>
      </c>
      <c r="EO145" s="73">
        <v>32.292081880610127</v>
      </c>
      <c r="EP145" s="73">
        <v>19655.786589703872</v>
      </c>
      <c r="EQ145" s="73">
        <v>-431.06565552085277</v>
      </c>
      <c r="ER145" s="73">
        <v>21035.768526320568</v>
      </c>
      <c r="ES145" s="73">
        <v>342.93518205502096</v>
      </c>
      <c r="ET145" s="73">
        <v>23206</v>
      </c>
      <c r="EU145" s="73">
        <v>1364</v>
      </c>
      <c r="EV145" s="73">
        <v>24918</v>
      </c>
      <c r="EW145" s="73">
        <v>-510</v>
      </c>
      <c r="EX145" s="73">
        <v>27486</v>
      </c>
      <c r="EY145" s="73">
        <v>-1011</v>
      </c>
      <c r="EZ145" s="73">
        <v>29290</v>
      </c>
      <c r="FA145" s="73">
        <v>-440</v>
      </c>
      <c r="FB145" s="73">
        <v>31629</v>
      </c>
      <c r="FC145" s="73">
        <v>-211</v>
      </c>
      <c r="FD145" s="73">
        <v>33840</v>
      </c>
      <c r="FE145" s="73">
        <v>-407</v>
      </c>
      <c r="FF145" s="73">
        <v>38323</v>
      </c>
      <c r="FG145" s="73">
        <v>-1819</v>
      </c>
      <c r="FH145" s="73">
        <v>2539</v>
      </c>
      <c r="FI145" s="73">
        <v>721</v>
      </c>
      <c r="FJ145" s="79">
        <v>9516</v>
      </c>
      <c r="FK145" s="80">
        <v>26113</v>
      </c>
      <c r="FL145" s="80">
        <v>7481</v>
      </c>
      <c r="FM145" s="80">
        <v>6769</v>
      </c>
      <c r="FN145" s="76">
        <v>93</v>
      </c>
      <c r="FO145" s="80">
        <v>23839</v>
      </c>
      <c r="FP145" s="80">
        <v>1130</v>
      </c>
      <c r="FQ145" s="80">
        <v>1144</v>
      </c>
      <c r="FR145" s="80">
        <v>-254</v>
      </c>
      <c r="FS145" s="81">
        <v>-5007</v>
      </c>
      <c r="FT145" s="76">
        <v>1724</v>
      </c>
      <c r="FU145" s="76">
        <v>21209</v>
      </c>
      <c r="FV145" s="76">
        <v>5007</v>
      </c>
      <c r="FW145" s="80">
        <v>40278</v>
      </c>
      <c r="FX145" s="80">
        <v>-1892</v>
      </c>
      <c r="FY145" s="73">
        <v>9636</v>
      </c>
      <c r="FZ145" s="73">
        <v>28946</v>
      </c>
      <c r="GA145" s="73">
        <v>9002</v>
      </c>
      <c r="GB145" s="73">
        <v>10053</v>
      </c>
      <c r="GC145" s="73">
        <v>105</v>
      </c>
      <c r="GD145" s="73">
        <v>26124</v>
      </c>
      <c r="GE145" s="73">
        <v>1497</v>
      </c>
      <c r="GF145" s="73">
        <v>1325</v>
      </c>
      <c r="GG145" s="73">
        <v>5120</v>
      </c>
      <c r="GH145" s="73">
        <v>-6171</v>
      </c>
      <c r="GI145" s="73">
        <v>2025</v>
      </c>
      <c r="GJ145" s="73">
        <v>24459</v>
      </c>
      <c r="GK145" s="73">
        <v>6171</v>
      </c>
      <c r="GL145" s="73">
        <v>42674</v>
      </c>
      <c r="GM145" s="73">
        <v>3181</v>
      </c>
      <c r="GN145" s="73">
        <v>2009</v>
      </c>
      <c r="GO145" s="77">
        <v>17.5</v>
      </c>
      <c r="GP145" s="78">
        <v>9585</v>
      </c>
      <c r="GQ145" s="73">
        <v>29781</v>
      </c>
      <c r="GR145" s="65">
        <v>9059</v>
      </c>
      <c r="GS145" s="65">
        <v>8853</v>
      </c>
      <c r="GT145" s="65">
        <v>472</v>
      </c>
      <c r="GU145" s="65">
        <v>26639</v>
      </c>
      <c r="GV145" s="65">
        <v>1730</v>
      </c>
      <c r="GW145" s="65">
        <v>1412</v>
      </c>
      <c r="GX145" s="65">
        <v>1668</v>
      </c>
      <c r="GY145" s="65">
        <v>-4721</v>
      </c>
      <c r="GZ145" s="65">
        <v>2307</v>
      </c>
      <c r="HA145" s="65">
        <v>28192</v>
      </c>
      <c r="HB145" s="65">
        <v>4721</v>
      </c>
      <c r="HC145" s="65">
        <v>45657</v>
      </c>
      <c r="HD145" s="65">
        <v>-258</v>
      </c>
      <c r="HE145" s="78">
        <v>9671</v>
      </c>
      <c r="HF145" s="73">
        <v>32957</v>
      </c>
      <c r="HG145" s="65">
        <v>8935</v>
      </c>
      <c r="HH145" s="65">
        <v>8162</v>
      </c>
      <c r="HI145" s="65">
        <v>131</v>
      </c>
      <c r="HJ145" s="65">
        <v>30042</v>
      </c>
      <c r="HK145" s="65">
        <v>1293</v>
      </c>
      <c r="HL145" s="65">
        <v>1622</v>
      </c>
      <c r="HM145" s="65">
        <v>-345</v>
      </c>
      <c r="HN145" s="65">
        <v>-790</v>
      </c>
      <c r="HO145" s="65">
        <v>2315</v>
      </c>
      <c r="HP145" s="65">
        <v>28998</v>
      </c>
      <c r="HQ145" s="65">
        <v>790</v>
      </c>
      <c r="HR145" s="65">
        <v>50180</v>
      </c>
      <c r="HS145" s="65">
        <v>-2562</v>
      </c>
      <c r="HT145" s="65">
        <v>-812</v>
      </c>
      <c r="HU145" s="77">
        <v>18.5</v>
      </c>
      <c r="HV145" s="180">
        <v>230</v>
      </c>
      <c r="HW145" s="30" t="s">
        <v>756</v>
      </c>
    </row>
    <row r="146" spans="1:231" ht="15" x14ac:dyDescent="0.25">
      <c r="A146" s="27">
        <v>483</v>
      </c>
      <c r="B146" s="27" t="s">
        <v>274</v>
      </c>
      <c r="C146" s="27">
        <v>17</v>
      </c>
      <c r="D146" s="27" t="s">
        <v>117</v>
      </c>
      <c r="E146" s="27">
        <v>1</v>
      </c>
      <c r="F146" s="27" t="s">
        <v>103</v>
      </c>
      <c r="G146" s="29" t="s">
        <v>130</v>
      </c>
      <c r="H146" s="27" t="s">
        <v>98</v>
      </c>
      <c r="I146" s="31" t="s">
        <v>117</v>
      </c>
      <c r="J146" s="69">
        <v>1413</v>
      </c>
      <c r="K146" s="69">
        <v>1398</v>
      </c>
      <c r="L146" s="36">
        <v>1370</v>
      </c>
      <c r="M146" s="36">
        <v>1339</v>
      </c>
      <c r="N146" s="36">
        <v>1336</v>
      </c>
      <c r="O146" s="36">
        <v>1312</v>
      </c>
      <c r="P146" s="36">
        <v>1303</v>
      </c>
      <c r="Q146" s="36">
        <v>1273</v>
      </c>
      <c r="R146" s="69">
        <v>1264</v>
      </c>
      <c r="S146" s="69">
        <v>1239</v>
      </c>
      <c r="T146" s="71">
        <v>1187</v>
      </c>
      <c r="U146" s="36">
        <v>1897</v>
      </c>
      <c r="V146" s="36">
        <v>2260</v>
      </c>
      <c r="W146" s="36">
        <v>868</v>
      </c>
      <c r="X146" s="36">
        <v>84.262151157217019</v>
      </c>
      <c r="Y146" s="36">
        <v>1748</v>
      </c>
      <c r="Z146" s="36">
        <v>2356</v>
      </c>
      <c r="AA146" s="36">
        <v>849</v>
      </c>
      <c r="AB146" s="36">
        <v>297.86081776333606</v>
      </c>
      <c r="AC146" s="36">
        <v>1730</v>
      </c>
      <c r="AD146" s="36">
        <v>2474</v>
      </c>
      <c r="AE146" s="36">
        <v>948</v>
      </c>
      <c r="AF146" s="36">
        <v>216.12148550304167</v>
      </c>
      <c r="AG146" s="36">
        <v>1856</v>
      </c>
      <c r="AH146" s="36">
        <v>2867</v>
      </c>
      <c r="AI146" s="36">
        <v>661</v>
      </c>
      <c r="AJ146" s="36">
        <v>68.957049849219516</v>
      </c>
      <c r="AK146" s="36">
        <v>1973</v>
      </c>
      <c r="AL146" s="36">
        <v>3181</v>
      </c>
      <c r="AM146" s="36">
        <v>721</v>
      </c>
      <c r="AN146" s="36">
        <v>4</v>
      </c>
      <c r="AO146" s="36">
        <v>1783</v>
      </c>
      <c r="AP146" s="36">
        <v>3092</v>
      </c>
      <c r="AQ146" s="36">
        <v>851</v>
      </c>
      <c r="AR146" s="36">
        <v>125</v>
      </c>
      <c r="AS146" s="36">
        <v>2003</v>
      </c>
      <c r="AT146" s="36">
        <v>3119</v>
      </c>
      <c r="AU146" s="36">
        <v>725</v>
      </c>
      <c r="AV146" s="36">
        <v>128</v>
      </c>
      <c r="AW146" s="36">
        <v>2022</v>
      </c>
      <c r="AX146" s="69">
        <v>3058</v>
      </c>
      <c r="AY146" s="36">
        <v>699</v>
      </c>
      <c r="AZ146" s="36">
        <v>236</v>
      </c>
      <c r="BA146" s="36">
        <v>2113</v>
      </c>
      <c r="BB146" s="36">
        <v>3089</v>
      </c>
      <c r="BC146" s="36">
        <v>761</v>
      </c>
      <c r="BD146" s="36">
        <v>213</v>
      </c>
      <c r="BE146" s="70">
        <v>2214</v>
      </c>
      <c r="BF146" s="70">
        <v>3156</v>
      </c>
      <c r="BG146" s="70">
        <v>854</v>
      </c>
      <c r="BH146" s="70">
        <v>165</v>
      </c>
      <c r="BI146" s="36">
        <v>2345</v>
      </c>
      <c r="BJ146" s="36">
        <v>3439</v>
      </c>
      <c r="BK146" s="36">
        <v>769</v>
      </c>
      <c r="BL146" s="36">
        <v>12</v>
      </c>
      <c r="BM146" s="36">
        <v>1534.8830168877498</v>
      </c>
      <c r="BN146" s="36">
        <v>322.58444295317815</v>
      </c>
      <c r="BO146" s="36">
        <v>37.674095527378469</v>
      </c>
      <c r="BP146" s="36">
        <v>1463.9077119209919</v>
      </c>
      <c r="BQ146" s="36">
        <v>235.46309704611548</v>
      </c>
      <c r="BR146" s="36">
        <v>47.092619409223083</v>
      </c>
      <c r="BS146" s="36">
        <v>1423.5426095702292</v>
      </c>
      <c r="BT146" s="36">
        <v>251.77732591288202</v>
      </c>
      <c r="BU146" s="36">
        <v>53.147384761837486</v>
      </c>
      <c r="BV146" s="36">
        <v>1657</v>
      </c>
      <c r="BW146" s="36">
        <v>141</v>
      </c>
      <c r="BX146" s="36">
        <v>55</v>
      </c>
      <c r="BY146" s="36">
        <v>1813</v>
      </c>
      <c r="BZ146" s="36">
        <v>102</v>
      </c>
      <c r="CA146" s="36">
        <v>57</v>
      </c>
      <c r="CB146" s="36">
        <v>1677</v>
      </c>
      <c r="CC146" s="36">
        <v>46</v>
      </c>
      <c r="CD146" s="36">
        <v>60</v>
      </c>
      <c r="CE146" s="36">
        <v>1843</v>
      </c>
      <c r="CF146" s="36">
        <v>98</v>
      </c>
      <c r="CG146" s="36">
        <v>62</v>
      </c>
      <c r="CH146" s="36">
        <v>1765</v>
      </c>
      <c r="CI146" s="36">
        <v>190</v>
      </c>
      <c r="CJ146" s="70">
        <v>67</v>
      </c>
      <c r="CK146" s="70">
        <v>1812</v>
      </c>
      <c r="CL146" s="70">
        <v>234</v>
      </c>
      <c r="CM146" s="36">
        <v>67</v>
      </c>
      <c r="CN146" s="36">
        <v>1949</v>
      </c>
      <c r="CO146" s="36">
        <v>192</v>
      </c>
      <c r="CP146" s="36">
        <v>73</v>
      </c>
      <c r="CQ146" s="36">
        <v>2145</v>
      </c>
      <c r="CR146" s="36">
        <v>120</v>
      </c>
      <c r="CS146" s="36">
        <v>80</v>
      </c>
      <c r="CT146" s="36">
        <v>195.77074640119883</v>
      </c>
      <c r="CU146" s="36">
        <v>-560.73854679999999</v>
      </c>
      <c r="CV146" s="36">
        <v>172.05624877012579</v>
      </c>
      <c r="CW146" s="36">
        <v>1074</v>
      </c>
      <c r="CX146" s="36">
        <v>237.6495400901151</v>
      </c>
      <c r="CY146" s="36">
        <v>3016.9550250000002</v>
      </c>
      <c r="CZ146" s="36">
        <v>198.96631700396753</v>
      </c>
      <c r="DA146" s="36">
        <v>1071</v>
      </c>
      <c r="DB146" s="36">
        <v>-175.08363144643297</v>
      </c>
      <c r="DC146" s="36">
        <v>-1101.7991059999999</v>
      </c>
      <c r="DD146" s="36">
        <v>203.33920309196679</v>
      </c>
      <c r="DE146" s="36">
        <v>1635</v>
      </c>
      <c r="DF146" s="36">
        <v>-32.964833586456159</v>
      </c>
      <c r="DG146" s="36">
        <v>-1377</v>
      </c>
      <c r="DH146" s="36">
        <v>230.92202303165465</v>
      </c>
      <c r="DI146" s="36">
        <v>2524</v>
      </c>
      <c r="DJ146" s="36">
        <v>364</v>
      </c>
      <c r="DK146" s="36">
        <v>-455</v>
      </c>
      <c r="DL146" s="36">
        <v>260</v>
      </c>
      <c r="DM146" s="36">
        <v>2316</v>
      </c>
      <c r="DN146" s="36">
        <v>91</v>
      </c>
      <c r="DO146" s="69">
        <v>-325</v>
      </c>
      <c r="DP146" s="36">
        <v>274</v>
      </c>
      <c r="DQ146" s="36">
        <v>2505</v>
      </c>
      <c r="DR146" s="36">
        <v>98</v>
      </c>
      <c r="DS146" s="36">
        <v>13</v>
      </c>
      <c r="DT146" s="36">
        <v>276</v>
      </c>
      <c r="DU146" s="36">
        <v>2373</v>
      </c>
      <c r="DV146" s="36">
        <v>230</v>
      </c>
      <c r="DW146" s="71">
        <v>-1047</v>
      </c>
      <c r="DX146" s="39">
        <v>268</v>
      </c>
      <c r="DY146" s="71">
        <v>2919</v>
      </c>
      <c r="DZ146" s="70">
        <v>177</v>
      </c>
      <c r="EA146" s="35">
        <v>-392</v>
      </c>
      <c r="EB146" s="35">
        <v>278</v>
      </c>
      <c r="EC146" s="38">
        <v>3014</v>
      </c>
      <c r="ED146" s="38">
        <v>34</v>
      </c>
      <c r="EE146" s="38">
        <v>-417</v>
      </c>
      <c r="EF146" s="38">
        <v>302</v>
      </c>
      <c r="EG146" s="73">
        <v>3450</v>
      </c>
      <c r="EH146" s="73">
        <v>25</v>
      </c>
      <c r="EI146" s="73">
        <v>-394</v>
      </c>
      <c r="EJ146" s="73">
        <v>347</v>
      </c>
      <c r="EK146" s="73">
        <v>3487</v>
      </c>
      <c r="EL146" s="73">
        <v>4639.8003272937049</v>
      </c>
      <c r="EM146" s="73">
        <v>111.50859524398182</v>
      </c>
      <c r="EN146" s="73">
        <v>4749.6270432730716</v>
      </c>
      <c r="EO146" s="73">
        <v>3179.7609376813275</v>
      </c>
      <c r="EP146" s="73">
        <v>5264.618474098218</v>
      </c>
      <c r="EQ146" s="73">
        <v>-378.4228345383998</v>
      </c>
      <c r="ER146" s="73">
        <v>5151.9325633690059</v>
      </c>
      <c r="ES146" s="73">
        <v>-263.88685661811081</v>
      </c>
      <c r="ET146" s="73">
        <v>5248</v>
      </c>
      <c r="EU146" s="73">
        <v>104</v>
      </c>
      <c r="EV146" s="73">
        <v>5667</v>
      </c>
      <c r="EW146" s="73">
        <v>-241</v>
      </c>
      <c r="EX146" s="73">
        <v>5776</v>
      </c>
      <c r="EY146" s="73">
        <v>-178</v>
      </c>
      <c r="EZ146" s="73">
        <v>5713</v>
      </c>
      <c r="FA146" s="73">
        <v>-38</v>
      </c>
      <c r="FB146" s="73">
        <v>5900</v>
      </c>
      <c r="FC146" s="73">
        <v>-101</v>
      </c>
      <c r="FD146" s="73">
        <v>6186</v>
      </c>
      <c r="FE146" s="73">
        <v>-268</v>
      </c>
      <c r="FF146" s="73">
        <v>6441</v>
      </c>
      <c r="FG146" s="73">
        <v>-322</v>
      </c>
      <c r="FH146" s="73">
        <v>2819</v>
      </c>
      <c r="FI146" s="73">
        <v>2497</v>
      </c>
      <c r="FJ146" s="79">
        <v>1209</v>
      </c>
      <c r="FK146" s="80">
        <v>2216</v>
      </c>
      <c r="FL146" s="80">
        <v>3920</v>
      </c>
      <c r="FM146" s="80">
        <v>1131</v>
      </c>
      <c r="FN146" s="76">
        <v>0</v>
      </c>
      <c r="FO146" s="80">
        <v>2054</v>
      </c>
      <c r="FP146" s="80">
        <v>78</v>
      </c>
      <c r="FQ146" s="80">
        <v>84</v>
      </c>
      <c r="FR146" s="80">
        <v>102</v>
      </c>
      <c r="FS146" s="81">
        <v>-183</v>
      </c>
      <c r="FT146" s="76">
        <v>327</v>
      </c>
      <c r="FU146" s="76">
        <v>3394</v>
      </c>
      <c r="FV146" s="76">
        <v>183</v>
      </c>
      <c r="FW146" s="80">
        <v>7049</v>
      </c>
      <c r="FX146" s="80">
        <v>-225</v>
      </c>
      <c r="FY146" s="73">
        <v>1202</v>
      </c>
      <c r="FZ146" s="73">
        <v>2343</v>
      </c>
      <c r="GA146" s="73">
        <v>3996</v>
      </c>
      <c r="GB146" s="73">
        <v>1296</v>
      </c>
      <c r="GC146" s="73">
        <v>79</v>
      </c>
      <c r="GD146" s="73">
        <v>2122</v>
      </c>
      <c r="GE146" s="73">
        <v>109</v>
      </c>
      <c r="GF146" s="73">
        <v>112</v>
      </c>
      <c r="GG146" s="73">
        <v>341</v>
      </c>
      <c r="GH146" s="73">
        <v>-22</v>
      </c>
      <c r="GI146" s="73">
        <v>322</v>
      </c>
      <c r="GJ146" s="73">
        <v>3335</v>
      </c>
      <c r="GK146" s="73">
        <v>22</v>
      </c>
      <c r="GL146" s="73">
        <v>7292</v>
      </c>
      <c r="GM146" s="73">
        <v>19</v>
      </c>
      <c r="GN146" s="73">
        <v>2291</v>
      </c>
      <c r="GO146" s="77">
        <v>20</v>
      </c>
      <c r="GP146" s="78">
        <v>1199</v>
      </c>
      <c r="GQ146" s="73">
        <v>2487</v>
      </c>
      <c r="GR146" s="65">
        <v>3956</v>
      </c>
      <c r="GS146" s="65">
        <v>1387</v>
      </c>
      <c r="GT146" s="65">
        <v>78</v>
      </c>
      <c r="GU146" s="65">
        <v>2258</v>
      </c>
      <c r="GV146" s="65">
        <v>117</v>
      </c>
      <c r="GW146" s="65">
        <v>112</v>
      </c>
      <c r="GX146" s="65">
        <v>491</v>
      </c>
      <c r="GY146" s="65">
        <v>-297</v>
      </c>
      <c r="GZ146" s="65">
        <v>341</v>
      </c>
      <c r="HA146" s="65">
        <v>3218</v>
      </c>
      <c r="HB146" s="65">
        <v>297</v>
      </c>
      <c r="HC146" s="65">
        <v>7333</v>
      </c>
      <c r="HD146" s="65">
        <v>150</v>
      </c>
      <c r="HE146" s="78">
        <v>1176</v>
      </c>
      <c r="HF146" s="73">
        <v>2406</v>
      </c>
      <c r="HG146" s="65">
        <v>4049</v>
      </c>
      <c r="HH146" s="65">
        <v>1472</v>
      </c>
      <c r="HI146" s="65">
        <v>83</v>
      </c>
      <c r="HJ146" s="65">
        <v>2226</v>
      </c>
      <c r="HK146" s="65">
        <v>67</v>
      </c>
      <c r="HL146" s="65">
        <v>113</v>
      </c>
      <c r="HM146" s="65">
        <v>489</v>
      </c>
      <c r="HN146" s="65">
        <v>-369</v>
      </c>
      <c r="HO146" s="65">
        <v>330</v>
      </c>
      <c r="HP146" s="65">
        <v>3102</v>
      </c>
      <c r="HQ146" s="65">
        <v>369</v>
      </c>
      <c r="HR146" s="65">
        <v>7447</v>
      </c>
      <c r="HS146" s="65">
        <v>159</v>
      </c>
      <c r="HT146" s="65">
        <v>2746</v>
      </c>
      <c r="HU146" s="77">
        <v>20.5</v>
      </c>
      <c r="HV146" s="180">
        <v>340</v>
      </c>
      <c r="HW146" s="30" t="s">
        <v>761</v>
      </c>
    </row>
    <row r="147" spans="1:231" ht="15" x14ac:dyDescent="0.25">
      <c r="A147" s="27">
        <v>484</v>
      </c>
      <c r="B147" s="27" t="s">
        <v>275</v>
      </c>
      <c r="C147" s="27">
        <v>4</v>
      </c>
      <c r="D147" s="27" t="s">
        <v>120</v>
      </c>
      <c r="E147" s="27">
        <v>2</v>
      </c>
      <c r="F147" s="27" t="s">
        <v>744</v>
      </c>
      <c r="G147" s="29" t="s">
        <v>130</v>
      </c>
      <c r="H147" s="27" t="s">
        <v>98</v>
      </c>
      <c r="I147" s="27" t="s">
        <v>120</v>
      </c>
      <c r="J147" s="69">
        <v>3949</v>
      </c>
      <c r="K147" s="69">
        <v>3870</v>
      </c>
      <c r="L147" s="36">
        <v>3811</v>
      </c>
      <c r="M147" s="36">
        <v>3774</v>
      </c>
      <c r="N147" s="36">
        <v>3717</v>
      </c>
      <c r="O147" s="36">
        <v>3656</v>
      </c>
      <c r="P147" s="36">
        <v>3649</v>
      </c>
      <c r="Q147" s="36">
        <v>3582</v>
      </c>
      <c r="R147" s="69">
        <v>3494</v>
      </c>
      <c r="S147" s="69">
        <v>3455</v>
      </c>
      <c r="T147" s="71">
        <v>3437</v>
      </c>
      <c r="U147" s="36">
        <v>6917</v>
      </c>
      <c r="V147" s="36">
        <v>5210</v>
      </c>
      <c r="W147" s="36">
        <v>2609</v>
      </c>
      <c r="X147" s="36">
        <v>107.80846086182856</v>
      </c>
      <c r="Y147" s="36">
        <v>7315</v>
      </c>
      <c r="Z147" s="36">
        <v>5317</v>
      </c>
      <c r="AA147" s="36">
        <v>2839</v>
      </c>
      <c r="AB147" s="36">
        <v>122.44081046398003</v>
      </c>
      <c r="AC147" s="36">
        <v>7012</v>
      </c>
      <c r="AD147" s="36">
        <v>5511</v>
      </c>
      <c r="AE147" s="36">
        <v>3151</v>
      </c>
      <c r="AF147" s="36">
        <v>120.59074327290341</v>
      </c>
      <c r="AG147" s="36">
        <v>7813</v>
      </c>
      <c r="AH147" s="36">
        <v>5726</v>
      </c>
      <c r="AI147" s="36">
        <v>3403</v>
      </c>
      <c r="AJ147" s="36">
        <v>78.54376165752565</v>
      </c>
      <c r="AK147" s="36">
        <v>6893</v>
      </c>
      <c r="AL147" s="36">
        <v>5821</v>
      </c>
      <c r="AM147" s="36">
        <v>3508</v>
      </c>
      <c r="AN147" s="36">
        <v>110</v>
      </c>
      <c r="AO147" s="36">
        <v>6908</v>
      </c>
      <c r="AP147" s="36">
        <v>6606</v>
      </c>
      <c r="AQ147" s="36">
        <v>3654</v>
      </c>
      <c r="AR147" s="36">
        <v>44</v>
      </c>
      <c r="AS147" s="36">
        <v>6953</v>
      </c>
      <c r="AT147" s="36">
        <v>6640</v>
      </c>
      <c r="AU147" s="36">
        <v>2939</v>
      </c>
      <c r="AV147" s="36">
        <v>38</v>
      </c>
      <c r="AW147" s="36">
        <v>7176</v>
      </c>
      <c r="AX147" s="69">
        <v>6908</v>
      </c>
      <c r="AY147" s="36">
        <v>3070</v>
      </c>
      <c r="AZ147" s="36">
        <v>31</v>
      </c>
      <c r="BA147" s="36">
        <v>7563</v>
      </c>
      <c r="BB147" s="36">
        <v>8080</v>
      </c>
      <c r="BC147" s="36">
        <v>3193</v>
      </c>
      <c r="BD147" s="36">
        <v>46</v>
      </c>
      <c r="BE147" s="70">
        <v>7975</v>
      </c>
      <c r="BF147" s="70">
        <v>8440</v>
      </c>
      <c r="BG147" s="70">
        <v>3301</v>
      </c>
      <c r="BH147" s="70">
        <v>62</v>
      </c>
      <c r="BI147" s="36">
        <v>8432</v>
      </c>
      <c r="BJ147" s="36">
        <v>9374</v>
      </c>
      <c r="BK147" s="36">
        <v>3748</v>
      </c>
      <c r="BL147" s="36">
        <v>37</v>
      </c>
      <c r="BM147" s="36">
        <v>5294.555925008367</v>
      </c>
      <c r="BN147" s="36">
        <v>1297.7380405770191</v>
      </c>
      <c r="BO147" s="36">
        <v>318.88430857102492</v>
      </c>
      <c r="BP147" s="36">
        <v>5647.4141947246171</v>
      </c>
      <c r="BQ147" s="36">
        <v>1331.5438137957829</v>
      </c>
      <c r="BR147" s="36">
        <v>331.33021512917674</v>
      </c>
      <c r="BS147" s="36">
        <v>5076.4161843877873</v>
      </c>
      <c r="BT147" s="36">
        <v>1567.3432866948212</v>
      </c>
      <c r="BU147" s="36">
        <v>360.59491433347966</v>
      </c>
      <c r="BV147" s="36">
        <v>5679</v>
      </c>
      <c r="BW147" s="36">
        <v>1758</v>
      </c>
      <c r="BX147" s="36">
        <v>376</v>
      </c>
      <c r="BY147" s="36">
        <v>6022</v>
      </c>
      <c r="BZ147" s="36">
        <v>485</v>
      </c>
      <c r="CA147" s="36">
        <v>386</v>
      </c>
      <c r="CB147" s="36">
        <v>5821</v>
      </c>
      <c r="CC147" s="36">
        <v>600</v>
      </c>
      <c r="CD147" s="36">
        <v>487</v>
      </c>
      <c r="CE147" s="36">
        <v>5975</v>
      </c>
      <c r="CF147" s="36">
        <v>504</v>
      </c>
      <c r="CG147" s="36">
        <v>474</v>
      </c>
      <c r="CH147" s="36">
        <v>6103</v>
      </c>
      <c r="CI147" s="36">
        <v>601</v>
      </c>
      <c r="CJ147" s="70">
        <v>472</v>
      </c>
      <c r="CK147" s="70">
        <v>6290</v>
      </c>
      <c r="CL147" s="70">
        <v>779</v>
      </c>
      <c r="CM147" s="36">
        <v>494</v>
      </c>
      <c r="CN147" s="36">
        <v>6616</v>
      </c>
      <c r="CO147" s="36">
        <v>843</v>
      </c>
      <c r="CP147" s="36">
        <v>516</v>
      </c>
      <c r="CQ147" s="36">
        <v>7178</v>
      </c>
      <c r="CR147" s="36">
        <v>711</v>
      </c>
      <c r="CS147" s="36">
        <v>543</v>
      </c>
      <c r="CT147" s="36">
        <v>985.91762491737757</v>
      </c>
      <c r="CU147" s="36">
        <v>-2085.698476</v>
      </c>
      <c r="CV147" s="36">
        <v>836.56674621955585</v>
      </c>
      <c r="CW147" s="36">
        <v>3137</v>
      </c>
      <c r="CX147" s="36">
        <v>1315.3977728554778</v>
      </c>
      <c r="CY147" s="36">
        <v>-1495.8634179999999</v>
      </c>
      <c r="CZ147" s="36">
        <v>797.71533520694686</v>
      </c>
      <c r="DA147" s="36">
        <v>2823</v>
      </c>
      <c r="DB147" s="36">
        <v>1098.9399114995131</v>
      </c>
      <c r="DC147" s="36">
        <v>-1905.7373950000001</v>
      </c>
      <c r="DD147" s="36">
        <v>837.40768585186345</v>
      </c>
      <c r="DE147" s="36">
        <v>2113</v>
      </c>
      <c r="DF147" s="36">
        <v>1217.5123996548784</v>
      </c>
      <c r="DG147" s="36">
        <v>-340</v>
      </c>
      <c r="DH147" s="36">
        <v>757.01385700326114</v>
      </c>
      <c r="DI147" s="36">
        <v>2223</v>
      </c>
      <c r="DJ147" s="36">
        <v>402</v>
      </c>
      <c r="DK147" s="36">
        <v>-600</v>
      </c>
      <c r="DL147" s="36">
        <v>756</v>
      </c>
      <c r="DM147" s="36">
        <v>2002</v>
      </c>
      <c r="DN147" s="36">
        <v>649</v>
      </c>
      <c r="DO147" s="69">
        <v>-559</v>
      </c>
      <c r="DP147" s="36">
        <v>748</v>
      </c>
      <c r="DQ147" s="36">
        <v>1723</v>
      </c>
      <c r="DR147" s="36">
        <v>222</v>
      </c>
      <c r="DS147" s="36">
        <v>-1252</v>
      </c>
      <c r="DT147" s="36">
        <v>819</v>
      </c>
      <c r="DU147" s="36">
        <v>2683</v>
      </c>
      <c r="DV147" s="36">
        <v>-292</v>
      </c>
      <c r="DW147" s="71">
        <v>-679</v>
      </c>
      <c r="DX147" s="39">
        <v>865</v>
      </c>
      <c r="DY147" s="71">
        <v>2978</v>
      </c>
      <c r="DZ147" s="70">
        <v>985</v>
      </c>
      <c r="EA147" s="35">
        <v>-1148</v>
      </c>
      <c r="EB147" s="35">
        <v>851</v>
      </c>
      <c r="EC147" s="38">
        <v>3641</v>
      </c>
      <c r="ED147" s="38">
        <v>1358</v>
      </c>
      <c r="EE147" s="38">
        <v>-360</v>
      </c>
      <c r="EF147" s="38">
        <v>905</v>
      </c>
      <c r="EG147" s="73">
        <v>3280</v>
      </c>
      <c r="EH147" s="73">
        <v>2589</v>
      </c>
      <c r="EI147" s="73">
        <v>794</v>
      </c>
      <c r="EJ147" s="73">
        <v>871</v>
      </c>
      <c r="EK147" s="73">
        <v>2673</v>
      </c>
      <c r="EL147" s="73">
        <v>13175.001219362466</v>
      </c>
      <c r="EM147" s="73">
        <v>99.567252465214523</v>
      </c>
      <c r="EN147" s="73">
        <v>13556.283248650712</v>
      </c>
      <c r="EO147" s="73">
        <v>656.6056649057391</v>
      </c>
      <c r="EP147" s="73">
        <v>13968.343668481413</v>
      </c>
      <c r="EQ147" s="73">
        <v>272.80081672057088</v>
      </c>
      <c r="ER147" s="73">
        <v>15035.496061879703</v>
      </c>
      <c r="ES147" s="73">
        <v>460.49854265161719</v>
      </c>
      <c r="ET147" s="73">
        <v>15861</v>
      </c>
      <c r="EU147" s="73">
        <v>-354</v>
      </c>
      <c r="EV147" s="73">
        <v>16518</v>
      </c>
      <c r="EW147" s="73">
        <v>-99</v>
      </c>
      <c r="EX147" s="73">
        <v>16303</v>
      </c>
      <c r="EY147" s="73">
        <v>-597</v>
      </c>
      <c r="EZ147" s="73">
        <v>17408</v>
      </c>
      <c r="FA147" s="73">
        <v>-1157</v>
      </c>
      <c r="FB147" s="73">
        <v>17805</v>
      </c>
      <c r="FC147" s="73">
        <v>-116</v>
      </c>
      <c r="FD147" s="73">
        <v>18282</v>
      </c>
      <c r="FE147" s="73">
        <v>53</v>
      </c>
      <c r="FF147" s="73">
        <v>18932</v>
      </c>
      <c r="FG147" s="73">
        <v>1718</v>
      </c>
      <c r="FH147" s="73">
        <v>1029</v>
      </c>
      <c r="FI147" s="73">
        <v>2748</v>
      </c>
      <c r="FJ147" s="79">
        <v>3411</v>
      </c>
      <c r="FK147" s="80">
        <v>8568</v>
      </c>
      <c r="FL147" s="80">
        <v>10210</v>
      </c>
      <c r="FM147" s="80">
        <v>3184</v>
      </c>
      <c r="FN147" s="76">
        <v>39</v>
      </c>
      <c r="FO147" s="80">
        <v>7394</v>
      </c>
      <c r="FP147" s="80">
        <v>574</v>
      </c>
      <c r="FQ147" s="80">
        <v>600</v>
      </c>
      <c r="FR147" s="80">
        <v>1830</v>
      </c>
      <c r="FS147" s="81">
        <v>-1902</v>
      </c>
      <c r="FT147" s="76">
        <v>819</v>
      </c>
      <c r="FU147" s="76">
        <v>2222</v>
      </c>
      <c r="FV147" s="76">
        <v>1902</v>
      </c>
      <c r="FW147" s="80">
        <v>20137</v>
      </c>
      <c r="FX147" s="80">
        <v>1011</v>
      </c>
      <c r="FY147" s="73">
        <v>3347</v>
      </c>
      <c r="FZ147" s="73">
        <v>8435</v>
      </c>
      <c r="GA147" s="73">
        <v>11004</v>
      </c>
      <c r="GB147" s="73">
        <v>3136</v>
      </c>
      <c r="GC147" s="73">
        <v>624</v>
      </c>
      <c r="GD147" s="73">
        <v>7064</v>
      </c>
      <c r="GE147" s="73">
        <v>692</v>
      </c>
      <c r="GF147" s="73">
        <v>679</v>
      </c>
      <c r="GG147" s="73">
        <v>1558</v>
      </c>
      <c r="GH147" s="73">
        <v>-1711</v>
      </c>
      <c r="GI147" s="73">
        <v>871</v>
      </c>
      <c r="GJ147" s="73">
        <v>1900</v>
      </c>
      <c r="GK147" s="73">
        <v>1711</v>
      </c>
      <c r="GL147" s="73">
        <v>21035</v>
      </c>
      <c r="GM147" s="73">
        <v>1265</v>
      </c>
      <c r="GN147" s="73">
        <v>5024</v>
      </c>
      <c r="GO147" s="77">
        <v>19.5</v>
      </c>
      <c r="GP147" s="78">
        <v>3304</v>
      </c>
      <c r="GQ147" s="73">
        <v>8406</v>
      </c>
      <c r="GR147" s="65">
        <v>11156</v>
      </c>
      <c r="GS147" s="65">
        <v>3102</v>
      </c>
      <c r="GT147" s="65">
        <v>76</v>
      </c>
      <c r="GU147" s="65">
        <v>7043</v>
      </c>
      <c r="GV147" s="65">
        <v>690</v>
      </c>
      <c r="GW147" s="65">
        <v>673</v>
      </c>
      <c r="GX147" s="65">
        <v>946</v>
      </c>
      <c r="GY147" s="65">
        <v>-538</v>
      </c>
      <c r="GZ147" s="65">
        <v>1028</v>
      </c>
      <c r="HA147" s="65">
        <v>1577</v>
      </c>
      <c r="HB147" s="65">
        <v>538</v>
      </c>
      <c r="HC147" s="65">
        <v>21775</v>
      </c>
      <c r="HD147" s="65">
        <v>-82</v>
      </c>
      <c r="HE147" s="78">
        <v>3269</v>
      </c>
      <c r="HF147" s="73">
        <v>8332</v>
      </c>
      <c r="HG147" s="65">
        <v>12085</v>
      </c>
      <c r="HH147" s="65">
        <v>3477</v>
      </c>
      <c r="HI147" s="65">
        <v>368</v>
      </c>
      <c r="HJ147" s="65">
        <v>7238</v>
      </c>
      <c r="HK147" s="65">
        <v>437</v>
      </c>
      <c r="HL147" s="65">
        <v>657</v>
      </c>
      <c r="HM147" s="65">
        <v>280</v>
      </c>
      <c r="HN147" s="65">
        <v>-1299</v>
      </c>
      <c r="HO147" s="65">
        <v>1060</v>
      </c>
      <c r="HP147" s="65">
        <v>1254</v>
      </c>
      <c r="HQ147" s="65">
        <v>1299</v>
      </c>
      <c r="HR147" s="65">
        <v>23646</v>
      </c>
      <c r="HS147" s="65">
        <v>-464</v>
      </c>
      <c r="HT147" s="65">
        <v>4681</v>
      </c>
      <c r="HU147" s="77">
        <v>19.5</v>
      </c>
      <c r="HV147" s="180">
        <v>330</v>
      </c>
      <c r="HW147" s="30" t="s">
        <v>760</v>
      </c>
    </row>
    <row r="148" spans="1:231" ht="15" x14ac:dyDescent="0.25">
      <c r="A148" s="27">
        <v>489</v>
      </c>
      <c r="B148" s="27" t="s">
        <v>276</v>
      </c>
      <c r="C148" s="27">
        <v>8</v>
      </c>
      <c r="D148" s="27" t="s">
        <v>112</v>
      </c>
      <c r="E148" s="27">
        <v>1</v>
      </c>
      <c r="F148" s="27" t="s">
        <v>103</v>
      </c>
      <c r="G148" s="29" t="s">
        <v>130</v>
      </c>
      <c r="H148" s="27" t="s">
        <v>98</v>
      </c>
      <c r="I148" s="31" t="s">
        <v>112</v>
      </c>
      <c r="J148" s="69">
        <v>2605</v>
      </c>
      <c r="K148" s="69">
        <v>2574</v>
      </c>
      <c r="L148" s="36">
        <v>2540</v>
      </c>
      <c r="M148" s="36">
        <v>2547</v>
      </c>
      <c r="N148" s="36">
        <v>2538</v>
      </c>
      <c r="O148" s="36">
        <v>2502</v>
      </c>
      <c r="P148" s="36">
        <v>2447</v>
      </c>
      <c r="Q148" s="36">
        <v>2433</v>
      </c>
      <c r="R148" s="69">
        <v>2413</v>
      </c>
      <c r="S148" s="69">
        <v>2370</v>
      </c>
      <c r="T148" s="71">
        <v>2297</v>
      </c>
      <c r="U148" s="36">
        <v>4494</v>
      </c>
      <c r="V148" s="36">
        <v>2767</v>
      </c>
      <c r="W148" s="36">
        <v>2411</v>
      </c>
      <c r="X148" s="36">
        <v>94.521614671369193</v>
      </c>
      <c r="Y148" s="36">
        <v>4378</v>
      </c>
      <c r="Z148" s="36">
        <v>2933</v>
      </c>
      <c r="AA148" s="36">
        <v>2437</v>
      </c>
      <c r="AB148" s="36">
        <v>121.09530705228794</v>
      </c>
      <c r="AC148" s="36">
        <v>4489</v>
      </c>
      <c r="AD148" s="36">
        <v>2964</v>
      </c>
      <c r="AE148" s="36">
        <v>2494</v>
      </c>
      <c r="AF148" s="36">
        <v>50.456377938453301</v>
      </c>
      <c r="AG148" s="36">
        <v>4302</v>
      </c>
      <c r="AH148" s="36">
        <v>3767</v>
      </c>
      <c r="AI148" s="36">
        <v>2518</v>
      </c>
      <c r="AJ148" s="36">
        <v>173.06537632889487</v>
      </c>
      <c r="AK148" s="36">
        <v>4233</v>
      </c>
      <c r="AL148" s="36">
        <v>4064</v>
      </c>
      <c r="AM148" s="36">
        <v>2590</v>
      </c>
      <c r="AN148" s="36">
        <v>263</v>
      </c>
      <c r="AO148" s="36">
        <v>4187</v>
      </c>
      <c r="AP148" s="36">
        <v>4824</v>
      </c>
      <c r="AQ148" s="36">
        <v>2911</v>
      </c>
      <c r="AR148" s="36">
        <v>230</v>
      </c>
      <c r="AS148" s="36">
        <v>4453</v>
      </c>
      <c r="AT148" s="36">
        <v>5093</v>
      </c>
      <c r="AU148" s="36">
        <v>2332</v>
      </c>
      <c r="AV148" s="36">
        <v>67</v>
      </c>
      <c r="AW148" s="36">
        <v>4410</v>
      </c>
      <c r="AX148" s="69">
        <v>5110</v>
      </c>
      <c r="AY148" s="36">
        <v>2243</v>
      </c>
      <c r="AZ148" s="36">
        <v>73</v>
      </c>
      <c r="BA148" s="36">
        <v>4592</v>
      </c>
      <c r="BB148" s="36">
        <v>5135</v>
      </c>
      <c r="BC148" s="36">
        <v>2532</v>
      </c>
      <c r="BD148" s="36">
        <v>37</v>
      </c>
      <c r="BE148" s="70">
        <v>5153</v>
      </c>
      <c r="BF148" s="70">
        <v>5168</v>
      </c>
      <c r="BG148" s="70">
        <v>2792</v>
      </c>
      <c r="BH148" s="70">
        <v>225</v>
      </c>
      <c r="BI148" s="36">
        <v>5126</v>
      </c>
      <c r="BJ148" s="36">
        <v>5731</v>
      </c>
      <c r="BK148" s="36">
        <v>10273</v>
      </c>
      <c r="BL148" s="36">
        <v>59</v>
      </c>
      <c r="BM148" s="36">
        <v>2779.1372968500082</v>
      </c>
      <c r="BN148" s="36">
        <v>1646.3916121317316</v>
      </c>
      <c r="BO148" s="36">
        <v>68.116110216911963</v>
      </c>
      <c r="BP148" s="36">
        <v>3001.4817356321259</v>
      </c>
      <c r="BQ148" s="36">
        <v>1247.7862264179503</v>
      </c>
      <c r="BR148" s="36">
        <v>129.00013959597896</v>
      </c>
      <c r="BS148" s="36">
        <v>2969.526029604438</v>
      </c>
      <c r="BT148" s="36">
        <v>1376.1136143080832</v>
      </c>
      <c r="BU148" s="36">
        <v>142.95973749228438</v>
      </c>
      <c r="BV148" s="36">
        <v>3212</v>
      </c>
      <c r="BW148" s="36">
        <v>940</v>
      </c>
      <c r="BX148" s="36">
        <v>151</v>
      </c>
      <c r="BY148" s="36">
        <v>3613</v>
      </c>
      <c r="BZ148" s="36">
        <v>474</v>
      </c>
      <c r="CA148" s="36">
        <v>146</v>
      </c>
      <c r="CB148" s="36">
        <v>3721</v>
      </c>
      <c r="CC148" s="36">
        <v>282</v>
      </c>
      <c r="CD148" s="36">
        <v>184</v>
      </c>
      <c r="CE148" s="36">
        <v>3887</v>
      </c>
      <c r="CF148" s="36">
        <v>373</v>
      </c>
      <c r="CG148" s="36">
        <v>193</v>
      </c>
      <c r="CH148" s="36">
        <v>3724</v>
      </c>
      <c r="CI148" s="36">
        <v>483</v>
      </c>
      <c r="CJ148" s="70">
        <v>203</v>
      </c>
      <c r="CK148" s="70">
        <v>3783</v>
      </c>
      <c r="CL148" s="70">
        <v>604</v>
      </c>
      <c r="CM148" s="36">
        <v>205</v>
      </c>
      <c r="CN148" s="36">
        <v>4239</v>
      </c>
      <c r="CO148" s="36">
        <v>705</v>
      </c>
      <c r="CP148" s="36">
        <v>209</v>
      </c>
      <c r="CQ148" s="36">
        <v>4216</v>
      </c>
      <c r="CR148" s="36">
        <v>657</v>
      </c>
      <c r="CS148" s="36">
        <v>253</v>
      </c>
      <c r="CT148" s="36">
        <v>260.69128601534209</v>
      </c>
      <c r="CU148" s="36">
        <v>-824.79359139999985</v>
      </c>
      <c r="CV148" s="36">
        <v>415.25599043347074</v>
      </c>
      <c r="CW148" s="36">
        <v>879</v>
      </c>
      <c r="CX148" s="36">
        <v>301.22457629256627</v>
      </c>
      <c r="CY148" s="36">
        <v>-246.89987600000001</v>
      </c>
      <c r="CZ148" s="36">
        <v>437.96136050577468</v>
      </c>
      <c r="DA148" s="36">
        <v>789</v>
      </c>
      <c r="DB148" s="36">
        <v>-5.3820136467683533</v>
      </c>
      <c r="DC148" s="36">
        <v>-540.55599559999996</v>
      </c>
      <c r="DD148" s="36">
        <v>406.84659411039519</v>
      </c>
      <c r="DE148" s="36">
        <v>515</v>
      </c>
      <c r="DF148" s="36">
        <v>-276.16457524980109</v>
      </c>
      <c r="DG148" s="36">
        <v>1637</v>
      </c>
      <c r="DH148" s="36">
        <v>433.4202864913139</v>
      </c>
      <c r="DI148" s="36">
        <v>1490</v>
      </c>
      <c r="DJ148" s="36">
        <v>508</v>
      </c>
      <c r="DK148" s="36">
        <v>-108</v>
      </c>
      <c r="DL148" s="36">
        <v>498</v>
      </c>
      <c r="DM148" s="36">
        <v>2365</v>
      </c>
      <c r="DN148" s="36">
        <v>614</v>
      </c>
      <c r="DO148" s="69">
        <v>-896</v>
      </c>
      <c r="DP148" s="36">
        <v>522</v>
      </c>
      <c r="DQ148" s="36">
        <v>2457</v>
      </c>
      <c r="DR148" s="36">
        <v>1337</v>
      </c>
      <c r="DS148" s="36">
        <v>-659</v>
      </c>
      <c r="DT148" s="36">
        <v>559</v>
      </c>
      <c r="DU148" s="36">
        <v>2009</v>
      </c>
      <c r="DV148" s="36">
        <v>768</v>
      </c>
      <c r="DW148" s="71">
        <v>-256</v>
      </c>
      <c r="DX148" s="39">
        <v>485</v>
      </c>
      <c r="DY148" s="71">
        <v>1531</v>
      </c>
      <c r="DZ148" s="70">
        <v>762</v>
      </c>
      <c r="EA148" s="35">
        <v>-282</v>
      </c>
      <c r="EB148" s="35">
        <v>359</v>
      </c>
      <c r="EC148" s="38">
        <v>684</v>
      </c>
      <c r="ED148" s="38">
        <v>1378</v>
      </c>
      <c r="EE148" s="38">
        <v>-904</v>
      </c>
      <c r="EF148" s="38">
        <v>384</v>
      </c>
      <c r="EG148" s="73">
        <v>579</v>
      </c>
      <c r="EH148" s="73">
        <v>365</v>
      </c>
      <c r="EI148" s="73">
        <v>-853</v>
      </c>
      <c r="EJ148" s="73">
        <v>358</v>
      </c>
      <c r="EK148" s="73">
        <v>473</v>
      </c>
      <c r="EL148" s="73">
        <v>9064.4882966431378</v>
      </c>
      <c r="EM148" s="73">
        <v>98.221749053522444</v>
      </c>
      <c r="EN148" s="73">
        <v>9132.9407827129726</v>
      </c>
      <c r="EO148" s="73">
        <v>-96.539869788907325</v>
      </c>
      <c r="EP148" s="73">
        <v>9517.0820067510631</v>
      </c>
      <c r="EQ148" s="73">
        <v>-189.88416897504595</v>
      </c>
      <c r="ER148" s="73">
        <v>10530.246075755205</v>
      </c>
      <c r="ES148" s="73">
        <v>1656.3146997929607</v>
      </c>
      <c r="ET148" s="73">
        <v>10553</v>
      </c>
      <c r="EU148" s="73">
        <v>-136</v>
      </c>
      <c r="EV148" s="73">
        <v>11459</v>
      </c>
      <c r="EW148" s="73">
        <v>92</v>
      </c>
      <c r="EX148" s="73">
        <v>10542</v>
      </c>
      <c r="EY148" s="73">
        <v>778</v>
      </c>
      <c r="EZ148" s="73">
        <v>11006</v>
      </c>
      <c r="FA148" s="73">
        <v>283</v>
      </c>
      <c r="FB148" s="73">
        <v>11534</v>
      </c>
      <c r="FC148" s="73">
        <v>563</v>
      </c>
      <c r="FD148" s="73">
        <v>11935</v>
      </c>
      <c r="FE148" s="73">
        <v>994</v>
      </c>
      <c r="FF148" s="73">
        <v>20824</v>
      </c>
      <c r="FG148" s="73">
        <v>7</v>
      </c>
      <c r="FH148" s="73">
        <v>2943</v>
      </c>
      <c r="FI148" s="73">
        <v>2950</v>
      </c>
      <c r="FJ148" s="79">
        <v>2278</v>
      </c>
      <c r="FK148" s="80">
        <v>5002</v>
      </c>
      <c r="FL148" s="80">
        <v>6456</v>
      </c>
      <c r="FM148" s="80">
        <v>10489</v>
      </c>
      <c r="FN148" s="76">
        <v>8</v>
      </c>
      <c r="FO148" s="80">
        <v>4186</v>
      </c>
      <c r="FP148" s="80">
        <v>547</v>
      </c>
      <c r="FQ148" s="80">
        <v>269</v>
      </c>
      <c r="FR148" s="80">
        <v>543</v>
      </c>
      <c r="FS148" s="81">
        <v>-710</v>
      </c>
      <c r="FT148" s="76">
        <v>329</v>
      </c>
      <c r="FU148" s="76">
        <v>368</v>
      </c>
      <c r="FV148" s="76">
        <v>710</v>
      </c>
      <c r="FW148" s="80">
        <v>21340</v>
      </c>
      <c r="FX148" s="80">
        <v>214</v>
      </c>
      <c r="FY148" s="73">
        <v>2210</v>
      </c>
      <c r="FZ148" s="73">
        <v>5338</v>
      </c>
      <c r="GA148" s="73">
        <v>6902</v>
      </c>
      <c r="GB148" s="73">
        <v>10128</v>
      </c>
      <c r="GC148" s="73">
        <v>59</v>
      </c>
      <c r="GD148" s="73">
        <v>4343</v>
      </c>
      <c r="GE148" s="73">
        <v>709</v>
      </c>
      <c r="GF148" s="73">
        <v>286</v>
      </c>
      <c r="GG148" s="73">
        <v>1184</v>
      </c>
      <c r="GH148" s="73">
        <v>-1684</v>
      </c>
      <c r="GI148" s="73">
        <v>334</v>
      </c>
      <c r="GJ148" s="73">
        <v>263</v>
      </c>
      <c r="GK148" s="73">
        <v>1684</v>
      </c>
      <c r="GL148" s="73">
        <v>21243</v>
      </c>
      <c r="GM148" s="73">
        <v>850</v>
      </c>
      <c r="GN148" s="73">
        <v>4009</v>
      </c>
      <c r="GO148" s="77">
        <v>19.5</v>
      </c>
      <c r="GP148" s="78">
        <v>2169</v>
      </c>
      <c r="GQ148" s="73">
        <v>5191</v>
      </c>
      <c r="GR148" s="65">
        <v>6787</v>
      </c>
      <c r="GS148" s="65">
        <v>10328</v>
      </c>
      <c r="GT148" s="65">
        <v>112</v>
      </c>
      <c r="GU148" s="65">
        <v>4211</v>
      </c>
      <c r="GV148" s="65">
        <v>689</v>
      </c>
      <c r="GW148" s="65">
        <v>291</v>
      </c>
      <c r="GX148" s="65">
        <v>514</v>
      </c>
      <c r="GY148" s="65">
        <v>-491</v>
      </c>
      <c r="GZ148" s="65">
        <v>428</v>
      </c>
      <c r="HA148" s="65">
        <v>158</v>
      </c>
      <c r="HB148" s="65">
        <v>491</v>
      </c>
      <c r="HC148" s="65">
        <v>21904</v>
      </c>
      <c r="HD148" s="65">
        <v>-355</v>
      </c>
      <c r="HE148" s="78">
        <v>2177</v>
      </c>
      <c r="HF148" s="73">
        <v>5385</v>
      </c>
      <c r="HG148" s="65">
        <v>7108</v>
      </c>
      <c r="HH148" s="65">
        <v>10906</v>
      </c>
      <c r="HI148" s="65">
        <v>51</v>
      </c>
      <c r="HJ148" s="65">
        <v>4670</v>
      </c>
      <c r="HK148" s="65">
        <v>399</v>
      </c>
      <c r="HL148" s="65">
        <v>316</v>
      </c>
      <c r="HM148" s="65">
        <v>297</v>
      </c>
      <c r="HN148" s="65">
        <v>-876</v>
      </c>
      <c r="HO148" s="65">
        <v>410</v>
      </c>
      <c r="HP148" s="65">
        <v>759</v>
      </c>
      <c r="HQ148" s="65">
        <v>876</v>
      </c>
      <c r="HR148" s="65">
        <v>23153</v>
      </c>
      <c r="HS148" s="65">
        <v>-113</v>
      </c>
      <c r="HT148" s="65">
        <v>3541</v>
      </c>
      <c r="HU148" s="77">
        <v>19.5</v>
      </c>
      <c r="HV148" s="180">
        <v>340</v>
      </c>
      <c r="HW148" s="30" t="s">
        <v>761</v>
      </c>
    </row>
    <row r="149" spans="1:231" ht="15" x14ac:dyDescent="0.25">
      <c r="A149" s="27">
        <v>491</v>
      </c>
      <c r="B149" s="27" t="s">
        <v>277</v>
      </c>
      <c r="C149" s="27">
        <v>10</v>
      </c>
      <c r="D149" s="27" t="s">
        <v>107</v>
      </c>
      <c r="E149" s="27">
        <v>6</v>
      </c>
      <c r="F149" s="27" t="s">
        <v>102</v>
      </c>
      <c r="G149" s="29" t="s">
        <v>141</v>
      </c>
      <c r="H149" s="27" t="s">
        <v>97</v>
      </c>
      <c r="I149" s="31" t="s">
        <v>107</v>
      </c>
      <c r="J149" s="85">
        <v>55303</v>
      </c>
      <c r="K149" s="85">
        <v>55212</v>
      </c>
      <c r="L149" s="85">
        <v>55222</v>
      </c>
      <c r="M149" s="85">
        <v>55074</v>
      </c>
      <c r="N149" s="85">
        <v>54908</v>
      </c>
      <c r="O149" s="85">
        <v>54826</v>
      </c>
      <c r="P149" s="85">
        <v>54760</v>
      </c>
      <c r="Q149" s="85">
        <v>54728</v>
      </c>
      <c r="R149" s="85">
        <v>54719</v>
      </c>
      <c r="S149" s="85">
        <v>54521</v>
      </c>
      <c r="T149" s="85">
        <v>54440</v>
      </c>
      <c r="U149" s="85">
        <v>108834</v>
      </c>
      <c r="V149" s="85">
        <v>35586</v>
      </c>
      <c r="W149" s="85">
        <v>33969</v>
      </c>
      <c r="X149" s="85">
        <v>5678.6971490464584</v>
      </c>
      <c r="Y149" s="85">
        <v>113503</v>
      </c>
      <c r="Z149" s="85">
        <v>35899</v>
      </c>
      <c r="AA149" s="85">
        <v>33571</v>
      </c>
      <c r="AB149" s="85">
        <v>6562.5247026016996</v>
      </c>
      <c r="AC149" s="85">
        <v>114054</v>
      </c>
      <c r="AD149" s="85">
        <v>39572</v>
      </c>
      <c r="AE149" s="85">
        <v>36922</v>
      </c>
      <c r="AF149" s="85">
        <v>5543.9786199507889</v>
      </c>
      <c r="AG149" s="85">
        <v>125947</v>
      </c>
      <c r="AH149" s="85">
        <v>56121</v>
      </c>
      <c r="AI149" s="85">
        <v>46283</v>
      </c>
      <c r="AJ149" s="85">
        <v>5593.4258703304722</v>
      </c>
      <c r="AK149" s="85">
        <v>129464</v>
      </c>
      <c r="AL149" s="85">
        <v>59874</v>
      </c>
      <c r="AM149" s="85">
        <v>52577</v>
      </c>
      <c r="AN149" s="85">
        <v>4042</v>
      </c>
      <c r="AO149" s="85">
        <v>128491</v>
      </c>
      <c r="AP149" s="85">
        <v>53349</v>
      </c>
      <c r="AQ149" s="85">
        <v>56139</v>
      </c>
      <c r="AR149" s="85">
        <v>6275</v>
      </c>
      <c r="AS149" s="85">
        <v>130812</v>
      </c>
      <c r="AT149" s="85">
        <v>55407</v>
      </c>
      <c r="AU149" s="85">
        <v>68348</v>
      </c>
      <c r="AV149" s="85">
        <v>7777</v>
      </c>
      <c r="AW149" s="85">
        <v>133997</v>
      </c>
      <c r="AX149" s="85">
        <v>58556</v>
      </c>
      <c r="AY149" s="85">
        <v>66788</v>
      </c>
      <c r="AZ149" s="85">
        <v>7045</v>
      </c>
      <c r="BA149" s="85">
        <v>142583</v>
      </c>
      <c r="BB149" s="85">
        <v>62948</v>
      </c>
      <c r="BC149" s="85">
        <v>69318</v>
      </c>
      <c r="BD149" s="85">
        <v>4479</v>
      </c>
      <c r="BE149" s="85">
        <v>149368</v>
      </c>
      <c r="BF149" s="85">
        <v>66183</v>
      </c>
      <c r="BG149" s="85">
        <v>75096</v>
      </c>
      <c r="BH149" s="85">
        <v>6896</v>
      </c>
      <c r="BI149" s="85">
        <v>164346</v>
      </c>
      <c r="BJ149" s="85">
        <v>76976</v>
      </c>
      <c r="BK149" s="85">
        <v>78258</v>
      </c>
      <c r="BL149" s="85">
        <v>4232</v>
      </c>
      <c r="BM149" s="85">
        <v>90333.398926624664</v>
      </c>
      <c r="BN149" s="85">
        <v>13913.17802860204</v>
      </c>
      <c r="BO149" s="85">
        <v>4577.5707945029462</v>
      </c>
      <c r="BP149" s="85">
        <v>92894.228294927612</v>
      </c>
      <c r="BQ149" s="85">
        <v>15952.288449021398</v>
      </c>
      <c r="BR149" s="85">
        <v>4645.8550926463186</v>
      </c>
      <c r="BS149" s="85">
        <v>91138.009966816535</v>
      </c>
      <c r="BT149" s="85">
        <v>17517.61348059868</v>
      </c>
      <c r="BU149" s="85">
        <v>5388.0684121209679</v>
      </c>
      <c r="BV149" s="85">
        <v>104026</v>
      </c>
      <c r="BW149" s="85">
        <v>16265</v>
      </c>
      <c r="BX149" s="85">
        <v>5648</v>
      </c>
      <c r="BY149" s="85">
        <v>112208</v>
      </c>
      <c r="BZ149" s="85">
        <v>10960</v>
      </c>
      <c r="CA149" s="85">
        <v>6296</v>
      </c>
      <c r="CB149" s="85">
        <v>114427</v>
      </c>
      <c r="CC149" s="85">
        <v>6886</v>
      </c>
      <c r="CD149" s="85">
        <v>7178</v>
      </c>
      <c r="CE149" s="85">
        <v>115728</v>
      </c>
      <c r="CF149" s="85">
        <v>7809</v>
      </c>
      <c r="CG149" s="85">
        <v>7275</v>
      </c>
      <c r="CH149" s="85">
        <v>117261</v>
      </c>
      <c r="CI149" s="85">
        <v>9114</v>
      </c>
      <c r="CJ149" s="85">
        <v>7622</v>
      </c>
      <c r="CK149" s="85">
        <v>123750</v>
      </c>
      <c r="CL149" s="85">
        <v>9750</v>
      </c>
      <c r="CM149" s="85">
        <v>9083</v>
      </c>
      <c r="CN149" s="85">
        <v>128852</v>
      </c>
      <c r="CO149" s="85">
        <v>10823</v>
      </c>
      <c r="CP149" s="85">
        <v>9693</v>
      </c>
      <c r="CQ149" s="85">
        <v>143119</v>
      </c>
      <c r="CR149" s="85">
        <v>10940</v>
      </c>
      <c r="CS149" s="85">
        <v>10287</v>
      </c>
      <c r="CT149" s="85">
        <v>4525.2643493734149</v>
      </c>
      <c r="CU149" s="85">
        <v>-9243.1038748999999</v>
      </c>
      <c r="CV149" s="85">
        <v>10593.821111957657</v>
      </c>
      <c r="CW149" s="85">
        <v>73185</v>
      </c>
      <c r="CX149" s="85">
        <v>6506.6863110164768</v>
      </c>
      <c r="CY149" s="85">
        <v>-21583.052036899997</v>
      </c>
      <c r="CZ149" s="85">
        <v>10756.122460993014</v>
      </c>
      <c r="DA149" s="85">
        <v>84910</v>
      </c>
      <c r="DB149" s="85">
        <v>495.81800720853442</v>
      </c>
      <c r="DC149" s="85">
        <v>-15524.081986360001</v>
      </c>
      <c r="DD149" s="85">
        <v>8805.9834536717954</v>
      </c>
      <c r="DE149" s="85">
        <v>103294</v>
      </c>
      <c r="DF149" s="85">
        <v>9826.7159793667033</v>
      </c>
      <c r="DG149" s="85">
        <v>-22254</v>
      </c>
      <c r="DH149" s="85">
        <v>9564.3428140867472</v>
      </c>
      <c r="DI149" s="85">
        <v>108892</v>
      </c>
      <c r="DJ149" s="85">
        <v>15917</v>
      </c>
      <c r="DK149" s="85">
        <v>-23393</v>
      </c>
      <c r="DL149" s="85">
        <v>11387</v>
      </c>
      <c r="DM149" s="85">
        <v>116607</v>
      </c>
      <c r="DN149" s="85">
        <v>10879</v>
      </c>
      <c r="DO149" s="85">
        <v>-19663</v>
      </c>
      <c r="DP149" s="85">
        <v>11074</v>
      </c>
      <c r="DQ149" s="85">
        <v>121326</v>
      </c>
      <c r="DR149" s="85">
        <v>8935</v>
      </c>
      <c r="DS149" s="85">
        <v>-14987</v>
      </c>
      <c r="DT149" s="85">
        <v>11786</v>
      </c>
      <c r="DU149" s="85">
        <v>133244</v>
      </c>
      <c r="DV149" s="85">
        <v>8052</v>
      </c>
      <c r="DW149" s="85">
        <v>-16387</v>
      </c>
      <c r="DX149" s="85">
        <v>12231</v>
      </c>
      <c r="DY149" s="85">
        <v>146244</v>
      </c>
      <c r="DZ149" s="85">
        <v>7214</v>
      </c>
      <c r="EA149" s="85">
        <v>-21468</v>
      </c>
      <c r="EB149" s="85">
        <v>11628</v>
      </c>
      <c r="EC149" s="85">
        <v>163767</v>
      </c>
      <c r="ED149" s="85">
        <v>4263</v>
      </c>
      <c r="EE149" s="85">
        <v>-20012</v>
      </c>
      <c r="EF149" s="85">
        <v>12368</v>
      </c>
      <c r="EG149" s="85">
        <v>180211</v>
      </c>
      <c r="EH149" s="85">
        <v>15993</v>
      </c>
      <c r="EI149" s="85">
        <v>-11526</v>
      </c>
      <c r="EJ149" s="85">
        <v>12284</v>
      </c>
      <c r="EK149" s="85">
        <v>167083</v>
      </c>
      <c r="EL149" s="85">
        <v>167874.76054243968</v>
      </c>
      <c r="EM149" s="85">
        <v>-4480.1899850817308</v>
      </c>
      <c r="EN149" s="85">
        <v>171793.37104106645</v>
      </c>
      <c r="EO149" s="85">
        <v>-4157.4373542020912</v>
      </c>
      <c r="EP149" s="85">
        <v>182761.24210147449</v>
      </c>
      <c r="EQ149" s="85">
        <v>-9089.3801097594405</v>
      </c>
      <c r="ER149" s="85">
        <v>209522.80039625076</v>
      </c>
      <c r="ES149" s="85">
        <v>22.705370072304056</v>
      </c>
      <c r="ET149" s="85">
        <v>225131</v>
      </c>
      <c r="EU149" s="85">
        <v>4218</v>
      </c>
      <c r="EV149" s="85">
        <v>227991</v>
      </c>
      <c r="EW149" s="85">
        <v>472</v>
      </c>
      <c r="EX149" s="85">
        <v>247613</v>
      </c>
      <c r="EY149" s="85">
        <v>-2535</v>
      </c>
      <c r="EZ149" s="85">
        <v>259680</v>
      </c>
      <c r="FA149" s="85">
        <v>-5031</v>
      </c>
      <c r="FB149" s="85">
        <v>269407</v>
      </c>
      <c r="FC149" s="85">
        <v>-2773</v>
      </c>
      <c r="FD149" s="85">
        <v>286205</v>
      </c>
      <c r="FE149" s="85">
        <v>-8184</v>
      </c>
      <c r="FF149" s="85">
        <v>302628</v>
      </c>
      <c r="FG149" s="85">
        <v>3674</v>
      </c>
      <c r="FH149" s="85">
        <v>-20459</v>
      </c>
      <c r="FI149" s="85">
        <v>-16803</v>
      </c>
      <c r="FJ149" s="85">
        <v>54435</v>
      </c>
      <c r="FK149" s="85">
        <v>164728</v>
      </c>
      <c r="FL149" s="85">
        <v>84358</v>
      </c>
      <c r="FM149" s="85">
        <v>81499</v>
      </c>
      <c r="FN149" s="85">
        <v>6008</v>
      </c>
      <c r="FO149" s="85">
        <v>145112</v>
      </c>
      <c r="FP149" s="85">
        <v>8697</v>
      </c>
      <c r="FQ149" s="85">
        <v>10919</v>
      </c>
      <c r="FR149" s="85">
        <v>23952</v>
      </c>
      <c r="FS149" s="85">
        <v>-19852</v>
      </c>
      <c r="FT149" s="85">
        <v>12867</v>
      </c>
      <c r="FU149" s="85">
        <v>168658</v>
      </c>
      <c r="FV149" s="85">
        <v>19852</v>
      </c>
      <c r="FW149" s="85">
        <v>309890</v>
      </c>
      <c r="FX149" s="85">
        <v>11840</v>
      </c>
      <c r="FY149" s="85">
        <v>54455</v>
      </c>
      <c r="FZ149" s="85">
        <v>169421</v>
      </c>
      <c r="GA149" s="85">
        <v>90574</v>
      </c>
      <c r="GB149" s="85">
        <v>88595</v>
      </c>
      <c r="GC149" s="85">
        <v>3516</v>
      </c>
      <c r="GD149" s="85">
        <v>147060</v>
      </c>
      <c r="GE149" s="85">
        <v>10426</v>
      </c>
      <c r="GF149" s="85">
        <v>11935</v>
      </c>
      <c r="GG149" s="85">
        <v>28884</v>
      </c>
      <c r="GH149" s="85">
        <v>-22191</v>
      </c>
      <c r="GI149" s="85">
        <v>12990</v>
      </c>
      <c r="GJ149" s="85">
        <v>157379</v>
      </c>
      <c r="GK149" s="85">
        <v>22191</v>
      </c>
      <c r="GL149" s="85">
        <v>322629</v>
      </c>
      <c r="GM149" s="85">
        <v>12345</v>
      </c>
      <c r="GN149" s="85">
        <v>7394</v>
      </c>
      <c r="GO149" s="77">
        <v>19.5</v>
      </c>
      <c r="GP149" s="78">
        <v>54530</v>
      </c>
      <c r="GQ149" s="78">
        <v>172953</v>
      </c>
      <c r="GR149" s="78">
        <v>92279</v>
      </c>
      <c r="GS149" s="78">
        <v>85294</v>
      </c>
      <c r="GT149" s="78">
        <v>4433</v>
      </c>
      <c r="GU149" s="78">
        <v>148935</v>
      </c>
      <c r="GV149" s="78">
        <v>11739</v>
      </c>
      <c r="GW149" s="78">
        <v>12279</v>
      </c>
      <c r="GX149" s="78">
        <v>14556</v>
      </c>
      <c r="GY149" s="78">
        <v>-24695</v>
      </c>
      <c r="GZ149" s="78">
        <v>15425</v>
      </c>
      <c r="HA149" s="78">
        <v>174291</v>
      </c>
      <c r="HB149" s="78">
        <v>24695</v>
      </c>
      <c r="HC149" s="78">
        <v>338918</v>
      </c>
      <c r="HD149" s="78">
        <v>1950</v>
      </c>
      <c r="HE149" s="78">
        <v>54519</v>
      </c>
      <c r="HF149" s="78">
        <v>175703</v>
      </c>
      <c r="HG149" s="78">
        <v>99046</v>
      </c>
      <c r="HH149" s="78">
        <v>104031</v>
      </c>
      <c r="HI149" s="78">
        <v>15282</v>
      </c>
      <c r="HJ149" s="78">
        <v>154328</v>
      </c>
      <c r="HK149" s="78">
        <v>8123</v>
      </c>
      <c r="HL149" s="78">
        <v>13252</v>
      </c>
      <c r="HM149" s="78">
        <v>17749</v>
      </c>
      <c r="HN149" s="78">
        <v>-12253</v>
      </c>
      <c r="HO149" s="78">
        <v>18741</v>
      </c>
      <c r="HP149" s="78">
        <v>171261</v>
      </c>
      <c r="HQ149" s="78">
        <v>12253</v>
      </c>
      <c r="HR149" s="78">
        <v>369488</v>
      </c>
      <c r="HS149" s="78">
        <v>4432</v>
      </c>
      <c r="HT149" s="78">
        <v>13778</v>
      </c>
      <c r="HU149" s="77">
        <v>19.5</v>
      </c>
      <c r="HV149" s="180">
        <v>130</v>
      </c>
      <c r="HW149" s="30" t="s">
        <v>752</v>
      </c>
    </row>
    <row r="150" spans="1:231" ht="15" x14ac:dyDescent="0.25">
      <c r="A150" s="27">
        <v>494</v>
      </c>
      <c r="B150" s="27" t="s">
        <v>278</v>
      </c>
      <c r="C150" s="27">
        <v>17</v>
      </c>
      <c r="D150" s="27" t="s">
        <v>117</v>
      </c>
      <c r="E150" s="27">
        <v>3</v>
      </c>
      <c r="F150" s="27" t="s">
        <v>743</v>
      </c>
      <c r="G150" s="29" t="s">
        <v>132</v>
      </c>
      <c r="H150" s="27" t="s">
        <v>99</v>
      </c>
      <c r="I150" s="31" t="s">
        <v>117</v>
      </c>
      <c r="J150" s="69">
        <v>7834</v>
      </c>
      <c r="K150" s="69">
        <v>7796</v>
      </c>
      <c r="L150" s="36">
        <v>7799</v>
      </c>
      <c r="M150" s="36">
        <v>7811</v>
      </c>
      <c r="N150" s="36">
        <v>7919</v>
      </c>
      <c r="O150" s="36">
        <v>7969</v>
      </c>
      <c r="P150" s="36">
        <v>8191</v>
      </c>
      <c r="Q150" s="36">
        <v>8240</v>
      </c>
      <c r="R150" s="69">
        <v>8472</v>
      </c>
      <c r="S150" s="69">
        <v>8646</v>
      </c>
      <c r="T150" s="71">
        <v>8751</v>
      </c>
      <c r="U150" s="36">
        <v>14161</v>
      </c>
      <c r="V150" s="36">
        <v>9082</v>
      </c>
      <c r="W150" s="36">
        <v>4396</v>
      </c>
      <c r="X150" s="36">
        <v>256.15021200088137</v>
      </c>
      <c r="Y150" s="36">
        <v>15377</v>
      </c>
      <c r="Z150" s="36">
        <v>9045</v>
      </c>
      <c r="AA150" s="36">
        <v>4470</v>
      </c>
      <c r="AB150" s="36">
        <v>332.33934268794582</v>
      </c>
      <c r="AC150" s="36">
        <v>14053</v>
      </c>
      <c r="AD150" s="36">
        <v>9180</v>
      </c>
      <c r="AE150" s="36">
        <v>4976</v>
      </c>
      <c r="AF150" s="36">
        <v>200.48000834212115</v>
      </c>
      <c r="AG150" s="36">
        <v>16073</v>
      </c>
      <c r="AH150" s="36">
        <v>10684</v>
      </c>
      <c r="AI150" s="36">
        <v>4940</v>
      </c>
      <c r="AJ150" s="36">
        <v>204.85289443012044</v>
      </c>
      <c r="AK150" s="36">
        <v>17330</v>
      </c>
      <c r="AL150" s="36">
        <v>10491</v>
      </c>
      <c r="AM150" s="36">
        <v>5036</v>
      </c>
      <c r="AN150" s="36">
        <v>156</v>
      </c>
      <c r="AO150" s="36">
        <v>17314</v>
      </c>
      <c r="AP150" s="36">
        <v>10610</v>
      </c>
      <c r="AQ150" s="36">
        <v>5079</v>
      </c>
      <c r="AR150" s="36">
        <v>2831</v>
      </c>
      <c r="AS150" s="36">
        <v>17550</v>
      </c>
      <c r="AT150" s="36">
        <v>10907</v>
      </c>
      <c r="AU150" s="36">
        <v>5788</v>
      </c>
      <c r="AV150" s="36">
        <v>148</v>
      </c>
      <c r="AW150" s="36">
        <v>18905</v>
      </c>
      <c r="AX150" s="69">
        <v>12074</v>
      </c>
      <c r="AY150" s="36">
        <v>5954</v>
      </c>
      <c r="AZ150" s="36">
        <v>169</v>
      </c>
      <c r="BA150" s="36">
        <v>20085</v>
      </c>
      <c r="BB150" s="36">
        <v>13869</v>
      </c>
      <c r="BC150" s="36">
        <v>6670</v>
      </c>
      <c r="BD150" s="36">
        <v>16</v>
      </c>
      <c r="BE150" s="70">
        <v>21986</v>
      </c>
      <c r="BF150" s="70">
        <v>14161</v>
      </c>
      <c r="BG150" s="70">
        <v>7018</v>
      </c>
      <c r="BH150" s="70">
        <v>158</v>
      </c>
      <c r="BI150" s="36">
        <v>23572</v>
      </c>
      <c r="BJ150" s="36">
        <v>16672</v>
      </c>
      <c r="BK150" s="36">
        <v>7151</v>
      </c>
      <c r="BL150" s="36">
        <v>26</v>
      </c>
      <c r="BM150" s="36">
        <v>11813.183578803611</v>
      </c>
      <c r="BN150" s="36">
        <v>1344.6624720597806</v>
      </c>
      <c r="BO150" s="36">
        <v>1003.2409813429133</v>
      </c>
      <c r="BP150" s="36">
        <v>12222.889367663853</v>
      </c>
      <c r="BQ150" s="36">
        <v>1832.2392708717011</v>
      </c>
      <c r="BR150" s="36">
        <v>1321.4525382080922</v>
      </c>
      <c r="BS150" s="36">
        <v>11856.071500051297</v>
      </c>
      <c r="BT150" s="36">
        <v>814.53412785309786</v>
      </c>
      <c r="BU150" s="36">
        <v>1382.5047555136207</v>
      </c>
      <c r="BV150" s="36">
        <v>13894</v>
      </c>
      <c r="BW150" s="36">
        <v>773</v>
      </c>
      <c r="BX150" s="36">
        <v>1406</v>
      </c>
      <c r="BY150" s="36">
        <v>15011</v>
      </c>
      <c r="BZ150" s="36">
        <v>893</v>
      </c>
      <c r="CA150" s="36">
        <v>1426</v>
      </c>
      <c r="CB150" s="36">
        <v>15434</v>
      </c>
      <c r="CC150" s="36">
        <v>390</v>
      </c>
      <c r="CD150" s="36">
        <v>1490</v>
      </c>
      <c r="CE150" s="36">
        <v>15428</v>
      </c>
      <c r="CF150" s="36">
        <v>655</v>
      </c>
      <c r="CG150" s="36">
        <v>1467</v>
      </c>
      <c r="CH150" s="36">
        <v>16291</v>
      </c>
      <c r="CI150" s="36">
        <v>1087</v>
      </c>
      <c r="CJ150" s="70">
        <v>1527</v>
      </c>
      <c r="CK150" s="70">
        <v>16494</v>
      </c>
      <c r="CL150" s="70">
        <v>1359</v>
      </c>
      <c r="CM150" s="36">
        <v>2232</v>
      </c>
      <c r="CN150" s="36">
        <v>18269</v>
      </c>
      <c r="CO150" s="36">
        <v>1423</v>
      </c>
      <c r="CP150" s="36">
        <v>2294</v>
      </c>
      <c r="CQ150" s="36">
        <v>19818</v>
      </c>
      <c r="CR150" s="36">
        <v>1343</v>
      </c>
      <c r="CS150" s="36">
        <v>2411</v>
      </c>
      <c r="CT150" s="36">
        <v>1112.8995093958185</v>
      </c>
      <c r="CU150" s="36">
        <v>-3081.7073770000002</v>
      </c>
      <c r="CV150" s="36">
        <v>1274.1917308724076</v>
      </c>
      <c r="CW150" s="36">
        <v>7358</v>
      </c>
      <c r="CX150" s="36">
        <v>1777.0736309923254</v>
      </c>
      <c r="CY150" s="36">
        <v>-3123.2497939999998</v>
      </c>
      <c r="CZ150" s="36">
        <v>1315.7341487084009</v>
      </c>
      <c r="DA150" s="36">
        <v>8476</v>
      </c>
      <c r="DB150" s="36">
        <v>-978.85373200599417</v>
      </c>
      <c r="DC150" s="36">
        <v>-648.36445649999996</v>
      </c>
      <c r="DD150" s="36">
        <v>1399.9962998656179</v>
      </c>
      <c r="DE150" s="36">
        <v>10417</v>
      </c>
      <c r="DF150" s="36">
        <v>1163.1876994078102</v>
      </c>
      <c r="DG150" s="36">
        <v>-3743</v>
      </c>
      <c r="DH150" s="36">
        <v>1355.2583114268559</v>
      </c>
      <c r="DI150" s="36">
        <v>12271</v>
      </c>
      <c r="DJ150" s="36">
        <v>2036</v>
      </c>
      <c r="DK150" s="36">
        <v>-1236</v>
      </c>
      <c r="DL150" s="36">
        <v>1421</v>
      </c>
      <c r="DM150" s="36">
        <v>11672</v>
      </c>
      <c r="DN150" s="36">
        <v>732</v>
      </c>
      <c r="DO150" s="69">
        <v>4094</v>
      </c>
      <c r="DP150" s="36">
        <v>1300</v>
      </c>
      <c r="DQ150" s="36">
        <v>12908</v>
      </c>
      <c r="DR150" s="36">
        <v>194</v>
      </c>
      <c r="DS150" s="36">
        <v>-4024</v>
      </c>
      <c r="DT150" s="36">
        <v>1327</v>
      </c>
      <c r="DU150" s="36">
        <v>16943</v>
      </c>
      <c r="DV150" s="36">
        <v>-939</v>
      </c>
      <c r="DW150" s="71">
        <v>-3711</v>
      </c>
      <c r="DX150" s="39">
        <v>1540</v>
      </c>
      <c r="DY150" s="71">
        <v>20564</v>
      </c>
      <c r="DZ150" s="70">
        <v>1513</v>
      </c>
      <c r="EA150" s="35">
        <v>-2801</v>
      </c>
      <c r="EB150" s="35">
        <v>1679</v>
      </c>
      <c r="EC150" s="38">
        <v>22504</v>
      </c>
      <c r="ED150" s="38">
        <v>1330</v>
      </c>
      <c r="EE150" s="38">
        <v>-2670</v>
      </c>
      <c r="EF150" s="38">
        <v>1713</v>
      </c>
      <c r="EG150" s="73">
        <v>23423</v>
      </c>
      <c r="EH150" s="73">
        <v>1765</v>
      </c>
      <c r="EI150" s="73">
        <v>-1965</v>
      </c>
      <c r="EJ150" s="73">
        <v>1789</v>
      </c>
      <c r="EK150" s="73">
        <v>23313</v>
      </c>
      <c r="EL150" s="73">
        <v>25160.745610715589</v>
      </c>
      <c r="EM150" s="73">
        <v>174.74725559350995</v>
      </c>
      <c r="EN150" s="73">
        <v>25924.150608924389</v>
      </c>
      <c r="EO150" s="73">
        <v>747.42714519495496</v>
      </c>
      <c r="EP150" s="73">
        <v>27568.355778012119</v>
      </c>
      <c r="EQ150" s="73">
        <v>-1975.030820437524</v>
      </c>
      <c r="ER150" s="73">
        <v>28832.288045370373</v>
      </c>
      <c r="ES150" s="73">
        <v>99.062688685829997</v>
      </c>
      <c r="ET150" s="73">
        <v>30453</v>
      </c>
      <c r="EU150" s="73">
        <v>917</v>
      </c>
      <c r="EV150" s="73">
        <v>31981</v>
      </c>
      <c r="EW150" s="73">
        <v>1076</v>
      </c>
      <c r="EX150" s="73">
        <v>33737</v>
      </c>
      <c r="EY150" s="73">
        <v>-1137</v>
      </c>
      <c r="EZ150" s="73">
        <v>37467</v>
      </c>
      <c r="FA150" s="73">
        <v>-2483</v>
      </c>
      <c r="FB150" s="73">
        <v>38579</v>
      </c>
      <c r="FC150" s="73">
        <v>-126</v>
      </c>
      <c r="FD150" s="73">
        <v>41144</v>
      </c>
      <c r="FE150" s="73">
        <v>-321</v>
      </c>
      <c r="FF150" s="73">
        <v>44943</v>
      </c>
      <c r="FG150" s="73">
        <v>33</v>
      </c>
      <c r="FH150" s="73">
        <v>-1974</v>
      </c>
      <c r="FI150" s="73">
        <v>-1941</v>
      </c>
      <c r="FJ150" s="79">
        <v>8856</v>
      </c>
      <c r="FK150" s="80">
        <v>23517</v>
      </c>
      <c r="FL150" s="80">
        <v>19226</v>
      </c>
      <c r="FM150" s="80">
        <v>7246</v>
      </c>
      <c r="FN150" s="76">
        <v>9</v>
      </c>
      <c r="FO150" s="80">
        <v>20018</v>
      </c>
      <c r="FP150" s="80">
        <v>1005</v>
      </c>
      <c r="FQ150" s="80">
        <v>2494</v>
      </c>
      <c r="FR150" s="80">
        <v>984</v>
      </c>
      <c r="FS150" s="81">
        <v>-2570</v>
      </c>
      <c r="FT150" s="76">
        <v>1832</v>
      </c>
      <c r="FU150" s="76">
        <v>23424</v>
      </c>
      <c r="FV150" s="76">
        <v>2570</v>
      </c>
      <c r="FW150" s="80">
        <v>48276</v>
      </c>
      <c r="FX150" s="80">
        <v>-793</v>
      </c>
      <c r="FY150" s="73">
        <v>8857</v>
      </c>
      <c r="FZ150" s="73">
        <v>24897</v>
      </c>
      <c r="GA150" s="73">
        <v>21009</v>
      </c>
      <c r="GB150" s="73">
        <v>13418</v>
      </c>
      <c r="GC150" s="73">
        <v>7</v>
      </c>
      <c r="GD150" s="73">
        <v>20980</v>
      </c>
      <c r="GE150" s="73">
        <v>1060</v>
      </c>
      <c r="GF150" s="73">
        <v>2857</v>
      </c>
      <c r="GG150" s="73">
        <v>4248</v>
      </c>
      <c r="GH150" s="73">
        <v>-2313</v>
      </c>
      <c r="GI150" s="73">
        <v>1859</v>
      </c>
      <c r="GJ150" s="73">
        <v>23597</v>
      </c>
      <c r="GK150" s="73">
        <v>2313</v>
      </c>
      <c r="GL150" s="73">
        <v>54456</v>
      </c>
      <c r="GM150" s="73">
        <v>2441</v>
      </c>
      <c r="GN150" s="73">
        <v>-293</v>
      </c>
      <c r="GO150" s="77">
        <v>19.5</v>
      </c>
      <c r="GP150" s="78">
        <v>8909</v>
      </c>
      <c r="GQ150" s="73">
        <v>26067</v>
      </c>
      <c r="GR150" s="65">
        <v>21057</v>
      </c>
      <c r="GS150" s="65">
        <v>14335</v>
      </c>
      <c r="GT150" s="65">
        <v>6</v>
      </c>
      <c r="GU150" s="65">
        <v>21660</v>
      </c>
      <c r="GV150" s="65">
        <v>1553</v>
      </c>
      <c r="GW150" s="65">
        <v>2854</v>
      </c>
      <c r="GX150" s="65">
        <v>4044</v>
      </c>
      <c r="GY150" s="65">
        <v>-4509</v>
      </c>
      <c r="GZ150" s="65">
        <v>1941</v>
      </c>
      <c r="HA150" s="65">
        <v>23916</v>
      </c>
      <c r="HB150" s="65">
        <v>4509</v>
      </c>
      <c r="HC150" s="65">
        <v>56860</v>
      </c>
      <c r="HD150" s="65">
        <v>2151</v>
      </c>
      <c r="HE150" s="78">
        <v>8948</v>
      </c>
      <c r="HF150" s="73">
        <v>26585</v>
      </c>
      <c r="HG150" s="65">
        <v>22220</v>
      </c>
      <c r="HH150" s="65">
        <v>14617</v>
      </c>
      <c r="HI150" s="65">
        <v>0</v>
      </c>
      <c r="HJ150" s="65">
        <v>21976</v>
      </c>
      <c r="HK150" s="65">
        <v>1675</v>
      </c>
      <c r="HL150" s="65">
        <v>2934</v>
      </c>
      <c r="HM150" s="65">
        <v>2614</v>
      </c>
      <c r="HN150" s="65">
        <v>-5370</v>
      </c>
      <c r="HO150" s="65">
        <v>2028</v>
      </c>
      <c r="HP150" s="65">
        <v>25890</v>
      </c>
      <c r="HQ150" s="65">
        <v>5370</v>
      </c>
      <c r="HR150" s="65">
        <v>60218</v>
      </c>
      <c r="HS150" s="65">
        <v>631</v>
      </c>
      <c r="HT150" s="65">
        <v>2489</v>
      </c>
      <c r="HU150" s="77">
        <v>20</v>
      </c>
      <c r="HV150" s="180">
        <v>230</v>
      </c>
      <c r="HW150" s="30" t="s">
        <v>756</v>
      </c>
    </row>
    <row r="151" spans="1:231" ht="15" x14ac:dyDescent="0.25">
      <c r="A151" s="27">
        <v>495</v>
      </c>
      <c r="B151" s="27" t="s">
        <v>279</v>
      </c>
      <c r="C151" s="27">
        <v>13</v>
      </c>
      <c r="D151" s="27" t="s">
        <v>111</v>
      </c>
      <c r="E151" s="27">
        <v>1</v>
      </c>
      <c r="F151" s="27" t="s">
        <v>103</v>
      </c>
      <c r="G151" s="29" t="s">
        <v>130</v>
      </c>
      <c r="H151" s="27" t="s">
        <v>98</v>
      </c>
      <c r="I151" s="31" t="s">
        <v>111</v>
      </c>
      <c r="J151" s="69">
        <v>2187</v>
      </c>
      <c r="K151" s="69">
        <v>2170</v>
      </c>
      <c r="L151" s="36">
        <v>2153</v>
      </c>
      <c r="M151" s="36">
        <v>2109</v>
      </c>
      <c r="N151" s="36">
        <v>2079</v>
      </c>
      <c r="O151" s="36">
        <v>2065</v>
      </c>
      <c r="P151" s="36">
        <v>2036</v>
      </c>
      <c r="Q151" s="36">
        <v>2020</v>
      </c>
      <c r="R151" s="69">
        <v>1994</v>
      </c>
      <c r="S151" s="69">
        <v>1963</v>
      </c>
      <c r="T151" s="71">
        <v>1953</v>
      </c>
      <c r="U151" s="36">
        <v>4700</v>
      </c>
      <c r="V151" s="36">
        <v>2526</v>
      </c>
      <c r="W151" s="36">
        <v>1270</v>
      </c>
      <c r="X151" s="36">
        <v>50.288190011991794</v>
      </c>
      <c r="Y151" s="36">
        <v>4329</v>
      </c>
      <c r="Z151" s="36">
        <v>2257</v>
      </c>
      <c r="AA151" s="36">
        <v>1313</v>
      </c>
      <c r="AB151" s="36">
        <v>61.556781084913034</v>
      </c>
      <c r="AC151" s="36">
        <v>4457</v>
      </c>
      <c r="AD151" s="36">
        <v>2388</v>
      </c>
      <c r="AE151" s="36">
        <v>1232</v>
      </c>
      <c r="AF151" s="36">
        <v>17.491544351997145</v>
      </c>
      <c r="AG151" s="36">
        <v>4100</v>
      </c>
      <c r="AH151" s="36">
        <v>2898</v>
      </c>
      <c r="AI151" s="36">
        <v>1294</v>
      </c>
      <c r="AJ151" s="36">
        <v>25.060001042765144</v>
      </c>
      <c r="AK151" s="36">
        <v>3639</v>
      </c>
      <c r="AL151" s="36">
        <v>3122</v>
      </c>
      <c r="AM151" s="36">
        <v>1369</v>
      </c>
      <c r="AN151" s="36">
        <v>11</v>
      </c>
      <c r="AO151" s="36">
        <v>3646</v>
      </c>
      <c r="AP151" s="36">
        <v>4431</v>
      </c>
      <c r="AQ151" s="36">
        <v>1413</v>
      </c>
      <c r="AR151" s="36">
        <v>197</v>
      </c>
      <c r="AS151" s="36">
        <v>3737</v>
      </c>
      <c r="AT151" s="36">
        <v>4298</v>
      </c>
      <c r="AU151" s="36">
        <v>1486</v>
      </c>
      <c r="AV151" s="36">
        <v>40</v>
      </c>
      <c r="AW151" s="36">
        <v>3770</v>
      </c>
      <c r="AX151" s="69">
        <v>4472</v>
      </c>
      <c r="AY151" s="36">
        <v>1541</v>
      </c>
      <c r="AZ151" s="36">
        <v>42</v>
      </c>
      <c r="BA151" s="36">
        <v>4194</v>
      </c>
      <c r="BB151" s="36">
        <v>4676</v>
      </c>
      <c r="BC151" s="36">
        <v>1702</v>
      </c>
      <c r="BD151" s="36">
        <v>1</v>
      </c>
      <c r="BE151" s="70">
        <v>4387</v>
      </c>
      <c r="BF151" s="70">
        <v>4667</v>
      </c>
      <c r="BG151" s="70">
        <v>1793</v>
      </c>
      <c r="BH151" s="70">
        <v>19</v>
      </c>
      <c r="BI151" s="36">
        <v>4803</v>
      </c>
      <c r="BJ151" s="36">
        <v>5216</v>
      </c>
      <c r="BK151" s="36">
        <v>1857</v>
      </c>
      <c r="BL151" s="36">
        <v>0</v>
      </c>
      <c r="BM151" s="36">
        <v>3633.531963274484</v>
      </c>
      <c r="BN151" s="36">
        <v>944.71158293430744</v>
      </c>
      <c r="BO151" s="36">
        <v>121.26349497874945</v>
      </c>
      <c r="BP151" s="36">
        <v>3022.5052264398146</v>
      </c>
      <c r="BQ151" s="36">
        <v>1183.5384385096531</v>
      </c>
      <c r="BR151" s="36">
        <v>123.44993802274909</v>
      </c>
      <c r="BS151" s="36">
        <v>2712.0303141918653</v>
      </c>
      <c r="BT151" s="36">
        <v>1605.8583218545073</v>
      </c>
      <c r="BU151" s="36">
        <v>138.58685140428508</v>
      </c>
      <c r="BV151" s="36">
        <v>2946</v>
      </c>
      <c r="BW151" s="36">
        <v>1012</v>
      </c>
      <c r="BX151" s="36">
        <v>142</v>
      </c>
      <c r="BY151" s="36">
        <v>3065</v>
      </c>
      <c r="BZ151" s="36">
        <v>423</v>
      </c>
      <c r="CA151" s="36">
        <v>151</v>
      </c>
      <c r="CB151" s="36">
        <v>3176</v>
      </c>
      <c r="CC151" s="36">
        <v>281</v>
      </c>
      <c r="CD151" s="36">
        <v>189</v>
      </c>
      <c r="CE151" s="36">
        <v>3165</v>
      </c>
      <c r="CF151" s="36">
        <v>386</v>
      </c>
      <c r="CG151" s="36">
        <v>186</v>
      </c>
      <c r="CH151" s="36">
        <v>3020</v>
      </c>
      <c r="CI151" s="36">
        <v>551</v>
      </c>
      <c r="CJ151" s="70">
        <v>199</v>
      </c>
      <c r="CK151" s="70">
        <v>3305</v>
      </c>
      <c r="CL151" s="70">
        <v>689</v>
      </c>
      <c r="CM151" s="36">
        <v>200</v>
      </c>
      <c r="CN151" s="36">
        <v>3298</v>
      </c>
      <c r="CO151" s="36">
        <v>803</v>
      </c>
      <c r="CP151" s="36">
        <v>286</v>
      </c>
      <c r="CQ151" s="36">
        <v>3626</v>
      </c>
      <c r="CR151" s="36">
        <v>966</v>
      </c>
      <c r="CS151" s="36">
        <v>211</v>
      </c>
      <c r="CT151" s="36">
        <v>187.69772593104631</v>
      </c>
      <c r="CU151" s="36">
        <v>-521.04619620000005</v>
      </c>
      <c r="CV151" s="36">
        <v>278.8555820731853</v>
      </c>
      <c r="CW151" s="36">
        <v>1438</v>
      </c>
      <c r="CX151" s="36">
        <v>-143.63248919813043</v>
      </c>
      <c r="CY151" s="36">
        <v>-86.95315798</v>
      </c>
      <c r="CZ151" s="36">
        <v>239.49960728119171</v>
      </c>
      <c r="DA151" s="36">
        <v>1068</v>
      </c>
      <c r="DB151" s="36">
        <v>-370.01343821532424</v>
      </c>
      <c r="DC151" s="36">
        <v>-584.62123240000005</v>
      </c>
      <c r="DD151" s="36">
        <v>256.48658785380434</v>
      </c>
      <c r="DE151" s="36">
        <v>1780</v>
      </c>
      <c r="DF151" s="36">
        <v>-764.58231369402915</v>
      </c>
      <c r="DG151" s="36">
        <v>-23</v>
      </c>
      <c r="DH151" s="36">
        <v>261.86860150057265</v>
      </c>
      <c r="DI151" s="36">
        <v>2807</v>
      </c>
      <c r="DJ151" s="36">
        <v>-689</v>
      </c>
      <c r="DK151" s="36">
        <v>-392</v>
      </c>
      <c r="DL151" s="36">
        <v>274</v>
      </c>
      <c r="DM151" s="36">
        <v>4418</v>
      </c>
      <c r="DN151" s="36">
        <v>649</v>
      </c>
      <c r="DO151" s="69">
        <v>-110</v>
      </c>
      <c r="DP151" s="36">
        <v>268</v>
      </c>
      <c r="DQ151" s="36">
        <v>3754</v>
      </c>
      <c r="DR151" s="36">
        <v>153</v>
      </c>
      <c r="DS151" s="36">
        <v>-244</v>
      </c>
      <c r="DT151" s="36">
        <v>260</v>
      </c>
      <c r="DU151" s="36">
        <v>3345</v>
      </c>
      <c r="DV151" s="36">
        <v>165</v>
      </c>
      <c r="DW151" s="71">
        <v>-759</v>
      </c>
      <c r="DX151" s="39">
        <v>255</v>
      </c>
      <c r="DY151" s="71">
        <v>3936</v>
      </c>
      <c r="DZ151" s="70">
        <v>782</v>
      </c>
      <c r="EA151" s="35">
        <v>-666</v>
      </c>
      <c r="EB151" s="35">
        <v>283</v>
      </c>
      <c r="EC151" s="38">
        <v>4220</v>
      </c>
      <c r="ED151" s="38">
        <v>466</v>
      </c>
      <c r="EE151" s="38">
        <v>-244</v>
      </c>
      <c r="EF151" s="38">
        <v>305</v>
      </c>
      <c r="EG151" s="73">
        <v>3859</v>
      </c>
      <c r="EH151" s="73">
        <v>0</v>
      </c>
      <c r="EI151" s="73">
        <v>-184</v>
      </c>
      <c r="EJ151" s="73">
        <v>309</v>
      </c>
      <c r="EK151" s="73">
        <v>3374</v>
      </c>
      <c r="EL151" s="73">
        <v>7861.271870737487</v>
      </c>
      <c r="EM151" s="73">
        <v>-47.09261940922309</v>
      </c>
      <c r="EN151" s="73">
        <v>7704.3525353488976</v>
      </c>
      <c r="EO151" s="73">
        <v>191.06148446027652</v>
      </c>
      <c r="EP151" s="73">
        <v>8043.5875830217647</v>
      </c>
      <c r="EQ151" s="73">
        <v>-528.61465286852922</v>
      </c>
      <c r="ER151" s="73">
        <v>8580.2752563604481</v>
      </c>
      <c r="ES151" s="73">
        <v>-724.72177512265102</v>
      </c>
      <c r="ET151" s="73">
        <v>8678</v>
      </c>
      <c r="EU151" s="73">
        <v>-956</v>
      </c>
      <c r="EV151" s="73">
        <v>8705</v>
      </c>
      <c r="EW151" s="73">
        <v>563</v>
      </c>
      <c r="EX151" s="73">
        <v>9261</v>
      </c>
      <c r="EY151" s="73">
        <v>-106</v>
      </c>
      <c r="EZ151" s="73">
        <v>9516</v>
      </c>
      <c r="FA151" s="73">
        <v>-66</v>
      </c>
      <c r="FB151" s="73">
        <v>9673</v>
      </c>
      <c r="FC151" s="73">
        <v>499</v>
      </c>
      <c r="FD151" s="73">
        <v>10239</v>
      </c>
      <c r="FE151" s="73">
        <v>161</v>
      </c>
      <c r="FF151" s="73">
        <v>11740</v>
      </c>
      <c r="FG151" s="73">
        <v>-309</v>
      </c>
      <c r="FH151" s="73">
        <v>-422</v>
      </c>
      <c r="FI151" s="73">
        <v>-731</v>
      </c>
      <c r="FJ151" s="79">
        <v>1919</v>
      </c>
      <c r="FK151" s="80">
        <v>4935</v>
      </c>
      <c r="FL151" s="80">
        <v>5478</v>
      </c>
      <c r="FM151" s="80">
        <v>2350</v>
      </c>
      <c r="FN151" s="76">
        <v>0</v>
      </c>
      <c r="FO151" s="80">
        <v>3886</v>
      </c>
      <c r="FP151" s="80">
        <v>824</v>
      </c>
      <c r="FQ151" s="80">
        <v>225</v>
      </c>
      <c r="FR151" s="80">
        <v>148</v>
      </c>
      <c r="FS151" s="81">
        <v>-302</v>
      </c>
      <c r="FT151" s="76">
        <v>328</v>
      </c>
      <c r="FU151" s="76">
        <v>3736</v>
      </c>
      <c r="FV151" s="76">
        <v>302</v>
      </c>
      <c r="FW151" s="80">
        <v>12466</v>
      </c>
      <c r="FX151" s="80">
        <v>-180</v>
      </c>
      <c r="FY151" s="73">
        <v>1890</v>
      </c>
      <c r="FZ151" s="73">
        <v>4697</v>
      </c>
      <c r="GA151" s="73">
        <v>6106</v>
      </c>
      <c r="GB151" s="73">
        <v>2403</v>
      </c>
      <c r="GC151" s="73">
        <v>9</v>
      </c>
      <c r="GD151" s="73">
        <v>3409</v>
      </c>
      <c r="GE151" s="73">
        <v>1036</v>
      </c>
      <c r="GF151" s="73">
        <v>252</v>
      </c>
      <c r="GG151" s="73">
        <v>685</v>
      </c>
      <c r="GH151" s="73">
        <v>-507</v>
      </c>
      <c r="GI151" s="73">
        <v>353</v>
      </c>
      <c r="GJ151" s="73">
        <v>4090</v>
      </c>
      <c r="GK151" s="73">
        <v>507</v>
      </c>
      <c r="GL151" s="73">
        <v>12475</v>
      </c>
      <c r="GM151" s="73">
        <v>332</v>
      </c>
      <c r="GN151" s="73">
        <v>-580</v>
      </c>
      <c r="GO151" s="77">
        <v>19.75</v>
      </c>
      <c r="GP151" s="78">
        <v>1847</v>
      </c>
      <c r="GQ151" s="73">
        <v>5002</v>
      </c>
      <c r="GR151" s="65">
        <v>5952</v>
      </c>
      <c r="GS151" s="65">
        <v>2575</v>
      </c>
      <c r="GT151" s="65">
        <v>32</v>
      </c>
      <c r="GU151" s="65">
        <v>3732</v>
      </c>
      <c r="GV151" s="65">
        <v>1017</v>
      </c>
      <c r="GW151" s="65">
        <v>253</v>
      </c>
      <c r="GX151" s="65">
        <v>-82</v>
      </c>
      <c r="GY151" s="65">
        <v>-338</v>
      </c>
      <c r="GZ151" s="65">
        <v>383</v>
      </c>
      <c r="HA151" s="65">
        <v>3728</v>
      </c>
      <c r="HB151" s="65">
        <v>338</v>
      </c>
      <c r="HC151" s="65">
        <v>13580</v>
      </c>
      <c r="HD151" s="65">
        <v>-465</v>
      </c>
      <c r="HE151" s="78">
        <v>1816</v>
      </c>
      <c r="HF151" s="73">
        <v>4822</v>
      </c>
      <c r="HG151" s="65">
        <v>6367</v>
      </c>
      <c r="HH151" s="65">
        <v>2604</v>
      </c>
      <c r="HI151" s="65">
        <v>4</v>
      </c>
      <c r="HJ151" s="65">
        <v>3885</v>
      </c>
      <c r="HK151" s="65">
        <v>615</v>
      </c>
      <c r="HL151" s="65">
        <v>322</v>
      </c>
      <c r="HM151" s="65">
        <v>11</v>
      </c>
      <c r="HN151" s="65">
        <v>170</v>
      </c>
      <c r="HO151" s="65">
        <v>386</v>
      </c>
      <c r="HP151" s="65">
        <v>3960</v>
      </c>
      <c r="HQ151" s="65">
        <v>-170</v>
      </c>
      <c r="HR151" s="65">
        <v>13714</v>
      </c>
      <c r="HS151" s="65">
        <v>-375</v>
      </c>
      <c r="HT151" s="65">
        <v>-1420</v>
      </c>
      <c r="HU151" s="77">
        <v>21</v>
      </c>
      <c r="HV151" s="180">
        <v>340</v>
      </c>
      <c r="HW151" s="30" t="s">
        <v>761</v>
      </c>
    </row>
    <row r="152" spans="1:231" ht="15" x14ac:dyDescent="0.25">
      <c r="A152" s="27">
        <v>498</v>
      </c>
      <c r="B152" s="27" t="s">
        <v>280</v>
      </c>
      <c r="C152" s="27">
        <v>19</v>
      </c>
      <c r="D152" s="27" t="s">
        <v>113</v>
      </c>
      <c r="E152" s="27">
        <v>2</v>
      </c>
      <c r="F152" s="27" t="s">
        <v>744</v>
      </c>
      <c r="G152" s="29" t="s">
        <v>130</v>
      </c>
      <c r="H152" s="27" t="s">
        <v>98</v>
      </c>
      <c r="I152" s="31" t="s">
        <v>113</v>
      </c>
      <c r="J152" s="69">
        <v>2584</v>
      </c>
      <c r="K152" s="69">
        <v>2565</v>
      </c>
      <c r="L152" s="36">
        <v>2512</v>
      </c>
      <c r="M152" s="36">
        <v>2474</v>
      </c>
      <c r="N152" s="36">
        <v>2460</v>
      </c>
      <c r="O152" s="36">
        <v>2464</v>
      </c>
      <c r="P152" s="36">
        <v>2442</v>
      </c>
      <c r="Q152" s="36">
        <v>2418</v>
      </c>
      <c r="R152" s="69">
        <v>2403</v>
      </c>
      <c r="S152" s="69">
        <v>2363</v>
      </c>
      <c r="T152" s="71">
        <v>2360</v>
      </c>
      <c r="U152" s="36">
        <v>5215</v>
      </c>
      <c r="V152" s="36">
        <v>4139</v>
      </c>
      <c r="W152" s="36">
        <v>1613</v>
      </c>
      <c r="X152" s="36">
        <v>78.711949583987163</v>
      </c>
      <c r="Y152" s="36">
        <v>5160</v>
      </c>
      <c r="Z152" s="36">
        <v>3833</v>
      </c>
      <c r="AA152" s="36">
        <v>1593</v>
      </c>
      <c r="AB152" s="36">
        <v>93.007923333215601</v>
      </c>
      <c r="AC152" s="36">
        <v>5215</v>
      </c>
      <c r="AD152" s="36">
        <v>4128</v>
      </c>
      <c r="AE152" s="36">
        <v>1561</v>
      </c>
      <c r="AF152" s="36">
        <v>56.006579511683164</v>
      </c>
      <c r="AG152" s="36">
        <v>5291</v>
      </c>
      <c r="AH152" s="36">
        <v>4281</v>
      </c>
      <c r="AI152" s="36">
        <v>1584</v>
      </c>
      <c r="AJ152" s="36">
        <v>60.884029379066995</v>
      </c>
      <c r="AK152" s="36">
        <v>5480</v>
      </c>
      <c r="AL152" s="36">
        <v>5015</v>
      </c>
      <c r="AM152" s="36">
        <v>1668</v>
      </c>
      <c r="AN152" s="36">
        <v>30</v>
      </c>
      <c r="AO152" s="36">
        <v>5258</v>
      </c>
      <c r="AP152" s="36">
        <v>5179</v>
      </c>
      <c r="AQ152" s="36">
        <v>1728</v>
      </c>
      <c r="AR152" s="36">
        <v>23</v>
      </c>
      <c r="AS152" s="36">
        <v>5417</v>
      </c>
      <c r="AT152" s="36">
        <v>5384</v>
      </c>
      <c r="AU152" s="36">
        <v>1628</v>
      </c>
      <c r="AV152" s="36">
        <v>31</v>
      </c>
      <c r="AW152" s="36">
        <v>5597</v>
      </c>
      <c r="AX152" s="69">
        <v>5260</v>
      </c>
      <c r="AY152" s="36">
        <v>1555</v>
      </c>
      <c r="AZ152" s="36">
        <v>34</v>
      </c>
      <c r="BA152" s="36">
        <v>5917</v>
      </c>
      <c r="BB152" s="36">
        <v>5244</v>
      </c>
      <c r="BC152" s="36">
        <v>1690</v>
      </c>
      <c r="BD152" s="36">
        <v>0</v>
      </c>
      <c r="BE152" s="70">
        <v>6475</v>
      </c>
      <c r="BF152" s="70">
        <v>5841</v>
      </c>
      <c r="BG152" s="70">
        <v>1903</v>
      </c>
      <c r="BH152" s="70">
        <v>26</v>
      </c>
      <c r="BI152" s="36">
        <v>7067</v>
      </c>
      <c r="BJ152" s="36">
        <v>6518</v>
      </c>
      <c r="BK152" s="36">
        <v>1599</v>
      </c>
      <c r="BL152" s="36">
        <v>22</v>
      </c>
      <c r="BM152" s="36">
        <v>4267.9368218873042</v>
      </c>
      <c r="BN152" s="36">
        <v>699.82996200634739</v>
      </c>
      <c r="BO152" s="36">
        <v>247.57262775134421</v>
      </c>
      <c r="BP152" s="36">
        <v>4270.2914528577649</v>
      </c>
      <c r="BQ152" s="36">
        <v>602.78552843805551</v>
      </c>
      <c r="BR152" s="36">
        <v>286.92860254333783</v>
      </c>
      <c r="BS152" s="36">
        <v>4023.391576812267</v>
      </c>
      <c r="BT152" s="36">
        <v>920.6607094503114</v>
      </c>
      <c r="BU152" s="36">
        <v>271.28712538241729</v>
      </c>
      <c r="BV152" s="36">
        <v>4469</v>
      </c>
      <c r="BW152" s="36">
        <v>487</v>
      </c>
      <c r="BX152" s="36">
        <v>335</v>
      </c>
      <c r="BY152" s="36">
        <v>4922</v>
      </c>
      <c r="BZ152" s="36">
        <v>229</v>
      </c>
      <c r="CA152" s="36">
        <v>329</v>
      </c>
      <c r="CB152" s="36">
        <v>4723</v>
      </c>
      <c r="CC152" s="36">
        <v>195</v>
      </c>
      <c r="CD152" s="36">
        <v>340</v>
      </c>
      <c r="CE152" s="36">
        <v>4869</v>
      </c>
      <c r="CF152" s="36">
        <v>211</v>
      </c>
      <c r="CG152" s="36">
        <v>337</v>
      </c>
      <c r="CH152" s="36">
        <v>4858</v>
      </c>
      <c r="CI152" s="36">
        <v>343</v>
      </c>
      <c r="CJ152" s="70">
        <v>396</v>
      </c>
      <c r="CK152" s="70">
        <v>5097</v>
      </c>
      <c r="CL152" s="70">
        <v>420</v>
      </c>
      <c r="CM152" s="36">
        <v>400</v>
      </c>
      <c r="CN152" s="36">
        <v>5510</v>
      </c>
      <c r="CO152" s="36">
        <v>498</v>
      </c>
      <c r="CP152" s="36">
        <v>467</v>
      </c>
      <c r="CQ152" s="36">
        <v>5996</v>
      </c>
      <c r="CR152" s="36">
        <v>486</v>
      </c>
      <c r="CS152" s="36">
        <v>585</v>
      </c>
      <c r="CT152" s="36">
        <v>341.92605449625194</v>
      </c>
      <c r="CU152" s="36">
        <v>-504.22740349999992</v>
      </c>
      <c r="CV152" s="36">
        <v>291.97424033718312</v>
      </c>
      <c r="CW152" s="36">
        <v>2111</v>
      </c>
      <c r="CX152" s="36">
        <v>-270.27799782364821</v>
      </c>
      <c r="CY152" s="36">
        <v>-172.05624879999999</v>
      </c>
      <c r="CZ152" s="36">
        <v>283.06028023472305</v>
      </c>
      <c r="DA152" s="36">
        <v>2469</v>
      </c>
      <c r="DB152" s="36">
        <v>-166.84242304981893</v>
      </c>
      <c r="DC152" s="36">
        <v>-472.27169750000002</v>
      </c>
      <c r="DD152" s="36">
        <v>289.61960936672199</v>
      </c>
      <c r="DE152" s="36">
        <v>2900</v>
      </c>
      <c r="DF152" s="36">
        <v>-616.07237462851492</v>
      </c>
      <c r="DG152" s="36">
        <v>-975</v>
      </c>
      <c r="DH152" s="36">
        <v>294.49705923410579</v>
      </c>
      <c r="DI152" s="36">
        <v>4607</v>
      </c>
      <c r="DJ152" s="36">
        <v>451</v>
      </c>
      <c r="DK152" s="36">
        <v>-1786</v>
      </c>
      <c r="DL152" s="36">
        <v>359</v>
      </c>
      <c r="DM152" s="36">
        <v>5725</v>
      </c>
      <c r="DN152" s="36">
        <v>-65</v>
      </c>
      <c r="DO152" s="69">
        <v>-562</v>
      </c>
      <c r="DP152" s="36">
        <v>415</v>
      </c>
      <c r="DQ152" s="36">
        <v>6329</v>
      </c>
      <c r="DR152" s="36">
        <v>56</v>
      </c>
      <c r="DS152" s="36">
        <v>-346</v>
      </c>
      <c r="DT152" s="36">
        <v>421</v>
      </c>
      <c r="DU152" s="36">
        <v>6764</v>
      </c>
      <c r="DV152" s="36">
        <v>-684</v>
      </c>
      <c r="DW152" s="71">
        <v>-426</v>
      </c>
      <c r="DX152" s="39">
        <v>413</v>
      </c>
      <c r="DY152" s="71">
        <v>7233</v>
      </c>
      <c r="DZ152" s="70">
        <v>-658</v>
      </c>
      <c r="EA152" s="35">
        <v>-197</v>
      </c>
      <c r="EB152" s="35">
        <v>420</v>
      </c>
      <c r="EC152" s="38">
        <v>7710</v>
      </c>
      <c r="ED152" s="38">
        <v>560</v>
      </c>
      <c r="EE152" s="38">
        <v>-896</v>
      </c>
      <c r="EF152" s="38">
        <v>428</v>
      </c>
      <c r="EG152" s="73">
        <v>8418</v>
      </c>
      <c r="EH152" s="73">
        <v>2154</v>
      </c>
      <c r="EI152" s="73">
        <v>-574</v>
      </c>
      <c r="EJ152" s="73">
        <v>484</v>
      </c>
      <c r="EK152" s="73">
        <v>7134</v>
      </c>
      <c r="EL152" s="73">
        <v>10179.406061156493</v>
      </c>
      <c r="EM152" s="73">
        <v>150.86457003597539</v>
      </c>
      <c r="EN152" s="73">
        <v>10440.938286804143</v>
      </c>
      <c r="EO152" s="73">
        <v>-553.33827805837132</v>
      </c>
      <c r="EP152" s="73">
        <v>10582.552520884736</v>
      </c>
      <c r="EQ152" s="73">
        <v>-481.5220334593061</v>
      </c>
      <c r="ER152" s="73">
        <v>11162.128115471101</v>
      </c>
      <c r="ES152" s="73">
        <v>-910.56943386262071</v>
      </c>
      <c r="ET152" s="73">
        <v>11508</v>
      </c>
      <c r="EU152" s="73">
        <v>97</v>
      </c>
      <c r="EV152" s="73">
        <v>12025</v>
      </c>
      <c r="EW152" s="73">
        <v>-467</v>
      </c>
      <c r="EX152" s="73">
        <v>12192</v>
      </c>
      <c r="EY152" s="73">
        <v>-352</v>
      </c>
      <c r="EZ152" s="73">
        <v>12926</v>
      </c>
      <c r="FA152" s="73">
        <v>-1121</v>
      </c>
      <c r="FB152" s="73">
        <v>13244</v>
      </c>
      <c r="FC152" s="73">
        <v>-1065</v>
      </c>
      <c r="FD152" s="73">
        <v>13351</v>
      </c>
      <c r="FE152" s="73">
        <v>145</v>
      </c>
      <c r="FF152" s="73">
        <v>12718</v>
      </c>
      <c r="FG152" s="73">
        <v>1144</v>
      </c>
      <c r="FH152" s="73">
        <v>-3740</v>
      </c>
      <c r="FI152" s="73">
        <v>-2596</v>
      </c>
      <c r="FJ152" s="79">
        <v>2377</v>
      </c>
      <c r="FK152" s="80">
        <v>7194</v>
      </c>
      <c r="FL152" s="80">
        <v>6118</v>
      </c>
      <c r="FM152" s="80">
        <v>1649</v>
      </c>
      <c r="FN152" s="76">
        <v>16</v>
      </c>
      <c r="FO152" s="80">
        <v>6261</v>
      </c>
      <c r="FP152" s="80">
        <v>322</v>
      </c>
      <c r="FQ152" s="80">
        <v>611</v>
      </c>
      <c r="FR152" s="80">
        <v>1600</v>
      </c>
      <c r="FS152" s="81">
        <v>-489</v>
      </c>
      <c r="FT152" s="76">
        <v>494</v>
      </c>
      <c r="FU152" s="76">
        <v>6128</v>
      </c>
      <c r="FV152" s="76">
        <v>489</v>
      </c>
      <c r="FW152" s="80">
        <v>13140</v>
      </c>
      <c r="FX152" s="80">
        <v>1119</v>
      </c>
      <c r="FY152" s="73">
        <v>2401</v>
      </c>
      <c r="FZ152" s="73">
        <v>7277</v>
      </c>
      <c r="GA152" s="73">
        <v>6889</v>
      </c>
      <c r="GB152" s="73">
        <v>1949</v>
      </c>
      <c r="GC152" s="73">
        <v>22</v>
      </c>
      <c r="GD152" s="73">
        <v>6154</v>
      </c>
      <c r="GE152" s="73">
        <v>483</v>
      </c>
      <c r="GF152" s="73">
        <v>640</v>
      </c>
      <c r="GG152" s="73">
        <v>1323</v>
      </c>
      <c r="GH152" s="73">
        <v>-1811</v>
      </c>
      <c r="GI152" s="73">
        <v>482</v>
      </c>
      <c r="GJ152" s="73">
        <v>5362</v>
      </c>
      <c r="GK152" s="73">
        <v>1811</v>
      </c>
      <c r="GL152" s="73">
        <v>14644</v>
      </c>
      <c r="GM152" s="73">
        <v>854</v>
      </c>
      <c r="GN152" s="73">
        <v>-624</v>
      </c>
      <c r="GO152" s="77">
        <v>20.5</v>
      </c>
      <c r="GP152" s="78">
        <v>2369</v>
      </c>
      <c r="GQ152" s="73">
        <v>7436</v>
      </c>
      <c r="GR152" s="65">
        <v>7062</v>
      </c>
      <c r="GS152" s="65">
        <v>1941</v>
      </c>
      <c r="GT152" s="65">
        <v>38</v>
      </c>
      <c r="GU152" s="65">
        <v>6121</v>
      </c>
      <c r="GV152" s="65">
        <v>640</v>
      </c>
      <c r="GW152" s="65">
        <v>675</v>
      </c>
      <c r="GX152" s="65">
        <v>491</v>
      </c>
      <c r="GY152" s="65">
        <v>-905</v>
      </c>
      <c r="GZ152" s="65">
        <v>542</v>
      </c>
      <c r="HA152" s="65">
        <v>5968</v>
      </c>
      <c r="HB152" s="65">
        <v>905</v>
      </c>
      <c r="HC152" s="65">
        <v>15800</v>
      </c>
      <c r="HD152" s="65">
        <v>-26</v>
      </c>
      <c r="HE152" s="78">
        <v>2394</v>
      </c>
      <c r="HF152" s="73">
        <v>7431</v>
      </c>
      <c r="HG152" s="65">
        <v>7788</v>
      </c>
      <c r="HH152" s="65">
        <v>1945</v>
      </c>
      <c r="HI152" s="65">
        <v>25</v>
      </c>
      <c r="HJ152" s="65">
        <v>6293</v>
      </c>
      <c r="HK152" s="65">
        <v>456</v>
      </c>
      <c r="HL152" s="65">
        <v>682</v>
      </c>
      <c r="HM152" s="65">
        <v>168</v>
      </c>
      <c r="HN152" s="65">
        <v>-838</v>
      </c>
      <c r="HO152" s="65">
        <v>554</v>
      </c>
      <c r="HP152" s="65">
        <v>6822</v>
      </c>
      <c r="HQ152" s="65">
        <v>838</v>
      </c>
      <c r="HR152" s="65">
        <v>16878</v>
      </c>
      <c r="HS152" s="65">
        <v>-356</v>
      </c>
      <c r="HT152" s="65">
        <v>-1007</v>
      </c>
      <c r="HU152" s="77">
        <v>20.5</v>
      </c>
      <c r="HV152" s="180">
        <v>340</v>
      </c>
      <c r="HW152" s="30" t="s">
        <v>761</v>
      </c>
    </row>
    <row r="153" spans="1:231" ht="15" x14ac:dyDescent="0.25">
      <c r="A153" s="27">
        <v>499</v>
      </c>
      <c r="B153" s="27" t="s">
        <v>281</v>
      </c>
      <c r="C153" s="27">
        <v>15</v>
      </c>
      <c r="D153" s="27" t="s">
        <v>115</v>
      </c>
      <c r="E153" s="27">
        <v>4</v>
      </c>
      <c r="F153" s="27" t="s">
        <v>100</v>
      </c>
      <c r="G153" s="29" t="s">
        <v>132</v>
      </c>
      <c r="H153" s="27" t="s">
        <v>99</v>
      </c>
      <c r="I153" s="31" t="s">
        <v>115</v>
      </c>
      <c r="J153" s="69">
        <v>16527</v>
      </c>
      <c r="K153" s="69">
        <v>16521</v>
      </c>
      <c r="L153" s="36">
        <v>16614</v>
      </c>
      <c r="M153" s="36">
        <v>16748</v>
      </c>
      <c r="N153" s="36">
        <v>16865</v>
      </c>
      <c r="O153" s="36">
        <v>17028</v>
      </c>
      <c r="P153" s="36">
        <v>17240</v>
      </c>
      <c r="Q153" s="36">
        <v>17369</v>
      </c>
      <c r="R153" s="69">
        <v>17641</v>
      </c>
      <c r="S153" s="69">
        <v>17936</v>
      </c>
      <c r="T153" s="71">
        <v>18112</v>
      </c>
      <c r="U153" s="36">
        <v>33046</v>
      </c>
      <c r="V153" s="36">
        <v>9817</v>
      </c>
      <c r="W153" s="36">
        <v>6298</v>
      </c>
      <c r="X153" s="36">
        <v>650.21452370020154</v>
      </c>
      <c r="Y153" s="36">
        <v>34547</v>
      </c>
      <c r="Z153" s="36">
        <v>10880</v>
      </c>
      <c r="AA153" s="36">
        <v>6835</v>
      </c>
      <c r="AB153" s="36">
        <v>793.34244911894757</v>
      </c>
      <c r="AC153" s="36">
        <v>33764</v>
      </c>
      <c r="AD153" s="36">
        <v>11632</v>
      </c>
      <c r="AE153" s="36">
        <v>6746</v>
      </c>
      <c r="AF153" s="36">
        <v>373.71357259747748</v>
      </c>
      <c r="AG153" s="36">
        <v>39066</v>
      </c>
      <c r="AH153" s="36">
        <v>14721</v>
      </c>
      <c r="AI153" s="36">
        <v>7258</v>
      </c>
      <c r="AJ153" s="36">
        <v>310.81128810087239</v>
      </c>
      <c r="AK153" s="36">
        <v>42063</v>
      </c>
      <c r="AL153" s="36">
        <v>16403</v>
      </c>
      <c r="AM153" s="36">
        <v>7807</v>
      </c>
      <c r="AN153" s="36">
        <v>357</v>
      </c>
      <c r="AO153" s="36">
        <v>40346</v>
      </c>
      <c r="AP153" s="36">
        <v>15841</v>
      </c>
      <c r="AQ153" s="36">
        <v>7905</v>
      </c>
      <c r="AR153" s="36">
        <v>407</v>
      </c>
      <c r="AS153" s="36">
        <v>40428</v>
      </c>
      <c r="AT153" s="36">
        <v>16489</v>
      </c>
      <c r="AU153" s="36">
        <v>8915</v>
      </c>
      <c r="AV153" s="36">
        <v>458</v>
      </c>
      <c r="AW153" s="36">
        <v>42653</v>
      </c>
      <c r="AX153" s="69">
        <v>17634</v>
      </c>
      <c r="AY153" s="36">
        <v>8847</v>
      </c>
      <c r="AZ153" s="36">
        <v>436</v>
      </c>
      <c r="BA153" s="36">
        <v>45455</v>
      </c>
      <c r="BB153" s="36">
        <v>18648</v>
      </c>
      <c r="BC153" s="36">
        <v>9677</v>
      </c>
      <c r="BD153" s="36">
        <v>240</v>
      </c>
      <c r="BE153" s="70">
        <v>49469</v>
      </c>
      <c r="BF153" s="70">
        <v>19274</v>
      </c>
      <c r="BG153" s="70">
        <v>10268</v>
      </c>
      <c r="BH153" s="70">
        <v>372</v>
      </c>
      <c r="BI153" s="36">
        <v>55037</v>
      </c>
      <c r="BJ153" s="36">
        <v>21757</v>
      </c>
      <c r="BK153" s="36">
        <v>11337</v>
      </c>
      <c r="BL153" s="36">
        <v>262</v>
      </c>
      <c r="BM153" s="36">
        <v>29596.029419432096</v>
      </c>
      <c r="BN153" s="36">
        <v>2577.6481609491179</v>
      </c>
      <c r="BO153" s="36">
        <v>871.88621077647315</v>
      </c>
      <c r="BP153" s="36">
        <v>30466.738314723338</v>
      </c>
      <c r="BQ153" s="36">
        <v>2631.8046732697244</v>
      </c>
      <c r="BR153" s="36">
        <v>1448.9389864659174</v>
      </c>
      <c r="BS153" s="36">
        <v>29946.364870251422</v>
      </c>
      <c r="BT153" s="36">
        <v>2320.6570093159294</v>
      </c>
      <c r="BU153" s="36">
        <v>1496.7043575809864</v>
      </c>
      <c r="BV153" s="36">
        <v>35290</v>
      </c>
      <c r="BW153" s="36">
        <v>2120</v>
      </c>
      <c r="BX153" s="36">
        <v>1655</v>
      </c>
      <c r="BY153" s="36">
        <v>38585</v>
      </c>
      <c r="BZ153" s="36">
        <v>1760</v>
      </c>
      <c r="CA153" s="36">
        <v>1718</v>
      </c>
      <c r="CB153" s="36">
        <v>37901</v>
      </c>
      <c r="CC153" s="36">
        <v>907</v>
      </c>
      <c r="CD153" s="36">
        <v>1538</v>
      </c>
      <c r="CE153" s="36">
        <v>37628</v>
      </c>
      <c r="CF153" s="36">
        <v>1250</v>
      </c>
      <c r="CG153" s="36">
        <v>1550</v>
      </c>
      <c r="CH153" s="36">
        <v>39518</v>
      </c>
      <c r="CI153" s="36">
        <v>1480</v>
      </c>
      <c r="CJ153" s="70">
        <v>1655</v>
      </c>
      <c r="CK153" s="70">
        <v>42287</v>
      </c>
      <c r="CL153" s="70">
        <v>1485</v>
      </c>
      <c r="CM153" s="36">
        <v>1683</v>
      </c>
      <c r="CN153" s="36">
        <v>45721</v>
      </c>
      <c r="CO153" s="36">
        <v>1959</v>
      </c>
      <c r="CP153" s="36">
        <v>1789</v>
      </c>
      <c r="CQ153" s="36">
        <v>50664</v>
      </c>
      <c r="CR153" s="36">
        <v>2482</v>
      </c>
      <c r="CS153" s="36">
        <v>1891</v>
      </c>
      <c r="CT153" s="36">
        <v>-487.57679881192047</v>
      </c>
      <c r="CU153" s="36">
        <v>-4657.9646229999998</v>
      </c>
      <c r="CV153" s="36">
        <v>2672.1697756204871</v>
      </c>
      <c r="CW153" s="36">
        <v>9888</v>
      </c>
      <c r="CX153" s="36">
        <v>2434.8566113832953</v>
      </c>
      <c r="CY153" s="36">
        <v>-2971.2079090000002</v>
      </c>
      <c r="CZ153" s="36">
        <v>2597.1579604186531</v>
      </c>
      <c r="DA153" s="36">
        <v>10019</v>
      </c>
      <c r="DB153" s="36">
        <v>949.08446902230662</v>
      </c>
      <c r="DC153" s="36">
        <v>-1682.383828</v>
      </c>
      <c r="DD153" s="36">
        <v>2688.484004487254</v>
      </c>
      <c r="DE153" s="36">
        <v>9044</v>
      </c>
      <c r="DF153" s="36">
        <v>5490.8312351889508</v>
      </c>
      <c r="DG153" s="36">
        <v>-3249</v>
      </c>
      <c r="DH153" s="36">
        <v>2911.8375708281405</v>
      </c>
      <c r="DI153" s="36">
        <v>7738</v>
      </c>
      <c r="DJ153" s="36">
        <v>10530</v>
      </c>
      <c r="DK153" s="36">
        <v>-3913</v>
      </c>
      <c r="DL153" s="36">
        <v>3315</v>
      </c>
      <c r="DM153" s="36">
        <v>6306</v>
      </c>
      <c r="DN153" s="36">
        <v>6109</v>
      </c>
      <c r="DO153" s="69">
        <v>-5454</v>
      </c>
      <c r="DP153" s="36">
        <v>3469</v>
      </c>
      <c r="DQ153" s="36">
        <v>5254</v>
      </c>
      <c r="DR153" s="36">
        <v>3561</v>
      </c>
      <c r="DS153" s="36">
        <v>-5294</v>
      </c>
      <c r="DT153" s="36">
        <v>3340</v>
      </c>
      <c r="DU153" s="36">
        <v>4305</v>
      </c>
      <c r="DV153" s="36">
        <v>2708</v>
      </c>
      <c r="DW153" s="71">
        <v>-6366</v>
      </c>
      <c r="DX153" s="39">
        <v>3447</v>
      </c>
      <c r="DY153" s="71">
        <v>4257</v>
      </c>
      <c r="DZ153" s="70">
        <v>3765</v>
      </c>
      <c r="EA153" s="35">
        <v>-8155</v>
      </c>
      <c r="EB153" s="35">
        <v>3713</v>
      </c>
      <c r="EC153" s="38">
        <v>10407</v>
      </c>
      <c r="ED153" s="38">
        <v>4691</v>
      </c>
      <c r="EE153" s="38">
        <v>-8689</v>
      </c>
      <c r="EF153" s="38">
        <v>4244</v>
      </c>
      <c r="EG153" s="73">
        <v>11258</v>
      </c>
      <c r="EH153" s="73">
        <v>4874</v>
      </c>
      <c r="EI153" s="73">
        <v>-7694</v>
      </c>
      <c r="EJ153" s="73">
        <v>4668</v>
      </c>
      <c r="EK153" s="73">
        <v>13662</v>
      </c>
      <c r="EL153" s="73">
        <v>47407.971771338423</v>
      </c>
      <c r="EM153" s="73">
        <v>-3141.5822783745643</v>
      </c>
      <c r="EN153" s="73">
        <v>47680.268024279605</v>
      </c>
      <c r="EO153" s="73">
        <v>-32.123893954148606</v>
      </c>
      <c r="EP153" s="73">
        <v>48508.929937955472</v>
      </c>
      <c r="EQ153" s="73">
        <v>-1360.3039492207013</v>
      </c>
      <c r="ER153" s="73">
        <v>52586.982590867723</v>
      </c>
      <c r="ES153" s="73">
        <v>2521.8097693638965</v>
      </c>
      <c r="ET153" s="73">
        <v>55746</v>
      </c>
      <c r="EU153" s="73">
        <v>7211</v>
      </c>
      <c r="EV153" s="73">
        <v>58164</v>
      </c>
      <c r="EW153" s="73">
        <v>2640</v>
      </c>
      <c r="EX153" s="73">
        <v>62603</v>
      </c>
      <c r="EY153" s="73">
        <v>221</v>
      </c>
      <c r="EZ153" s="73">
        <v>67021</v>
      </c>
      <c r="FA153" s="73">
        <v>-739</v>
      </c>
      <c r="FB153" s="73">
        <v>70107</v>
      </c>
      <c r="FC153" s="73">
        <v>52</v>
      </c>
      <c r="FD153" s="73">
        <v>74199</v>
      </c>
      <c r="FE153" s="73">
        <v>447</v>
      </c>
      <c r="FF153" s="73">
        <v>82993</v>
      </c>
      <c r="FG153" s="73">
        <v>206</v>
      </c>
      <c r="FH153" s="73">
        <v>8946</v>
      </c>
      <c r="FI153" s="73">
        <v>9151</v>
      </c>
      <c r="FJ153" s="79">
        <v>18338</v>
      </c>
      <c r="FK153" s="80">
        <v>58205</v>
      </c>
      <c r="FL153" s="80">
        <v>23097</v>
      </c>
      <c r="FM153" s="80">
        <v>18027</v>
      </c>
      <c r="FN153" s="76">
        <v>312</v>
      </c>
      <c r="FO153" s="80">
        <v>54245</v>
      </c>
      <c r="FP153" s="80">
        <v>1909</v>
      </c>
      <c r="FQ153" s="80">
        <v>2051</v>
      </c>
      <c r="FR153" s="80">
        <v>5929</v>
      </c>
      <c r="FS153" s="81">
        <v>-7952</v>
      </c>
      <c r="FT153" s="76">
        <v>4715</v>
      </c>
      <c r="FU153" s="76">
        <v>15301</v>
      </c>
      <c r="FV153" s="76">
        <v>7952</v>
      </c>
      <c r="FW153" s="80">
        <v>93415</v>
      </c>
      <c r="FX153" s="80">
        <v>1214</v>
      </c>
      <c r="FY153" s="73">
        <v>18637</v>
      </c>
      <c r="FZ153" s="73">
        <v>60183</v>
      </c>
      <c r="GA153" s="73">
        <v>24207</v>
      </c>
      <c r="GB153" s="73">
        <v>19522</v>
      </c>
      <c r="GC153" s="73">
        <v>277</v>
      </c>
      <c r="GD153" s="73">
        <v>54958</v>
      </c>
      <c r="GE153" s="73">
        <v>2206</v>
      </c>
      <c r="GF153" s="73">
        <v>3019</v>
      </c>
      <c r="GG153" s="73">
        <v>5419</v>
      </c>
      <c r="GH153" s="73">
        <v>-10517</v>
      </c>
      <c r="GI153" s="73">
        <v>4815</v>
      </c>
      <c r="GJ153" s="73">
        <v>26941</v>
      </c>
      <c r="GK153" s="73">
        <v>10517</v>
      </c>
      <c r="GL153" s="73">
        <v>98534</v>
      </c>
      <c r="GM153" s="73">
        <v>604</v>
      </c>
      <c r="GN153" s="73">
        <v>10969</v>
      </c>
      <c r="GO153" s="77">
        <v>19.25</v>
      </c>
      <c r="GP153" s="78">
        <v>18868</v>
      </c>
      <c r="GQ153" s="73">
        <v>64417</v>
      </c>
      <c r="GR153" s="65">
        <v>25654</v>
      </c>
      <c r="GS153" s="65">
        <v>21486</v>
      </c>
      <c r="GT153" s="65">
        <v>402</v>
      </c>
      <c r="GU153" s="65">
        <v>58511</v>
      </c>
      <c r="GV153" s="65">
        <v>2781</v>
      </c>
      <c r="GW153" s="65">
        <v>3125</v>
      </c>
      <c r="GX153" s="65">
        <v>4098</v>
      </c>
      <c r="GY153" s="65">
        <v>-8302</v>
      </c>
      <c r="GZ153" s="65">
        <v>4960</v>
      </c>
      <c r="HA153" s="65">
        <v>32230</v>
      </c>
      <c r="HB153" s="65">
        <v>8302</v>
      </c>
      <c r="HC153" s="65">
        <v>107443</v>
      </c>
      <c r="HD153" s="65">
        <v>-862</v>
      </c>
      <c r="HE153" s="78">
        <v>19012</v>
      </c>
      <c r="HF153" s="73">
        <v>67140</v>
      </c>
      <c r="HG153" s="65">
        <v>27323</v>
      </c>
      <c r="HH153" s="65">
        <v>22439</v>
      </c>
      <c r="HI153" s="65">
        <v>383</v>
      </c>
      <c r="HJ153" s="65">
        <v>61722</v>
      </c>
      <c r="HK153" s="65">
        <v>1943</v>
      </c>
      <c r="HL153" s="65">
        <v>3475</v>
      </c>
      <c r="HM153" s="65">
        <v>2294</v>
      </c>
      <c r="HN153" s="65">
        <v>-19374</v>
      </c>
      <c r="HO153" s="65">
        <v>5807</v>
      </c>
      <c r="HP153" s="65">
        <v>42620</v>
      </c>
      <c r="HQ153" s="65">
        <v>19374</v>
      </c>
      <c r="HR153" s="65">
        <v>114406</v>
      </c>
      <c r="HS153" s="65">
        <v>-3513</v>
      </c>
      <c r="HT153" s="65">
        <v>6594</v>
      </c>
      <c r="HU153" s="77">
        <v>19.75</v>
      </c>
      <c r="HV153" s="180">
        <v>220</v>
      </c>
      <c r="HW153" s="30" t="s">
        <v>755</v>
      </c>
    </row>
    <row r="154" spans="1:231" ht="15" x14ac:dyDescent="0.25">
      <c r="A154" s="27">
        <v>500</v>
      </c>
      <c r="B154" s="27" t="s">
        <v>282</v>
      </c>
      <c r="C154" s="27">
        <v>13</v>
      </c>
      <c r="D154" s="27" t="s">
        <v>111</v>
      </c>
      <c r="E154" s="27">
        <v>4</v>
      </c>
      <c r="F154" s="27" t="s">
        <v>100</v>
      </c>
      <c r="G154" s="29" t="s">
        <v>132</v>
      </c>
      <c r="H154" s="27" t="s">
        <v>99</v>
      </c>
      <c r="I154" s="31" t="s">
        <v>111</v>
      </c>
      <c r="J154" s="69">
        <v>7844</v>
      </c>
      <c r="K154" s="69">
        <v>7906</v>
      </c>
      <c r="L154" s="36">
        <v>8101</v>
      </c>
      <c r="M154" s="36">
        <v>8264</v>
      </c>
      <c r="N154" s="36">
        <v>8407</v>
      </c>
      <c r="O154" s="36">
        <v>8510</v>
      </c>
      <c r="P154" s="36">
        <v>8597</v>
      </c>
      <c r="Q154" s="36">
        <v>8672</v>
      </c>
      <c r="R154" s="69">
        <v>8881</v>
      </c>
      <c r="S154" s="69">
        <v>8990</v>
      </c>
      <c r="T154" s="71">
        <v>9178</v>
      </c>
      <c r="U154" s="36">
        <v>15515</v>
      </c>
      <c r="V154" s="36">
        <v>4021</v>
      </c>
      <c r="W154" s="36">
        <v>2794</v>
      </c>
      <c r="X154" s="36">
        <v>91.326044068600496</v>
      </c>
      <c r="Y154" s="36">
        <v>16278</v>
      </c>
      <c r="Z154" s="36">
        <v>4225</v>
      </c>
      <c r="AA154" s="36">
        <v>2922</v>
      </c>
      <c r="AB154" s="36">
        <v>216.62604928242621</v>
      </c>
      <c r="AC154" s="36">
        <v>16353</v>
      </c>
      <c r="AD154" s="36">
        <v>5166</v>
      </c>
      <c r="AE154" s="36">
        <v>4146</v>
      </c>
      <c r="AF154" s="36">
        <v>113.35866243505843</v>
      </c>
      <c r="AG154" s="36">
        <v>19053</v>
      </c>
      <c r="AH154" s="36">
        <v>6257</v>
      </c>
      <c r="AI154" s="36">
        <v>3691</v>
      </c>
      <c r="AJ154" s="36">
        <v>83.925775304294007</v>
      </c>
      <c r="AK154" s="36">
        <v>20675</v>
      </c>
      <c r="AL154" s="36">
        <v>7105</v>
      </c>
      <c r="AM154" s="36">
        <v>3749</v>
      </c>
      <c r="AN154" s="36">
        <v>143</v>
      </c>
      <c r="AO154" s="36">
        <v>19997</v>
      </c>
      <c r="AP154" s="36">
        <v>6682</v>
      </c>
      <c r="AQ154" s="36">
        <v>4018</v>
      </c>
      <c r="AR154" s="36">
        <v>56</v>
      </c>
      <c r="AS154" s="36">
        <v>20925</v>
      </c>
      <c r="AT154" s="36">
        <v>7056</v>
      </c>
      <c r="AU154" s="36">
        <v>4942</v>
      </c>
      <c r="AV154" s="36">
        <v>73</v>
      </c>
      <c r="AW154" s="36">
        <v>22075</v>
      </c>
      <c r="AX154" s="69">
        <v>7179</v>
      </c>
      <c r="AY154" s="36">
        <v>5639</v>
      </c>
      <c r="AZ154" s="36">
        <v>36</v>
      </c>
      <c r="BA154" s="36">
        <v>23157</v>
      </c>
      <c r="BB154" s="36">
        <v>7285</v>
      </c>
      <c r="BC154" s="36">
        <v>5427</v>
      </c>
      <c r="BD154" s="36">
        <v>3</v>
      </c>
      <c r="BE154" s="70">
        <v>25258</v>
      </c>
      <c r="BF154" s="70">
        <v>7524</v>
      </c>
      <c r="BG154" s="70">
        <v>6302</v>
      </c>
      <c r="BH154" s="70">
        <v>65</v>
      </c>
      <c r="BI154" s="36">
        <v>27034</v>
      </c>
      <c r="BJ154" s="36">
        <v>8546</v>
      </c>
      <c r="BK154" s="36">
        <v>5440</v>
      </c>
      <c r="BL154" s="36">
        <v>135</v>
      </c>
      <c r="BM154" s="36">
        <v>14351.475764960736</v>
      </c>
      <c r="BN154" s="36">
        <v>658.11935624389264</v>
      </c>
      <c r="BO154" s="36">
        <v>505.74109486976369</v>
      </c>
      <c r="BP154" s="36">
        <v>14736.794304484058</v>
      </c>
      <c r="BQ154" s="36">
        <v>1047.3062180758291</v>
      </c>
      <c r="BR154" s="36">
        <v>493.63156416453489</v>
      </c>
      <c r="BS154" s="36">
        <v>14859.4033028745</v>
      </c>
      <c r="BT154" s="36">
        <v>870.54070736478104</v>
      </c>
      <c r="BU154" s="36">
        <v>623.30445546635985</v>
      </c>
      <c r="BV154" s="36">
        <v>17087</v>
      </c>
      <c r="BW154" s="36">
        <v>1320</v>
      </c>
      <c r="BX154" s="36">
        <v>646</v>
      </c>
      <c r="BY154" s="36">
        <v>18905</v>
      </c>
      <c r="BZ154" s="36">
        <v>1077</v>
      </c>
      <c r="CA154" s="36">
        <v>693</v>
      </c>
      <c r="CB154" s="36">
        <v>18681</v>
      </c>
      <c r="CC154" s="36">
        <v>600</v>
      </c>
      <c r="CD154" s="36">
        <v>716</v>
      </c>
      <c r="CE154" s="36">
        <v>19337</v>
      </c>
      <c r="CF154" s="36">
        <v>864</v>
      </c>
      <c r="CG154" s="36">
        <v>724</v>
      </c>
      <c r="CH154" s="36">
        <v>20216</v>
      </c>
      <c r="CI154" s="36">
        <v>1096</v>
      </c>
      <c r="CJ154" s="70">
        <v>763</v>
      </c>
      <c r="CK154" s="70">
        <v>21167</v>
      </c>
      <c r="CL154" s="70">
        <v>1183</v>
      </c>
      <c r="CM154" s="36">
        <v>807</v>
      </c>
      <c r="CN154" s="36">
        <v>23067</v>
      </c>
      <c r="CO154" s="36">
        <v>1329</v>
      </c>
      <c r="CP154" s="36">
        <v>862</v>
      </c>
      <c r="CQ154" s="36">
        <v>24831</v>
      </c>
      <c r="CR154" s="36">
        <v>1265</v>
      </c>
      <c r="CS154" s="36">
        <v>938</v>
      </c>
      <c r="CT154" s="36">
        <v>613.54955573159225</v>
      </c>
      <c r="CU154" s="36">
        <v>-1174.4562900000001</v>
      </c>
      <c r="CV154" s="36">
        <v>964.55775825676574</v>
      </c>
      <c r="CW154" s="36">
        <v>6144</v>
      </c>
      <c r="CX154" s="36">
        <v>802.08822129494615</v>
      </c>
      <c r="CY154" s="36">
        <v>-1375.1044870000001</v>
      </c>
      <c r="CZ154" s="36">
        <v>1013.1640690041424</v>
      </c>
      <c r="DA154" s="36">
        <v>6805</v>
      </c>
      <c r="DB154" s="36">
        <v>1370.8997885877764</v>
      </c>
      <c r="DC154" s="36">
        <v>485.72673159999999</v>
      </c>
      <c r="DD154" s="36">
        <v>987.26312832906979</v>
      </c>
      <c r="DE154" s="36">
        <v>5189</v>
      </c>
      <c r="DF154" s="36">
        <v>2049.7062597864351</v>
      </c>
      <c r="DG154" s="36">
        <v>-2277</v>
      </c>
      <c r="DH154" s="36">
        <v>980.36742334414782</v>
      </c>
      <c r="DI154" s="36">
        <v>6462</v>
      </c>
      <c r="DJ154" s="36">
        <v>3684</v>
      </c>
      <c r="DK154" s="36">
        <v>-3605</v>
      </c>
      <c r="DL154" s="36">
        <v>1100</v>
      </c>
      <c r="DM154" s="36">
        <v>6320</v>
      </c>
      <c r="DN154" s="36">
        <v>535</v>
      </c>
      <c r="DO154" s="69">
        <v>-3957</v>
      </c>
      <c r="DP154" s="36">
        <v>1260</v>
      </c>
      <c r="DQ154" s="36">
        <v>9920</v>
      </c>
      <c r="DR154" s="36">
        <v>747</v>
      </c>
      <c r="DS154" s="36">
        <v>-738</v>
      </c>
      <c r="DT154" s="36">
        <v>1389</v>
      </c>
      <c r="DU154" s="36">
        <v>9832</v>
      </c>
      <c r="DV154" s="36">
        <v>1303</v>
      </c>
      <c r="DW154" s="71">
        <v>-1116</v>
      </c>
      <c r="DX154" s="39">
        <v>1499</v>
      </c>
      <c r="DY154" s="71">
        <v>10848</v>
      </c>
      <c r="DZ154" s="70">
        <v>775</v>
      </c>
      <c r="EA154" s="35">
        <v>-2614</v>
      </c>
      <c r="EB154" s="35">
        <v>1584</v>
      </c>
      <c r="EC154" s="38">
        <v>13135</v>
      </c>
      <c r="ED154" s="38">
        <v>1755</v>
      </c>
      <c r="EE154" s="38">
        <v>-1561</v>
      </c>
      <c r="EF154" s="38">
        <v>1714</v>
      </c>
      <c r="EG154" s="73">
        <v>14732</v>
      </c>
      <c r="EH154" s="73">
        <v>524</v>
      </c>
      <c r="EI154" s="73">
        <v>-5038</v>
      </c>
      <c r="EJ154" s="73">
        <v>1923</v>
      </c>
      <c r="EK154" s="73">
        <v>19223</v>
      </c>
      <c r="EL154" s="73">
        <v>20361.50312913637</v>
      </c>
      <c r="EM154" s="73">
        <v>-351.00820252517354</v>
      </c>
      <c r="EN154" s="73">
        <v>21440.596865313426</v>
      </c>
      <c r="EO154" s="73">
        <v>-97.044433568291865</v>
      </c>
      <c r="EP154" s="73">
        <v>22890.376791411651</v>
      </c>
      <c r="EQ154" s="73">
        <v>1260.4003209025636</v>
      </c>
      <c r="ER154" s="73">
        <v>25380.062666821399</v>
      </c>
      <c r="ES154" s="73">
        <v>1085.6530653090538</v>
      </c>
      <c r="ET154" s="73">
        <v>27588</v>
      </c>
      <c r="EU154" s="73">
        <v>2785</v>
      </c>
      <c r="EV154" s="73">
        <v>29941</v>
      </c>
      <c r="EW154" s="73">
        <v>-725</v>
      </c>
      <c r="EX154" s="73">
        <v>31912</v>
      </c>
      <c r="EY154" s="73">
        <v>-642</v>
      </c>
      <c r="EZ154" s="73">
        <v>33520</v>
      </c>
      <c r="FA154" s="73">
        <v>-196</v>
      </c>
      <c r="FB154" s="73">
        <v>34728</v>
      </c>
      <c r="FC154" s="73">
        <v>-809</v>
      </c>
      <c r="FD154" s="73">
        <v>36838</v>
      </c>
      <c r="FE154" s="73">
        <v>31</v>
      </c>
      <c r="FF154" s="73">
        <v>39970</v>
      </c>
      <c r="FG154" s="73">
        <v>-1399</v>
      </c>
      <c r="FH154" s="73">
        <v>2790</v>
      </c>
      <c r="FI154" s="73">
        <v>1391</v>
      </c>
      <c r="FJ154" s="79">
        <v>9231</v>
      </c>
      <c r="FK154" s="80">
        <v>29091</v>
      </c>
      <c r="FL154" s="80">
        <v>9412</v>
      </c>
      <c r="FM154" s="80">
        <v>6131</v>
      </c>
      <c r="FN154" s="76">
        <v>173</v>
      </c>
      <c r="FO154" s="80">
        <v>26870</v>
      </c>
      <c r="FP154" s="80">
        <v>1039</v>
      </c>
      <c r="FQ154" s="80">
        <v>1182</v>
      </c>
      <c r="FR154" s="80">
        <v>2800</v>
      </c>
      <c r="FS154" s="81">
        <v>-3846</v>
      </c>
      <c r="FT154" s="76">
        <v>2073</v>
      </c>
      <c r="FU154" s="76">
        <v>20929</v>
      </c>
      <c r="FV154" s="76">
        <v>3846</v>
      </c>
      <c r="FW154" s="80">
        <v>41428</v>
      </c>
      <c r="FX154" s="80">
        <v>727</v>
      </c>
      <c r="FY154" s="73">
        <v>9256</v>
      </c>
      <c r="FZ154" s="73">
        <v>31250</v>
      </c>
      <c r="GA154" s="73">
        <v>9917</v>
      </c>
      <c r="GB154" s="73">
        <v>6962</v>
      </c>
      <c r="GC154" s="73">
        <v>135</v>
      </c>
      <c r="GD154" s="73">
        <v>28101</v>
      </c>
      <c r="GE154" s="73">
        <v>1601</v>
      </c>
      <c r="GF154" s="73">
        <v>1548</v>
      </c>
      <c r="GG154" s="73">
        <v>4977</v>
      </c>
      <c r="GH154" s="73">
        <v>-731</v>
      </c>
      <c r="GI154" s="73">
        <v>2218</v>
      </c>
      <c r="GJ154" s="73">
        <v>18005</v>
      </c>
      <c r="GK154" s="73">
        <v>731</v>
      </c>
      <c r="GL154" s="73">
        <v>42963</v>
      </c>
      <c r="GM154" s="73">
        <v>2759</v>
      </c>
      <c r="GN154" s="73">
        <v>4876</v>
      </c>
      <c r="GO154" s="77">
        <v>19.5</v>
      </c>
      <c r="GP154" s="78">
        <v>9438</v>
      </c>
      <c r="GQ154" s="73">
        <v>31955</v>
      </c>
      <c r="GR154" s="65">
        <v>9913</v>
      </c>
      <c r="GS154" s="65">
        <v>7315</v>
      </c>
      <c r="GT154" s="65">
        <v>698</v>
      </c>
      <c r="GU154" s="65">
        <v>28605</v>
      </c>
      <c r="GV154" s="65">
        <v>1800</v>
      </c>
      <c r="GW154" s="65">
        <v>1550</v>
      </c>
      <c r="GX154" s="65">
        <v>2202</v>
      </c>
      <c r="GY154" s="65">
        <v>-2581</v>
      </c>
      <c r="GZ154" s="65">
        <v>2360</v>
      </c>
      <c r="HA154" s="65">
        <v>17208</v>
      </c>
      <c r="HB154" s="65">
        <v>2581</v>
      </c>
      <c r="HC154" s="65">
        <v>46711</v>
      </c>
      <c r="HD154" s="65">
        <v>49</v>
      </c>
      <c r="HE154" s="78">
        <v>9569</v>
      </c>
      <c r="HF154" s="73">
        <v>33167</v>
      </c>
      <c r="HG154" s="65">
        <v>9672</v>
      </c>
      <c r="HH154" s="65">
        <v>9692</v>
      </c>
      <c r="HI154" s="65">
        <v>159</v>
      </c>
      <c r="HJ154" s="65">
        <v>30198</v>
      </c>
      <c r="HK154" s="65">
        <v>1343</v>
      </c>
      <c r="HL154" s="65">
        <v>1626</v>
      </c>
      <c r="HM154" s="65">
        <v>2309</v>
      </c>
      <c r="HN154" s="65">
        <v>-1798</v>
      </c>
      <c r="HO154" s="65">
        <v>2523</v>
      </c>
      <c r="HP154" s="65">
        <v>17176</v>
      </c>
      <c r="HQ154" s="65">
        <v>1798</v>
      </c>
      <c r="HR154" s="65">
        <v>50114</v>
      </c>
      <c r="HS154" s="65">
        <v>-214</v>
      </c>
      <c r="HT154" s="65">
        <v>4711</v>
      </c>
      <c r="HU154" s="77">
        <v>19.5</v>
      </c>
      <c r="HV154" s="180">
        <v>210</v>
      </c>
      <c r="HW154" s="30" t="s">
        <v>754</v>
      </c>
    </row>
    <row r="155" spans="1:231" ht="15" x14ac:dyDescent="0.25">
      <c r="A155" s="27">
        <v>503</v>
      </c>
      <c r="B155" s="27" t="s">
        <v>283</v>
      </c>
      <c r="C155" s="27">
        <v>2</v>
      </c>
      <c r="D155" s="27" t="s">
        <v>122</v>
      </c>
      <c r="E155" s="27">
        <v>3</v>
      </c>
      <c r="F155" s="27" t="s">
        <v>743</v>
      </c>
      <c r="G155" s="29" t="s">
        <v>132</v>
      </c>
      <c r="H155" s="27" t="s">
        <v>99</v>
      </c>
      <c r="I155" s="31" t="s">
        <v>122</v>
      </c>
      <c r="J155" s="69">
        <v>7867</v>
      </c>
      <c r="K155" s="69">
        <v>7839</v>
      </c>
      <c r="L155" s="36">
        <v>7870</v>
      </c>
      <c r="M155" s="36">
        <v>7906</v>
      </c>
      <c r="N155" s="36">
        <v>7947</v>
      </c>
      <c r="O155" s="36">
        <v>8011</v>
      </c>
      <c r="P155" s="36">
        <v>8046</v>
      </c>
      <c r="Q155" s="36">
        <v>8058</v>
      </c>
      <c r="R155" s="69">
        <v>8009</v>
      </c>
      <c r="S155" s="69">
        <v>8031</v>
      </c>
      <c r="T155" s="71">
        <v>8026</v>
      </c>
      <c r="U155" s="36">
        <v>13958</v>
      </c>
      <c r="V155" s="36">
        <v>7928</v>
      </c>
      <c r="W155" s="36">
        <v>3851</v>
      </c>
      <c r="X155" s="36">
        <v>538.03317675037374</v>
      </c>
      <c r="Y155" s="36">
        <v>13939</v>
      </c>
      <c r="Z155" s="36">
        <v>8493</v>
      </c>
      <c r="AA155" s="36">
        <v>3807</v>
      </c>
      <c r="AB155" s="36">
        <v>582.4347893362127</v>
      </c>
      <c r="AC155" s="36">
        <v>13967</v>
      </c>
      <c r="AD155" s="36">
        <v>9285</v>
      </c>
      <c r="AE155" s="36">
        <v>3533</v>
      </c>
      <c r="AF155" s="36">
        <v>492.45424867930433</v>
      </c>
      <c r="AG155" s="36">
        <v>15707</v>
      </c>
      <c r="AH155" s="36">
        <v>10257</v>
      </c>
      <c r="AI155" s="36">
        <v>3856</v>
      </c>
      <c r="AJ155" s="36">
        <v>518.52337728083853</v>
      </c>
      <c r="AK155" s="36">
        <v>16358</v>
      </c>
      <c r="AL155" s="36">
        <v>10834</v>
      </c>
      <c r="AM155" s="36">
        <v>3784</v>
      </c>
      <c r="AN155" s="36">
        <v>318</v>
      </c>
      <c r="AO155" s="36">
        <v>15868</v>
      </c>
      <c r="AP155" s="36">
        <v>11452</v>
      </c>
      <c r="AQ155" s="36">
        <v>4103</v>
      </c>
      <c r="AR155" s="36">
        <v>271</v>
      </c>
      <c r="AS155" s="36">
        <v>16342</v>
      </c>
      <c r="AT155" s="36">
        <v>12002</v>
      </c>
      <c r="AU155" s="36">
        <v>3481</v>
      </c>
      <c r="AV155" s="36">
        <v>194</v>
      </c>
      <c r="AW155" s="36">
        <v>16616</v>
      </c>
      <c r="AX155" s="69">
        <v>12748</v>
      </c>
      <c r="AY155" s="36">
        <v>3728</v>
      </c>
      <c r="AZ155" s="36">
        <v>899</v>
      </c>
      <c r="BA155" s="36">
        <v>18175</v>
      </c>
      <c r="BB155" s="36">
        <v>13465</v>
      </c>
      <c r="BC155" s="36">
        <v>4048</v>
      </c>
      <c r="BD155" s="36">
        <v>271</v>
      </c>
      <c r="BE155" s="70">
        <v>20132</v>
      </c>
      <c r="BF155" s="70">
        <v>14269</v>
      </c>
      <c r="BG155" s="70">
        <v>6636</v>
      </c>
      <c r="BH155" s="70">
        <v>254</v>
      </c>
      <c r="BI155" s="36">
        <v>21783</v>
      </c>
      <c r="BJ155" s="36">
        <v>15785</v>
      </c>
      <c r="BK155" s="36">
        <v>6680</v>
      </c>
      <c r="BL155" s="36">
        <v>240</v>
      </c>
      <c r="BM155" s="36">
        <v>11552.660480714731</v>
      </c>
      <c r="BN155" s="36">
        <v>2083.3438450787371</v>
      </c>
      <c r="BO155" s="36">
        <v>321.74350332087062</v>
      </c>
      <c r="BP155" s="36">
        <v>11723.371226073165</v>
      </c>
      <c r="BQ155" s="36">
        <v>1887.7412866039999</v>
      </c>
      <c r="BR155" s="36">
        <v>327.79826867348493</v>
      </c>
      <c r="BS155" s="36">
        <v>11910.900764077749</v>
      </c>
      <c r="BT155" s="36">
        <v>1520.7552310649826</v>
      </c>
      <c r="BU155" s="36">
        <v>536.01492163283569</v>
      </c>
      <c r="BV155" s="36">
        <v>14016</v>
      </c>
      <c r="BW155" s="36">
        <v>1115</v>
      </c>
      <c r="BX155" s="36">
        <v>574</v>
      </c>
      <c r="BY155" s="36">
        <v>14973</v>
      </c>
      <c r="BZ155" s="36">
        <v>786</v>
      </c>
      <c r="CA155" s="36">
        <v>599</v>
      </c>
      <c r="CB155" s="36">
        <v>14878</v>
      </c>
      <c r="CC155" s="36">
        <v>401</v>
      </c>
      <c r="CD155" s="36">
        <v>589</v>
      </c>
      <c r="CE155" s="36">
        <v>15226</v>
      </c>
      <c r="CF155" s="36">
        <v>529</v>
      </c>
      <c r="CG155" s="36">
        <v>587</v>
      </c>
      <c r="CH155" s="36">
        <v>15412</v>
      </c>
      <c r="CI155" s="36">
        <v>594</v>
      </c>
      <c r="CJ155" s="70">
        <v>610</v>
      </c>
      <c r="CK155" s="70">
        <v>16893</v>
      </c>
      <c r="CL155" s="70">
        <v>646</v>
      </c>
      <c r="CM155" s="36">
        <v>636</v>
      </c>
      <c r="CN155" s="36">
        <v>18584</v>
      </c>
      <c r="CO155" s="36">
        <v>770</v>
      </c>
      <c r="CP155" s="36">
        <v>778</v>
      </c>
      <c r="CQ155" s="36">
        <v>20201</v>
      </c>
      <c r="CR155" s="36">
        <v>773</v>
      </c>
      <c r="CS155" s="36">
        <v>809</v>
      </c>
      <c r="CT155" s="36">
        <v>-423.16082297716179</v>
      </c>
      <c r="CU155" s="36">
        <v>-930.41560920000006</v>
      </c>
      <c r="CV155" s="36">
        <v>1271.332536122562</v>
      </c>
      <c r="CW155" s="36">
        <v>5057</v>
      </c>
      <c r="CX155" s="36">
        <v>56.847519143990723</v>
      </c>
      <c r="CY155" s="36">
        <v>-1279.5737445</v>
      </c>
      <c r="CZ155" s="36">
        <v>1205.571056876111</v>
      </c>
      <c r="DA155" s="36">
        <v>4764</v>
      </c>
      <c r="DB155" s="36">
        <v>730.10378876941945</v>
      </c>
      <c r="DC155" s="36">
        <v>-1400.3326762000002</v>
      </c>
      <c r="DD155" s="36">
        <v>1266.9596500345626</v>
      </c>
      <c r="DE155" s="36">
        <v>4520</v>
      </c>
      <c r="DF155" s="36">
        <v>2053.4063941685881</v>
      </c>
      <c r="DG155" s="36">
        <v>-2805</v>
      </c>
      <c r="DH155" s="36">
        <v>1120.972529865971</v>
      </c>
      <c r="DI155" s="36">
        <v>5653</v>
      </c>
      <c r="DJ155" s="36">
        <v>3321</v>
      </c>
      <c r="DK155" s="36">
        <v>-1728</v>
      </c>
      <c r="DL155" s="36">
        <v>1336</v>
      </c>
      <c r="DM155" s="36">
        <v>5742</v>
      </c>
      <c r="DN155" s="36">
        <v>2292</v>
      </c>
      <c r="DO155" s="69">
        <v>-2021</v>
      </c>
      <c r="DP155" s="36">
        <v>1213</v>
      </c>
      <c r="DQ155" s="36">
        <v>4764</v>
      </c>
      <c r="DR155" s="36">
        <v>204</v>
      </c>
      <c r="DS155" s="36">
        <v>-2014</v>
      </c>
      <c r="DT155" s="36">
        <v>1260</v>
      </c>
      <c r="DU155" s="36">
        <v>4968</v>
      </c>
      <c r="DV155" s="36">
        <v>-1271</v>
      </c>
      <c r="DW155" s="71">
        <v>-2250</v>
      </c>
      <c r="DX155" s="39">
        <v>1342</v>
      </c>
      <c r="DY155" s="71">
        <v>8457</v>
      </c>
      <c r="DZ155" s="70">
        <v>113</v>
      </c>
      <c r="EA155" s="35">
        <v>-2353</v>
      </c>
      <c r="EB155" s="35">
        <v>1380</v>
      </c>
      <c r="EC155" s="38">
        <v>11159</v>
      </c>
      <c r="ED155" s="38">
        <v>2624</v>
      </c>
      <c r="EE155" s="38">
        <v>-1997</v>
      </c>
      <c r="EF155" s="38">
        <v>1598</v>
      </c>
      <c r="EG155" s="73">
        <v>9679</v>
      </c>
      <c r="EH155" s="73">
        <v>3738</v>
      </c>
      <c r="EI155" s="73">
        <v>-2135</v>
      </c>
      <c r="EJ155" s="73">
        <v>1577</v>
      </c>
      <c r="EK155" s="73">
        <v>8213</v>
      </c>
      <c r="EL155" s="73">
        <v>25301.014341384489</v>
      </c>
      <c r="EM155" s="73">
        <v>-566.1205604694461</v>
      </c>
      <c r="EN155" s="73">
        <v>25406.972735055238</v>
      </c>
      <c r="EO155" s="73">
        <v>-489.2586780765356</v>
      </c>
      <c r="EP155" s="73">
        <v>25024.513390281762</v>
      </c>
      <c r="EQ155" s="73">
        <v>-204.51651857719742</v>
      </c>
      <c r="ER155" s="73">
        <v>26696.637755162108</v>
      </c>
      <c r="ES155" s="73">
        <v>1065.9750779130568</v>
      </c>
      <c r="ET155" s="73">
        <v>27723</v>
      </c>
      <c r="EU155" s="73">
        <v>1160</v>
      </c>
      <c r="EV155" s="73">
        <v>29234</v>
      </c>
      <c r="EW155" s="73">
        <v>648</v>
      </c>
      <c r="EX155" s="73">
        <v>31702</v>
      </c>
      <c r="EY155" s="73">
        <v>-828</v>
      </c>
      <c r="EZ155" s="73">
        <v>34403</v>
      </c>
      <c r="FA155" s="73">
        <v>-1282</v>
      </c>
      <c r="FB155" s="73">
        <v>35534</v>
      </c>
      <c r="FC155" s="73">
        <v>-1262</v>
      </c>
      <c r="FD155" s="73">
        <v>38230</v>
      </c>
      <c r="FE155" s="73">
        <v>1074</v>
      </c>
      <c r="FF155" s="73">
        <v>40365</v>
      </c>
      <c r="FG155" s="73">
        <v>2244</v>
      </c>
      <c r="FH155" s="73">
        <v>1860</v>
      </c>
      <c r="FI155" s="73">
        <v>4105</v>
      </c>
      <c r="FJ155" s="79">
        <v>8039</v>
      </c>
      <c r="FK155" s="80">
        <v>21399</v>
      </c>
      <c r="FL155" s="80">
        <v>16653</v>
      </c>
      <c r="FM155" s="80">
        <v>6572</v>
      </c>
      <c r="FN155" s="76">
        <v>88</v>
      </c>
      <c r="FO155" s="80">
        <v>19971</v>
      </c>
      <c r="FP155" s="80">
        <v>608</v>
      </c>
      <c r="FQ155" s="80">
        <v>820</v>
      </c>
      <c r="FR155" s="80">
        <v>4101</v>
      </c>
      <c r="FS155" s="81">
        <v>-1409</v>
      </c>
      <c r="FT155" s="76">
        <v>1596</v>
      </c>
      <c r="FU155" s="76">
        <v>6876</v>
      </c>
      <c r="FV155" s="76">
        <v>1409</v>
      </c>
      <c r="FW155" s="80">
        <v>40413</v>
      </c>
      <c r="FX155" s="80">
        <v>2521</v>
      </c>
      <c r="FY155" s="73">
        <v>8041</v>
      </c>
      <c r="FZ155" s="73">
        <v>21719</v>
      </c>
      <c r="GA155" s="73">
        <v>15376</v>
      </c>
      <c r="GB155" s="73">
        <v>7125</v>
      </c>
      <c r="GC155" s="73">
        <v>114</v>
      </c>
      <c r="GD155" s="73">
        <v>19836</v>
      </c>
      <c r="GE155" s="73">
        <v>839</v>
      </c>
      <c r="GF155" s="73">
        <v>1044</v>
      </c>
      <c r="GG155" s="73">
        <v>2863</v>
      </c>
      <c r="GH155" s="73">
        <v>-1944</v>
      </c>
      <c r="GI155" s="73">
        <v>1506</v>
      </c>
      <c r="GJ155" s="73">
        <v>5571</v>
      </c>
      <c r="GK155" s="73">
        <v>1944</v>
      </c>
      <c r="GL155" s="73">
        <v>41378</v>
      </c>
      <c r="GM155" s="73">
        <v>1406</v>
      </c>
      <c r="GN155" s="73">
        <v>8032</v>
      </c>
      <c r="GO155" s="77">
        <v>19</v>
      </c>
      <c r="GP155" s="78">
        <v>8044</v>
      </c>
      <c r="GQ155" s="73">
        <v>22060</v>
      </c>
      <c r="GR155" s="65">
        <v>16014</v>
      </c>
      <c r="GS155" s="65">
        <v>6048</v>
      </c>
      <c r="GT155" s="65">
        <v>128</v>
      </c>
      <c r="GU155" s="65">
        <v>19991</v>
      </c>
      <c r="GV155" s="65">
        <v>1015</v>
      </c>
      <c r="GW155" s="65">
        <v>1054</v>
      </c>
      <c r="GX155" s="65">
        <v>1137</v>
      </c>
      <c r="GY155" s="65">
        <v>-3609</v>
      </c>
      <c r="GZ155" s="65">
        <v>1577</v>
      </c>
      <c r="HA155" s="65">
        <v>6808</v>
      </c>
      <c r="HB155" s="65">
        <v>3609</v>
      </c>
      <c r="HC155" s="65">
        <v>43038</v>
      </c>
      <c r="HD155" s="65">
        <v>-391</v>
      </c>
      <c r="HE155" s="78">
        <v>7978</v>
      </c>
      <c r="HF155" s="73">
        <v>22373</v>
      </c>
      <c r="HG155" s="65">
        <v>16747</v>
      </c>
      <c r="HH155" s="65">
        <v>5822</v>
      </c>
      <c r="HI155" s="65">
        <v>52</v>
      </c>
      <c r="HJ155" s="65">
        <v>20630</v>
      </c>
      <c r="HK155" s="65">
        <v>647</v>
      </c>
      <c r="HL155" s="65">
        <v>1096</v>
      </c>
      <c r="HM155" s="65">
        <v>-49</v>
      </c>
      <c r="HN155" s="65">
        <v>-1443</v>
      </c>
      <c r="HO155" s="65">
        <v>1651</v>
      </c>
      <c r="HP155" s="65">
        <v>7364</v>
      </c>
      <c r="HQ155" s="65">
        <v>1443</v>
      </c>
      <c r="HR155" s="65">
        <v>44959</v>
      </c>
      <c r="HS155" s="65">
        <v>-1651</v>
      </c>
      <c r="HT155" s="65">
        <v>5721</v>
      </c>
      <c r="HU155" s="77">
        <v>19</v>
      </c>
      <c r="HV155" s="180">
        <v>330</v>
      </c>
      <c r="HW155" s="30" t="s">
        <v>760</v>
      </c>
    </row>
    <row r="156" spans="1:231" ht="15" x14ac:dyDescent="0.25">
      <c r="A156" s="27">
        <v>504</v>
      </c>
      <c r="B156" s="27" t="s">
        <v>284</v>
      </c>
      <c r="C156" s="27">
        <v>1</v>
      </c>
      <c r="D156" s="27" t="s">
        <v>121</v>
      </c>
      <c r="E156" s="27">
        <v>1</v>
      </c>
      <c r="F156" s="27" t="s">
        <v>103</v>
      </c>
      <c r="G156" s="29" t="s">
        <v>130</v>
      </c>
      <c r="H156" s="27" t="s">
        <v>98</v>
      </c>
      <c r="I156" s="31" t="s">
        <v>121</v>
      </c>
      <c r="J156" s="69">
        <v>2022</v>
      </c>
      <c r="K156" s="69">
        <v>2036</v>
      </c>
      <c r="L156" s="36">
        <v>2004</v>
      </c>
      <c r="M156" s="36">
        <v>1974</v>
      </c>
      <c r="N156" s="36">
        <v>1992</v>
      </c>
      <c r="O156" s="36">
        <v>2012</v>
      </c>
      <c r="P156" s="36">
        <v>2036</v>
      </c>
      <c r="Q156" s="36">
        <v>2033</v>
      </c>
      <c r="R156" s="69">
        <v>2050</v>
      </c>
      <c r="S156" s="69">
        <v>2026</v>
      </c>
      <c r="T156" s="71">
        <v>2010</v>
      </c>
      <c r="U156" s="36">
        <v>3658</v>
      </c>
      <c r="V156" s="36">
        <v>1344</v>
      </c>
      <c r="W156" s="36">
        <v>762</v>
      </c>
      <c r="X156" s="36">
        <v>190.22054482796898</v>
      </c>
      <c r="Y156" s="36">
        <v>3541</v>
      </c>
      <c r="Z156" s="36">
        <v>1453</v>
      </c>
      <c r="AA156" s="36">
        <v>797</v>
      </c>
      <c r="AB156" s="36">
        <v>195.93893432766035</v>
      </c>
      <c r="AC156" s="36">
        <v>3528</v>
      </c>
      <c r="AD156" s="36">
        <v>1561</v>
      </c>
      <c r="AE156" s="36">
        <v>1025</v>
      </c>
      <c r="AF156" s="36">
        <v>140.10054274243868</v>
      </c>
      <c r="AG156" s="36">
        <v>3629</v>
      </c>
      <c r="AH156" s="36">
        <v>2129</v>
      </c>
      <c r="AI156" s="36">
        <v>1010</v>
      </c>
      <c r="AJ156" s="36">
        <v>114.19960206736599</v>
      </c>
      <c r="AK156" s="36">
        <v>3712</v>
      </c>
      <c r="AL156" s="36">
        <v>2277</v>
      </c>
      <c r="AM156" s="36">
        <v>1107</v>
      </c>
      <c r="AN156" s="36">
        <v>119</v>
      </c>
      <c r="AO156" s="36">
        <v>3766</v>
      </c>
      <c r="AP156" s="36">
        <v>2561</v>
      </c>
      <c r="AQ156" s="36">
        <v>1343</v>
      </c>
      <c r="AR156" s="36">
        <v>83</v>
      </c>
      <c r="AS156" s="36">
        <v>3816</v>
      </c>
      <c r="AT156" s="36">
        <v>2492</v>
      </c>
      <c r="AU156" s="36">
        <v>1367</v>
      </c>
      <c r="AV156" s="36">
        <v>222</v>
      </c>
      <c r="AW156" s="36">
        <v>4060</v>
      </c>
      <c r="AX156" s="69">
        <v>2664</v>
      </c>
      <c r="AY156" s="36">
        <v>1329</v>
      </c>
      <c r="AZ156" s="36">
        <v>229</v>
      </c>
      <c r="BA156" s="36">
        <v>4310</v>
      </c>
      <c r="BB156" s="36">
        <v>2760</v>
      </c>
      <c r="BC156" s="36">
        <v>1229</v>
      </c>
      <c r="BD156" s="36">
        <v>181</v>
      </c>
      <c r="BE156" s="70">
        <v>4579</v>
      </c>
      <c r="BF156" s="70">
        <v>2771</v>
      </c>
      <c r="BG156" s="70">
        <v>1025</v>
      </c>
      <c r="BH156" s="70">
        <v>249</v>
      </c>
      <c r="BI156" s="36">
        <v>5023</v>
      </c>
      <c r="BJ156" s="36">
        <v>3144</v>
      </c>
      <c r="BK156" s="36">
        <v>1093</v>
      </c>
      <c r="BL156" s="36">
        <v>166</v>
      </c>
      <c r="BM156" s="36">
        <v>2631.8046732697244</v>
      </c>
      <c r="BN156" s="36">
        <v>906.53292362754439</v>
      </c>
      <c r="BO156" s="36">
        <v>119.24523986121132</v>
      </c>
      <c r="BP156" s="36">
        <v>2589.9258795808082</v>
      </c>
      <c r="BQ156" s="36">
        <v>829.83922916109543</v>
      </c>
      <c r="BR156" s="36">
        <v>121.26349497874945</v>
      </c>
      <c r="BS156" s="36">
        <v>2652.8281640774135</v>
      </c>
      <c r="BT156" s="36">
        <v>758.69573626787621</v>
      </c>
      <c r="BU156" s="36">
        <v>116.89060889075016</v>
      </c>
      <c r="BV156" s="36">
        <v>3106</v>
      </c>
      <c r="BW156" s="36">
        <v>399</v>
      </c>
      <c r="BX156" s="36">
        <v>125</v>
      </c>
      <c r="BY156" s="36">
        <v>3282</v>
      </c>
      <c r="BZ156" s="36">
        <v>294</v>
      </c>
      <c r="CA156" s="36">
        <v>136</v>
      </c>
      <c r="CB156" s="36">
        <v>3476</v>
      </c>
      <c r="CC156" s="36">
        <v>155</v>
      </c>
      <c r="CD156" s="36">
        <v>135</v>
      </c>
      <c r="CE156" s="36">
        <v>3462</v>
      </c>
      <c r="CF156" s="36">
        <v>221</v>
      </c>
      <c r="CG156" s="36">
        <v>133</v>
      </c>
      <c r="CH156" s="36">
        <v>3645</v>
      </c>
      <c r="CI156" s="36">
        <v>275</v>
      </c>
      <c r="CJ156" s="70">
        <v>140</v>
      </c>
      <c r="CK156" s="70">
        <v>3904</v>
      </c>
      <c r="CL156" s="70">
        <v>260</v>
      </c>
      <c r="CM156" s="36">
        <v>146</v>
      </c>
      <c r="CN156" s="36">
        <v>4109</v>
      </c>
      <c r="CO156" s="36">
        <v>314</v>
      </c>
      <c r="CP156" s="36">
        <v>156</v>
      </c>
      <c r="CQ156" s="36">
        <v>4445</v>
      </c>
      <c r="CR156" s="36">
        <v>388</v>
      </c>
      <c r="CS156" s="36">
        <v>190</v>
      </c>
      <c r="CT156" s="36">
        <v>383.46847233224514</v>
      </c>
      <c r="CU156" s="36">
        <v>-478.99921460000002</v>
      </c>
      <c r="CV156" s="36">
        <v>299.54269702795114</v>
      </c>
      <c r="CW156" s="36">
        <v>1880</v>
      </c>
      <c r="CX156" s="36">
        <v>226.21276109073233</v>
      </c>
      <c r="CY156" s="36">
        <v>-901.31909789999997</v>
      </c>
      <c r="CZ156" s="36">
        <v>274.31450805872447</v>
      </c>
      <c r="DA156" s="36">
        <v>2174</v>
      </c>
      <c r="DB156" s="36">
        <v>-42.887921247685313</v>
      </c>
      <c r="DC156" s="36">
        <v>-576.71639979999998</v>
      </c>
      <c r="DD156" s="36">
        <v>292.47880411656769</v>
      </c>
      <c r="DE156" s="36">
        <v>1859</v>
      </c>
      <c r="DF156" s="36">
        <v>75.011815201833926</v>
      </c>
      <c r="DG156" s="36">
        <v>-344</v>
      </c>
      <c r="DH156" s="36">
        <v>293.82430752825979</v>
      </c>
      <c r="DI156" s="36">
        <v>1781</v>
      </c>
      <c r="DJ156" s="36">
        <v>329</v>
      </c>
      <c r="DK156" s="36">
        <v>-177</v>
      </c>
      <c r="DL156" s="36">
        <v>278</v>
      </c>
      <c r="DM156" s="36">
        <v>1729</v>
      </c>
      <c r="DN156" s="36">
        <v>248</v>
      </c>
      <c r="DO156" s="69">
        <v>-203</v>
      </c>
      <c r="DP156" s="36">
        <v>277</v>
      </c>
      <c r="DQ156" s="36">
        <v>1694</v>
      </c>
      <c r="DR156" s="36">
        <v>218</v>
      </c>
      <c r="DS156" s="36">
        <v>-134</v>
      </c>
      <c r="DT156" s="36">
        <v>309</v>
      </c>
      <c r="DU156" s="36">
        <v>1561</v>
      </c>
      <c r="DV156" s="36">
        <v>340</v>
      </c>
      <c r="DW156" s="71">
        <v>-216</v>
      </c>
      <c r="DX156" s="39">
        <v>310</v>
      </c>
      <c r="DY156" s="71">
        <v>1480</v>
      </c>
      <c r="DZ156" s="70">
        <v>296</v>
      </c>
      <c r="EA156" s="35">
        <v>-657</v>
      </c>
      <c r="EB156" s="35">
        <v>285</v>
      </c>
      <c r="EC156" s="38">
        <v>1405</v>
      </c>
      <c r="ED156" s="38">
        <v>-284</v>
      </c>
      <c r="EE156" s="38">
        <v>-762</v>
      </c>
      <c r="EF156" s="38">
        <v>283</v>
      </c>
      <c r="EG156" s="73">
        <v>1681</v>
      </c>
      <c r="EH156" s="73">
        <v>313</v>
      </c>
      <c r="EI156" s="73">
        <v>-271</v>
      </c>
      <c r="EJ156" s="73">
        <v>310</v>
      </c>
      <c r="EK156" s="73">
        <v>1602</v>
      </c>
      <c r="EL156" s="73">
        <v>5176.1516247794634</v>
      </c>
      <c r="EM156" s="73">
        <v>247.40443982488273</v>
      </c>
      <c r="EN156" s="73">
        <v>5376.4634451951233</v>
      </c>
      <c r="EO156" s="73">
        <v>-48.606310747376689</v>
      </c>
      <c r="EP156" s="73">
        <v>5867.2358146098122</v>
      </c>
      <c r="EQ156" s="73">
        <v>-301.39276421902775</v>
      </c>
      <c r="ER156" s="73">
        <v>6358.8491236568088</v>
      </c>
      <c r="ES156" s="73">
        <v>-197.95718944519848</v>
      </c>
      <c r="ET156" s="73">
        <v>6793</v>
      </c>
      <c r="EU156" s="73">
        <v>60</v>
      </c>
      <c r="EV156" s="73">
        <v>7425</v>
      </c>
      <c r="EW156" s="73">
        <v>-1</v>
      </c>
      <c r="EX156" s="73">
        <v>7562</v>
      </c>
      <c r="EY156" s="73">
        <v>-89</v>
      </c>
      <c r="EZ156" s="73">
        <v>7892</v>
      </c>
      <c r="FA156" s="73">
        <v>32</v>
      </c>
      <c r="FB156" s="73">
        <v>8184</v>
      </c>
      <c r="FC156" s="73">
        <v>13</v>
      </c>
      <c r="FD156" s="73">
        <v>8847</v>
      </c>
      <c r="FE156" s="73">
        <v>-567</v>
      </c>
      <c r="FF156" s="73">
        <v>9082</v>
      </c>
      <c r="FG156" s="73">
        <v>4</v>
      </c>
      <c r="FH156" s="73">
        <v>-453</v>
      </c>
      <c r="FI156" s="73">
        <v>-449</v>
      </c>
      <c r="FJ156" s="79">
        <v>2021</v>
      </c>
      <c r="FK156" s="80">
        <v>5308</v>
      </c>
      <c r="FL156" s="80">
        <v>3335</v>
      </c>
      <c r="FM156" s="80">
        <v>993</v>
      </c>
      <c r="FN156" s="76">
        <v>887</v>
      </c>
      <c r="FO156" s="80">
        <v>4780</v>
      </c>
      <c r="FP156" s="80">
        <v>326</v>
      </c>
      <c r="FQ156" s="80">
        <v>202</v>
      </c>
      <c r="FR156" s="80">
        <v>548</v>
      </c>
      <c r="FS156" s="81">
        <v>751</v>
      </c>
      <c r="FT156" s="76">
        <v>291</v>
      </c>
      <c r="FU156" s="76">
        <v>566</v>
      </c>
      <c r="FV156" s="76">
        <v>-751</v>
      </c>
      <c r="FW156" s="80">
        <v>9258</v>
      </c>
      <c r="FX156" s="80">
        <v>963</v>
      </c>
      <c r="FY156" s="73">
        <v>2006</v>
      </c>
      <c r="FZ156" s="73">
        <v>5098</v>
      </c>
      <c r="GA156" s="73">
        <v>4291</v>
      </c>
      <c r="GB156" s="73">
        <v>988</v>
      </c>
      <c r="GC156" s="73">
        <v>265</v>
      </c>
      <c r="GD156" s="73">
        <v>4489</v>
      </c>
      <c r="GE156" s="73">
        <v>371</v>
      </c>
      <c r="GF156" s="73">
        <v>238</v>
      </c>
      <c r="GG156" s="73">
        <v>1067</v>
      </c>
      <c r="GH156" s="73">
        <v>-215</v>
      </c>
      <c r="GI156" s="73">
        <v>273</v>
      </c>
      <c r="GJ156" s="73">
        <v>533</v>
      </c>
      <c r="GK156" s="73">
        <v>215</v>
      </c>
      <c r="GL156" s="73">
        <v>9568</v>
      </c>
      <c r="GM156" s="73">
        <v>796</v>
      </c>
      <c r="GN156" s="73">
        <v>1311</v>
      </c>
      <c r="GO156" s="77">
        <v>20</v>
      </c>
      <c r="GP156" s="78">
        <v>2008</v>
      </c>
      <c r="GQ156" s="73">
        <v>5327</v>
      </c>
      <c r="GR156" s="65">
        <v>4582</v>
      </c>
      <c r="GS156" s="65">
        <v>1115</v>
      </c>
      <c r="GT156" s="65">
        <v>273</v>
      </c>
      <c r="GU156" s="65">
        <v>4674</v>
      </c>
      <c r="GV156" s="65">
        <v>413</v>
      </c>
      <c r="GW156" s="65">
        <v>240</v>
      </c>
      <c r="GX156" s="65">
        <v>1082</v>
      </c>
      <c r="GY156" s="65">
        <v>-853</v>
      </c>
      <c r="GZ156" s="65">
        <v>282</v>
      </c>
      <c r="HA156" s="65">
        <v>497</v>
      </c>
      <c r="HB156" s="65">
        <v>853</v>
      </c>
      <c r="HC156" s="65">
        <v>10215</v>
      </c>
      <c r="HD156" s="65">
        <v>732</v>
      </c>
      <c r="HE156" s="78">
        <v>1992</v>
      </c>
      <c r="HF156" s="73">
        <v>5616</v>
      </c>
      <c r="HG156" s="65">
        <v>4406</v>
      </c>
      <c r="HH156" s="65">
        <v>1182</v>
      </c>
      <c r="HI156" s="65">
        <v>255</v>
      </c>
      <c r="HJ156" s="65">
        <v>5077</v>
      </c>
      <c r="HK156" s="65">
        <v>289</v>
      </c>
      <c r="HL156" s="65">
        <v>250</v>
      </c>
      <c r="HM156" s="65">
        <v>300</v>
      </c>
      <c r="HN156" s="65">
        <v>-1171</v>
      </c>
      <c r="HO156" s="65">
        <v>338</v>
      </c>
      <c r="HP156" s="65">
        <v>466</v>
      </c>
      <c r="HQ156" s="65">
        <v>1171</v>
      </c>
      <c r="HR156" s="65">
        <v>11159</v>
      </c>
      <c r="HS156" s="65">
        <v>-38</v>
      </c>
      <c r="HT156" s="65">
        <v>2005</v>
      </c>
      <c r="HU156" s="77">
        <v>20</v>
      </c>
      <c r="HV156" s="180">
        <v>340</v>
      </c>
      <c r="HW156" s="30" t="s">
        <v>761</v>
      </c>
    </row>
    <row r="157" spans="1:231" ht="15" x14ac:dyDescent="0.25">
      <c r="A157" s="27">
        <v>505</v>
      </c>
      <c r="B157" s="27" t="s">
        <v>285</v>
      </c>
      <c r="C157" s="27">
        <v>1</v>
      </c>
      <c r="D157" s="27" t="s">
        <v>121</v>
      </c>
      <c r="E157" s="27">
        <v>5</v>
      </c>
      <c r="F157" s="27" t="s">
        <v>101</v>
      </c>
      <c r="G157" s="29" t="s">
        <v>132</v>
      </c>
      <c r="H157" s="27" t="s">
        <v>99</v>
      </c>
      <c r="I157" s="31" t="s">
        <v>121</v>
      </c>
      <c r="J157" s="69">
        <v>15986</v>
      </c>
      <c r="K157" s="69">
        <v>16363</v>
      </c>
      <c r="L157" s="36">
        <v>16628</v>
      </c>
      <c r="M157" s="36">
        <v>16908</v>
      </c>
      <c r="N157" s="36">
        <v>17203</v>
      </c>
      <c r="O157" s="36">
        <v>17473</v>
      </c>
      <c r="P157" s="36">
        <v>17899</v>
      </c>
      <c r="Q157" s="36">
        <v>18226</v>
      </c>
      <c r="R157" s="69">
        <v>18650</v>
      </c>
      <c r="S157" s="69">
        <v>18980</v>
      </c>
      <c r="T157" s="71">
        <v>19432</v>
      </c>
      <c r="U157" s="36">
        <v>29155</v>
      </c>
      <c r="V157" s="36">
        <v>10379</v>
      </c>
      <c r="W157" s="36">
        <v>6316</v>
      </c>
      <c r="X157" s="36">
        <v>730.60835254880396</v>
      </c>
      <c r="Y157" s="36">
        <v>30995</v>
      </c>
      <c r="Z157" s="36">
        <v>11461</v>
      </c>
      <c r="AA157" s="36">
        <v>7069</v>
      </c>
      <c r="AB157" s="36">
        <v>1038.2240700469076</v>
      </c>
      <c r="AC157" s="36">
        <v>31359</v>
      </c>
      <c r="AD157" s="36">
        <v>11574</v>
      </c>
      <c r="AE157" s="36">
        <v>7359</v>
      </c>
      <c r="AF157" s="36">
        <v>997.01802806383739</v>
      </c>
      <c r="AG157" s="36">
        <v>35908</v>
      </c>
      <c r="AH157" s="36">
        <v>15075</v>
      </c>
      <c r="AI157" s="36">
        <v>7256</v>
      </c>
      <c r="AJ157" s="36">
        <v>916.62419921523508</v>
      </c>
      <c r="AK157" s="36">
        <v>39816</v>
      </c>
      <c r="AL157" s="36">
        <v>15818</v>
      </c>
      <c r="AM157" s="36">
        <v>8147</v>
      </c>
      <c r="AN157" s="36">
        <v>820</v>
      </c>
      <c r="AO157" s="36">
        <v>38693</v>
      </c>
      <c r="AP157" s="36">
        <v>15945</v>
      </c>
      <c r="AQ157" s="36">
        <v>8629</v>
      </c>
      <c r="AR157" s="36">
        <v>1068</v>
      </c>
      <c r="AS157" s="36">
        <v>40871</v>
      </c>
      <c r="AT157" s="36">
        <v>16594</v>
      </c>
      <c r="AU157" s="36">
        <v>9540</v>
      </c>
      <c r="AV157" s="36">
        <v>1107</v>
      </c>
      <c r="AW157" s="36">
        <v>43085</v>
      </c>
      <c r="AX157" s="69">
        <v>17332</v>
      </c>
      <c r="AY157" s="36">
        <v>9644</v>
      </c>
      <c r="AZ157" s="36">
        <v>911</v>
      </c>
      <c r="BA157" s="36">
        <v>45507</v>
      </c>
      <c r="BB157" s="36">
        <v>18425</v>
      </c>
      <c r="BC157" s="36">
        <v>10672</v>
      </c>
      <c r="BD157" s="36">
        <v>838</v>
      </c>
      <c r="BE157" s="70">
        <v>51046</v>
      </c>
      <c r="BF157" s="70">
        <v>19915</v>
      </c>
      <c r="BG157" s="70">
        <v>10724</v>
      </c>
      <c r="BH157" s="70">
        <v>1013</v>
      </c>
      <c r="BI157" s="36">
        <v>58043</v>
      </c>
      <c r="BJ157" s="36">
        <v>22921</v>
      </c>
      <c r="BK157" s="36">
        <v>11002</v>
      </c>
      <c r="BL157" s="36">
        <v>1345</v>
      </c>
      <c r="BM157" s="36">
        <v>25282.513669473723</v>
      </c>
      <c r="BN157" s="36">
        <v>2985.6720705447437</v>
      </c>
      <c r="BO157" s="36">
        <v>886.85493623154764</v>
      </c>
      <c r="BP157" s="36">
        <v>27125.180591786037</v>
      </c>
      <c r="BQ157" s="36">
        <v>2831.2755540530766</v>
      </c>
      <c r="BR157" s="36">
        <v>1038.5604458998307</v>
      </c>
      <c r="BS157" s="36">
        <v>27009.971862159899</v>
      </c>
      <c r="BT157" s="36">
        <v>3312.2930237329983</v>
      </c>
      <c r="BU157" s="36">
        <v>1037.2149424881386</v>
      </c>
      <c r="BV157" s="36">
        <v>32237</v>
      </c>
      <c r="BW157" s="36">
        <v>2552</v>
      </c>
      <c r="BX157" s="36">
        <v>1118</v>
      </c>
      <c r="BY157" s="36">
        <v>36661</v>
      </c>
      <c r="BZ157" s="36">
        <v>1787</v>
      </c>
      <c r="CA157" s="36">
        <v>1368</v>
      </c>
      <c r="CB157" s="36">
        <v>36186</v>
      </c>
      <c r="CC157" s="36">
        <v>1079</v>
      </c>
      <c r="CD157" s="36">
        <v>1428</v>
      </c>
      <c r="CE157" s="36">
        <v>37962</v>
      </c>
      <c r="CF157" s="36">
        <v>1332</v>
      </c>
      <c r="CG157" s="36">
        <v>1577</v>
      </c>
      <c r="CH157" s="36">
        <v>39620</v>
      </c>
      <c r="CI157" s="36">
        <v>1651</v>
      </c>
      <c r="CJ157" s="70">
        <v>1814</v>
      </c>
      <c r="CK157" s="70">
        <v>41768</v>
      </c>
      <c r="CL157" s="70">
        <v>1823</v>
      </c>
      <c r="CM157" s="36">
        <v>1916</v>
      </c>
      <c r="CN157" s="36">
        <v>46907</v>
      </c>
      <c r="CO157" s="36">
        <v>2029</v>
      </c>
      <c r="CP157" s="36">
        <v>2110</v>
      </c>
      <c r="CQ157" s="36">
        <v>52864</v>
      </c>
      <c r="CR157" s="36">
        <v>2001</v>
      </c>
      <c r="CS157" s="36">
        <v>3178</v>
      </c>
      <c r="CT157" s="36">
        <v>-120.59074327290341</v>
      </c>
      <c r="CU157" s="36">
        <v>-4853.5671819999998</v>
      </c>
      <c r="CV157" s="36">
        <v>1973.6853170258319</v>
      </c>
      <c r="CW157" s="36">
        <v>7246</v>
      </c>
      <c r="CX157" s="36">
        <v>2524.8371520402034</v>
      </c>
      <c r="CY157" s="36">
        <v>-2153.6463979999999</v>
      </c>
      <c r="CZ157" s="36">
        <v>2075.9435763144306</v>
      </c>
      <c r="DA157" s="36">
        <v>7355</v>
      </c>
      <c r="DB157" s="36">
        <v>-1168.4015251281169</v>
      </c>
      <c r="DC157" s="36">
        <v>-4327.8117240000001</v>
      </c>
      <c r="DD157" s="36">
        <v>2111.7676046507327</v>
      </c>
      <c r="DE157" s="36">
        <v>10789</v>
      </c>
      <c r="DF157" s="36">
        <v>1807.179269828936</v>
      </c>
      <c r="DG157" s="36">
        <v>-4289</v>
      </c>
      <c r="DH157" s="36">
        <v>2194.6842523962573</v>
      </c>
      <c r="DI157" s="36">
        <v>12935</v>
      </c>
      <c r="DJ157" s="36">
        <v>6333</v>
      </c>
      <c r="DK157" s="36">
        <v>-7747</v>
      </c>
      <c r="DL157" s="36">
        <v>2374</v>
      </c>
      <c r="DM157" s="36">
        <v>14492</v>
      </c>
      <c r="DN157" s="36">
        <v>2968</v>
      </c>
      <c r="DO157" s="69">
        <v>-5747</v>
      </c>
      <c r="DP157" s="36">
        <v>2430</v>
      </c>
      <c r="DQ157" s="36">
        <v>19042</v>
      </c>
      <c r="DR157" s="36">
        <v>3284</v>
      </c>
      <c r="DS157" s="36">
        <v>-5897</v>
      </c>
      <c r="DT157" s="36">
        <v>2804</v>
      </c>
      <c r="DU157" s="36">
        <v>22580</v>
      </c>
      <c r="DV157" s="36">
        <v>599</v>
      </c>
      <c r="DW157" s="71">
        <v>-3317</v>
      </c>
      <c r="DX157" s="39">
        <v>2563</v>
      </c>
      <c r="DY157" s="71">
        <v>24371</v>
      </c>
      <c r="DZ157" s="70">
        <v>1073</v>
      </c>
      <c r="EA157" s="35">
        <v>-9257</v>
      </c>
      <c r="EB157" s="35">
        <v>2564</v>
      </c>
      <c r="EC157" s="38">
        <v>34136</v>
      </c>
      <c r="ED157" s="38">
        <v>3753</v>
      </c>
      <c r="EE157" s="38">
        <v>-4910</v>
      </c>
      <c r="EF157" s="38">
        <v>2884</v>
      </c>
      <c r="EG157" s="73">
        <v>37309</v>
      </c>
      <c r="EH157" s="73">
        <v>5809</v>
      </c>
      <c r="EI157" s="73">
        <v>-9051</v>
      </c>
      <c r="EJ157" s="73">
        <v>3254</v>
      </c>
      <c r="EK157" s="73">
        <v>40188</v>
      </c>
      <c r="EL157" s="73">
        <v>43702.287187611946</v>
      </c>
      <c r="EM157" s="73">
        <v>-900.98272205431454</v>
      </c>
      <c r="EN157" s="73">
        <v>45213.119331015703</v>
      </c>
      <c r="EO157" s="73">
        <v>151.0327579624369</v>
      </c>
      <c r="EP157" s="73">
        <v>49503.929710901772</v>
      </c>
      <c r="EQ157" s="73">
        <v>-3323.7298027323809</v>
      </c>
      <c r="ER157" s="73">
        <v>53977.055803072115</v>
      </c>
      <c r="ES157" s="73">
        <v>-387.50498256732141</v>
      </c>
      <c r="ET157" s="73">
        <v>57691</v>
      </c>
      <c r="EU157" s="73">
        <v>3838</v>
      </c>
      <c r="EV157" s="73">
        <v>60796</v>
      </c>
      <c r="EW157" s="73">
        <v>340</v>
      </c>
      <c r="EX157" s="73">
        <v>64150</v>
      </c>
      <c r="EY157" s="73">
        <v>565</v>
      </c>
      <c r="EZ157" s="73">
        <v>69736</v>
      </c>
      <c r="FA157" s="73">
        <v>-1924</v>
      </c>
      <c r="FB157" s="73">
        <v>73503</v>
      </c>
      <c r="FC157" s="73">
        <v>-1572</v>
      </c>
      <c r="FD157" s="73">
        <v>77499</v>
      </c>
      <c r="FE157" s="73">
        <v>968</v>
      </c>
      <c r="FF157" s="73">
        <v>85844</v>
      </c>
      <c r="FG157" s="73">
        <v>2653</v>
      </c>
      <c r="FH157" s="73">
        <v>2501</v>
      </c>
      <c r="FI157" s="73">
        <v>5154</v>
      </c>
      <c r="FJ157" s="79">
        <v>19747</v>
      </c>
      <c r="FK157" s="80">
        <v>60518</v>
      </c>
      <c r="FL157" s="80">
        <v>24511</v>
      </c>
      <c r="FM157" s="80">
        <v>23023</v>
      </c>
      <c r="FN157" s="76">
        <v>946</v>
      </c>
      <c r="FO157" s="80">
        <v>55389</v>
      </c>
      <c r="FP157" s="80">
        <v>1615</v>
      </c>
      <c r="FQ157" s="80">
        <v>3514</v>
      </c>
      <c r="FR157" s="80">
        <v>5942</v>
      </c>
      <c r="FS157" s="81">
        <v>-12583</v>
      </c>
      <c r="FT157" s="76">
        <v>3440</v>
      </c>
      <c r="FU157" s="76">
        <v>44541</v>
      </c>
      <c r="FV157" s="76">
        <v>12583</v>
      </c>
      <c r="FW157" s="80">
        <v>102023</v>
      </c>
      <c r="FX157" s="80">
        <v>2601</v>
      </c>
      <c r="FY157" s="73">
        <v>19975</v>
      </c>
      <c r="FZ157" s="73">
        <v>63375</v>
      </c>
      <c r="GA157" s="73">
        <v>25311</v>
      </c>
      <c r="GB157" s="73">
        <v>25697</v>
      </c>
      <c r="GC157" s="73">
        <v>2070</v>
      </c>
      <c r="GD157" s="73">
        <v>57466</v>
      </c>
      <c r="GE157" s="73">
        <v>2045</v>
      </c>
      <c r="GF157" s="73">
        <v>3864</v>
      </c>
      <c r="GG157" s="73">
        <v>10919</v>
      </c>
      <c r="GH157" s="73">
        <v>-10574</v>
      </c>
      <c r="GI157" s="73">
        <v>3799</v>
      </c>
      <c r="GJ157" s="73">
        <v>45046</v>
      </c>
      <c r="GK157" s="73">
        <v>10574</v>
      </c>
      <c r="GL157" s="73">
        <v>104866</v>
      </c>
      <c r="GM157" s="73">
        <v>7049</v>
      </c>
      <c r="GN157" s="73">
        <v>14805</v>
      </c>
      <c r="GO157" s="77">
        <v>19.75</v>
      </c>
      <c r="GP157" s="78">
        <v>20131</v>
      </c>
      <c r="GQ157" s="73">
        <v>65892</v>
      </c>
      <c r="GR157" s="65">
        <v>25308</v>
      </c>
      <c r="GS157" s="65">
        <v>29634</v>
      </c>
      <c r="GT157" s="65">
        <v>1930</v>
      </c>
      <c r="GU157" s="65">
        <v>58975</v>
      </c>
      <c r="GV157" s="65">
        <v>2567</v>
      </c>
      <c r="GW157" s="65">
        <v>4350</v>
      </c>
      <c r="GX157" s="65">
        <v>7900</v>
      </c>
      <c r="GY157" s="65">
        <v>-7518</v>
      </c>
      <c r="GZ157" s="65">
        <v>4087</v>
      </c>
      <c r="HA157" s="65">
        <v>45353</v>
      </c>
      <c r="HB157" s="65">
        <v>7518</v>
      </c>
      <c r="HC157" s="65">
        <v>114054</v>
      </c>
      <c r="HD157" s="65">
        <v>4035</v>
      </c>
      <c r="HE157" s="78">
        <v>20478</v>
      </c>
      <c r="HF157" s="73">
        <v>66995</v>
      </c>
      <c r="HG157" s="65">
        <v>26376</v>
      </c>
      <c r="HH157" s="65">
        <v>31023</v>
      </c>
      <c r="HI157" s="65">
        <v>1341</v>
      </c>
      <c r="HJ157" s="65">
        <v>60533</v>
      </c>
      <c r="HK157" s="65">
        <v>1945</v>
      </c>
      <c r="HL157" s="65">
        <v>4517</v>
      </c>
      <c r="HM157" s="65">
        <v>4782</v>
      </c>
      <c r="HN157" s="65">
        <v>-13689</v>
      </c>
      <c r="HO157" s="65">
        <v>4602</v>
      </c>
      <c r="HP157" s="65">
        <v>53315</v>
      </c>
      <c r="HQ157" s="65">
        <v>13689</v>
      </c>
      <c r="HR157" s="65">
        <v>120316</v>
      </c>
      <c r="HS157" s="65">
        <v>279</v>
      </c>
      <c r="HT157" s="65">
        <v>19516</v>
      </c>
      <c r="HU157" s="77">
        <v>19.75</v>
      </c>
      <c r="HV157" s="180">
        <v>230</v>
      </c>
      <c r="HW157" s="30" t="s">
        <v>756</v>
      </c>
    </row>
    <row r="158" spans="1:231" ht="15" x14ac:dyDescent="0.25">
      <c r="A158" s="27">
        <v>508</v>
      </c>
      <c r="B158" s="27" t="s">
        <v>523</v>
      </c>
      <c r="C158" s="27">
        <v>6</v>
      </c>
      <c r="D158" s="27" t="s">
        <v>114</v>
      </c>
      <c r="E158" s="27">
        <v>3</v>
      </c>
      <c r="F158" s="27" t="s">
        <v>743</v>
      </c>
      <c r="G158" s="29" t="s">
        <v>132</v>
      </c>
      <c r="H158" s="27" t="s">
        <v>99</v>
      </c>
      <c r="I158" s="31" t="s">
        <v>114</v>
      </c>
      <c r="J158" s="69">
        <v>13112</v>
      </c>
      <c r="K158" s="69">
        <v>12933</v>
      </c>
      <c r="L158" s="36">
        <v>12738</v>
      </c>
      <c r="M158" s="36">
        <v>12612</v>
      </c>
      <c r="N158" s="36">
        <v>12379</v>
      </c>
      <c r="O158" s="36">
        <v>12270</v>
      </c>
      <c r="P158" s="36">
        <v>12124</v>
      </c>
      <c r="Q158" s="36">
        <v>11982</v>
      </c>
      <c r="R158" s="69">
        <v>11881</v>
      </c>
      <c r="S158" s="69">
        <v>11767</v>
      </c>
      <c r="T158" s="71">
        <v>11645</v>
      </c>
      <c r="U158" s="36">
        <v>29143</v>
      </c>
      <c r="V158" s="36">
        <v>7910</v>
      </c>
      <c r="W158" s="36">
        <v>7834</v>
      </c>
      <c r="X158" s="36">
        <v>921.33346115615723</v>
      </c>
      <c r="Y158" s="36">
        <v>30324</v>
      </c>
      <c r="Z158" s="36">
        <v>8440</v>
      </c>
      <c r="AA158" s="36">
        <v>7891</v>
      </c>
      <c r="AB158" s="36">
        <v>1133.2502484976612</v>
      </c>
      <c r="AC158" s="36">
        <v>28646</v>
      </c>
      <c r="AD158" s="36">
        <v>8276</v>
      </c>
      <c r="AE158" s="36">
        <v>7872</v>
      </c>
      <c r="AF158" s="36">
        <v>591.51693736513425</v>
      </c>
      <c r="AG158" s="36">
        <v>29981</v>
      </c>
      <c r="AH158" s="36">
        <v>9655</v>
      </c>
      <c r="AI158" s="36">
        <v>8047</v>
      </c>
      <c r="AJ158" s="36">
        <v>758.1911724884917</v>
      </c>
      <c r="AK158" s="36">
        <v>34390</v>
      </c>
      <c r="AL158" s="36">
        <v>11923</v>
      </c>
      <c r="AM158" s="36">
        <v>7790</v>
      </c>
      <c r="AN158" s="36">
        <v>471</v>
      </c>
      <c r="AO158" s="36">
        <v>31022</v>
      </c>
      <c r="AP158" s="36">
        <v>11742</v>
      </c>
      <c r="AQ158" s="36">
        <v>8334</v>
      </c>
      <c r="AR158" s="36">
        <v>1191</v>
      </c>
      <c r="AS158" s="36">
        <v>32299</v>
      </c>
      <c r="AT158" s="36">
        <v>13403</v>
      </c>
      <c r="AU158" s="36">
        <v>8679</v>
      </c>
      <c r="AV158" s="36">
        <v>909</v>
      </c>
      <c r="AW158" s="36">
        <v>32579</v>
      </c>
      <c r="AX158" s="69">
        <v>13809</v>
      </c>
      <c r="AY158" s="36">
        <v>8875</v>
      </c>
      <c r="AZ158" s="36">
        <v>359</v>
      </c>
      <c r="BA158" s="36">
        <v>33958</v>
      </c>
      <c r="BB158" s="36">
        <v>15000</v>
      </c>
      <c r="BC158" s="36">
        <v>9460</v>
      </c>
      <c r="BD158" s="36">
        <v>176</v>
      </c>
      <c r="BE158" s="70">
        <v>35557</v>
      </c>
      <c r="BF158" s="70">
        <v>15593</v>
      </c>
      <c r="BG158" s="70">
        <v>9980</v>
      </c>
      <c r="BH158" s="70">
        <v>201</v>
      </c>
      <c r="BI158" s="36">
        <v>37461</v>
      </c>
      <c r="BJ158" s="36">
        <v>17792</v>
      </c>
      <c r="BK158" s="36">
        <v>10385</v>
      </c>
      <c r="BL158" s="36">
        <v>177</v>
      </c>
      <c r="BM158" s="36">
        <v>25181.769101523278</v>
      </c>
      <c r="BN158" s="36">
        <v>2947.4934112379806</v>
      </c>
      <c r="BO158" s="36">
        <v>998.02715562260641</v>
      </c>
      <c r="BP158" s="36">
        <v>24825.042509498413</v>
      </c>
      <c r="BQ158" s="36">
        <v>4083.4346665590265</v>
      </c>
      <c r="BR158" s="36">
        <v>1397.4734809686952</v>
      </c>
      <c r="BS158" s="36">
        <v>23488.284869982323</v>
      </c>
      <c r="BT158" s="36">
        <v>3731.9219002544678</v>
      </c>
      <c r="BU158" s="36">
        <v>1408.5738841151547</v>
      </c>
      <c r="BV158" s="36">
        <v>26838</v>
      </c>
      <c r="BW158" s="36">
        <v>1749</v>
      </c>
      <c r="BX158" s="36">
        <v>1378</v>
      </c>
      <c r="BY158" s="36">
        <v>29447</v>
      </c>
      <c r="BZ158" s="36">
        <v>3385</v>
      </c>
      <c r="CA158" s="36">
        <v>1541</v>
      </c>
      <c r="CB158" s="36">
        <v>28161</v>
      </c>
      <c r="CC158" s="36">
        <v>1350</v>
      </c>
      <c r="CD158" s="36">
        <v>1496</v>
      </c>
      <c r="CE158" s="36">
        <v>28919</v>
      </c>
      <c r="CF158" s="36">
        <v>1783</v>
      </c>
      <c r="CG158" s="36">
        <v>1583</v>
      </c>
      <c r="CH158" s="36">
        <v>28595</v>
      </c>
      <c r="CI158" s="36">
        <v>2436</v>
      </c>
      <c r="CJ158" s="70">
        <v>1534</v>
      </c>
      <c r="CK158" s="70">
        <v>29919</v>
      </c>
      <c r="CL158" s="70">
        <v>2464</v>
      </c>
      <c r="CM158" s="36">
        <v>1563</v>
      </c>
      <c r="CN158" s="36">
        <v>31706</v>
      </c>
      <c r="CO158" s="36">
        <v>2096</v>
      </c>
      <c r="CP158" s="36">
        <v>1744</v>
      </c>
      <c r="CQ158" s="36">
        <v>33801</v>
      </c>
      <c r="CR158" s="36">
        <v>1833</v>
      </c>
      <c r="CS158" s="36">
        <v>1827</v>
      </c>
      <c r="CT158" s="36">
        <v>110.16309183228969</v>
      </c>
      <c r="CU158" s="36">
        <v>-4414.4285060000002</v>
      </c>
      <c r="CV158" s="36">
        <v>2494.8997011300544</v>
      </c>
      <c r="CW158" s="36">
        <v>12142</v>
      </c>
      <c r="CX158" s="36">
        <v>2570.416080111273</v>
      </c>
      <c r="CY158" s="36">
        <v>-1753.5273212999998</v>
      </c>
      <c r="CZ158" s="36">
        <v>2308.7156665371617</v>
      </c>
      <c r="DA158" s="36">
        <v>10940</v>
      </c>
      <c r="DB158" s="36">
        <v>-589.83505810051918</v>
      </c>
      <c r="DC158" s="36">
        <v>-2259.2684159999999</v>
      </c>
      <c r="DD158" s="36">
        <v>1978.2263910402926</v>
      </c>
      <c r="DE158" s="36">
        <v>11874</v>
      </c>
      <c r="DF158" s="36">
        <v>-1930.7973957781467</v>
      </c>
      <c r="DG158" s="36">
        <v>-2761</v>
      </c>
      <c r="DH158" s="36">
        <v>2046.6788771101278</v>
      </c>
      <c r="DI158" s="36">
        <v>12409</v>
      </c>
      <c r="DJ158" s="36">
        <v>5362</v>
      </c>
      <c r="DK158" s="36">
        <v>-885</v>
      </c>
      <c r="DL158" s="36">
        <v>2049</v>
      </c>
      <c r="DM158" s="36">
        <v>12063</v>
      </c>
      <c r="DN158" s="36">
        <v>1120</v>
      </c>
      <c r="DO158" s="69">
        <v>-1941</v>
      </c>
      <c r="DP158" s="36">
        <v>2100</v>
      </c>
      <c r="DQ158" s="36">
        <v>12225</v>
      </c>
      <c r="DR158" s="36">
        <v>940</v>
      </c>
      <c r="DS158" s="36">
        <v>-3044</v>
      </c>
      <c r="DT158" s="36">
        <v>1939</v>
      </c>
      <c r="DU158" s="36">
        <v>12269</v>
      </c>
      <c r="DV158" s="36">
        <v>1082</v>
      </c>
      <c r="DW158" s="71">
        <v>-2586</v>
      </c>
      <c r="DX158" s="39">
        <v>2122</v>
      </c>
      <c r="DY158" s="71">
        <v>13482</v>
      </c>
      <c r="DZ158" s="70">
        <v>2785</v>
      </c>
      <c r="EA158" s="35">
        <v>-2970</v>
      </c>
      <c r="EB158" s="35">
        <v>2125</v>
      </c>
      <c r="EC158" s="38">
        <v>15995</v>
      </c>
      <c r="ED158" s="38">
        <v>1917</v>
      </c>
      <c r="EE158" s="38">
        <v>-2703</v>
      </c>
      <c r="EF158" s="38">
        <v>2142</v>
      </c>
      <c r="EG158" s="73">
        <v>15685</v>
      </c>
      <c r="EH158" s="73">
        <v>2536</v>
      </c>
      <c r="EI158" s="73">
        <v>-6659</v>
      </c>
      <c r="EJ158" s="73">
        <v>2278</v>
      </c>
      <c r="EK158" s="73">
        <v>18251</v>
      </c>
      <c r="EL158" s="73">
        <v>42919.708765786534</v>
      </c>
      <c r="EM158" s="73">
        <v>-2344.0351310940791</v>
      </c>
      <c r="EN158" s="73">
        <v>42696.187011519185</v>
      </c>
      <c r="EO158" s="73">
        <v>150.36000625659085</v>
      </c>
      <c r="EP158" s="73">
        <v>43354.979119468931</v>
      </c>
      <c r="EQ158" s="73">
        <v>-2358.4992927697695</v>
      </c>
      <c r="ER158" s="73">
        <v>47489.374727745802</v>
      </c>
      <c r="ES158" s="73">
        <v>-4164.164871260552</v>
      </c>
      <c r="ET158" s="73">
        <v>48530</v>
      </c>
      <c r="EU158" s="73">
        <v>2768</v>
      </c>
      <c r="EV158" s="73">
        <v>49937</v>
      </c>
      <c r="EW158" s="73">
        <v>-219</v>
      </c>
      <c r="EX158" s="73">
        <v>53364</v>
      </c>
      <c r="EY158" s="73">
        <v>-456</v>
      </c>
      <c r="EZ158" s="73">
        <v>54106</v>
      </c>
      <c r="FA158" s="73">
        <v>-1036</v>
      </c>
      <c r="FB158" s="73">
        <v>55378</v>
      </c>
      <c r="FC158" s="73">
        <v>664</v>
      </c>
      <c r="FD158" s="73">
        <v>58763</v>
      </c>
      <c r="FE158" s="73">
        <v>-221</v>
      </c>
      <c r="FF158" s="73">
        <v>62542</v>
      </c>
      <c r="FG158" s="73">
        <v>262</v>
      </c>
      <c r="FH158" s="73">
        <v>-5135</v>
      </c>
      <c r="FI158" s="73">
        <v>-4873</v>
      </c>
      <c r="FJ158" s="79">
        <v>11496</v>
      </c>
      <c r="FK158" s="80">
        <v>37317</v>
      </c>
      <c r="FL158" s="80">
        <v>19530</v>
      </c>
      <c r="FM158" s="80">
        <v>13512</v>
      </c>
      <c r="FN158" s="76">
        <v>104</v>
      </c>
      <c r="FO158" s="80">
        <v>33876</v>
      </c>
      <c r="FP158" s="80">
        <v>1526</v>
      </c>
      <c r="FQ158" s="80">
        <v>1915</v>
      </c>
      <c r="FR158" s="80">
        <v>5664</v>
      </c>
      <c r="FS158" s="81">
        <v>-3375</v>
      </c>
      <c r="FT158" s="76">
        <v>2279</v>
      </c>
      <c r="FU158" s="76">
        <v>17463</v>
      </c>
      <c r="FV158" s="76">
        <v>3375</v>
      </c>
      <c r="FW158" s="80">
        <v>64498</v>
      </c>
      <c r="FX158" s="80">
        <v>3385</v>
      </c>
      <c r="FY158" s="73">
        <v>11413</v>
      </c>
      <c r="FZ158" s="73">
        <v>37994</v>
      </c>
      <c r="GA158" s="73">
        <v>20512</v>
      </c>
      <c r="GB158" s="73">
        <v>10649</v>
      </c>
      <c r="GC158" s="73">
        <v>143</v>
      </c>
      <c r="GD158" s="73">
        <v>33759</v>
      </c>
      <c r="GE158" s="73">
        <v>2327</v>
      </c>
      <c r="GF158" s="73">
        <v>1908</v>
      </c>
      <c r="GG158" s="73">
        <v>3682</v>
      </c>
      <c r="GH158" s="73">
        <v>-3133</v>
      </c>
      <c r="GI158" s="73">
        <v>2283</v>
      </c>
      <c r="GJ158" s="73">
        <v>17165</v>
      </c>
      <c r="GK158" s="73">
        <v>3133</v>
      </c>
      <c r="GL158" s="73">
        <v>65318</v>
      </c>
      <c r="GM158" s="73">
        <v>1407</v>
      </c>
      <c r="GN158" s="73">
        <v>26</v>
      </c>
      <c r="GO158" s="77">
        <v>20.5</v>
      </c>
      <c r="GP158" s="78">
        <v>11308</v>
      </c>
      <c r="GQ158" s="73">
        <v>37428</v>
      </c>
      <c r="GR158" s="65">
        <v>20710</v>
      </c>
      <c r="GS158" s="65">
        <v>11031</v>
      </c>
      <c r="GT158" s="65">
        <v>168</v>
      </c>
      <c r="GU158" s="65">
        <v>32936</v>
      </c>
      <c r="GV158" s="65">
        <v>2568</v>
      </c>
      <c r="GW158" s="65">
        <v>1924</v>
      </c>
      <c r="GX158" s="65">
        <v>-690</v>
      </c>
      <c r="GY158" s="65">
        <v>-2502</v>
      </c>
      <c r="GZ158" s="65">
        <v>2368</v>
      </c>
      <c r="HA158" s="65">
        <v>19151</v>
      </c>
      <c r="HB158" s="65">
        <v>2502</v>
      </c>
      <c r="HC158" s="65">
        <v>69639</v>
      </c>
      <c r="HD158" s="65">
        <v>-3054</v>
      </c>
      <c r="HE158" s="78">
        <v>11122</v>
      </c>
      <c r="HF158" s="73">
        <v>37615</v>
      </c>
      <c r="HG158" s="65">
        <v>23215</v>
      </c>
      <c r="HH158" s="65">
        <v>10445</v>
      </c>
      <c r="HI158" s="65">
        <v>185</v>
      </c>
      <c r="HJ158" s="65">
        <v>34021</v>
      </c>
      <c r="HK158" s="65">
        <v>1263</v>
      </c>
      <c r="HL158" s="65">
        <v>2331</v>
      </c>
      <c r="HM158" s="65">
        <v>-1436</v>
      </c>
      <c r="HN158" s="65">
        <v>-3126</v>
      </c>
      <c r="HO158" s="65">
        <v>2461</v>
      </c>
      <c r="HP158" s="65">
        <v>22982</v>
      </c>
      <c r="HQ158" s="65">
        <v>3126</v>
      </c>
      <c r="HR158" s="65">
        <v>72531</v>
      </c>
      <c r="HS158" s="65">
        <v>-3893</v>
      </c>
      <c r="HT158" s="65">
        <v>-6921</v>
      </c>
      <c r="HU158" s="77">
        <v>21</v>
      </c>
      <c r="HV158" s="180">
        <v>240</v>
      </c>
      <c r="HW158" s="30" t="s">
        <v>757</v>
      </c>
    </row>
    <row r="159" spans="1:231" ht="15" x14ac:dyDescent="0.25">
      <c r="A159" s="27">
        <v>507</v>
      </c>
      <c r="B159" s="27" t="s">
        <v>286</v>
      </c>
      <c r="C159" s="27">
        <v>10</v>
      </c>
      <c r="D159" s="27" t="s">
        <v>107</v>
      </c>
      <c r="E159" s="27">
        <v>3</v>
      </c>
      <c r="F159" s="27" t="s">
        <v>743</v>
      </c>
      <c r="G159" s="29" t="s">
        <v>132</v>
      </c>
      <c r="H159" s="27" t="s">
        <v>99</v>
      </c>
      <c r="I159" s="31" t="s">
        <v>107</v>
      </c>
      <c r="J159" s="69">
        <v>7300</v>
      </c>
      <c r="K159" s="69">
        <v>7202</v>
      </c>
      <c r="L159" s="36">
        <v>7131</v>
      </c>
      <c r="M159" s="36">
        <v>7120</v>
      </c>
      <c r="N159" s="36">
        <v>7061</v>
      </c>
      <c r="O159" s="36">
        <v>7013</v>
      </c>
      <c r="P159" s="36">
        <v>6915</v>
      </c>
      <c r="Q159" s="36">
        <v>6862</v>
      </c>
      <c r="R159" s="69">
        <v>6701</v>
      </c>
      <c r="S159" s="69">
        <v>6647</v>
      </c>
      <c r="T159" s="71">
        <v>6570</v>
      </c>
      <c r="U159" s="36">
        <v>15595</v>
      </c>
      <c r="V159" s="36">
        <v>5686</v>
      </c>
      <c r="W159" s="36">
        <v>4934</v>
      </c>
      <c r="X159" s="36">
        <v>715.13506331434485</v>
      </c>
      <c r="Y159" s="36">
        <v>14425</v>
      </c>
      <c r="Z159" s="36">
        <v>5533</v>
      </c>
      <c r="AA159" s="36">
        <v>4920</v>
      </c>
      <c r="AB159" s="36">
        <v>489.25867807653555</v>
      </c>
      <c r="AC159" s="36">
        <v>14918</v>
      </c>
      <c r="AD159" s="36">
        <v>5971</v>
      </c>
      <c r="AE159" s="36">
        <v>6307</v>
      </c>
      <c r="AF159" s="36">
        <v>320.39799990917851</v>
      </c>
      <c r="AG159" s="36">
        <v>14964</v>
      </c>
      <c r="AH159" s="36">
        <v>7398</v>
      </c>
      <c r="AI159" s="36">
        <v>6787</v>
      </c>
      <c r="AJ159" s="36">
        <v>355.54927653963432</v>
      </c>
      <c r="AK159" s="36">
        <v>15852</v>
      </c>
      <c r="AL159" s="36">
        <v>8225</v>
      </c>
      <c r="AM159" s="36">
        <v>7260</v>
      </c>
      <c r="AN159" s="36">
        <v>279</v>
      </c>
      <c r="AO159" s="36">
        <v>14075</v>
      </c>
      <c r="AP159" s="36">
        <v>9565</v>
      </c>
      <c r="AQ159" s="36">
        <v>6532</v>
      </c>
      <c r="AR159" s="36">
        <v>260</v>
      </c>
      <c r="AS159" s="36">
        <v>14697</v>
      </c>
      <c r="AT159" s="36">
        <v>11411</v>
      </c>
      <c r="AU159" s="36">
        <v>6591</v>
      </c>
      <c r="AV159" s="36">
        <v>1540</v>
      </c>
      <c r="AW159" s="36">
        <v>15043</v>
      </c>
      <c r="AX159" s="69">
        <v>10704</v>
      </c>
      <c r="AY159" s="36">
        <v>6115</v>
      </c>
      <c r="AZ159" s="36">
        <v>295</v>
      </c>
      <c r="BA159" s="36">
        <v>15666</v>
      </c>
      <c r="BB159" s="36">
        <v>10938</v>
      </c>
      <c r="BC159" s="36">
        <v>6523</v>
      </c>
      <c r="BD159" s="36">
        <v>386</v>
      </c>
      <c r="BE159" s="70">
        <v>17108</v>
      </c>
      <c r="BF159" s="70">
        <v>11666</v>
      </c>
      <c r="BG159" s="70">
        <v>6399</v>
      </c>
      <c r="BH159" s="70">
        <v>357</v>
      </c>
      <c r="BI159" s="36">
        <v>18066</v>
      </c>
      <c r="BJ159" s="36">
        <v>12628</v>
      </c>
      <c r="BK159" s="36">
        <v>6624</v>
      </c>
      <c r="BL159" s="36">
        <v>232</v>
      </c>
      <c r="BM159" s="36">
        <v>10090.09827220543</v>
      </c>
      <c r="BN159" s="36">
        <v>4765.9412721398385</v>
      </c>
      <c r="BO159" s="36">
        <v>738.68137301895649</v>
      </c>
      <c r="BP159" s="36">
        <v>9794.0875216331733</v>
      </c>
      <c r="BQ159" s="36">
        <v>3887.8321080842884</v>
      </c>
      <c r="BR159" s="36">
        <v>742.7178832540327</v>
      </c>
      <c r="BS159" s="36">
        <v>9688.4655038153433</v>
      </c>
      <c r="BT159" s="36">
        <v>4335.8847441777543</v>
      </c>
      <c r="BU159" s="36">
        <v>893.58245329000806</v>
      </c>
      <c r="BV159" s="36">
        <v>11144</v>
      </c>
      <c r="BW159" s="36">
        <v>2823</v>
      </c>
      <c r="BX159" s="36">
        <v>996</v>
      </c>
      <c r="BY159" s="36">
        <v>12498</v>
      </c>
      <c r="BZ159" s="36">
        <v>2297</v>
      </c>
      <c r="CA159" s="36">
        <v>1057</v>
      </c>
      <c r="CB159" s="36">
        <v>11875</v>
      </c>
      <c r="CC159" s="36">
        <v>1135</v>
      </c>
      <c r="CD159" s="36">
        <v>1065</v>
      </c>
      <c r="CE159" s="36">
        <v>12157</v>
      </c>
      <c r="CF159" s="36">
        <v>1471</v>
      </c>
      <c r="CG159" s="36">
        <v>1069</v>
      </c>
      <c r="CH159" s="36">
        <v>12298</v>
      </c>
      <c r="CI159" s="36">
        <v>1655</v>
      </c>
      <c r="CJ159" s="70">
        <v>1090</v>
      </c>
      <c r="CK159" s="70">
        <v>12514</v>
      </c>
      <c r="CL159" s="70">
        <v>1990</v>
      </c>
      <c r="CM159" s="36">
        <v>1162</v>
      </c>
      <c r="CN159" s="36">
        <v>13252</v>
      </c>
      <c r="CO159" s="36">
        <v>2506</v>
      </c>
      <c r="CP159" s="36">
        <v>1350</v>
      </c>
      <c r="CQ159" s="36">
        <v>14311</v>
      </c>
      <c r="CR159" s="36">
        <v>2345</v>
      </c>
      <c r="CS159" s="36">
        <v>1410</v>
      </c>
      <c r="CT159" s="36">
        <v>977.84460444722527</v>
      </c>
      <c r="CU159" s="36">
        <v>-1593.5806030000001</v>
      </c>
      <c r="CV159" s="36">
        <v>1129.0455503361236</v>
      </c>
      <c r="CW159" s="36">
        <v>2953</v>
      </c>
      <c r="CX159" s="36">
        <v>-968.42608056538063</v>
      </c>
      <c r="CY159" s="36">
        <v>-1325.152673</v>
      </c>
      <c r="CZ159" s="36">
        <v>1042.7651440613681</v>
      </c>
      <c r="DA159" s="36">
        <v>3580</v>
      </c>
      <c r="DB159" s="36">
        <v>-701.68002919742401</v>
      </c>
      <c r="DC159" s="36">
        <v>-3819.8841860000002</v>
      </c>
      <c r="DD159" s="36">
        <v>1301.7745508120954</v>
      </c>
      <c r="DE159" s="36">
        <v>7401</v>
      </c>
      <c r="DF159" s="36">
        <v>-311.82041565964153</v>
      </c>
      <c r="DG159" s="36">
        <v>-2015</v>
      </c>
      <c r="DH159" s="36">
        <v>1267.464213813947</v>
      </c>
      <c r="DI159" s="36">
        <v>8964</v>
      </c>
      <c r="DJ159" s="36">
        <v>1544</v>
      </c>
      <c r="DK159" s="36">
        <v>-232</v>
      </c>
      <c r="DL159" s="36">
        <v>1221</v>
      </c>
      <c r="DM159" s="36">
        <v>11276</v>
      </c>
      <c r="DN159" s="36">
        <v>-485</v>
      </c>
      <c r="DO159" s="69">
        <v>-1164</v>
      </c>
      <c r="DP159" s="36">
        <v>1215</v>
      </c>
      <c r="DQ159" s="36">
        <v>10538</v>
      </c>
      <c r="DR159" s="36">
        <v>1462</v>
      </c>
      <c r="DS159" s="36">
        <v>258</v>
      </c>
      <c r="DT159" s="36">
        <v>1241</v>
      </c>
      <c r="DU159" s="36">
        <v>9937</v>
      </c>
      <c r="DV159" s="36">
        <v>404</v>
      </c>
      <c r="DW159" s="71">
        <v>-356</v>
      </c>
      <c r="DX159" s="39">
        <v>1134</v>
      </c>
      <c r="DY159" s="71">
        <v>9708</v>
      </c>
      <c r="DZ159" s="70">
        <v>1082</v>
      </c>
      <c r="EA159" s="35">
        <v>-1015</v>
      </c>
      <c r="EB159" s="35">
        <v>1312</v>
      </c>
      <c r="EC159" s="38">
        <v>8969</v>
      </c>
      <c r="ED159" s="38">
        <v>1867</v>
      </c>
      <c r="EE159" s="38">
        <v>-2179</v>
      </c>
      <c r="EF159" s="38">
        <v>797</v>
      </c>
      <c r="EG159" s="73">
        <v>9962</v>
      </c>
      <c r="EH159" s="73">
        <v>2240</v>
      </c>
      <c r="EI159" s="73">
        <v>-2808</v>
      </c>
      <c r="EJ159" s="73">
        <v>791</v>
      </c>
      <c r="EK159" s="73">
        <v>11242</v>
      </c>
      <c r="EL159" s="73">
        <v>24644.072300625827</v>
      </c>
      <c r="EM159" s="73">
        <v>-152.04188552120598</v>
      </c>
      <c r="EN159" s="73">
        <v>25019.63594041438</v>
      </c>
      <c r="EO159" s="73">
        <v>-2012.0321642590563</v>
      </c>
      <c r="EP159" s="73">
        <v>26764.249301599633</v>
      </c>
      <c r="EQ159" s="73">
        <v>-2004.295519641827</v>
      </c>
      <c r="ER159" s="73">
        <v>28095.624927468954</v>
      </c>
      <c r="ES159" s="73">
        <v>-1580.6301328852805</v>
      </c>
      <c r="ET159" s="73">
        <v>29553</v>
      </c>
      <c r="EU159" s="73">
        <v>322</v>
      </c>
      <c r="EV159" s="73">
        <v>30568</v>
      </c>
      <c r="EW159" s="73">
        <v>-1701</v>
      </c>
      <c r="EX159" s="73">
        <v>31158</v>
      </c>
      <c r="EY159" s="73">
        <v>1507</v>
      </c>
      <c r="EZ159" s="73">
        <v>31464</v>
      </c>
      <c r="FA159" s="73">
        <v>-730</v>
      </c>
      <c r="FB159" s="73">
        <v>32045</v>
      </c>
      <c r="FC159" s="73">
        <v>-36</v>
      </c>
      <c r="FD159" s="73">
        <v>33265</v>
      </c>
      <c r="FE159" s="73">
        <v>1070</v>
      </c>
      <c r="FF159" s="73">
        <v>34892</v>
      </c>
      <c r="FG159" s="73">
        <v>1449</v>
      </c>
      <c r="FH159" s="73">
        <v>-2161</v>
      </c>
      <c r="FI159" s="73">
        <v>-712</v>
      </c>
      <c r="FJ159" s="79">
        <v>6475</v>
      </c>
      <c r="FK159" s="80">
        <v>17426</v>
      </c>
      <c r="FL159" s="80">
        <v>13798</v>
      </c>
      <c r="FM159" s="80">
        <v>5883</v>
      </c>
      <c r="FN159" s="76">
        <v>317</v>
      </c>
      <c r="FO159" s="80">
        <v>14323</v>
      </c>
      <c r="FP159" s="80">
        <v>1603</v>
      </c>
      <c r="FQ159" s="80">
        <v>1500</v>
      </c>
      <c r="FR159" s="80">
        <v>1116</v>
      </c>
      <c r="FS159" s="81">
        <v>-272</v>
      </c>
      <c r="FT159" s="76">
        <v>1002</v>
      </c>
      <c r="FU159" s="76">
        <v>10573</v>
      </c>
      <c r="FV159" s="76">
        <v>272</v>
      </c>
      <c r="FW159" s="80">
        <v>36030</v>
      </c>
      <c r="FX159" s="80">
        <v>114</v>
      </c>
      <c r="FY159" s="73">
        <v>6456</v>
      </c>
      <c r="FZ159" s="73">
        <v>17769</v>
      </c>
      <c r="GA159" s="73">
        <v>15041</v>
      </c>
      <c r="GB159" s="73">
        <v>7679</v>
      </c>
      <c r="GC159" s="73">
        <v>244</v>
      </c>
      <c r="GD159" s="73">
        <v>13958</v>
      </c>
      <c r="GE159" s="73">
        <v>1957</v>
      </c>
      <c r="GF159" s="73">
        <v>1854</v>
      </c>
      <c r="GG159" s="73">
        <v>2129</v>
      </c>
      <c r="GH159" s="73">
        <v>-3565</v>
      </c>
      <c r="GI159" s="73">
        <v>930</v>
      </c>
      <c r="GJ159" s="73">
        <v>11838</v>
      </c>
      <c r="GK159" s="73">
        <v>3565</v>
      </c>
      <c r="GL159" s="73">
        <v>38377</v>
      </c>
      <c r="GM159" s="73">
        <v>1199</v>
      </c>
      <c r="GN159" s="73">
        <v>601</v>
      </c>
      <c r="GO159" s="77">
        <v>19</v>
      </c>
      <c r="GP159" s="78">
        <v>6393</v>
      </c>
      <c r="GQ159" s="73">
        <v>18231</v>
      </c>
      <c r="GR159" s="65">
        <v>15596</v>
      </c>
      <c r="GS159" s="65">
        <v>7126</v>
      </c>
      <c r="GT159" s="65">
        <v>289</v>
      </c>
      <c r="GU159" s="65">
        <v>14225</v>
      </c>
      <c r="GV159" s="65">
        <v>2101</v>
      </c>
      <c r="GW159" s="65">
        <v>1905</v>
      </c>
      <c r="GX159" s="65">
        <v>39</v>
      </c>
      <c r="GY159" s="65">
        <v>-2765</v>
      </c>
      <c r="GZ159" s="65">
        <v>1365</v>
      </c>
      <c r="HA159" s="65">
        <v>16660</v>
      </c>
      <c r="HB159" s="65">
        <v>2765</v>
      </c>
      <c r="HC159" s="65">
        <v>40904</v>
      </c>
      <c r="HD159" s="65">
        <v>-1326</v>
      </c>
      <c r="HE159" s="78">
        <v>6356</v>
      </c>
      <c r="HF159" s="73">
        <v>19023</v>
      </c>
      <c r="HG159" s="65">
        <v>16807</v>
      </c>
      <c r="HH159" s="65">
        <v>7252</v>
      </c>
      <c r="HI159" s="65">
        <v>222</v>
      </c>
      <c r="HJ159" s="65">
        <v>15335</v>
      </c>
      <c r="HK159" s="65">
        <v>1485</v>
      </c>
      <c r="HL159" s="65">
        <v>2203</v>
      </c>
      <c r="HM159" s="65">
        <v>2418</v>
      </c>
      <c r="HN159" s="65">
        <v>-514</v>
      </c>
      <c r="HO159" s="65">
        <v>1267</v>
      </c>
      <c r="HP159" s="65">
        <v>15778</v>
      </c>
      <c r="HQ159" s="65">
        <v>514</v>
      </c>
      <c r="HR159" s="65">
        <v>40547</v>
      </c>
      <c r="HS159" s="65">
        <v>1151</v>
      </c>
      <c r="HT159" s="65">
        <v>427</v>
      </c>
      <c r="HU159" s="77">
        <v>19.75</v>
      </c>
      <c r="HV159" s="180">
        <v>340</v>
      </c>
      <c r="HW159" s="30" t="s">
        <v>761</v>
      </c>
    </row>
    <row r="160" spans="1:231" ht="15" x14ac:dyDescent="0.25">
      <c r="A160" s="27">
        <v>529</v>
      </c>
      <c r="B160" s="27" t="s">
        <v>287</v>
      </c>
      <c r="C160" s="27">
        <v>2</v>
      </c>
      <c r="D160" s="27" t="s">
        <v>122</v>
      </c>
      <c r="E160" s="27">
        <v>4</v>
      </c>
      <c r="F160" s="27" t="s">
        <v>100</v>
      </c>
      <c r="G160" s="29" t="s">
        <v>132</v>
      </c>
      <c r="H160" s="27" t="s">
        <v>99</v>
      </c>
      <c r="I160" s="31" t="s">
        <v>122</v>
      </c>
      <c r="J160" s="69">
        <v>16496</v>
      </c>
      <c r="K160" s="69">
        <v>16630</v>
      </c>
      <c r="L160" s="36">
        <v>16743</v>
      </c>
      <c r="M160" s="36">
        <v>17009</v>
      </c>
      <c r="N160" s="36">
        <v>17100</v>
      </c>
      <c r="O160" s="36">
        <v>17437</v>
      </c>
      <c r="P160" s="36">
        <v>17563</v>
      </c>
      <c r="Q160" s="36">
        <v>17788</v>
      </c>
      <c r="R160" s="69">
        <v>17987</v>
      </c>
      <c r="S160" s="69">
        <v>18117</v>
      </c>
      <c r="T160" s="71">
        <v>18391</v>
      </c>
      <c r="U160" s="36">
        <v>38199</v>
      </c>
      <c r="V160" s="36">
        <v>6422</v>
      </c>
      <c r="W160" s="36">
        <v>16633</v>
      </c>
      <c r="X160" s="36">
        <v>1051.1745403844438</v>
      </c>
      <c r="Y160" s="36">
        <v>39660</v>
      </c>
      <c r="Z160" s="36">
        <v>6388</v>
      </c>
      <c r="AA160" s="36">
        <v>17074</v>
      </c>
      <c r="AB160" s="36">
        <v>1086.4940049413613</v>
      </c>
      <c r="AC160" s="36">
        <v>41061</v>
      </c>
      <c r="AD160" s="36">
        <v>6632</v>
      </c>
      <c r="AE160" s="36">
        <v>17827</v>
      </c>
      <c r="AF160" s="36">
        <v>1038.3922579733692</v>
      </c>
      <c r="AG160" s="36">
        <v>42986</v>
      </c>
      <c r="AH160" s="36">
        <v>7494</v>
      </c>
      <c r="AI160" s="36">
        <v>17932</v>
      </c>
      <c r="AJ160" s="36">
        <v>1039.4013855321382</v>
      </c>
      <c r="AK160" s="36">
        <v>58428</v>
      </c>
      <c r="AL160" s="36">
        <v>9208</v>
      </c>
      <c r="AM160" s="36">
        <v>19124</v>
      </c>
      <c r="AN160" s="36">
        <v>672</v>
      </c>
      <c r="AO160" s="36">
        <v>45360</v>
      </c>
      <c r="AP160" s="36">
        <v>5214</v>
      </c>
      <c r="AQ160" s="36">
        <v>20619</v>
      </c>
      <c r="AR160" s="36">
        <v>775</v>
      </c>
      <c r="AS160" s="36">
        <v>49338</v>
      </c>
      <c r="AT160" s="36">
        <v>10601</v>
      </c>
      <c r="AU160" s="36">
        <v>20620</v>
      </c>
      <c r="AV160" s="36">
        <v>733</v>
      </c>
      <c r="AW160" s="36">
        <v>50020</v>
      </c>
      <c r="AX160" s="69">
        <v>10942</v>
      </c>
      <c r="AY160" s="36">
        <v>22251</v>
      </c>
      <c r="AZ160" s="36">
        <v>801</v>
      </c>
      <c r="BA160" s="36">
        <v>56175</v>
      </c>
      <c r="BB160" s="36">
        <v>11147</v>
      </c>
      <c r="BC160" s="36">
        <v>23181</v>
      </c>
      <c r="BD160" s="36">
        <v>848</v>
      </c>
      <c r="BE160" s="70">
        <v>61076</v>
      </c>
      <c r="BF160" s="70">
        <v>11944</v>
      </c>
      <c r="BG160" s="70">
        <v>25433</v>
      </c>
      <c r="BH160" s="70">
        <v>639</v>
      </c>
      <c r="BI160" s="36">
        <v>63313</v>
      </c>
      <c r="BJ160" s="36">
        <v>12417</v>
      </c>
      <c r="BK160" s="36">
        <v>27198</v>
      </c>
      <c r="BL160" s="36">
        <v>925</v>
      </c>
      <c r="BM160" s="36">
        <v>30306.455220805521</v>
      </c>
      <c r="BN160" s="36">
        <v>6161.9010617703798</v>
      </c>
      <c r="BO160" s="36">
        <v>1712.1530913781824</v>
      </c>
      <c r="BP160" s="36">
        <v>31290.354590605359</v>
      </c>
      <c r="BQ160" s="36">
        <v>6558.9927561460072</v>
      </c>
      <c r="BR160" s="36">
        <v>1793.5560477855536</v>
      </c>
      <c r="BS160" s="36">
        <v>30921.518467875263</v>
      </c>
      <c r="BT160" s="36">
        <v>8167.7102727503607</v>
      </c>
      <c r="BU160" s="36">
        <v>1956.8665243796806</v>
      </c>
      <c r="BV160" s="36">
        <v>36391</v>
      </c>
      <c r="BW160" s="36">
        <v>4421</v>
      </c>
      <c r="BX160" s="36">
        <v>2160</v>
      </c>
      <c r="BY160" s="36">
        <v>39121</v>
      </c>
      <c r="BZ160" s="36">
        <v>17073</v>
      </c>
      <c r="CA160" s="36">
        <v>2220</v>
      </c>
      <c r="CB160" s="36">
        <v>38312</v>
      </c>
      <c r="CC160" s="36">
        <v>4778</v>
      </c>
      <c r="CD160" s="36">
        <v>2256</v>
      </c>
      <c r="CE160" s="36">
        <v>40030</v>
      </c>
      <c r="CF160" s="36">
        <v>7121</v>
      </c>
      <c r="CG160" s="36">
        <v>2173</v>
      </c>
      <c r="CH160" s="36">
        <v>40671</v>
      </c>
      <c r="CI160" s="36">
        <v>6909</v>
      </c>
      <c r="CJ160" s="70">
        <v>2426</v>
      </c>
      <c r="CK160" s="70">
        <v>44752</v>
      </c>
      <c r="CL160" s="70">
        <v>8735</v>
      </c>
      <c r="CM160" s="36">
        <v>2673</v>
      </c>
      <c r="CN160" s="36">
        <v>47836</v>
      </c>
      <c r="CO160" s="36">
        <v>10386</v>
      </c>
      <c r="CP160" s="36">
        <v>2835</v>
      </c>
      <c r="CQ160" s="36">
        <v>50515</v>
      </c>
      <c r="CR160" s="36">
        <v>9650</v>
      </c>
      <c r="CS160" s="36">
        <v>3130</v>
      </c>
      <c r="CT160" s="36">
        <v>4819.4250327545988</v>
      </c>
      <c r="CU160" s="36">
        <v>-5007.1227589999999</v>
      </c>
      <c r="CV160" s="36">
        <v>4083.9392303384111</v>
      </c>
      <c r="CW160" s="36">
        <v>13317</v>
      </c>
      <c r="CX160" s="36">
        <v>5657.1690944593847</v>
      </c>
      <c r="CY160" s="36">
        <v>-7122.9268732</v>
      </c>
      <c r="CZ160" s="36">
        <v>4186.365677553471</v>
      </c>
      <c r="DA160" s="36">
        <v>17072</v>
      </c>
      <c r="DB160" s="36">
        <v>5927.2789043565717</v>
      </c>
      <c r="DC160" s="36">
        <v>-5982.7809200000011</v>
      </c>
      <c r="DD160" s="36">
        <v>4328.4844754134483</v>
      </c>
      <c r="DE160" s="36">
        <v>14225</v>
      </c>
      <c r="DF160" s="36">
        <v>5022.0914841407193</v>
      </c>
      <c r="DG160" s="36">
        <v>-6057</v>
      </c>
      <c r="DH160" s="36">
        <v>4366.9995105731341</v>
      </c>
      <c r="DI160" s="36">
        <v>10771</v>
      </c>
      <c r="DJ160" s="36">
        <v>23347</v>
      </c>
      <c r="DK160" s="36">
        <v>-7612</v>
      </c>
      <c r="DL160" s="36">
        <v>4513</v>
      </c>
      <c r="DM160" s="36">
        <v>9824</v>
      </c>
      <c r="DN160" s="36">
        <v>4163</v>
      </c>
      <c r="DO160" s="69">
        <v>-6742</v>
      </c>
      <c r="DP160" s="36">
        <v>4562</v>
      </c>
      <c r="DQ160" s="36">
        <v>5612</v>
      </c>
      <c r="DR160" s="36">
        <v>7975</v>
      </c>
      <c r="DS160" s="36">
        <v>-8522</v>
      </c>
      <c r="DT160" s="36">
        <v>4695</v>
      </c>
      <c r="DU160" s="36">
        <v>4972</v>
      </c>
      <c r="DV160" s="36">
        <v>3621</v>
      </c>
      <c r="DW160" s="71">
        <v>-13317</v>
      </c>
      <c r="DX160" s="39">
        <v>5064</v>
      </c>
      <c r="DY160" s="71">
        <v>8917</v>
      </c>
      <c r="DZ160" s="70">
        <v>7531</v>
      </c>
      <c r="EA160" s="35">
        <v>-7514</v>
      </c>
      <c r="EB160" s="35">
        <v>5901</v>
      </c>
      <c r="EC160" s="38">
        <v>8312</v>
      </c>
      <c r="ED160" s="38">
        <v>11293</v>
      </c>
      <c r="EE160" s="38">
        <v>-16236</v>
      </c>
      <c r="EF160" s="38">
        <v>6305</v>
      </c>
      <c r="EG160" s="73">
        <v>13415</v>
      </c>
      <c r="EH160" s="73">
        <v>7215</v>
      </c>
      <c r="EI160" s="73">
        <v>-13149</v>
      </c>
      <c r="EJ160" s="73">
        <v>7376</v>
      </c>
      <c r="EK160" s="73">
        <v>18748</v>
      </c>
      <c r="EL160" s="73">
        <v>53899.184793120432</v>
      </c>
      <c r="EM160" s="73">
        <v>599.92633368820987</v>
      </c>
      <c r="EN160" s="73">
        <v>55345.096396910048</v>
      </c>
      <c r="EO160" s="73">
        <v>1109.7039387930499</v>
      </c>
      <c r="EP160" s="73">
        <v>57133.270431048841</v>
      </c>
      <c r="EQ160" s="73">
        <v>2234.3766030411743</v>
      </c>
      <c r="ER160" s="73">
        <v>60812.044946541464</v>
      </c>
      <c r="ES160" s="73">
        <v>1125.6817918068934</v>
      </c>
      <c r="ET160" s="73">
        <v>63344</v>
      </c>
      <c r="EU160" s="73">
        <v>18984</v>
      </c>
      <c r="EV160" s="73">
        <v>67486</v>
      </c>
      <c r="EW160" s="73">
        <v>-337</v>
      </c>
      <c r="EX160" s="73">
        <v>73045</v>
      </c>
      <c r="EY160" s="73">
        <v>3310</v>
      </c>
      <c r="EZ160" s="73">
        <v>80098</v>
      </c>
      <c r="FA160" s="73">
        <v>-1218</v>
      </c>
      <c r="FB160" s="73">
        <v>83230</v>
      </c>
      <c r="FC160" s="73">
        <v>2011</v>
      </c>
      <c r="FD160" s="73">
        <v>87293</v>
      </c>
      <c r="FE160" s="73">
        <v>5057</v>
      </c>
      <c r="FF160" s="73">
        <v>95808</v>
      </c>
      <c r="FG160" s="73">
        <v>361</v>
      </c>
      <c r="FH160" s="73">
        <v>47232</v>
      </c>
      <c r="FI160" s="73">
        <v>47722</v>
      </c>
      <c r="FJ160" s="79">
        <v>18544</v>
      </c>
      <c r="FK160" s="80">
        <v>61352</v>
      </c>
      <c r="FL160" s="80">
        <v>13032</v>
      </c>
      <c r="FM160" s="80">
        <v>29597</v>
      </c>
      <c r="FN160" s="76">
        <v>345</v>
      </c>
      <c r="FO160" s="80">
        <v>51660</v>
      </c>
      <c r="FP160" s="80">
        <v>6521</v>
      </c>
      <c r="FQ160" s="80">
        <v>3171</v>
      </c>
      <c r="FR160" s="80">
        <v>2688</v>
      </c>
      <c r="FS160" s="81">
        <v>-20187</v>
      </c>
      <c r="FT160" s="76">
        <v>8970</v>
      </c>
      <c r="FU160" s="76">
        <v>37819</v>
      </c>
      <c r="FV160" s="76">
        <v>20187</v>
      </c>
      <c r="FW160" s="80">
        <v>101175</v>
      </c>
      <c r="FX160" s="80">
        <v>-6223</v>
      </c>
      <c r="FY160" s="73">
        <v>18626</v>
      </c>
      <c r="FZ160" s="73">
        <v>65762</v>
      </c>
      <c r="GA160" s="73">
        <v>15486</v>
      </c>
      <c r="GB160" s="73">
        <v>33537</v>
      </c>
      <c r="GC160" s="73">
        <v>435</v>
      </c>
      <c r="GD160" s="73">
        <v>55246</v>
      </c>
      <c r="GE160" s="73">
        <v>5912</v>
      </c>
      <c r="GF160" s="73">
        <v>4604</v>
      </c>
      <c r="GG160" s="73">
        <v>7308</v>
      </c>
      <c r="GH160" s="73">
        <v>-7116</v>
      </c>
      <c r="GI160" s="73">
        <v>9942</v>
      </c>
      <c r="GJ160" s="73">
        <v>38925</v>
      </c>
      <c r="GK160" s="73">
        <v>7116</v>
      </c>
      <c r="GL160" s="73">
        <v>107673</v>
      </c>
      <c r="GM160" s="73">
        <v>-2576</v>
      </c>
      <c r="GN160" s="73">
        <v>38506</v>
      </c>
      <c r="GO160" s="77">
        <v>17.25</v>
      </c>
      <c r="GP160" s="78">
        <v>18871</v>
      </c>
      <c r="GQ160" s="73">
        <v>68036</v>
      </c>
      <c r="GR160" s="65">
        <v>16941</v>
      </c>
      <c r="GS160" s="65">
        <v>34862</v>
      </c>
      <c r="GT160" s="65">
        <v>718</v>
      </c>
      <c r="GU160" s="65">
        <v>56644</v>
      </c>
      <c r="GV160" s="65">
        <v>6565</v>
      </c>
      <c r="GW160" s="65">
        <v>4827</v>
      </c>
      <c r="GX160" s="65">
        <v>6870</v>
      </c>
      <c r="GY160" s="65">
        <v>-8134</v>
      </c>
      <c r="GZ160" s="65">
        <v>10206</v>
      </c>
      <c r="HA160" s="65">
        <v>42190</v>
      </c>
      <c r="HB160" s="65">
        <v>8134</v>
      </c>
      <c r="HC160" s="65">
        <v>113321</v>
      </c>
      <c r="HD160" s="65">
        <v>-3467</v>
      </c>
      <c r="HE160" s="78">
        <v>18824</v>
      </c>
      <c r="HF160" s="73">
        <v>70349</v>
      </c>
      <c r="HG160" s="65">
        <v>18526</v>
      </c>
      <c r="HH160" s="65">
        <v>29720</v>
      </c>
      <c r="HI160" s="65">
        <v>1130</v>
      </c>
      <c r="HJ160" s="65">
        <v>58494</v>
      </c>
      <c r="HK160" s="65">
        <v>6533</v>
      </c>
      <c r="HL160" s="65">
        <v>5322</v>
      </c>
      <c r="HM160" s="65">
        <v>3799</v>
      </c>
      <c r="HN160" s="65">
        <v>-6087</v>
      </c>
      <c r="HO160" s="65">
        <v>10499</v>
      </c>
      <c r="HP160" s="65">
        <v>49783</v>
      </c>
      <c r="HQ160" s="65">
        <v>6087</v>
      </c>
      <c r="HR160" s="65">
        <v>115322</v>
      </c>
      <c r="HS160" s="65">
        <v>-6320</v>
      </c>
      <c r="HT160" s="65">
        <v>28819</v>
      </c>
      <c r="HU160" s="77">
        <v>17.75</v>
      </c>
      <c r="HV160" s="180">
        <v>220</v>
      </c>
      <c r="HW160" s="30" t="s">
        <v>755</v>
      </c>
    </row>
    <row r="161" spans="1:231" ht="15" x14ac:dyDescent="0.25">
      <c r="A161" s="27">
        <v>531</v>
      </c>
      <c r="B161" s="27" t="s">
        <v>288</v>
      </c>
      <c r="C161" s="27">
        <v>4</v>
      </c>
      <c r="D161" s="27" t="s">
        <v>120</v>
      </c>
      <c r="E161" s="27">
        <v>3</v>
      </c>
      <c r="F161" s="27" t="s">
        <v>743</v>
      </c>
      <c r="G161" s="29" t="s">
        <v>132</v>
      </c>
      <c r="H161" s="27" t="s">
        <v>99</v>
      </c>
      <c r="I161" s="31" t="s">
        <v>120</v>
      </c>
      <c r="J161" s="69">
        <v>6155</v>
      </c>
      <c r="K161" s="69">
        <v>6111</v>
      </c>
      <c r="L161" s="36">
        <v>6094</v>
      </c>
      <c r="M161" s="36">
        <v>6019</v>
      </c>
      <c r="N161" s="36">
        <v>5964</v>
      </c>
      <c r="O161" s="36">
        <v>5941</v>
      </c>
      <c r="P161" s="36">
        <v>5859</v>
      </c>
      <c r="Q161" s="36">
        <v>5832</v>
      </c>
      <c r="R161" s="69">
        <v>5768</v>
      </c>
      <c r="S161" s="69">
        <v>5758</v>
      </c>
      <c r="T161" s="71">
        <v>5782</v>
      </c>
      <c r="U161" s="36">
        <v>12223</v>
      </c>
      <c r="V161" s="36">
        <v>5283</v>
      </c>
      <c r="W161" s="36">
        <v>2307</v>
      </c>
      <c r="X161" s="36">
        <v>309.63397261564182</v>
      </c>
      <c r="Y161" s="36">
        <v>12778</v>
      </c>
      <c r="Z161" s="36">
        <v>5584</v>
      </c>
      <c r="AA161" s="36">
        <v>2107</v>
      </c>
      <c r="AB161" s="36">
        <v>440.14780354977438</v>
      </c>
      <c r="AC161" s="36">
        <v>11884</v>
      </c>
      <c r="AD161" s="36">
        <v>5923</v>
      </c>
      <c r="AE161" s="36">
        <v>2287</v>
      </c>
      <c r="AF161" s="36">
        <v>283.56484401410762</v>
      </c>
      <c r="AG161" s="36">
        <v>13128</v>
      </c>
      <c r="AH161" s="36">
        <v>7261</v>
      </c>
      <c r="AI161" s="36">
        <v>2238</v>
      </c>
      <c r="AJ161" s="36">
        <v>270.95074952949426</v>
      </c>
      <c r="AK161" s="36">
        <v>13825</v>
      </c>
      <c r="AL161" s="36">
        <v>7654</v>
      </c>
      <c r="AM161" s="36">
        <v>2466</v>
      </c>
      <c r="AN161" s="36">
        <v>194</v>
      </c>
      <c r="AO161" s="36">
        <v>12822</v>
      </c>
      <c r="AP161" s="36">
        <v>7635</v>
      </c>
      <c r="AQ161" s="36">
        <v>2546</v>
      </c>
      <c r="AR161" s="36">
        <v>142</v>
      </c>
      <c r="AS161" s="36">
        <v>12939</v>
      </c>
      <c r="AT161" s="36">
        <v>8111</v>
      </c>
      <c r="AU161" s="36">
        <v>2935</v>
      </c>
      <c r="AV161" s="36">
        <v>147</v>
      </c>
      <c r="AW161" s="36">
        <v>13819</v>
      </c>
      <c r="AX161" s="69">
        <v>8225</v>
      </c>
      <c r="AY161" s="36">
        <v>2983</v>
      </c>
      <c r="AZ161" s="36">
        <v>110</v>
      </c>
      <c r="BA161" s="36">
        <v>14532</v>
      </c>
      <c r="BB161" s="36">
        <v>8594</v>
      </c>
      <c r="BC161" s="36">
        <v>3016</v>
      </c>
      <c r="BD161" s="36">
        <v>42</v>
      </c>
      <c r="BE161" s="70">
        <v>15085</v>
      </c>
      <c r="BF161" s="70">
        <v>9129</v>
      </c>
      <c r="BG161" s="70">
        <v>2937</v>
      </c>
      <c r="BH161" s="70">
        <v>118</v>
      </c>
      <c r="BI161" s="36">
        <v>16893</v>
      </c>
      <c r="BJ161" s="36">
        <v>10814</v>
      </c>
      <c r="BK161" s="36">
        <v>3014</v>
      </c>
      <c r="BL161" s="36">
        <v>4</v>
      </c>
      <c r="BM161" s="36">
        <v>10162.419080583881</v>
      </c>
      <c r="BN161" s="36">
        <v>1732.8402063329481</v>
      </c>
      <c r="BO161" s="36">
        <v>328.13464452640801</v>
      </c>
      <c r="BP161" s="36">
        <v>10625.608630058883</v>
      </c>
      <c r="BQ161" s="36">
        <v>1718.8806084366427</v>
      </c>
      <c r="BR161" s="36">
        <v>433.08391063839088</v>
      </c>
      <c r="BS161" s="36">
        <v>9799.8059111328639</v>
      </c>
      <c r="BT161" s="36">
        <v>1634.1138935000411</v>
      </c>
      <c r="BU161" s="36">
        <v>450.57545499038793</v>
      </c>
      <c r="BV161" s="36">
        <v>11338</v>
      </c>
      <c r="BW161" s="36">
        <v>1330</v>
      </c>
      <c r="BX161" s="36">
        <v>460</v>
      </c>
      <c r="BY161" s="36">
        <v>12077</v>
      </c>
      <c r="BZ161" s="36">
        <v>1265</v>
      </c>
      <c r="CA161" s="36">
        <v>483</v>
      </c>
      <c r="CB161" s="36">
        <v>11740</v>
      </c>
      <c r="CC161" s="36">
        <v>600</v>
      </c>
      <c r="CD161" s="36">
        <v>482</v>
      </c>
      <c r="CE161" s="36">
        <v>11607</v>
      </c>
      <c r="CF161" s="36">
        <v>806</v>
      </c>
      <c r="CG161" s="36">
        <v>526</v>
      </c>
      <c r="CH161" s="36">
        <v>12357</v>
      </c>
      <c r="CI161" s="36">
        <v>908</v>
      </c>
      <c r="CJ161" s="70">
        <v>554</v>
      </c>
      <c r="CK161" s="70">
        <v>12946</v>
      </c>
      <c r="CL161" s="70">
        <v>889</v>
      </c>
      <c r="CM161" s="36">
        <v>697</v>
      </c>
      <c r="CN161" s="36">
        <v>13557</v>
      </c>
      <c r="CO161" s="36">
        <v>814</v>
      </c>
      <c r="CP161" s="36">
        <v>714</v>
      </c>
      <c r="CQ161" s="36">
        <v>15466</v>
      </c>
      <c r="CR161" s="36">
        <v>677</v>
      </c>
      <c r="CS161" s="36">
        <v>750</v>
      </c>
      <c r="CT161" s="36">
        <v>811.33855725032925</v>
      </c>
      <c r="CU161" s="36">
        <v>-1583.9938909999998</v>
      </c>
      <c r="CV161" s="36">
        <v>1122.8225970570477</v>
      </c>
      <c r="CW161" s="36">
        <v>2219</v>
      </c>
      <c r="CX161" s="36">
        <v>1602.6627512517384</v>
      </c>
      <c r="CY161" s="36">
        <v>-1189.7613919999999</v>
      </c>
      <c r="CZ161" s="36">
        <v>1073.207158750902</v>
      </c>
      <c r="DA161" s="36">
        <v>1572</v>
      </c>
      <c r="DB161" s="36">
        <v>938.15225380230856</v>
      </c>
      <c r="DC161" s="36">
        <v>-1150.4054169999999</v>
      </c>
      <c r="DD161" s="36">
        <v>1126.3545435127394</v>
      </c>
      <c r="DE161" s="36">
        <v>1279</v>
      </c>
      <c r="DF161" s="36">
        <v>2375.8226491953046</v>
      </c>
      <c r="DG161" s="36">
        <v>-2315</v>
      </c>
      <c r="DH161" s="36">
        <v>1063.9568227955187</v>
      </c>
      <c r="DI161" s="36">
        <v>951</v>
      </c>
      <c r="DJ161" s="36">
        <v>2788</v>
      </c>
      <c r="DK161" s="36">
        <v>-2659</v>
      </c>
      <c r="DL161" s="36">
        <v>1261</v>
      </c>
      <c r="DM161" s="36">
        <v>643</v>
      </c>
      <c r="DN161" s="36">
        <v>797</v>
      </c>
      <c r="DO161" s="69">
        <v>-1563</v>
      </c>
      <c r="DP161" s="36">
        <v>1377</v>
      </c>
      <c r="DQ161" s="36">
        <v>1078</v>
      </c>
      <c r="DR161" s="36">
        <v>-348</v>
      </c>
      <c r="DS161" s="36">
        <v>-1568</v>
      </c>
      <c r="DT161" s="36">
        <v>1511</v>
      </c>
      <c r="DU161" s="36">
        <v>2828</v>
      </c>
      <c r="DV161" s="36">
        <v>102</v>
      </c>
      <c r="DW161" s="71">
        <v>-874</v>
      </c>
      <c r="DX161" s="39">
        <v>1468</v>
      </c>
      <c r="DY161" s="71">
        <v>3477</v>
      </c>
      <c r="DZ161" s="70">
        <v>786</v>
      </c>
      <c r="EA161" s="38">
        <v>-580</v>
      </c>
      <c r="EB161" s="35">
        <v>1419</v>
      </c>
      <c r="EC161" s="35">
        <v>3254</v>
      </c>
      <c r="ED161" s="38">
        <v>1528</v>
      </c>
      <c r="EE161" s="35">
        <v>-1002</v>
      </c>
      <c r="EF161" s="38">
        <v>1314</v>
      </c>
      <c r="EG161" s="73">
        <v>2981</v>
      </c>
      <c r="EH161" s="73">
        <v>2714</v>
      </c>
      <c r="EI161" s="73">
        <v>-1038</v>
      </c>
      <c r="EJ161" s="73">
        <v>1243</v>
      </c>
      <c r="EK161" s="73">
        <v>2357</v>
      </c>
      <c r="EL161" s="73">
        <v>18240.485188530256</v>
      </c>
      <c r="EM161" s="73">
        <v>43.728860879992865</v>
      </c>
      <c r="EN161" s="73">
        <v>18255.790289838253</v>
      </c>
      <c r="EO161" s="73">
        <v>304.92471067471951</v>
      </c>
      <c r="EP161" s="73">
        <v>18360.907743876698</v>
      </c>
      <c r="EQ161" s="73">
        <v>0</v>
      </c>
      <c r="ER161" s="73">
        <v>19387.022283218383</v>
      </c>
      <c r="ES161" s="73">
        <v>1406.3874410711553</v>
      </c>
      <c r="ET161" s="73">
        <v>21243</v>
      </c>
      <c r="EU161" s="73">
        <v>1590</v>
      </c>
      <c r="EV161" s="73">
        <v>22297</v>
      </c>
      <c r="EW161" s="73">
        <v>-453</v>
      </c>
      <c r="EX161" s="73">
        <v>24406</v>
      </c>
      <c r="EY161" s="73">
        <v>-1545</v>
      </c>
      <c r="EZ161" s="73">
        <v>24935</v>
      </c>
      <c r="FA161" s="73">
        <v>-1297</v>
      </c>
      <c r="FB161" s="73">
        <v>25350</v>
      </c>
      <c r="FC161" s="73">
        <v>-585</v>
      </c>
      <c r="FD161" s="73">
        <v>25613</v>
      </c>
      <c r="FE161" s="73">
        <v>210</v>
      </c>
      <c r="FF161" s="73">
        <v>28004</v>
      </c>
      <c r="FG161" s="73">
        <v>1506</v>
      </c>
      <c r="FH161" s="73">
        <v>442</v>
      </c>
      <c r="FI161" s="73">
        <v>1948</v>
      </c>
      <c r="FJ161" s="79">
        <v>5716</v>
      </c>
      <c r="FK161" s="80">
        <v>16099</v>
      </c>
      <c r="FL161" s="80">
        <v>9129</v>
      </c>
      <c r="FM161" s="80">
        <v>3379</v>
      </c>
      <c r="FN161" s="76">
        <v>834</v>
      </c>
      <c r="FO161" s="80">
        <v>14788</v>
      </c>
      <c r="FP161" s="80">
        <v>531</v>
      </c>
      <c r="FQ161" s="80">
        <v>780</v>
      </c>
      <c r="FR161" s="80">
        <v>1435</v>
      </c>
      <c r="FS161" s="81">
        <v>-1655</v>
      </c>
      <c r="FT161" s="76">
        <v>1107</v>
      </c>
      <c r="FU161" s="76">
        <v>3055</v>
      </c>
      <c r="FV161" s="76">
        <v>1655</v>
      </c>
      <c r="FW161" s="80">
        <v>27254</v>
      </c>
      <c r="FX161" s="80">
        <v>1117</v>
      </c>
      <c r="FY161" s="73">
        <v>5788</v>
      </c>
      <c r="FZ161" s="73">
        <v>16603</v>
      </c>
      <c r="GA161" s="73">
        <v>10072</v>
      </c>
      <c r="GB161" s="73">
        <v>3525</v>
      </c>
      <c r="GC161" s="73">
        <v>70</v>
      </c>
      <c r="GD161" s="73">
        <v>14966</v>
      </c>
      <c r="GE161" s="73">
        <v>776</v>
      </c>
      <c r="GF161" s="73">
        <v>861</v>
      </c>
      <c r="GG161" s="73">
        <v>1724</v>
      </c>
      <c r="GH161" s="73">
        <v>-1734</v>
      </c>
      <c r="GI161" s="73">
        <v>1149</v>
      </c>
      <c r="GJ161" s="73">
        <v>2651</v>
      </c>
      <c r="GK161" s="73">
        <v>1734</v>
      </c>
      <c r="GL161" s="73">
        <v>28546</v>
      </c>
      <c r="GM161" s="73">
        <v>622</v>
      </c>
      <c r="GN161" s="73">
        <v>3687</v>
      </c>
      <c r="GO161" s="77">
        <v>19.75</v>
      </c>
      <c r="GP161" s="78">
        <v>5780</v>
      </c>
      <c r="GQ161" s="73">
        <v>17190</v>
      </c>
      <c r="GR161" s="65">
        <v>10536</v>
      </c>
      <c r="GS161" s="65">
        <v>3719</v>
      </c>
      <c r="GT161" s="65">
        <v>101</v>
      </c>
      <c r="GU161" s="65">
        <v>15296</v>
      </c>
      <c r="GV161" s="65">
        <v>937</v>
      </c>
      <c r="GW161" s="65">
        <v>957</v>
      </c>
      <c r="GX161" s="65">
        <v>1315</v>
      </c>
      <c r="GY161" s="65">
        <v>-1511</v>
      </c>
      <c r="GZ161" s="65">
        <v>1239</v>
      </c>
      <c r="HA161" s="65">
        <v>2250</v>
      </c>
      <c r="HB161" s="65">
        <v>1511</v>
      </c>
      <c r="HC161" s="65">
        <v>30231</v>
      </c>
      <c r="HD161" s="65">
        <v>184</v>
      </c>
      <c r="HE161" s="78">
        <v>5747</v>
      </c>
      <c r="HF161" s="73">
        <v>17012</v>
      </c>
      <c r="HG161" s="65">
        <v>10931</v>
      </c>
      <c r="HH161" s="65">
        <v>3722</v>
      </c>
      <c r="HI161" s="65">
        <v>67</v>
      </c>
      <c r="HJ161" s="65">
        <v>15386</v>
      </c>
      <c r="HK161" s="65">
        <v>509</v>
      </c>
      <c r="HL161" s="65">
        <v>1117</v>
      </c>
      <c r="HM161" s="65">
        <v>-84</v>
      </c>
      <c r="HN161" s="65">
        <v>-2138</v>
      </c>
      <c r="HO161" s="65">
        <v>1287</v>
      </c>
      <c r="HP161" s="65">
        <v>3850</v>
      </c>
      <c r="HQ161" s="65">
        <v>2138</v>
      </c>
      <c r="HR161" s="65">
        <v>31816</v>
      </c>
      <c r="HS161" s="65">
        <v>-1335</v>
      </c>
      <c r="HT161" s="65">
        <v>2536</v>
      </c>
      <c r="HU161" s="77">
        <v>19.75</v>
      </c>
      <c r="HV161" s="180">
        <v>230</v>
      </c>
      <c r="HW161" s="30" t="s">
        <v>756</v>
      </c>
    </row>
    <row r="162" spans="1:231" ht="15" x14ac:dyDescent="0.25">
      <c r="A162" s="27">
        <v>535</v>
      </c>
      <c r="B162" s="27" t="s">
        <v>289</v>
      </c>
      <c r="C162" s="27">
        <v>17</v>
      </c>
      <c r="D162" s="27" t="s">
        <v>117</v>
      </c>
      <c r="E162" s="27">
        <v>4</v>
      </c>
      <c r="F162" s="27" t="s">
        <v>100</v>
      </c>
      <c r="G162" s="29" t="s">
        <v>132</v>
      </c>
      <c r="H162" s="27" t="s">
        <v>99</v>
      </c>
      <c r="I162" s="31" t="s">
        <v>117</v>
      </c>
      <c r="J162" s="69">
        <v>11234</v>
      </c>
      <c r="K162" s="69">
        <v>11151</v>
      </c>
      <c r="L162" s="36">
        <v>11079</v>
      </c>
      <c r="M162" s="36">
        <v>11022</v>
      </c>
      <c r="N162" s="36">
        <v>10919</v>
      </c>
      <c r="O162" s="36">
        <v>10901</v>
      </c>
      <c r="P162" s="36">
        <v>10839</v>
      </c>
      <c r="Q162" s="36">
        <v>10889</v>
      </c>
      <c r="R162" s="69">
        <v>10950</v>
      </c>
      <c r="S162" s="69">
        <v>10976</v>
      </c>
      <c r="T162" s="71">
        <v>10984</v>
      </c>
      <c r="U162" s="36">
        <v>16736</v>
      </c>
      <c r="V162" s="36">
        <v>14241</v>
      </c>
      <c r="W162" s="36">
        <v>9024</v>
      </c>
      <c r="X162" s="36">
        <v>604.46740770267058</v>
      </c>
      <c r="Y162" s="36">
        <v>17053</v>
      </c>
      <c r="Z162" s="36">
        <v>14678</v>
      </c>
      <c r="AA162" s="36">
        <v>6534</v>
      </c>
      <c r="AB162" s="36">
        <v>1673.3016803655732</v>
      </c>
      <c r="AC162" s="36">
        <v>16984</v>
      </c>
      <c r="AD162" s="36">
        <v>15981</v>
      </c>
      <c r="AE162" s="36">
        <v>6305</v>
      </c>
      <c r="AF162" s="36">
        <v>855.40379398324512</v>
      </c>
      <c r="AG162" s="36">
        <v>19621</v>
      </c>
      <c r="AH162" s="36">
        <v>17762</v>
      </c>
      <c r="AI162" s="36">
        <v>7238</v>
      </c>
      <c r="AJ162" s="36">
        <v>401.80095631654984</v>
      </c>
      <c r="AK162" s="36">
        <v>19374</v>
      </c>
      <c r="AL162" s="36">
        <v>18563</v>
      </c>
      <c r="AM162" s="36">
        <v>7290</v>
      </c>
      <c r="AN162" s="36">
        <v>946</v>
      </c>
      <c r="AO162" s="36">
        <v>19000</v>
      </c>
      <c r="AP162" s="36">
        <v>18963</v>
      </c>
      <c r="AQ162" s="36">
        <v>7744</v>
      </c>
      <c r="AR162" s="36">
        <v>1318</v>
      </c>
      <c r="AS162" s="36">
        <v>19514</v>
      </c>
      <c r="AT162" s="36">
        <v>19090</v>
      </c>
      <c r="AU162" s="36">
        <v>8208</v>
      </c>
      <c r="AV162" s="36">
        <v>1338</v>
      </c>
      <c r="AW162" s="36">
        <v>19885</v>
      </c>
      <c r="AX162" s="69">
        <v>20551</v>
      </c>
      <c r="AY162" s="36">
        <v>8814</v>
      </c>
      <c r="AZ162" s="36">
        <v>1371</v>
      </c>
      <c r="BA162" s="36">
        <v>22017</v>
      </c>
      <c r="BB162" s="36">
        <v>20360</v>
      </c>
      <c r="BC162" s="36">
        <v>9098</v>
      </c>
      <c r="BD162" s="36">
        <v>1291</v>
      </c>
      <c r="BE162" s="70">
        <v>24378</v>
      </c>
      <c r="BF162" s="70">
        <v>21384</v>
      </c>
      <c r="BG162" s="70">
        <v>9090</v>
      </c>
      <c r="BH162" s="70">
        <v>1361</v>
      </c>
      <c r="BI162" s="36">
        <v>25311</v>
      </c>
      <c r="BJ162" s="36">
        <v>24418</v>
      </c>
      <c r="BK162" s="36">
        <v>8723</v>
      </c>
      <c r="BL162" s="36">
        <v>0</v>
      </c>
      <c r="BM162" s="36">
        <v>14610.821547564386</v>
      </c>
      <c r="BN162" s="36">
        <v>1691.6341643498779</v>
      </c>
      <c r="BO162" s="36">
        <v>418.45156103623941</v>
      </c>
      <c r="BP162" s="36">
        <v>14936.096997340948</v>
      </c>
      <c r="BQ162" s="36">
        <v>1503.9364384188316</v>
      </c>
      <c r="BR162" s="36">
        <v>599.75814576174832</v>
      </c>
      <c r="BS162" s="36">
        <v>14674.228395840375</v>
      </c>
      <c r="BT162" s="36">
        <v>1760.9275900520204</v>
      </c>
      <c r="BU162" s="36">
        <v>535.84673370637415</v>
      </c>
      <c r="BV162" s="36">
        <v>16985</v>
      </c>
      <c r="BW162" s="36">
        <v>2058</v>
      </c>
      <c r="BX162" s="36">
        <v>564</v>
      </c>
      <c r="BY162" s="36">
        <v>18106</v>
      </c>
      <c r="BZ162" s="36">
        <v>674</v>
      </c>
      <c r="CA162" s="36">
        <v>581</v>
      </c>
      <c r="CB162" s="36">
        <v>17733</v>
      </c>
      <c r="CC162" s="36">
        <v>666</v>
      </c>
      <c r="CD162" s="36">
        <v>589</v>
      </c>
      <c r="CE162" s="36">
        <v>18156</v>
      </c>
      <c r="CF162" s="36">
        <v>592</v>
      </c>
      <c r="CG162" s="36">
        <v>766</v>
      </c>
      <c r="CH162" s="36">
        <v>18467</v>
      </c>
      <c r="CI162" s="36">
        <v>596</v>
      </c>
      <c r="CJ162" s="70">
        <v>822</v>
      </c>
      <c r="CK162" s="70">
        <v>20398</v>
      </c>
      <c r="CL162" s="70">
        <v>742</v>
      </c>
      <c r="CM162" s="36">
        <v>877</v>
      </c>
      <c r="CN162" s="36">
        <v>22247</v>
      </c>
      <c r="CO162" s="36">
        <v>962</v>
      </c>
      <c r="CP162" s="36">
        <v>1169</v>
      </c>
      <c r="CQ162" s="36">
        <v>23121</v>
      </c>
      <c r="CR162" s="36">
        <v>1028</v>
      </c>
      <c r="CS162" s="36">
        <v>1162</v>
      </c>
      <c r="CT162" s="36">
        <v>735.14942656326468</v>
      </c>
      <c r="CU162" s="36">
        <v>-1587.6940259999999</v>
      </c>
      <c r="CV162" s="36">
        <v>1631.2546987501958</v>
      </c>
      <c r="CW162" s="36">
        <v>11837</v>
      </c>
      <c r="CX162" s="36">
        <v>1650.0917465138848</v>
      </c>
      <c r="CY162" s="36">
        <v>14061.519780000001</v>
      </c>
      <c r="CZ162" s="36">
        <v>1597.4489255314318</v>
      </c>
      <c r="DA162" s="36">
        <v>12879</v>
      </c>
      <c r="DB162" s="36">
        <v>545.7698213676033</v>
      </c>
      <c r="DC162" s="36">
        <v>-3485.3584000000001</v>
      </c>
      <c r="DD162" s="36">
        <v>1623.8544299858891</v>
      </c>
      <c r="DE162" s="36">
        <v>13567</v>
      </c>
      <c r="DF162" s="36">
        <v>1538.4149633434413</v>
      </c>
      <c r="DG162" s="36">
        <v>-4613</v>
      </c>
      <c r="DH162" s="36">
        <v>1523.7826137412899</v>
      </c>
      <c r="DI162" s="36">
        <v>15861</v>
      </c>
      <c r="DJ162" s="36">
        <v>1380</v>
      </c>
      <c r="DK162" s="36">
        <v>-3390</v>
      </c>
      <c r="DL162" s="36">
        <v>1607</v>
      </c>
      <c r="DM162" s="36">
        <v>16706</v>
      </c>
      <c r="DN162" s="36">
        <v>810</v>
      </c>
      <c r="DO162" s="69">
        <v>-2827</v>
      </c>
      <c r="DP162" s="36">
        <v>1652</v>
      </c>
      <c r="DQ162" s="36">
        <v>20670</v>
      </c>
      <c r="DR162" s="36">
        <v>-632</v>
      </c>
      <c r="DS162" s="36">
        <v>-4851</v>
      </c>
      <c r="DT162" s="36">
        <v>1620</v>
      </c>
      <c r="DU162" s="36">
        <v>23870</v>
      </c>
      <c r="DV162" s="36">
        <v>-605</v>
      </c>
      <c r="DW162" s="71">
        <v>-3162</v>
      </c>
      <c r="DX162" s="39">
        <v>1815</v>
      </c>
      <c r="DY162" s="71">
        <v>28914</v>
      </c>
      <c r="DZ162" s="70">
        <v>581</v>
      </c>
      <c r="EA162" s="35">
        <v>-3788</v>
      </c>
      <c r="EB162" s="35">
        <v>1773</v>
      </c>
      <c r="EC162" s="38">
        <v>33872</v>
      </c>
      <c r="ED162" s="38">
        <v>-489</v>
      </c>
      <c r="EE162" s="38">
        <v>-4893</v>
      </c>
      <c r="EF162" s="38">
        <v>1644</v>
      </c>
      <c r="EG162" s="73">
        <v>39519</v>
      </c>
      <c r="EH162" s="73">
        <v>-2879</v>
      </c>
      <c r="EI162" s="73">
        <v>-2286</v>
      </c>
      <c r="EJ162" s="73">
        <v>1548</v>
      </c>
      <c r="EK162" s="73">
        <v>41240</v>
      </c>
      <c r="EL162" s="73">
        <v>37688.559689054164</v>
      </c>
      <c r="EM162" s="73">
        <v>-23.041745925227012</v>
      </c>
      <c r="EN162" s="73">
        <v>36056.464050671661</v>
      </c>
      <c r="EO162" s="73">
        <v>61.556781084913034</v>
      </c>
      <c r="EP162" s="73">
        <v>37186.350540640087</v>
      </c>
      <c r="EQ162" s="73">
        <v>-1076.7391052065936</v>
      </c>
      <c r="ER162" s="73">
        <v>40767.407870858573</v>
      </c>
      <c r="ES162" s="73">
        <v>14.632349602151459</v>
      </c>
      <c r="ET162" s="73">
        <v>43076</v>
      </c>
      <c r="EU162" s="73">
        <v>757</v>
      </c>
      <c r="EV162" s="73">
        <v>45109</v>
      </c>
      <c r="EW162" s="73">
        <v>-840</v>
      </c>
      <c r="EX162" s="73">
        <v>47783</v>
      </c>
      <c r="EY162" s="73">
        <v>473</v>
      </c>
      <c r="EZ162" s="73">
        <v>50376</v>
      </c>
      <c r="FA162" s="73">
        <v>-671</v>
      </c>
      <c r="FB162" s="73">
        <v>51490</v>
      </c>
      <c r="FC162" s="73">
        <v>-1190</v>
      </c>
      <c r="FD162" s="73">
        <v>55061</v>
      </c>
      <c r="FE162" s="73">
        <v>-1129</v>
      </c>
      <c r="FF162" s="73">
        <v>57912</v>
      </c>
      <c r="FG162" s="73">
        <v>-2596</v>
      </c>
      <c r="FH162" s="73">
        <v>-3226</v>
      </c>
      <c r="FI162" s="73">
        <v>-2596</v>
      </c>
      <c r="FJ162" s="79">
        <v>11023</v>
      </c>
      <c r="FK162" s="80">
        <v>27157</v>
      </c>
      <c r="FL162" s="80">
        <v>27059</v>
      </c>
      <c r="FM162" s="80">
        <v>9860</v>
      </c>
      <c r="FN162" s="76">
        <v>1229</v>
      </c>
      <c r="FO162" s="80">
        <v>24858</v>
      </c>
      <c r="FP162" s="80">
        <v>824</v>
      </c>
      <c r="FQ162" s="80">
        <v>1475</v>
      </c>
      <c r="FR162" s="80">
        <v>5002</v>
      </c>
      <c r="FS162" s="81">
        <v>-2223</v>
      </c>
      <c r="FT162" s="76">
        <v>1573</v>
      </c>
      <c r="FU162" s="76">
        <v>43306</v>
      </c>
      <c r="FV162" s="76">
        <v>2223</v>
      </c>
      <c r="FW162" s="80">
        <v>59222</v>
      </c>
      <c r="FX162" s="80">
        <v>3431</v>
      </c>
      <c r="FY162" s="73">
        <v>11025</v>
      </c>
      <c r="FZ162" s="73">
        <v>25583</v>
      </c>
      <c r="GA162" s="73">
        <v>27461</v>
      </c>
      <c r="GB162" s="73">
        <v>9618</v>
      </c>
      <c r="GC162" s="73">
        <v>627</v>
      </c>
      <c r="GD162" s="73">
        <v>23098</v>
      </c>
      <c r="GE162" s="73">
        <v>1027</v>
      </c>
      <c r="GF162" s="73">
        <v>1458</v>
      </c>
      <c r="GG162" s="73">
        <v>811</v>
      </c>
      <c r="GH162" s="73">
        <v>-1218</v>
      </c>
      <c r="GI162" s="73">
        <v>1518</v>
      </c>
      <c r="GJ162" s="73">
        <v>43366</v>
      </c>
      <c r="GK162" s="73">
        <v>1218</v>
      </c>
      <c r="GL162" s="73">
        <v>61864</v>
      </c>
      <c r="GM162" s="73">
        <v>-706</v>
      </c>
      <c r="GN162" s="73">
        <v>129</v>
      </c>
      <c r="GO162" s="77">
        <v>20.5</v>
      </c>
      <c r="GP162" s="78">
        <v>11051</v>
      </c>
      <c r="GQ162" s="73">
        <v>26971</v>
      </c>
      <c r="GR162" s="65">
        <v>30573</v>
      </c>
      <c r="GS162" s="65">
        <v>12555</v>
      </c>
      <c r="GT162" s="65">
        <v>0</v>
      </c>
      <c r="GU162" s="65">
        <v>24191</v>
      </c>
      <c r="GV162" s="65">
        <v>1215</v>
      </c>
      <c r="GW162" s="65">
        <v>1565</v>
      </c>
      <c r="GX162" s="65">
        <v>677</v>
      </c>
      <c r="GY162" s="65">
        <v>-4602</v>
      </c>
      <c r="GZ162" s="65">
        <v>1586</v>
      </c>
      <c r="HA162" s="65">
        <v>43452</v>
      </c>
      <c r="HB162" s="65">
        <v>4602</v>
      </c>
      <c r="HC162" s="65">
        <v>68692</v>
      </c>
      <c r="HD162" s="65">
        <v>-11</v>
      </c>
      <c r="HE162" s="78">
        <v>10985</v>
      </c>
      <c r="HF162" s="73">
        <v>29180</v>
      </c>
      <c r="HG162" s="65">
        <v>30911</v>
      </c>
      <c r="HH162" s="65">
        <v>12873</v>
      </c>
      <c r="HI162" s="65">
        <v>444</v>
      </c>
      <c r="HJ162" s="65">
        <v>26402</v>
      </c>
      <c r="HK162" s="65">
        <v>895</v>
      </c>
      <c r="HL162" s="65">
        <v>1883</v>
      </c>
      <c r="HM162" s="65">
        <v>1766</v>
      </c>
      <c r="HN162" s="65">
        <v>-7430</v>
      </c>
      <c r="HO162" s="65">
        <v>1662</v>
      </c>
      <c r="HP162" s="65">
        <v>50994</v>
      </c>
      <c r="HQ162" s="65">
        <v>7430</v>
      </c>
      <c r="HR162" s="65">
        <v>71207</v>
      </c>
      <c r="HS162" s="65">
        <v>436</v>
      </c>
      <c r="HT162" s="65">
        <v>444</v>
      </c>
      <c r="HU162" s="77">
        <v>21</v>
      </c>
      <c r="HV162" s="180">
        <v>230</v>
      </c>
      <c r="HW162" s="30" t="s">
        <v>756</v>
      </c>
    </row>
    <row r="163" spans="1:231" ht="15" x14ac:dyDescent="0.25">
      <c r="A163" s="27">
        <v>536</v>
      </c>
      <c r="B163" s="27" t="s">
        <v>290</v>
      </c>
      <c r="C163" s="27">
        <v>6</v>
      </c>
      <c r="D163" s="27" t="s">
        <v>114</v>
      </c>
      <c r="E163" s="27">
        <v>5</v>
      </c>
      <c r="F163" s="27" t="s">
        <v>101</v>
      </c>
      <c r="G163" s="29" t="s">
        <v>141</v>
      </c>
      <c r="H163" s="27" t="s">
        <v>97</v>
      </c>
      <c r="I163" s="31" t="s">
        <v>114</v>
      </c>
      <c r="J163" s="69">
        <v>26499</v>
      </c>
      <c r="K163" s="69">
        <v>26691</v>
      </c>
      <c r="L163" s="36">
        <v>26905</v>
      </c>
      <c r="M163" s="36">
        <v>27298</v>
      </c>
      <c r="N163" s="36">
        <v>27653</v>
      </c>
      <c r="O163" s="36">
        <v>28090</v>
      </c>
      <c r="P163" s="36">
        <v>28604</v>
      </c>
      <c r="Q163" s="36">
        <v>29147</v>
      </c>
      <c r="R163" s="69">
        <v>29740</v>
      </c>
      <c r="S163" s="69">
        <v>30485</v>
      </c>
      <c r="T163" s="71">
        <v>30951</v>
      </c>
      <c r="U163" s="36">
        <v>56390</v>
      </c>
      <c r="V163" s="36">
        <v>12497</v>
      </c>
      <c r="W163" s="36">
        <v>16805</v>
      </c>
      <c r="X163" s="36">
        <v>1874.1180645606173</v>
      </c>
      <c r="Y163" s="36">
        <v>60922</v>
      </c>
      <c r="Z163" s="36">
        <v>12981</v>
      </c>
      <c r="AA163" s="36">
        <v>17588</v>
      </c>
      <c r="AB163" s="36">
        <v>1878.3227627221549</v>
      </c>
      <c r="AC163" s="36">
        <v>62125</v>
      </c>
      <c r="AD163" s="36">
        <v>13763</v>
      </c>
      <c r="AE163" s="36">
        <v>18388</v>
      </c>
      <c r="AF163" s="36">
        <v>1411.601266791462</v>
      </c>
      <c r="AG163" s="36">
        <v>64404</v>
      </c>
      <c r="AH163" s="36">
        <v>14616</v>
      </c>
      <c r="AI163" s="36">
        <v>18559</v>
      </c>
      <c r="AJ163" s="36">
        <v>1311.8658263997861</v>
      </c>
      <c r="AK163" s="36">
        <v>73238</v>
      </c>
      <c r="AL163" s="36">
        <v>17103</v>
      </c>
      <c r="AM163" s="36">
        <v>20466</v>
      </c>
      <c r="AN163" s="36">
        <v>756</v>
      </c>
      <c r="AO163" s="36">
        <v>69767</v>
      </c>
      <c r="AP163" s="36">
        <v>18392</v>
      </c>
      <c r="AQ163" s="36">
        <v>22848</v>
      </c>
      <c r="AR163" s="36">
        <v>665</v>
      </c>
      <c r="AS163" s="36">
        <v>73265</v>
      </c>
      <c r="AT163" s="36">
        <v>21097</v>
      </c>
      <c r="AU163" s="36">
        <v>21487</v>
      </c>
      <c r="AV163" s="36">
        <v>9400</v>
      </c>
      <c r="AW163" s="36">
        <v>79020</v>
      </c>
      <c r="AX163" s="69">
        <v>23667</v>
      </c>
      <c r="AY163" s="36">
        <v>23256</v>
      </c>
      <c r="AZ163" s="36">
        <v>1135</v>
      </c>
      <c r="BA163" s="36">
        <v>86592</v>
      </c>
      <c r="BB163" s="36">
        <v>25571</v>
      </c>
      <c r="BC163" s="36">
        <v>21780</v>
      </c>
      <c r="BD163" s="36">
        <v>499</v>
      </c>
      <c r="BE163" s="70">
        <v>92201</v>
      </c>
      <c r="BF163" s="70">
        <v>23398</v>
      </c>
      <c r="BG163" s="70">
        <v>26217</v>
      </c>
      <c r="BH163" s="70">
        <v>1228</v>
      </c>
      <c r="BI163" s="36">
        <v>100152</v>
      </c>
      <c r="BJ163" s="36">
        <v>25543</v>
      </c>
      <c r="BK163" s="36">
        <v>26689</v>
      </c>
      <c r="BL163" s="36">
        <v>383</v>
      </c>
      <c r="BM163" s="36">
        <v>48793.335721601892</v>
      </c>
      <c r="BN163" s="36">
        <v>5707.6254723978382</v>
      </c>
      <c r="BO163" s="36">
        <v>1888.7504141627689</v>
      </c>
      <c r="BP163" s="36">
        <v>51597.028455715277</v>
      </c>
      <c r="BQ163" s="36">
        <v>6840.2029691896532</v>
      </c>
      <c r="BR163" s="36">
        <v>2484.3038617629795</v>
      </c>
      <c r="BS163" s="36">
        <v>52123.793041392732</v>
      </c>
      <c r="BT163" s="36">
        <v>7414.7329259821763</v>
      </c>
      <c r="BU163" s="36">
        <v>2586.3939331251167</v>
      </c>
      <c r="BV163" s="36">
        <v>57438</v>
      </c>
      <c r="BW163" s="36">
        <v>4192</v>
      </c>
      <c r="BX163" s="36">
        <v>2774</v>
      </c>
      <c r="BY163" s="36">
        <v>64835</v>
      </c>
      <c r="BZ163" s="36">
        <v>5537</v>
      </c>
      <c r="CA163" s="36">
        <v>2866</v>
      </c>
      <c r="CB163" s="36">
        <v>64240</v>
      </c>
      <c r="CC163" s="36">
        <v>2580</v>
      </c>
      <c r="CD163" s="36">
        <v>2947</v>
      </c>
      <c r="CE163" s="36">
        <v>66782</v>
      </c>
      <c r="CF163" s="36">
        <v>3561</v>
      </c>
      <c r="CG163" s="36">
        <v>2922</v>
      </c>
      <c r="CH163" s="36">
        <v>70838</v>
      </c>
      <c r="CI163" s="36">
        <v>5103</v>
      </c>
      <c r="CJ163" s="70">
        <v>3079</v>
      </c>
      <c r="CK163" s="70">
        <v>75830</v>
      </c>
      <c r="CL163" s="70">
        <v>6897</v>
      </c>
      <c r="CM163" s="36">
        <v>3865</v>
      </c>
      <c r="CN163" s="36">
        <v>79871</v>
      </c>
      <c r="CO163" s="36">
        <v>8018</v>
      </c>
      <c r="CP163" s="36">
        <v>4312</v>
      </c>
      <c r="CQ163" s="36">
        <v>88710</v>
      </c>
      <c r="CR163" s="36">
        <v>6885</v>
      </c>
      <c r="CS163" s="36">
        <v>4557</v>
      </c>
      <c r="CT163" s="36">
        <v>7152.3597607022175</v>
      </c>
      <c r="CU163" s="36">
        <v>-9059.7790349999996</v>
      </c>
      <c r="CV163" s="36">
        <v>5877.663466050426</v>
      </c>
      <c r="CW163" s="36">
        <v>9403</v>
      </c>
      <c r="CX163" s="36">
        <v>10103.721494248814</v>
      </c>
      <c r="CY163" s="36">
        <v>-9473.3531459999995</v>
      </c>
      <c r="CZ163" s="36">
        <v>6059.3064266288575</v>
      </c>
      <c r="DA163" s="36">
        <v>8951</v>
      </c>
      <c r="DB163" s="36">
        <v>6851.3033723361132</v>
      </c>
      <c r="DC163" s="36">
        <v>-8390.0547119999992</v>
      </c>
      <c r="DD163" s="36">
        <v>6283.5009326020518</v>
      </c>
      <c r="DE163" s="36">
        <v>7582</v>
      </c>
      <c r="DF163" s="36">
        <v>4143.9823200851706</v>
      </c>
      <c r="DG163" s="36">
        <v>-10872</v>
      </c>
      <c r="DH163" s="36">
        <v>6808.4154510884282</v>
      </c>
      <c r="DI163" s="36">
        <v>11110</v>
      </c>
      <c r="DJ163" s="36">
        <v>13655</v>
      </c>
      <c r="DK163" s="36">
        <v>-14296</v>
      </c>
      <c r="DL163" s="36">
        <v>7339</v>
      </c>
      <c r="DM163" s="36">
        <v>12861</v>
      </c>
      <c r="DN163" s="36">
        <v>5956</v>
      </c>
      <c r="DO163" s="69">
        <v>-10054</v>
      </c>
      <c r="DP163" s="36">
        <v>7442</v>
      </c>
      <c r="DQ163" s="36">
        <v>14361</v>
      </c>
      <c r="DR163" s="36">
        <v>5363</v>
      </c>
      <c r="DS163" s="36">
        <v>-1111</v>
      </c>
      <c r="DT163" s="36">
        <v>7695</v>
      </c>
      <c r="DU163" s="36">
        <v>15368</v>
      </c>
      <c r="DV163" s="36">
        <v>7099</v>
      </c>
      <c r="DW163" s="71">
        <v>-11029</v>
      </c>
      <c r="DX163" s="39">
        <v>7921</v>
      </c>
      <c r="DY163" s="71">
        <v>16519</v>
      </c>
      <c r="DZ163" s="70">
        <v>8554</v>
      </c>
      <c r="EA163" s="35">
        <v>-15401</v>
      </c>
      <c r="EB163" s="35">
        <v>7982</v>
      </c>
      <c r="EC163" s="38">
        <v>20298</v>
      </c>
      <c r="ED163" s="38">
        <v>8170</v>
      </c>
      <c r="EE163" s="38">
        <v>-11589</v>
      </c>
      <c r="EF163" s="38">
        <v>8498</v>
      </c>
      <c r="EG163" s="73">
        <v>28222</v>
      </c>
      <c r="EH163" s="73">
        <v>5578</v>
      </c>
      <c r="EI163" s="73">
        <v>-18167</v>
      </c>
      <c r="EJ163" s="73">
        <v>8508</v>
      </c>
      <c r="EK163" s="73">
        <v>41800</v>
      </c>
      <c r="EL163" s="73">
        <v>75987.47336323715</v>
      </c>
      <c r="EM163" s="73">
        <v>772.3189583112586</v>
      </c>
      <c r="EN163" s="73">
        <v>78706.567570340398</v>
      </c>
      <c r="EO163" s="73">
        <v>2002.4454524507503</v>
      </c>
      <c r="EP163" s="73">
        <v>84219.095048042873</v>
      </c>
      <c r="EQ163" s="73">
        <v>567.80243973406118</v>
      </c>
      <c r="ER163" s="73">
        <v>89817.902932020123</v>
      </c>
      <c r="ES163" s="73">
        <v>-32.628457733533139</v>
      </c>
      <c r="ET163" s="73">
        <v>97083</v>
      </c>
      <c r="EU163" s="73">
        <v>4322</v>
      </c>
      <c r="EV163" s="73">
        <v>105167</v>
      </c>
      <c r="EW163" s="73">
        <v>-1383</v>
      </c>
      <c r="EX163" s="73">
        <v>110761</v>
      </c>
      <c r="EY163" s="73">
        <v>6400</v>
      </c>
      <c r="EZ163" s="73">
        <v>119262</v>
      </c>
      <c r="FA163" s="73">
        <v>-611</v>
      </c>
      <c r="FB163" s="73">
        <v>125766</v>
      </c>
      <c r="FC163" s="73">
        <v>725</v>
      </c>
      <c r="FD163" s="73">
        <v>133702</v>
      </c>
      <c r="FE163" s="73">
        <v>-242</v>
      </c>
      <c r="FF163" s="73">
        <v>146170</v>
      </c>
      <c r="FG163" s="73">
        <v>-2632</v>
      </c>
      <c r="FH163" s="73">
        <v>14742</v>
      </c>
      <c r="FI163" s="73">
        <v>12110</v>
      </c>
      <c r="FJ163" s="79">
        <v>31357</v>
      </c>
      <c r="FK163" s="80">
        <v>104104</v>
      </c>
      <c r="FL163" s="80">
        <v>28901</v>
      </c>
      <c r="FM163" s="80">
        <v>28820</v>
      </c>
      <c r="FN163" s="76">
        <v>257</v>
      </c>
      <c r="FO163" s="80">
        <v>94351</v>
      </c>
      <c r="FP163" s="80">
        <v>4962</v>
      </c>
      <c r="FQ163" s="80">
        <v>4791</v>
      </c>
      <c r="FR163" s="80">
        <v>10864</v>
      </c>
      <c r="FS163" s="81">
        <v>-11844</v>
      </c>
      <c r="FT163" s="76">
        <v>9959</v>
      </c>
      <c r="FU163" s="76">
        <v>56238</v>
      </c>
      <c r="FV163" s="76">
        <v>11844</v>
      </c>
      <c r="FW163" s="80">
        <v>149992</v>
      </c>
      <c r="FX163" s="80">
        <v>1356</v>
      </c>
      <c r="FY163" s="73">
        <v>31647</v>
      </c>
      <c r="FZ163" s="73">
        <v>105532</v>
      </c>
      <c r="GA163" s="73">
        <v>32524</v>
      </c>
      <c r="GB163" s="73">
        <v>27869</v>
      </c>
      <c r="GC163" s="73">
        <v>503</v>
      </c>
      <c r="GD163" s="73">
        <v>93187</v>
      </c>
      <c r="GE163" s="73">
        <v>6336</v>
      </c>
      <c r="GF163" s="73">
        <v>6009</v>
      </c>
      <c r="GG163" s="73">
        <v>13313</v>
      </c>
      <c r="GH163" s="73">
        <v>-12971</v>
      </c>
      <c r="GI163" s="73">
        <v>10442</v>
      </c>
      <c r="GJ163" s="73">
        <v>58546</v>
      </c>
      <c r="GK163" s="73">
        <v>12971</v>
      </c>
      <c r="GL163" s="73">
        <v>151735</v>
      </c>
      <c r="GM163" s="73">
        <v>3322</v>
      </c>
      <c r="GN163" s="73">
        <v>20144</v>
      </c>
      <c r="GO163" s="77">
        <v>19.75</v>
      </c>
      <c r="GP163" s="78">
        <v>32056</v>
      </c>
      <c r="GQ163" s="73">
        <v>110552</v>
      </c>
      <c r="GR163" s="65">
        <v>35515</v>
      </c>
      <c r="GS163" s="65">
        <v>30309</v>
      </c>
      <c r="GT163" s="65">
        <v>500</v>
      </c>
      <c r="GU163" s="65">
        <v>98428</v>
      </c>
      <c r="GV163" s="65">
        <v>6068</v>
      </c>
      <c r="GW163" s="65">
        <v>6056</v>
      </c>
      <c r="GX163" s="65">
        <v>14559</v>
      </c>
      <c r="GY163" s="65">
        <v>-11716</v>
      </c>
      <c r="GZ163" s="65">
        <v>10708</v>
      </c>
      <c r="HA163" s="65">
        <v>50290</v>
      </c>
      <c r="HB163" s="65">
        <v>11716</v>
      </c>
      <c r="HC163" s="65">
        <v>160992</v>
      </c>
      <c r="HD163" s="65">
        <v>4302</v>
      </c>
      <c r="HE163" s="78">
        <v>32354</v>
      </c>
      <c r="HF163" s="73">
        <v>115165</v>
      </c>
      <c r="HG163" s="65">
        <v>36453</v>
      </c>
      <c r="HH163" s="65">
        <v>33698</v>
      </c>
      <c r="HI163" s="65">
        <v>686</v>
      </c>
      <c r="HJ163" s="65">
        <v>106158</v>
      </c>
      <c r="HK163" s="65">
        <v>2832</v>
      </c>
      <c r="HL163" s="65">
        <v>6175</v>
      </c>
      <c r="HM163" s="65">
        <v>15005</v>
      </c>
      <c r="HN163" s="65">
        <v>-11373</v>
      </c>
      <c r="HO163" s="65">
        <v>11035</v>
      </c>
      <c r="HP163" s="65">
        <v>51987</v>
      </c>
      <c r="HQ163" s="65">
        <v>11373</v>
      </c>
      <c r="HR163" s="65">
        <v>169457</v>
      </c>
      <c r="HS163" s="65">
        <v>-7773</v>
      </c>
      <c r="HT163" s="65">
        <v>16782</v>
      </c>
      <c r="HU163" s="77">
        <v>19.75</v>
      </c>
      <c r="HV163" s="180">
        <v>120</v>
      </c>
      <c r="HW163" s="30" t="s">
        <v>751</v>
      </c>
    </row>
    <row r="164" spans="1:231" ht="15" x14ac:dyDescent="0.25">
      <c r="A164" s="27">
        <v>538</v>
      </c>
      <c r="B164" s="27" t="s">
        <v>291</v>
      </c>
      <c r="C164" s="27">
        <v>2</v>
      </c>
      <c r="D164" s="27" t="s">
        <v>122</v>
      </c>
      <c r="E164" s="27">
        <v>2</v>
      </c>
      <c r="F164" s="27" t="s">
        <v>744</v>
      </c>
      <c r="G164" s="29" t="s">
        <v>130</v>
      </c>
      <c r="H164" s="27" t="s">
        <v>98</v>
      </c>
      <c r="I164" s="31" t="s">
        <v>122</v>
      </c>
      <c r="J164" s="69">
        <v>4116</v>
      </c>
      <c r="K164" s="69">
        <v>4159</v>
      </c>
      <c r="L164" s="36">
        <v>4189</v>
      </c>
      <c r="M164" s="36">
        <v>4203</v>
      </c>
      <c r="N164" s="36">
        <v>4269</v>
      </c>
      <c r="O164" s="36">
        <v>4331</v>
      </c>
      <c r="P164" s="36">
        <v>4425</v>
      </c>
      <c r="Q164" s="36">
        <v>4518</v>
      </c>
      <c r="R164" s="69">
        <v>4633</v>
      </c>
      <c r="S164" s="69">
        <v>4763</v>
      </c>
      <c r="T164" s="71">
        <v>4809</v>
      </c>
      <c r="U164" s="36">
        <v>6886</v>
      </c>
      <c r="V164" s="36">
        <v>4315</v>
      </c>
      <c r="W164" s="36">
        <v>1414</v>
      </c>
      <c r="X164" s="36">
        <v>335.366725364253</v>
      </c>
      <c r="Y164" s="36">
        <v>7694</v>
      </c>
      <c r="Z164" s="36">
        <v>4246</v>
      </c>
      <c r="AA164" s="36">
        <v>1551</v>
      </c>
      <c r="AB164" s="36">
        <v>339.57142352579075</v>
      </c>
      <c r="AC164" s="36">
        <v>7085</v>
      </c>
      <c r="AD164" s="36">
        <v>3998</v>
      </c>
      <c r="AE164" s="36">
        <v>1629</v>
      </c>
      <c r="AF164" s="36">
        <v>274.98725976457052</v>
      </c>
      <c r="AG164" s="36">
        <v>8353</v>
      </c>
      <c r="AH164" s="36">
        <v>5117</v>
      </c>
      <c r="AI164" s="36">
        <v>1720</v>
      </c>
      <c r="AJ164" s="36">
        <v>255.64564822149677</v>
      </c>
      <c r="AK164" s="36">
        <v>9551</v>
      </c>
      <c r="AL164" s="36">
        <v>5498</v>
      </c>
      <c r="AM164" s="36">
        <v>2037</v>
      </c>
      <c r="AN164" s="36">
        <v>241</v>
      </c>
      <c r="AO164" s="36">
        <v>9092</v>
      </c>
      <c r="AP164" s="36">
        <v>5205</v>
      </c>
      <c r="AQ164" s="36">
        <v>1975</v>
      </c>
      <c r="AR164" s="36">
        <v>226</v>
      </c>
      <c r="AS164" s="36">
        <v>9496</v>
      </c>
      <c r="AT164" s="36">
        <v>5838</v>
      </c>
      <c r="AU164" s="36">
        <v>1710</v>
      </c>
      <c r="AV164" s="36">
        <v>166</v>
      </c>
      <c r="AW164" s="36">
        <v>9404</v>
      </c>
      <c r="AX164" s="69">
        <v>6150</v>
      </c>
      <c r="AY164" s="36">
        <v>2097</v>
      </c>
      <c r="AZ164" s="36">
        <v>260</v>
      </c>
      <c r="BA164" s="36">
        <v>10020</v>
      </c>
      <c r="BB164" s="36">
        <v>6810</v>
      </c>
      <c r="BC164" s="36">
        <v>2226</v>
      </c>
      <c r="BD164" s="36">
        <v>154</v>
      </c>
      <c r="BE164" s="70">
        <v>11052</v>
      </c>
      <c r="BF164" s="70">
        <v>7496</v>
      </c>
      <c r="BG164" s="70">
        <v>2592</v>
      </c>
      <c r="BH164" s="70">
        <v>183</v>
      </c>
      <c r="BI164" s="36">
        <v>12416</v>
      </c>
      <c r="BJ164" s="36">
        <v>8751</v>
      </c>
      <c r="BK164" s="36">
        <v>2633</v>
      </c>
      <c r="BL164" s="36">
        <v>142</v>
      </c>
      <c r="BM164" s="36">
        <v>6104.7171667734656</v>
      </c>
      <c r="BN164" s="36">
        <v>639.11412055374194</v>
      </c>
      <c r="BO164" s="36">
        <v>137.57772384551603</v>
      </c>
      <c r="BP164" s="36">
        <v>6911.6828379357958</v>
      </c>
      <c r="BQ164" s="36">
        <v>637.09586543620367</v>
      </c>
      <c r="BR164" s="36">
        <v>144.97799260982248</v>
      </c>
      <c r="BS164" s="36">
        <v>6236.0719373399061</v>
      </c>
      <c r="BT164" s="36">
        <v>616.9133142608224</v>
      </c>
      <c r="BU164" s="36">
        <v>231.5947747375007</v>
      </c>
      <c r="BV164" s="36">
        <v>7664</v>
      </c>
      <c r="BW164" s="36">
        <v>441</v>
      </c>
      <c r="BX164" s="36">
        <v>247</v>
      </c>
      <c r="BY164" s="36">
        <v>8479</v>
      </c>
      <c r="BZ164" s="36">
        <v>815</v>
      </c>
      <c r="CA164" s="36">
        <v>257</v>
      </c>
      <c r="CB164" s="36">
        <v>8553</v>
      </c>
      <c r="CC164" s="36">
        <v>274</v>
      </c>
      <c r="CD164" s="36">
        <v>265</v>
      </c>
      <c r="CE164" s="36">
        <v>8867</v>
      </c>
      <c r="CF164" s="36">
        <v>364</v>
      </c>
      <c r="CG164" s="36">
        <v>265</v>
      </c>
      <c r="CH164" s="36">
        <v>8863</v>
      </c>
      <c r="CI164" s="36">
        <v>259</v>
      </c>
      <c r="CJ164" s="70">
        <v>282</v>
      </c>
      <c r="CK164" s="70">
        <v>9453</v>
      </c>
      <c r="CL164" s="70">
        <v>262</v>
      </c>
      <c r="CM164" s="36">
        <v>305</v>
      </c>
      <c r="CN164" s="36">
        <v>10369</v>
      </c>
      <c r="CO164" s="36">
        <v>356</v>
      </c>
      <c r="CP164" s="36">
        <v>327</v>
      </c>
      <c r="CQ164" s="36">
        <v>11681</v>
      </c>
      <c r="CR164" s="36">
        <v>385</v>
      </c>
      <c r="CS164" s="36">
        <v>350</v>
      </c>
      <c r="CT164" s="36">
        <v>-192.40698787196862</v>
      </c>
      <c r="CU164" s="36">
        <v>-648.53264440000009</v>
      </c>
      <c r="CV164" s="36">
        <v>476.30820773899922</v>
      </c>
      <c r="CW164" s="36">
        <v>1451</v>
      </c>
      <c r="CX164" s="36">
        <v>535.00579407406656</v>
      </c>
      <c r="CY164" s="36">
        <v>-1381.4956279999999</v>
      </c>
      <c r="CZ164" s="36">
        <v>623.13626753989831</v>
      </c>
      <c r="DA164" s="36">
        <v>1386</v>
      </c>
      <c r="DB164" s="36">
        <v>-701.17546541803949</v>
      </c>
      <c r="DC164" s="36">
        <v>-768.11426010000002</v>
      </c>
      <c r="DD164" s="36">
        <v>630.03197252482028</v>
      </c>
      <c r="DE164" s="36">
        <v>1811</v>
      </c>
      <c r="DF164" s="36">
        <v>1158.1420616139649</v>
      </c>
      <c r="DG164" s="36">
        <v>-1506</v>
      </c>
      <c r="DH164" s="36">
        <v>652.90553052358587</v>
      </c>
      <c r="DI164" s="36">
        <v>3182</v>
      </c>
      <c r="DJ164" s="36">
        <v>2511</v>
      </c>
      <c r="DK164" s="36">
        <v>-547</v>
      </c>
      <c r="DL164" s="36">
        <v>736</v>
      </c>
      <c r="DM164" s="36">
        <v>2444</v>
      </c>
      <c r="DN164" s="36">
        <v>927</v>
      </c>
      <c r="DO164" s="69">
        <v>-1748</v>
      </c>
      <c r="DP164" s="36">
        <v>728</v>
      </c>
      <c r="DQ164" s="36">
        <v>2192</v>
      </c>
      <c r="DR164" s="36">
        <v>592</v>
      </c>
      <c r="DS164" s="36">
        <v>-1174</v>
      </c>
      <c r="DT164" s="36">
        <v>740</v>
      </c>
      <c r="DU164" s="36">
        <v>1941</v>
      </c>
      <c r="DV164" s="36">
        <v>-161</v>
      </c>
      <c r="DW164" s="71">
        <v>-2300</v>
      </c>
      <c r="DX164" s="39">
        <v>817</v>
      </c>
      <c r="DY164" s="71">
        <v>2770</v>
      </c>
      <c r="DZ164" s="70">
        <v>208</v>
      </c>
      <c r="EA164" s="35">
        <v>-741</v>
      </c>
      <c r="EB164" s="35">
        <v>898</v>
      </c>
      <c r="EC164" s="38">
        <v>3375</v>
      </c>
      <c r="ED164" s="38">
        <v>140</v>
      </c>
      <c r="EE164" s="38">
        <v>-1636</v>
      </c>
      <c r="EF164" s="38">
        <v>862</v>
      </c>
      <c r="EG164" s="73">
        <v>5797</v>
      </c>
      <c r="EH164" s="73">
        <v>713</v>
      </c>
      <c r="EI164" s="73">
        <v>-2174</v>
      </c>
      <c r="EJ164" s="73">
        <v>999</v>
      </c>
      <c r="EK164" s="73">
        <v>5913</v>
      </c>
      <c r="EL164" s="73">
        <v>12454.484142401354</v>
      </c>
      <c r="EM164" s="73">
        <v>-526.09183397160655</v>
      </c>
      <c r="EN164" s="73">
        <v>12621.494753377634</v>
      </c>
      <c r="EO164" s="73">
        <v>-62.5659086436821</v>
      </c>
      <c r="EP164" s="73">
        <v>12952.993156433271</v>
      </c>
      <c r="EQ164" s="73">
        <v>-1096.0807167496673</v>
      </c>
      <c r="ER164" s="73">
        <v>13462.938949464575</v>
      </c>
      <c r="ES164" s="73">
        <v>624.31358302512899</v>
      </c>
      <c r="ET164" s="73">
        <v>14697</v>
      </c>
      <c r="EU164" s="73">
        <v>1341</v>
      </c>
      <c r="EV164" s="73">
        <v>15483</v>
      </c>
      <c r="EW164" s="73">
        <v>1</v>
      </c>
      <c r="EX164" s="73">
        <v>16548</v>
      </c>
      <c r="EY164" s="73">
        <v>-72</v>
      </c>
      <c r="EZ164" s="73">
        <v>17900</v>
      </c>
      <c r="FA164" s="73">
        <v>-790</v>
      </c>
      <c r="FB164" s="73">
        <v>18928</v>
      </c>
      <c r="FC164" s="73">
        <v>-608</v>
      </c>
      <c r="FD164" s="73">
        <v>21014</v>
      </c>
      <c r="FE164" s="73">
        <v>-640</v>
      </c>
      <c r="FF164" s="73">
        <v>22997</v>
      </c>
      <c r="FG164" s="73">
        <v>-205</v>
      </c>
      <c r="FH164" s="73">
        <v>53</v>
      </c>
      <c r="FI164" s="73">
        <v>-152</v>
      </c>
      <c r="FJ164" s="79">
        <v>4824</v>
      </c>
      <c r="FK164" s="80">
        <v>12780</v>
      </c>
      <c r="FL164" s="80">
        <v>9249</v>
      </c>
      <c r="FM164" s="80">
        <v>2834</v>
      </c>
      <c r="FN164" s="76">
        <v>76</v>
      </c>
      <c r="FO164" s="80">
        <v>12057</v>
      </c>
      <c r="FP164" s="80">
        <v>311</v>
      </c>
      <c r="FQ164" s="80">
        <v>412</v>
      </c>
      <c r="FR164" s="80">
        <v>1500</v>
      </c>
      <c r="FS164" s="81">
        <v>-1102</v>
      </c>
      <c r="FT164" s="76">
        <v>1024</v>
      </c>
      <c r="FU164" s="76">
        <v>6143</v>
      </c>
      <c r="FV164" s="76">
        <v>1102</v>
      </c>
      <c r="FW164" s="80">
        <v>23262</v>
      </c>
      <c r="FX164" s="80">
        <v>557</v>
      </c>
      <c r="FY164" s="73">
        <v>4865</v>
      </c>
      <c r="FZ164" s="73">
        <v>13958</v>
      </c>
      <c r="GA164" s="73">
        <v>8748</v>
      </c>
      <c r="GB164" s="73">
        <v>3236</v>
      </c>
      <c r="GC164" s="73">
        <v>64</v>
      </c>
      <c r="GD164" s="73">
        <v>12976</v>
      </c>
      <c r="GE164" s="73">
        <v>370</v>
      </c>
      <c r="GF164" s="73">
        <v>612</v>
      </c>
      <c r="GG164" s="73">
        <v>1611</v>
      </c>
      <c r="GH164" s="73">
        <v>-1307</v>
      </c>
      <c r="GI164" s="73">
        <v>929</v>
      </c>
      <c r="GJ164" s="73">
        <v>4936</v>
      </c>
      <c r="GK164" s="73">
        <v>1307</v>
      </c>
      <c r="GL164" s="73">
        <v>24334</v>
      </c>
      <c r="GM164" s="73">
        <v>721</v>
      </c>
      <c r="GN164" s="73">
        <v>1125</v>
      </c>
      <c r="GO164" s="77">
        <v>19.5</v>
      </c>
      <c r="GP164" s="78">
        <v>4814</v>
      </c>
      <c r="GQ164" s="73">
        <v>14590</v>
      </c>
      <c r="GR164" s="65">
        <v>8770</v>
      </c>
      <c r="GS164" s="65">
        <v>3096</v>
      </c>
      <c r="GT164" s="65">
        <v>145</v>
      </c>
      <c r="GU164" s="65">
        <v>13493</v>
      </c>
      <c r="GV164" s="65">
        <v>469</v>
      </c>
      <c r="GW164" s="65">
        <v>628</v>
      </c>
      <c r="GX164" s="65">
        <v>265</v>
      </c>
      <c r="GY164" s="65">
        <v>-3886</v>
      </c>
      <c r="GZ164" s="65">
        <v>933</v>
      </c>
      <c r="HA164" s="65">
        <v>9808</v>
      </c>
      <c r="HB164" s="65">
        <v>3886</v>
      </c>
      <c r="HC164" s="65">
        <v>26194</v>
      </c>
      <c r="HD164" s="65">
        <v>-397</v>
      </c>
      <c r="HE164" s="78">
        <v>4846</v>
      </c>
      <c r="HF164" s="73">
        <v>14719</v>
      </c>
      <c r="HG164" s="65">
        <v>8669</v>
      </c>
      <c r="HH164" s="65">
        <v>3427</v>
      </c>
      <c r="HI164" s="65">
        <v>12</v>
      </c>
      <c r="HJ164" s="65">
        <v>13679</v>
      </c>
      <c r="HK164" s="65">
        <v>341</v>
      </c>
      <c r="HL164" s="65">
        <v>699</v>
      </c>
      <c r="HM164" s="65">
        <v>-175</v>
      </c>
      <c r="HN164" s="65">
        <v>246</v>
      </c>
      <c r="HO164" s="65">
        <v>976</v>
      </c>
      <c r="HP164" s="65">
        <v>9271</v>
      </c>
      <c r="HQ164" s="65">
        <v>-246</v>
      </c>
      <c r="HR164" s="65">
        <v>26829</v>
      </c>
      <c r="HS164" s="65">
        <v>-1118</v>
      </c>
      <c r="HT164" s="65">
        <v>-569</v>
      </c>
      <c r="HU164" s="77">
        <v>20</v>
      </c>
      <c r="HV164" s="180">
        <v>330</v>
      </c>
      <c r="HW164" s="30" t="s">
        <v>760</v>
      </c>
    </row>
    <row r="165" spans="1:231" ht="15" x14ac:dyDescent="0.25">
      <c r="A165" s="27">
        <v>541</v>
      </c>
      <c r="B165" s="27" t="s">
        <v>292</v>
      </c>
      <c r="C165" s="27">
        <v>12</v>
      </c>
      <c r="D165" s="27" t="s">
        <v>116</v>
      </c>
      <c r="E165" s="27">
        <v>3</v>
      </c>
      <c r="F165" s="27" t="s">
        <v>743</v>
      </c>
      <c r="G165" s="29" t="s">
        <v>132</v>
      </c>
      <c r="H165" s="27" t="s">
        <v>99</v>
      </c>
      <c r="I165" s="31" t="s">
        <v>116</v>
      </c>
      <c r="J165" s="69">
        <v>10108</v>
      </c>
      <c r="K165" s="69">
        <v>9921</v>
      </c>
      <c r="L165" s="36">
        <v>9781</v>
      </c>
      <c r="M165" s="36">
        <v>9646</v>
      </c>
      <c r="N165" s="36">
        <v>9430</v>
      </c>
      <c r="O165" s="36">
        <v>9299</v>
      </c>
      <c r="P165" s="36">
        <v>9193</v>
      </c>
      <c r="Q165" s="36">
        <v>9151</v>
      </c>
      <c r="R165" s="69">
        <v>8950</v>
      </c>
      <c r="S165" s="69">
        <v>8816</v>
      </c>
      <c r="T165" s="71">
        <v>8674</v>
      </c>
      <c r="U165" s="36">
        <v>17847</v>
      </c>
      <c r="V165" s="36">
        <v>11969</v>
      </c>
      <c r="W165" s="36">
        <v>6695</v>
      </c>
      <c r="X165" s="36">
        <v>707.73479455003849</v>
      </c>
      <c r="Y165" s="36">
        <v>17233</v>
      </c>
      <c r="Z165" s="36">
        <v>11860</v>
      </c>
      <c r="AA165" s="36">
        <v>7064</v>
      </c>
      <c r="AB165" s="36">
        <v>520.20525654545361</v>
      </c>
      <c r="AC165" s="36">
        <v>16644</v>
      </c>
      <c r="AD165" s="36">
        <v>12591</v>
      </c>
      <c r="AE165" s="36">
        <v>7058</v>
      </c>
      <c r="AF165" s="36">
        <v>383.63666025870668</v>
      </c>
      <c r="AG165" s="36">
        <v>18241</v>
      </c>
      <c r="AH165" s="36">
        <v>14865</v>
      </c>
      <c r="AI165" s="36">
        <v>7362</v>
      </c>
      <c r="AJ165" s="36">
        <v>462.68498569561683</v>
      </c>
      <c r="AK165" s="36">
        <v>18423</v>
      </c>
      <c r="AL165" s="36">
        <v>15928</v>
      </c>
      <c r="AM165" s="36">
        <v>7256</v>
      </c>
      <c r="AN165" s="36">
        <v>622</v>
      </c>
      <c r="AO165" s="36">
        <v>17319</v>
      </c>
      <c r="AP165" s="36">
        <v>16773</v>
      </c>
      <c r="AQ165" s="36">
        <v>7657</v>
      </c>
      <c r="AR165" s="36">
        <v>607</v>
      </c>
      <c r="AS165" s="36">
        <v>18075</v>
      </c>
      <c r="AT165" s="36">
        <v>16768</v>
      </c>
      <c r="AU165" s="36">
        <v>6517</v>
      </c>
      <c r="AV165" s="36">
        <v>704</v>
      </c>
      <c r="AW165" s="36">
        <v>18781</v>
      </c>
      <c r="AX165" s="69">
        <v>16764</v>
      </c>
      <c r="AY165" s="36">
        <v>7238</v>
      </c>
      <c r="AZ165" s="36">
        <v>654</v>
      </c>
      <c r="BA165" s="36">
        <v>19697</v>
      </c>
      <c r="BB165" s="36">
        <v>19027</v>
      </c>
      <c r="BC165" s="36">
        <v>7352</v>
      </c>
      <c r="BD165" s="36">
        <v>507</v>
      </c>
      <c r="BE165" s="70">
        <v>20164</v>
      </c>
      <c r="BF165" s="70">
        <v>20376</v>
      </c>
      <c r="BG165" s="70">
        <v>7332</v>
      </c>
      <c r="BH165" s="70">
        <v>523</v>
      </c>
      <c r="BI165" s="36">
        <v>22100</v>
      </c>
      <c r="BJ165" s="36">
        <v>22438</v>
      </c>
      <c r="BK165" s="36">
        <v>6982</v>
      </c>
      <c r="BL165" s="36">
        <v>0</v>
      </c>
      <c r="BM165" s="36">
        <v>14072.788370814011</v>
      </c>
      <c r="BN165" s="36">
        <v>3052.274489423502</v>
      </c>
      <c r="BO165" s="36">
        <v>709.41667381465356</v>
      </c>
      <c r="BP165" s="36">
        <v>13640.377211881467</v>
      </c>
      <c r="BQ165" s="36">
        <v>2733.5583687789381</v>
      </c>
      <c r="BR165" s="36">
        <v>845.98527010140049</v>
      </c>
      <c r="BS165" s="36">
        <v>12868.394629423132</v>
      </c>
      <c r="BT165" s="36">
        <v>2933.5338133416753</v>
      </c>
      <c r="BU165" s="36">
        <v>830.1756050140184</v>
      </c>
      <c r="BV165" s="36">
        <v>15195</v>
      </c>
      <c r="BW165" s="36">
        <v>2139</v>
      </c>
      <c r="BX165" s="36">
        <v>907</v>
      </c>
      <c r="BY165" s="36">
        <v>16029</v>
      </c>
      <c r="BZ165" s="36">
        <v>1478</v>
      </c>
      <c r="CA165" s="36">
        <v>916</v>
      </c>
      <c r="CB165" s="36">
        <v>15558</v>
      </c>
      <c r="CC165" s="36">
        <v>841</v>
      </c>
      <c r="CD165" s="36">
        <v>920</v>
      </c>
      <c r="CE165" s="36">
        <v>15965</v>
      </c>
      <c r="CF165" s="36">
        <v>1197</v>
      </c>
      <c r="CG165" s="36">
        <v>913</v>
      </c>
      <c r="CH165" s="36">
        <v>16178</v>
      </c>
      <c r="CI165" s="36">
        <v>1656</v>
      </c>
      <c r="CJ165" s="70">
        <v>947</v>
      </c>
      <c r="CK165" s="70">
        <v>16950</v>
      </c>
      <c r="CL165" s="70">
        <v>1786</v>
      </c>
      <c r="CM165" s="36">
        <v>961</v>
      </c>
      <c r="CN165" s="36">
        <v>17068</v>
      </c>
      <c r="CO165" s="36">
        <v>2139</v>
      </c>
      <c r="CP165" s="36">
        <v>957</v>
      </c>
      <c r="CQ165" s="36">
        <v>18733</v>
      </c>
      <c r="CR165" s="36">
        <v>2380</v>
      </c>
      <c r="CS165" s="36">
        <v>987</v>
      </c>
      <c r="CT165" s="36">
        <v>2558.3065494060443</v>
      </c>
      <c r="CU165" s="36">
        <v>-1440.8659660000001</v>
      </c>
      <c r="CV165" s="36">
        <v>1575.9208709443583</v>
      </c>
      <c r="CW165" s="36">
        <v>6898</v>
      </c>
      <c r="CX165" s="36">
        <v>1203.0482379791883</v>
      </c>
      <c r="CY165" s="36">
        <v>-426.02001769999998</v>
      </c>
      <c r="CZ165" s="36">
        <v>1491.8269077136028</v>
      </c>
      <c r="DA165" s="36">
        <v>5665</v>
      </c>
      <c r="DB165" s="36">
        <v>-320.90256368856302</v>
      </c>
      <c r="DC165" s="36">
        <v>2202.2527089999999</v>
      </c>
      <c r="DD165" s="36">
        <v>1394.782474145311</v>
      </c>
      <c r="DE165" s="36">
        <v>4806</v>
      </c>
      <c r="DF165" s="36">
        <v>3257.2955717800842</v>
      </c>
      <c r="DG165" s="36">
        <v>-2008</v>
      </c>
      <c r="DH165" s="36">
        <v>1388.7277087926966</v>
      </c>
      <c r="DI165" s="36">
        <v>3116</v>
      </c>
      <c r="DJ165" s="36">
        <v>3983</v>
      </c>
      <c r="DK165" s="36">
        <v>-1079</v>
      </c>
      <c r="DL165" s="36">
        <v>1529</v>
      </c>
      <c r="DM165" s="36">
        <v>1301</v>
      </c>
      <c r="DN165" s="36">
        <v>2070</v>
      </c>
      <c r="DO165" s="69">
        <v>-2528</v>
      </c>
      <c r="DP165" s="36">
        <v>1733</v>
      </c>
      <c r="DQ165" s="36">
        <v>1290</v>
      </c>
      <c r="DR165" s="36">
        <v>2177</v>
      </c>
      <c r="DS165" s="36">
        <v>-1817</v>
      </c>
      <c r="DT165" s="36">
        <v>1805</v>
      </c>
      <c r="DU165" s="36">
        <v>2252</v>
      </c>
      <c r="DV165" s="36">
        <v>1892</v>
      </c>
      <c r="DW165" s="71">
        <v>-4198</v>
      </c>
      <c r="DX165" s="39">
        <v>1766</v>
      </c>
      <c r="DY165" s="71">
        <v>4113</v>
      </c>
      <c r="DZ165" s="70">
        <v>1059</v>
      </c>
      <c r="EA165" s="35">
        <v>-4296</v>
      </c>
      <c r="EB165" s="35">
        <v>1901</v>
      </c>
      <c r="EC165" s="38">
        <v>5107</v>
      </c>
      <c r="ED165" s="38">
        <v>2462</v>
      </c>
      <c r="EE165" s="38">
        <v>-1513</v>
      </c>
      <c r="EF165" s="38">
        <v>1919</v>
      </c>
      <c r="EG165" s="73">
        <v>5867</v>
      </c>
      <c r="EH165" s="73">
        <v>4540</v>
      </c>
      <c r="EI165" s="73">
        <v>-2405</v>
      </c>
      <c r="EJ165" s="73">
        <v>1903</v>
      </c>
      <c r="EK165" s="73">
        <v>5172</v>
      </c>
      <c r="EL165" s="73">
        <v>32564.714509404228</v>
      </c>
      <c r="EM165" s="73">
        <v>2.3546309704611543</v>
      </c>
      <c r="EN165" s="73">
        <v>33474.611191561002</v>
      </c>
      <c r="EO165" s="73">
        <v>-247.0680639719597</v>
      </c>
      <c r="EP165" s="73">
        <v>34998.393805302294</v>
      </c>
      <c r="EQ165" s="73">
        <v>-861.79493518878246</v>
      </c>
      <c r="ER165" s="73">
        <v>35572.082822462507</v>
      </c>
      <c r="ES165" s="73">
        <v>1601.149059913585</v>
      </c>
      <c r="ET165" s="73">
        <v>38136</v>
      </c>
      <c r="EU165" s="73">
        <v>149</v>
      </c>
      <c r="EV165" s="73">
        <v>39813</v>
      </c>
      <c r="EW165" s="73">
        <v>301</v>
      </c>
      <c r="EX165" s="73">
        <v>39045</v>
      </c>
      <c r="EY165" s="73">
        <v>-732</v>
      </c>
      <c r="EZ165" s="73">
        <v>41486</v>
      </c>
      <c r="FA165" s="73">
        <v>127</v>
      </c>
      <c r="FB165" s="73">
        <v>45524</v>
      </c>
      <c r="FC165" s="73">
        <v>-808</v>
      </c>
      <c r="FD165" s="73">
        <v>45616</v>
      </c>
      <c r="FE165" s="73">
        <v>-87</v>
      </c>
      <c r="FF165" s="73">
        <v>46705</v>
      </c>
      <c r="FG165" s="73">
        <v>84</v>
      </c>
      <c r="FH165" s="73">
        <v>2061</v>
      </c>
      <c r="FI165" s="73">
        <v>2026</v>
      </c>
      <c r="FJ165" s="79">
        <v>8573</v>
      </c>
      <c r="FK165" s="80">
        <v>21462</v>
      </c>
      <c r="FL165" s="80">
        <v>23591</v>
      </c>
      <c r="FM165" s="80">
        <v>7062</v>
      </c>
      <c r="FN165" s="76">
        <v>767</v>
      </c>
      <c r="FO165" s="80">
        <v>18495</v>
      </c>
      <c r="FP165" s="80">
        <v>1920</v>
      </c>
      <c r="FQ165" s="80">
        <v>1047</v>
      </c>
      <c r="FR165" s="80">
        <v>4512</v>
      </c>
      <c r="FS165" s="81">
        <v>-3783</v>
      </c>
      <c r="FT165" s="76">
        <v>1709</v>
      </c>
      <c r="FU165" s="76">
        <v>6460</v>
      </c>
      <c r="FV165" s="76">
        <v>3783</v>
      </c>
      <c r="FW165" s="80">
        <v>48276</v>
      </c>
      <c r="FX165" s="80">
        <v>544</v>
      </c>
      <c r="FY165" s="73">
        <v>8508</v>
      </c>
      <c r="FZ165" s="73">
        <v>21925</v>
      </c>
      <c r="GA165" s="73">
        <v>24210</v>
      </c>
      <c r="GB165" s="73">
        <v>7379</v>
      </c>
      <c r="GC165" s="73">
        <v>394</v>
      </c>
      <c r="GD165" s="73">
        <v>18505</v>
      </c>
      <c r="GE165" s="73">
        <v>2298</v>
      </c>
      <c r="GF165" s="73">
        <v>1122</v>
      </c>
      <c r="GG165" s="73">
        <v>4293</v>
      </c>
      <c r="GH165" s="73">
        <v>-6925</v>
      </c>
      <c r="GI165" s="73">
        <v>1962</v>
      </c>
      <c r="GJ165" s="73">
        <v>8052</v>
      </c>
      <c r="GK165" s="73">
        <v>6925</v>
      </c>
      <c r="GL165" s="73">
        <v>49615</v>
      </c>
      <c r="GM165" s="73">
        <v>2405</v>
      </c>
      <c r="GN165" s="73">
        <v>4974</v>
      </c>
      <c r="GO165" s="77">
        <v>19.5</v>
      </c>
      <c r="GP165" s="78">
        <v>8359</v>
      </c>
      <c r="GQ165" s="73">
        <v>21968</v>
      </c>
      <c r="GR165" s="65">
        <v>24299</v>
      </c>
      <c r="GS165" s="65">
        <v>8191</v>
      </c>
      <c r="GT165" s="65">
        <v>275</v>
      </c>
      <c r="GU165" s="65">
        <v>18454</v>
      </c>
      <c r="GV165" s="65">
        <v>2383</v>
      </c>
      <c r="GW165" s="65">
        <v>1131</v>
      </c>
      <c r="GX165" s="65">
        <v>3596</v>
      </c>
      <c r="GY165" s="65">
        <v>-6657</v>
      </c>
      <c r="GZ165" s="65">
        <v>2194</v>
      </c>
      <c r="HA165" s="65">
        <v>11095</v>
      </c>
      <c r="HB165" s="65">
        <v>6657</v>
      </c>
      <c r="HC165" s="65">
        <v>50974</v>
      </c>
      <c r="HD165" s="65">
        <v>1583</v>
      </c>
      <c r="HE165" s="78">
        <v>8308</v>
      </c>
      <c r="HF165" s="73">
        <v>21645</v>
      </c>
      <c r="HG165" s="65">
        <v>25452</v>
      </c>
      <c r="HH165" s="65">
        <v>8730</v>
      </c>
      <c r="HI165" s="65">
        <v>321</v>
      </c>
      <c r="HJ165" s="65">
        <v>18764</v>
      </c>
      <c r="HK165" s="65">
        <v>1519</v>
      </c>
      <c r="HL165" s="65">
        <v>1362</v>
      </c>
      <c r="HM165" s="65">
        <v>1840</v>
      </c>
      <c r="HN165" s="65">
        <v>-3238</v>
      </c>
      <c r="HO165" s="65">
        <v>2428</v>
      </c>
      <c r="HP165" s="65">
        <v>9327</v>
      </c>
      <c r="HQ165" s="65">
        <v>3238</v>
      </c>
      <c r="HR165" s="65">
        <v>54255</v>
      </c>
      <c r="HS165" s="65">
        <v>-332</v>
      </c>
      <c r="HT165" s="65">
        <v>6227</v>
      </c>
      <c r="HU165" s="77">
        <v>20</v>
      </c>
      <c r="HV165" s="180">
        <v>240</v>
      </c>
      <c r="HW165" s="30" t="s">
        <v>757</v>
      </c>
    </row>
    <row r="166" spans="1:231" ht="15" x14ac:dyDescent="0.25">
      <c r="A166" s="27">
        <v>543</v>
      </c>
      <c r="B166" s="27" t="s">
        <v>293</v>
      </c>
      <c r="C166" s="27">
        <v>1</v>
      </c>
      <c r="D166" s="27" t="s">
        <v>121</v>
      </c>
      <c r="E166" s="27">
        <v>6</v>
      </c>
      <c r="F166" s="27" t="s">
        <v>102</v>
      </c>
      <c r="G166" s="29" t="s">
        <v>141</v>
      </c>
      <c r="H166" s="27" t="s">
        <v>97</v>
      </c>
      <c r="I166" s="31" t="s">
        <v>121</v>
      </c>
      <c r="J166" s="69">
        <v>31543</v>
      </c>
      <c r="K166" s="69">
        <v>32335</v>
      </c>
      <c r="L166" s="36">
        <v>33104</v>
      </c>
      <c r="M166" s="36">
        <v>34029</v>
      </c>
      <c r="N166" s="36">
        <v>34791</v>
      </c>
      <c r="O166" s="36">
        <v>35922</v>
      </c>
      <c r="P166" s="36">
        <v>36568</v>
      </c>
      <c r="Q166" s="36">
        <v>37391</v>
      </c>
      <c r="R166" s="69">
        <v>38006</v>
      </c>
      <c r="S166" s="69">
        <v>38633</v>
      </c>
      <c r="T166" s="71">
        <v>39018</v>
      </c>
      <c r="U166" s="36">
        <v>69572</v>
      </c>
      <c r="V166" s="36">
        <v>8360</v>
      </c>
      <c r="W166" s="36">
        <v>12522</v>
      </c>
      <c r="X166" s="36">
        <v>1106.8447440432042</v>
      </c>
      <c r="Y166" s="36">
        <v>73604</v>
      </c>
      <c r="Z166" s="36">
        <v>7230</v>
      </c>
      <c r="AA166" s="36">
        <v>14267</v>
      </c>
      <c r="AB166" s="36">
        <v>1031.3283650619856</v>
      </c>
      <c r="AC166" s="36">
        <v>82000</v>
      </c>
      <c r="AD166" s="36">
        <v>8591</v>
      </c>
      <c r="AE166" s="36">
        <v>15600</v>
      </c>
      <c r="AF166" s="36">
        <v>1539.9286546815949</v>
      </c>
      <c r="AG166" s="36">
        <v>96746</v>
      </c>
      <c r="AH166" s="36">
        <v>9041</v>
      </c>
      <c r="AI166" s="36">
        <v>17039</v>
      </c>
      <c r="AJ166" s="36">
        <v>2266.5004969953229</v>
      </c>
      <c r="AK166" s="36">
        <v>95501</v>
      </c>
      <c r="AL166" s="36">
        <v>11055</v>
      </c>
      <c r="AM166" s="36">
        <v>18902</v>
      </c>
      <c r="AN166" s="36">
        <v>2736</v>
      </c>
      <c r="AO166" s="36">
        <v>96763</v>
      </c>
      <c r="AP166" s="36">
        <v>15104</v>
      </c>
      <c r="AQ166" s="36">
        <v>21123</v>
      </c>
      <c r="AR166" s="36">
        <v>2264</v>
      </c>
      <c r="AS166" s="36">
        <v>101012</v>
      </c>
      <c r="AT166" s="36">
        <v>17237</v>
      </c>
      <c r="AU166" s="36">
        <v>21871</v>
      </c>
      <c r="AV166" s="36">
        <v>2228</v>
      </c>
      <c r="AW166" s="36">
        <v>104505</v>
      </c>
      <c r="AX166" s="69">
        <v>19769</v>
      </c>
      <c r="AY166" s="36">
        <v>23745</v>
      </c>
      <c r="AZ166" s="36">
        <v>2743</v>
      </c>
      <c r="BA166" s="36">
        <v>115791</v>
      </c>
      <c r="BB166" s="36">
        <v>22438</v>
      </c>
      <c r="BC166" s="36">
        <v>27718</v>
      </c>
      <c r="BD166" s="36">
        <v>2525</v>
      </c>
      <c r="BE166" s="70">
        <v>125508</v>
      </c>
      <c r="BF166" s="70">
        <v>23109</v>
      </c>
      <c r="BG166" s="70">
        <v>28888</v>
      </c>
      <c r="BH166" s="70">
        <v>2927</v>
      </c>
      <c r="BI166" s="36">
        <v>135037</v>
      </c>
      <c r="BJ166" s="36">
        <v>23944</v>
      </c>
      <c r="BK166" s="36">
        <v>30133</v>
      </c>
      <c r="BL166" s="36">
        <v>2181</v>
      </c>
      <c r="BM166" s="36">
        <v>62665.644084073778</v>
      </c>
      <c r="BN166" s="36">
        <v>5216.1803512773031</v>
      </c>
      <c r="BO166" s="36">
        <v>1626.20906095635</v>
      </c>
      <c r="BP166" s="36">
        <v>66132.838188077832</v>
      </c>
      <c r="BQ166" s="36">
        <v>5693.8340624279945</v>
      </c>
      <c r="BR166" s="36">
        <v>1717.7032929514121</v>
      </c>
      <c r="BS166" s="36">
        <v>70872.878519542588</v>
      </c>
      <c r="BT166" s="36">
        <v>8450.7705529850828</v>
      </c>
      <c r="BU166" s="36">
        <v>2619.6951425644957</v>
      </c>
      <c r="BV166" s="36">
        <v>81255</v>
      </c>
      <c r="BW166" s="36">
        <v>12630</v>
      </c>
      <c r="BX166" s="36">
        <v>2807</v>
      </c>
      <c r="BY166" s="36">
        <v>89378</v>
      </c>
      <c r="BZ166" s="36">
        <v>3158</v>
      </c>
      <c r="CA166" s="36">
        <v>2911</v>
      </c>
      <c r="CB166" s="36">
        <v>89503</v>
      </c>
      <c r="CC166" s="36">
        <v>4175</v>
      </c>
      <c r="CD166" s="36">
        <v>3033</v>
      </c>
      <c r="CE166" s="36">
        <v>93614</v>
      </c>
      <c r="CF166" s="36">
        <v>4164</v>
      </c>
      <c r="CG166" s="36">
        <v>3183</v>
      </c>
      <c r="CH166" s="36">
        <v>96187</v>
      </c>
      <c r="CI166" s="36">
        <v>4524</v>
      </c>
      <c r="CJ166" s="70">
        <v>3744</v>
      </c>
      <c r="CK166" s="70">
        <v>107569</v>
      </c>
      <c r="CL166" s="70">
        <v>4238</v>
      </c>
      <c r="CM166" s="36">
        <v>3936</v>
      </c>
      <c r="CN166" s="36">
        <v>116387</v>
      </c>
      <c r="CO166" s="36">
        <v>4692</v>
      </c>
      <c r="CP166" s="36">
        <v>4385</v>
      </c>
      <c r="CQ166" s="36">
        <v>125881</v>
      </c>
      <c r="CR166" s="36">
        <v>4493</v>
      </c>
      <c r="CS166" s="36">
        <v>4663</v>
      </c>
      <c r="CT166" s="36">
        <v>2165.9241169713391</v>
      </c>
      <c r="CU166" s="36">
        <v>-8641.6638500000008</v>
      </c>
      <c r="CV166" s="36">
        <v>5295.0604887877516</v>
      </c>
      <c r="CW166" s="36">
        <v>22364</v>
      </c>
      <c r="CX166" s="36">
        <v>4203.1844701996224</v>
      </c>
      <c r="CY166" s="36">
        <v>-11923.17848</v>
      </c>
      <c r="CZ166" s="36">
        <v>5653.4689600772317</v>
      </c>
      <c r="DA166" s="36">
        <v>28119</v>
      </c>
      <c r="DB166" s="36">
        <v>9196.6840068418842</v>
      </c>
      <c r="DC166" s="36">
        <v>-11546.269340000001</v>
      </c>
      <c r="DD166" s="36">
        <v>6188.811130004221</v>
      </c>
      <c r="DE166" s="36">
        <v>32222</v>
      </c>
      <c r="DF166" s="36">
        <v>16668.432639894512</v>
      </c>
      <c r="DG166" s="36">
        <v>-9396</v>
      </c>
      <c r="DH166" s="36">
        <v>6464.9757052540226</v>
      </c>
      <c r="DI166" s="36">
        <v>32294</v>
      </c>
      <c r="DJ166" s="36">
        <v>15541</v>
      </c>
      <c r="DK166" s="36">
        <v>-16809</v>
      </c>
      <c r="DL166" s="36">
        <v>7098</v>
      </c>
      <c r="DM166" s="36">
        <v>30015</v>
      </c>
      <c r="DN166" s="36">
        <v>10330</v>
      </c>
      <c r="DO166" s="69">
        <v>-18784</v>
      </c>
      <c r="DP166" s="36">
        <v>7890</v>
      </c>
      <c r="DQ166" s="36">
        <v>40898</v>
      </c>
      <c r="DR166" s="36">
        <v>8367</v>
      </c>
      <c r="DS166" s="36">
        <v>-16623</v>
      </c>
      <c r="DT166" s="36">
        <v>8323</v>
      </c>
      <c r="DU166" s="36">
        <v>52113</v>
      </c>
      <c r="DV166" s="36">
        <v>4651</v>
      </c>
      <c r="DW166" s="71">
        <v>-20625</v>
      </c>
      <c r="DX166" s="39">
        <v>9018</v>
      </c>
      <c r="DY166" s="71">
        <v>71806</v>
      </c>
      <c r="DZ166" s="70">
        <v>16459</v>
      </c>
      <c r="EA166" s="35">
        <v>-14995</v>
      </c>
      <c r="EB166" s="35">
        <v>9751</v>
      </c>
      <c r="EC166" s="38">
        <v>72601</v>
      </c>
      <c r="ED166" s="38">
        <v>16569</v>
      </c>
      <c r="EE166" s="38">
        <v>-8511</v>
      </c>
      <c r="EF166" s="38">
        <v>10334</v>
      </c>
      <c r="EG166" s="73">
        <v>61702</v>
      </c>
      <c r="EH166" s="73">
        <v>14290</v>
      </c>
      <c r="EI166" s="73">
        <v>-12599</v>
      </c>
      <c r="EJ166" s="73">
        <v>10281</v>
      </c>
      <c r="EK166" s="73">
        <v>71271</v>
      </c>
      <c r="EL166" s="73">
        <v>83363.186690280243</v>
      </c>
      <c r="EM166" s="73">
        <v>-3129.1363718164125</v>
      </c>
      <c r="EN166" s="73">
        <v>86058.230023899509</v>
      </c>
      <c r="EO166" s="73">
        <v>-1450.2844898776095</v>
      </c>
      <c r="EP166" s="73">
        <v>92082.216985971449</v>
      </c>
      <c r="EQ166" s="73">
        <v>3007.8728768376632</v>
      </c>
      <c r="ER166" s="73">
        <v>101174.96085426012</v>
      </c>
      <c r="ES166" s="73">
        <v>10203.45693464049</v>
      </c>
      <c r="ET166" s="73">
        <v>111351</v>
      </c>
      <c r="EU166" s="73">
        <v>8201</v>
      </c>
      <c r="EV166" s="73">
        <v>123891</v>
      </c>
      <c r="EW166" s="73">
        <v>1940</v>
      </c>
      <c r="EX166" s="73">
        <v>132886</v>
      </c>
      <c r="EY166" s="73">
        <v>50</v>
      </c>
      <c r="EZ166" s="73">
        <v>144648</v>
      </c>
      <c r="FA166" s="73">
        <v>-4354</v>
      </c>
      <c r="FB166" s="73">
        <v>150031</v>
      </c>
      <c r="FC166" s="73">
        <v>6720</v>
      </c>
      <c r="FD166" s="73">
        <v>161328</v>
      </c>
      <c r="FE166" s="73">
        <v>6247</v>
      </c>
      <c r="FF166" s="73">
        <v>174321</v>
      </c>
      <c r="FG166" s="73">
        <v>4022</v>
      </c>
      <c r="FH166" s="73">
        <v>25223</v>
      </c>
      <c r="FI166" s="73">
        <v>40267</v>
      </c>
      <c r="FJ166" s="79">
        <v>39628</v>
      </c>
      <c r="FK166" s="80">
        <v>138287</v>
      </c>
      <c r="FL166" s="80">
        <v>25355</v>
      </c>
      <c r="FM166" s="80">
        <v>27607</v>
      </c>
      <c r="FN166" s="76">
        <v>2218</v>
      </c>
      <c r="FO166" s="80">
        <v>129698</v>
      </c>
      <c r="FP166" s="80">
        <v>3514</v>
      </c>
      <c r="FQ166" s="80">
        <v>5075</v>
      </c>
      <c r="FR166" s="80">
        <v>10524</v>
      </c>
      <c r="FS166" s="81">
        <v>-14890</v>
      </c>
      <c r="FT166" s="76">
        <v>10481</v>
      </c>
      <c r="FU166" s="76">
        <v>79291</v>
      </c>
      <c r="FV166" s="76">
        <v>14890</v>
      </c>
      <c r="FW166" s="80">
        <v>180841</v>
      </c>
      <c r="FX166" s="80">
        <v>55</v>
      </c>
      <c r="FY166" s="73">
        <v>39937</v>
      </c>
      <c r="FZ166" s="73">
        <v>144057</v>
      </c>
      <c r="GA166" s="73">
        <v>27250</v>
      </c>
      <c r="GB166" s="73">
        <v>31567</v>
      </c>
      <c r="GC166" s="73">
        <v>2179</v>
      </c>
      <c r="GD166" s="73">
        <v>133042</v>
      </c>
      <c r="GE166" s="73">
        <v>4715</v>
      </c>
      <c r="GF166" s="73">
        <v>6300</v>
      </c>
      <c r="GG166" s="73">
        <v>18764</v>
      </c>
      <c r="GH166" s="73">
        <v>-13606</v>
      </c>
      <c r="GI166" s="73">
        <v>11467</v>
      </c>
      <c r="GJ166" s="73">
        <v>83521</v>
      </c>
      <c r="GK166" s="73">
        <v>13606</v>
      </c>
      <c r="GL166" s="73">
        <v>184785</v>
      </c>
      <c r="GM166" s="73">
        <v>7309</v>
      </c>
      <c r="GN166" s="73">
        <v>47631</v>
      </c>
      <c r="GO166" s="77">
        <v>18.75</v>
      </c>
      <c r="GP166" s="78">
        <v>40349</v>
      </c>
      <c r="GQ166" s="73">
        <v>150027</v>
      </c>
      <c r="GR166" s="65">
        <v>28449</v>
      </c>
      <c r="GS166" s="65">
        <v>36906</v>
      </c>
      <c r="GT166" s="65">
        <v>2342</v>
      </c>
      <c r="GU166" s="65">
        <v>137247</v>
      </c>
      <c r="GV166" s="65">
        <v>6366</v>
      </c>
      <c r="GW166" s="65">
        <v>6414</v>
      </c>
      <c r="GX166" s="65">
        <v>18520</v>
      </c>
      <c r="GY166" s="65">
        <v>-9044</v>
      </c>
      <c r="GZ166" s="65">
        <v>11566</v>
      </c>
      <c r="HA166" s="65">
        <v>75643</v>
      </c>
      <c r="HB166" s="65">
        <v>9044</v>
      </c>
      <c r="HC166" s="65">
        <v>197731</v>
      </c>
      <c r="HD166" s="65">
        <v>6966</v>
      </c>
      <c r="HE166" s="78">
        <v>40719</v>
      </c>
      <c r="HF166" s="73">
        <v>156236</v>
      </c>
      <c r="HG166" s="65">
        <v>28851</v>
      </c>
      <c r="HH166" s="65">
        <v>33677</v>
      </c>
      <c r="HI166" s="65">
        <v>2112</v>
      </c>
      <c r="HJ166" s="65">
        <v>144367</v>
      </c>
      <c r="HK166" s="65">
        <v>5169</v>
      </c>
      <c r="HL166" s="65">
        <v>6700</v>
      </c>
      <c r="HM166" s="65">
        <v>10756</v>
      </c>
      <c r="HN166" s="65">
        <v>-22820</v>
      </c>
      <c r="HO166" s="65">
        <v>12234</v>
      </c>
      <c r="HP166" s="65">
        <v>84385</v>
      </c>
      <c r="HQ166" s="65">
        <v>22820</v>
      </c>
      <c r="HR166" s="65">
        <v>209017</v>
      </c>
      <c r="HS166" s="65">
        <v>-1466</v>
      </c>
      <c r="HT166" s="65">
        <v>56421</v>
      </c>
      <c r="HU166" s="77">
        <v>19</v>
      </c>
      <c r="HV166" s="180">
        <v>120</v>
      </c>
      <c r="HW166" s="30" t="s">
        <v>751</v>
      </c>
    </row>
    <row r="167" spans="1:231" ht="15" x14ac:dyDescent="0.25">
      <c r="A167" s="27">
        <v>545</v>
      </c>
      <c r="B167" s="27" t="s">
        <v>294</v>
      </c>
      <c r="C167" s="27">
        <v>15</v>
      </c>
      <c r="D167" s="27" t="s">
        <v>115</v>
      </c>
      <c r="E167" s="27">
        <v>3</v>
      </c>
      <c r="F167" s="27" t="s">
        <v>743</v>
      </c>
      <c r="G167" s="29">
        <v>3</v>
      </c>
      <c r="H167" s="27" t="s">
        <v>98</v>
      </c>
      <c r="I167" s="27" t="s">
        <v>115</v>
      </c>
      <c r="J167" s="69">
        <v>9953</v>
      </c>
      <c r="K167" s="69">
        <v>9856</v>
      </c>
      <c r="L167" s="36">
        <v>9769</v>
      </c>
      <c r="M167" s="36">
        <v>9632</v>
      </c>
      <c r="N167" s="36">
        <v>9651</v>
      </c>
      <c r="O167" s="36">
        <v>9575</v>
      </c>
      <c r="P167" s="36">
        <v>9515</v>
      </c>
      <c r="Q167" s="36">
        <v>9463</v>
      </c>
      <c r="R167" s="69">
        <v>9432</v>
      </c>
      <c r="S167" s="69">
        <v>9443</v>
      </c>
      <c r="T167" s="71">
        <v>9505</v>
      </c>
      <c r="U167" s="36">
        <v>20053</v>
      </c>
      <c r="V167" s="36">
        <v>7420</v>
      </c>
      <c r="W167" s="36">
        <v>4976</v>
      </c>
      <c r="X167" s="36">
        <v>1547.833487225286</v>
      </c>
      <c r="Y167" s="36">
        <v>19999</v>
      </c>
      <c r="Z167" s="36">
        <v>8263</v>
      </c>
      <c r="AA167" s="36">
        <v>5129</v>
      </c>
      <c r="AB167" s="36">
        <v>1547.3289234459014</v>
      </c>
      <c r="AC167" s="36">
        <v>18711</v>
      </c>
      <c r="AD167" s="36">
        <v>8836</v>
      </c>
      <c r="AE167" s="36">
        <v>5146</v>
      </c>
      <c r="AF167" s="36">
        <v>1061.2658159721345</v>
      </c>
      <c r="AG167" s="36">
        <v>21132</v>
      </c>
      <c r="AH167" s="36">
        <v>12133</v>
      </c>
      <c r="AI167" s="36">
        <v>5451</v>
      </c>
      <c r="AJ167" s="36">
        <v>1064.4613865749034</v>
      </c>
      <c r="AK167" s="36">
        <v>20785</v>
      </c>
      <c r="AL167" s="36">
        <v>12463</v>
      </c>
      <c r="AM167" s="36">
        <v>5451</v>
      </c>
      <c r="AN167" s="36">
        <v>706</v>
      </c>
      <c r="AO167" s="36">
        <v>20493</v>
      </c>
      <c r="AP167" s="36">
        <v>14144</v>
      </c>
      <c r="AQ167" s="36">
        <v>6209</v>
      </c>
      <c r="AR167" s="36">
        <v>942</v>
      </c>
      <c r="AS167" s="36">
        <v>19952</v>
      </c>
      <c r="AT167" s="36">
        <v>14598</v>
      </c>
      <c r="AU167" s="36">
        <v>6337</v>
      </c>
      <c r="AV167" s="36">
        <v>1119</v>
      </c>
      <c r="AW167" s="36">
        <v>21007</v>
      </c>
      <c r="AX167" s="69">
        <v>15732</v>
      </c>
      <c r="AY167" s="36">
        <v>6253</v>
      </c>
      <c r="AZ167" s="36">
        <v>955</v>
      </c>
      <c r="BA167" s="36">
        <v>22491</v>
      </c>
      <c r="BB167" s="36">
        <v>15979</v>
      </c>
      <c r="BC167" s="36">
        <v>6572</v>
      </c>
      <c r="BD167" s="36">
        <v>1013</v>
      </c>
      <c r="BE167" s="70">
        <v>24779</v>
      </c>
      <c r="BF167" s="70">
        <v>16262</v>
      </c>
      <c r="BG167" s="70">
        <v>6442</v>
      </c>
      <c r="BH167" s="70">
        <v>669</v>
      </c>
      <c r="BI167" s="36">
        <v>26356</v>
      </c>
      <c r="BJ167" s="36">
        <v>18468</v>
      </c>
      <c r="BK167" s="36">
        <v>5886</v>
      </c>
      <c r="BL167" s="36">
        <v>0</v>
      </c>
      <c r="BM167" s="36">
        <v>15024.563846659703</v>
      </c>
      <c r="BN167" s="36">
        <v>4184.6837982888555</v>
      </c>
      <c r="BO167" s="36">
        <v>843.79882705740079</v>
      </c>
      <c r="BP167" s="36">
        <v>15516.849907412548</v>
      </c>
      <c r="BQ167" s="36">
        <v>3609.4810897904881</v>
      </c>
      <c r="BR167" s="36">
        <v>872.39077455585766</v>
      </c>
      <c r="BS167" s="36">
        <v>13909.814270072809</v>
      </c>
      <c r="BT167" s="36">
        <v>3744.3678068126201</v>
      </c>
      <c r="BU167" s="36">
        <v>1056.8929298841354</v>
      </c>
      <c r="BV167" s="36">
        <v>17510</v>
      </c>
      <c r="BW167" s="36">
        <v>2482</v>
      </c>
      <c r="BX167" s="36">
        <v>1139</v>
      </c>
      <c r="BY167" s="36">
        <v>17962</v>
      </c>
      <c r="BZ167" s="36">
        <v>1676</v>
      </c>
      <c r="CA167" s="36">
        <v>1147</v>
      </c>
      <c r="CB167" s="36">
        <v>18424</v>
      </c>
      <c r="CC167" s="36">
        <v>933</v>
      </c>
      <c r="CD167" s="36">
        <v>1136</v>
      </c>
      <c r="CE167" s="36">
        <v>17601</v>
      </c>
      <c r="CF167" s="36">
        <v>1213</v>
      </c>
      <c r="CG167" s="36">
        <v>1138</v>
      </c>
      <c r="CH167" s="36">
        <v>18320</v>
      </c>
      <c r="CI167" s="36">
        <v>1481</v>
      </c>
      <c r="CJ167" s="70">
        <v>1206</v>
      </c>
      <c r="CK167" s="70">
        <v>19625</v>
      </c>
      <c r="CL167" s="70">
        <v>1639</v>
      </c>
      <c r="CM167" s="36">
        <v>1227</v>
      </c>
      <c r="CN167" s="36">
        <v>21583</v>
      </c>
      <c r="CO167" s="36">
        <v>1944</v>
      </c>
      <c r="CP167" s="36">
        <v>1252</v>
      </c>
      <c r="CQ167" s="36">
        <v>23088</v>
      </c>
      <c r="CR167" s="36">
        <v>1913</v>
      </c>
      <c r="CS167" s="36">
        <v>1355</v>
      </c>
      <c r="CT167" s="36">
        <v>-218.30792854704131</v>
      </c>
      <c r="CU167" s="36">
        <v>-1874.7908159999999</v>
      </c>
      <c r="CV167" s="36">
        <v>1259.7275691967175</v>
      </c>
      <c r="CW167" s="36">
        <v>4528</v>
      </c>
      <c r="CX167" s="36">
        <v>942.52513989030786</v>
      </c>
      <c r="CY167" s="36">
        <v>-1805.4973910000001</v>
      </c>
      <c r="CZ167" s="36">
        <v>1293.1969665625584</v>
      </c>
      <c r="DA167" s="36">
        <v>2931</v>
      </c>
      <c r="DB167" s="36">
        <v>-2093.0987448135047</v>
      </c>
      <c r="DC167" s="36">
        <v>-4434.2746809999999</v>
      </c>
      <c r="DD167" s="36">
        <v>1309.8475712822478</v>
      </c>
      <c r="DE167" s="36">
        <v>6785</v>
      </c>
      <c r="DF167" s="36">
        <v>2442.2568801476018</v>
      </c>
      <c r="DG167" s="36">
        <v>-2475</v>
      </c>
      <c r="DH167" s="36">
        <v>1295.719785459481</v>
      </c>
      <c r="DI167" s="36">
        <v>7080</v>
      </c>
      <c r="DJ167" s="36">
        <v>1810</v>
      </c>
      <c r="DK167" s="36">
        <v>-2502</v>
      </c>
      <c r="DL167" s="36">
        <v>1339</v>
      </c>
      <c r="DM167" s="36">
        <v>6838</v>
      </c>
      <c r="DN167" s="36">
        <v>2905</v>
      </c>
      <c r="DO167" s="69">
        <v>-2064</v>
      </c>
      <c r="DP167" s="36">
        <v>1452</v>
      </c>
      <c r="DQ167" s="36">
        <v>4927</v>
      </c>
      <c r="DR167" s="36">
        <v>950</v>
      </c>
      <c r="DS167" s="36">
        <v>-2653</v>
      </c>
      <c r="DT167" s="36">
        <v>1552</v>
      </c>
      <c r="DU167" s="36">
        <v>5622</v>
      </c>
      <c r="DV167" s="36">
        <v>987</v>
      </c>
      <c r="DW167" s="71">
        <v>-2027</v>
      </c>
      <c r="DX167" s="39">
        <v>1567</v>
      </c>
      <c r="DY167" s="71">
        <v>7314</v>
      </c>
      <c r="DZ167" s="70">
        <v>1622</v>
      </c>
      <c r="EA167" s="35">
        <v>-2152</v>
      </c>
      <c r="EB167" s="35">
        <v>1655</v>
      </c>
      <c r="EC167" s="38">
        <v>7693</v>
      </c>
      <c r="ED167" s="38">
        <v>2101</v>
      </c>
      <c r="EE167" s="38">
        <v>-1769</v>
      </c>
      <c r="EF167" s="38">
        <v>1603</v>
      </c>
      <c r="EG167" s="73">
        <v>7659</v>
      </c>
      <c r="EH167" s="73">
        <v>1450</v>
      </c>
      <c r="EI167" s="73">
        <v>-3125</v>
      </c>
      <c r="EJ167" s="73">
        <v>1599</v>
      </c>
      <c r="EK167" s="73">
        <v>8847</v>
      </c>
      <c r="EL167" s="73">
        <v>32308.90067325627</v>
      </c>
      <c r="EM167" s="73">
        <v>-1320.1070347964001</v>
      </c>
      <c r="EN167" s="73">
        <v>32065.700931592924</v>
      </c>
      <c r="EO167" s="73">
        <v>-302.23370385133529</v>
      </c>
      <c r="EP167" s="73">
        <v>33830.328656027101</v>
      </c>
      <c r="EQ167" s="73">
        <v>-3392.0141008757546</v>
      </c>
      <c r="ER167" s="73">
        <v>35030.517699256437</v>
      </c>
      <c r="ES167" s="73">
        <v>1199.5162915234966</v>
      </c>
      <c r="ET167" s="73">
        <v>36753</v>
      </c>
      <c r="EU167" s="73">
        <v>469</v>
      </c>
      <c r="EV167" s="73">
        <v>38760</v>
      </c>
      <c r="EW167" s="73">
        <v>1536</v>
      </c>
      <c r="EX167" s="73">
        <v>40983</v>
      </c>
      <c r="EY167" s="73">
        <v>-509</v>
      </c>
      <c r="EZ167" s="73">
        <v>42905</v>
      </c>
      <c r="FA167" s="73">
        <v>-497</v>
      </c>
      <c r="FB167" s="73">
        <v>44258</v>
      </c>
      <c r="FC167" s="73">
        <v>50</v>
      </c>
      <c r="FD167" s="73">
        <v>45561</v>
      </c>
      <c r="FE167" s="73">
        <v>581</v>
      </c>
      <c r="FF167" s="73">
        <v>47909</v>
      </c>
      <c r="FG167" s="73">
        <v>-113</v>
      </c>
      <c r="FH167" s="73">
        <v>603</v>
      </c>
      <c r="FI167" s="73">
        <v>490</v>
      </c>
      <c r="FJ167" s="79">
        <v>9464</v>
      </c>
      <c r="FK167" s="80">
        <v>25873</v>
      </c>
      <c r="FL167" s="80">
        <v>20836</v>
      </c>
      <c r="FM167" s="80">
        <v>8560</v>
      </c>
      <c r="FN167" s="76">
        <v>1797</v>
      </c>
      <c r="FO167" s="80">
        <v>23060</v>
      </c>
      <c r="FP167" s="80">
        <v>1375</v>
      </c>
      <c r="FQ167" s="80">
        <v>1438</v>
      </c>
      <c r="FR167" s="80">
        <v>5247</v>
      </c>
      <c r="FS167" s="81">
        <v>-3689</v>
      </c>
      <c r="FT167" s="76">
        <v>1883</v>
      </c>
      <c r="FU167" s="76">
        <v>10239</v>
      </c>
      <c r="FV167" s="76">
        <v>3689</v>
      </c>
      <c r="FW167" s="80">
        <v>51304</v>
      </c>
      <c r="FX167" s="80">
        <v>2246</v>
      </c>
      <c r="FY167" s="73">
        <v>9435</v>
      </c>
      <c r="FZ167" s="73">
        <v>25187</v>
      </c>
      <c r="GA167" s="73">
        <v>21901</v>
      </c>
      <c r="GB167" s="73">
        <v>8036</v>
      </c>
      <c r="GC167" s="73">
        <v>527</v>
      </c>
      <c r="GD167" s="73">
        <v>21821</v>
      </c>
      <c r="GE167" s="73">
        <v>1760</v>
      </c>
      <c r="GF167" s="73">
        <v>1606</v>
      </c>
      <c r="GG167" s="73">
        <v>2654</v>
      </c>
      <c r="GH167" s="73">
        <v>-2879</v>
      </c>
      <c r="GI167" s="73">
        <v>1939</v>
      </c>
      <c r="GJ167" s="73">
        <v>10596</v>
      </c>
      <c r="GK167" s="73">
        <v>2879</v>
      </c>
      <c r="GL167" s="73">
        <v>52847</v>
      </c>
      <c r="GM167" s="73">
        <v>215</v>
      </c>
      <c r="GN167" s="73">
        <v>2950</v>
      </c>
      <c r="GO167" s="77">
        <v>20</v>
      </c>
      <c r="GP167" s="78">
        <v>9412</v>
      </c>
      <c r="GQ167" s="73">
        <v>27210</v>
      </c>
      <c r="GR167" s="65">
        <v>23362</v>
      </c>
      <c r="GS167" s="65">
        <v>8306</v>
      </c>
      <c r="GT167" s="65">
        <v>156</v>
      </c>
      <c r="GU167" s="65">
        <v>23290</v>
      </c>
      <c r="GV167" s="65">
        <v>2254</v>
      </c>
      <c r="GW167" s="65">
        <v>1666</v>
      </c>
      <c r="GX167" s="65">
        <v>2871</v>
      </c>
      <c r="GY167" s="65">
        <v>-3232</v>
      </c>
      <c r="GZ167" s="65">
        <v>2110</v>
      </c>
      <c r="HA167" s="65">
        <v>11814</v>
      </c>
      <c r="HB167" s="65">
        <v>3232</v>
      </c>
      <c r="HC167" s="65">
        <v>55973</v>
      </c>
      <c r="HD167" s="65">
        <v>433</v>
      </c>
      <c r="HE167" s="78">
        <v>9380</v>
      </c>
      <c r="HF167" s="73">
        <v>27628</v>
      </c>
      <c r="HG167" s="65">
        <v>24117</v>
      </c>
      <c r="HH167" s="65">
        <v>8123</v>
      </c>
      <c r="HI167" s="65">
        <v>803</v>
      </c>
      <c r="HJ167" s="65">
        <v>24146</v>
      </c>
      <c r="HK167" s="65">
        <v>1737</v>
      </c>
      <c r="HL167" s="65">
        <v>1745</v>
      </c>
      <c r="HM167" s="65">
        <v>1393</v>
      </c>
      <c r="HN167" s="65">
        <v>-6204</v>
      </c>
      <c r="HO167" s="65">
        <v>2226</v>
      </c>
      <c r="HP167" s="65">
        <v>16005</v>
      </c>
      <c r="HQ167" s="65">
        <v>6204</v>
      </c>
      <c r="HR167" s="65">
        <v>59111</v>
      </c>
      <c r="HS167" s="65">
        <v>-791</v>
      </c>
      <c r="HT167" s="65">
        <v>2592</v>
      </c>
      <c r="HU167" s="77">
        <v>20</v>
      </c>
      <c r="HV167" s="180">
        <v>320</v>
      </c>
      <c r="HW167" s="30" t="s">
        <v>759</v>
      </c>
    </row>
    <row r="168" spans="1:231" ht="15" x14ac:dyDescent="0.25">
      <c r="A168" s="27">
        <v>560</v>
      </c>
      <c r="B168" s="27" t="s">
        <v>295</v>
      </c>
      <c r="C168" s="27">
        <v>7</v>
      </c>
      <c r="D168" s="27" t="s">
        <v>119</v>
      </c>
      <c r="E168" s="27">
        <v>4</v>
      </c>
      <c r="F168" s="27" t="s">
        <v>100</v>
      </c>
      <c r="G168" s="29" t="s">
        <v>132</v>
      </c>
      <c r="H168" s="27" t="s">
        <v>99</v>
      </c>
      <c r="I168" s="31" t="s">
        <v>119</v>
      </c>
      <c r="J168" s="69">
        <v>15735</v>
      </c>
      <c r="K168" s="69">
        <v>15658</v>
      </c>
      <c r="L168" s="36">
        <v>15629</v>
      </c>
      <c r="M168" s="36">
        <v>15772</v>
      </c>
      <c r="N168" s="36">
        <v>15872</v>
      </c>
      <c r="O168" s="36">
        <v>15903</v>
      </c>
      <c r="P168" s="36">
        <v>15948</v>
      </c>
      <c r="Q168" s="36">
        <v>16154</v>
      </c>
      <c r="R168" s="69">
        <v>16205</v>
      </c>
      <c r="S168" s="69">
        <v>16205</v>
      </c>
      <c r="T168" s="71">
        <v>16276</v>
      </c>
      <c r="U168" s="36">
        <v>28897</v>
      </c>
      <c r="V168" s="36">
        <v>12104</v>
      </c>
      <c r="W168" s="36">
        <v>5354</v>
      </c>
      <c r="X168" s="36">
        <v>719.84432525526722</v>
      </c>
      <c r="Y168" s="36">
        <v>29729</v>
      </c>
      <c r="Z168" s="36">
        <v>13284</v>
      </c>
      <c r="AA168" s="36">
        <v>5269</v>
      </c>
      <c r="AB168" s="36">
        <v>538.87411638268134</v>
      </c>
      <c r="AC168" s="36">
        <v>28698</v>
      </c>
      <c r="AD168" s="36">
        <v>14085</v>
      </c>
      <c r="AE168" s="36">
        <v>5669</v>
      </c>
      <c r="AF168" s="36">
        <v>586.80767542421199</v>
      </c>
      <c r="AG168" s="36">
        <v>32487</v>
      </c>
      <c r="AH168" s="36">
        <v>16427</v>
      </c>
      <c r="AI168" s="36">
        <v>5633</v>
      </c>
      <c r="AJ168" s="36">
        <v>572.51170167498356</v>
      </c>
      <c r="AK168" s="36">
        <v>33611</v>
      </c>
      <c r="AL168" s="36">
        <v>16757</v>
      </c>
      <c r="AM168" s="36">
        <v>5962</v>
      </c>
      <c r="AN168" s="36">
        <v>516</v>
      </c>
      <c r="AO168" s="36">
        <v>32215</v>
      </c>
      <c r="AP168" s="36">
        <v>18802</v>
      </c>
      <c r="AQ168" s="36">
        <v>6336</v>
      </c>
      <c r="AR168" s="36">
        <v>1730</v>
      </c>
      <c r="AS168" s="36">
        <v>33280</v>
      </c>
      <c r="AT168" s="36">
        <v>20583</v>
      </c>
      <c r="AU168" s="36">
        <v>5921</v>
      </c>
      <c r="AV168" s="36">
        <v>1271</v>
      </c>
      <c r="AW168" s="36">
        <v>35341</v>
      </c>
      <c r="AX168" s="69">
        <v>20806</v>
      </c>
      <c r="AY168" s="36">
        <v>6103</v>
      </c>
      <c r="AZ168" s="36">
        <v>1164</v>
      </c>
      <c r="BA168" s="36">
        <v>37213</v>
      </c>
      <c r="BB168" s="36">
        <v>22201</v>
      </c>
      <c r="BC168" s="36">
        <v>7164</v>
      </c>
      <c r="BD168" s="36">
        <v>1559</v>
      </c>
      <c r="BE168" s="70">
        <v>39403</v>
      </c>
      <c r="BF168" s="70">
        <v>23708</v>
      </c>
      <c r="BG168" s="70">
        <v>6443</v>
      </c>
      <c r="BH168" s="70">
        <v>1482</v>
      </c>
      <c r="BI168" s="36">
        <v>44359</v>
      </c>
      <c r="BJ168" s="36">
        <v>27275</v>
      </c>
      <c r="BK168" s="36">
        <v>7630</v>
      </c>
      <c r="BL168" s="36">
        <v>1235</v>
      </c>
      <c r="BM168" s="36">
        <v>22781.559202991051</v>
      </c>
      <c r="BN168" s="36">
        <v>5229.9717612471468</v>
      </c>
      <c r="BO168" s="36">
        <v>870.03614358539653</v>
      </c>
      <c r="BP168" s="36">
        <v>24043.305027305309</v>
      </c>
      <c r="BQ168" s="36">
        <v>4631.7273068235518</v>
      </c>
      <c r="BR168" s="36">
        <v>1037.8876941939845</v>
      </c>
      <c r="BS168" s="36">
        <v>22875.239878030116</v>
      </c>
      <c r="BT168" s="36">
        <v>4508.6137446537268</v>
      </c>
      <c r="BU168" s="36">
        <v>1292.0196510773278</v>
      </c>
      <c r="BV168" s="36">
        <v>27886</v>
      </c>
      <c r="BW168" s="36">
        <v>3168</v>
      </c>
      <c r="BX168" s="36">
        <v>1411</v>
      </c>
      <c r="BY168" s="36">
        <v>30160</v>
      </c>
      <c r="BZ168" s="36">
        <v>1847</v>
      </c>
      <c r="CA168" s="36">
        <v>1583</v>
      </c>
      <c r="CB168" s="36">
        <v>29476</v>
      </c>
      <c r="CC168" s="36">
        <v>1136</v>
      </c>
      <c r="CD168" s="36">
        <v>1585</v>
      </c>
      <c r="CE168" s="36">
        <v>30179</v>
      </c>
      <c r="CF168" s="36">
        <v>1493</v>
      </c>
      <c r="CG168" s="36">
        <v>1590</v>
      </c>
      <c r="CH168" s="36">
        <v>31779</v>
      </c>
      <c r="CI168" s="36">
        <v>1868</v>
      </c>
      <c r="CJ168" s="70">
        <v>1677</v>
      </c>
      <c r="CK168" s="70">
        <v>33414</v>
      </c>
      <c r="CL168" s="70">
        <v>2063</v>
      </c>
      <c r="CM168" s="36">
        <v>1720</v>
      </c>
      <c r="CN168" s="36">
        <v>35153</v>
      </c>
      <c r="CO168" s="36">
        <v>2388</v>
      </c>
      <c r="CP168" s="36">
        <v>1862</v>
      </c>
      <c r="CQ168" s="36">
        <v>40009</v>
      </c>
      <c r="CR168" s="36">
        <v>2221</v>
      </c>
      <c r="CS168" s="36">
        <v>2129</v>
      </c>
      <c r="CT168" s="36">
        <v>-525.25089433929895</v>
      </c>
      <c r="CU168" s="36">
        <v>-2245.1406301000006</v>
      </c>
      <c r="CV168" s="36">
        <v>1708.4529569960289</v>
      </c>
      <c r="CW168" s="36">
        <v>9126</v>
      </c>
      <c r="CX168" s="36">
        <v>666.69694049342979</v>
      </c>
      <c r="CY168" s="36">
        <v>-2150.61901605</v>
      </c>
      <c r="CZ168" s="36">
        <v>1924.7426304255323</v>
      </c>
      <c r="DA168" s="36">
        <v>10607</v>
      </c>
      <c r="DB168" s="36">
        <v>-1298.7471681357881</v>
      </c>
      <c r="DC168" s="36">
        <v>-2579.1618527999999</v>
      </c>
      <c r="DD168" s="36">
        <v>2261.9594229808617</v>
      </c>
      <c r="DE168" s="36">
        <v>12410</v>
      </c>
      <c r="DF168" s="36">
        <v>1609.0538924572761</v>
      </c>
      <c r="DG168" s="36">
        <v>-3021</v>
      </c>
      <c r="DH168" s="36">
        <v>2312.2476129928536</v>
      </c>
      <c r="DI168" s="36">
        <v>14067</v>
      </c>
      <c r="DJ168" s="36">
        <v>4250</v>
      </c>
      <c r="DK168" s="36">
        <v>-3715</v>
      </c>
      <c r="DL168" s="36">
        <v>2356</v>
      </c>
      <c r="DM168" s="36">
        <v>14266</v>
      </c>
      <c r="DN168" s="36">
        <v>-32</v>
      </c>
      <c r="DO168" s="69">
        <v>-4032</v>
      </c>
      <c r="DP168" s="36">
        <v>2269</v>
      </c>
      <c r="DQ168" s="36">
        <v>13656</v>
      </c>
      <c r="DR168" s="36">
        <v>520</v>
      </c>
      <c r="DS168" s="36">
        <v>-3152</v>
      </c>
      <c r="DT168" s="36">
        <v>2308</v>
      </c>
      <c r="DU168" s="36">
        <v>15849</v>
      </c>
      <c r="DV168" s="36">
        <v>63</v>
      </c>
      <c r="DW168" s="71">
        <v>-2796</v>
      </c>
      <c r="DX168" s="39">
        <v>2479</v>
      </c>
      <c r="DY168" s="71">
        <v>17471</v>
      </c>
      <c r="DZ168" s="70">
        <v>1445</v>
      </c>
      <c r="EA168" s="35">
        <v>-1730</v>
      </c>
      <c r="EB168" s="35">
        <v>2283</v>
      </c>
      <c r="EC168" s="38">
        <v>16197</v>
      </c>
      <c r="ED168" s="38">
        <v>1344</v>
      </c>
      <c r="EE168" s="38">
        <v>-3362</v>
      </c>
      <c r="EF168" s="38">
        <v>2376</v>
      </c>
      <c r="EG168" s="73">
        <v>22737</v>
      </c>
      <c r="EH168" s="73">
        <v>4746</v>
      </c>
      <c r="EI168" s="73">
        <v>-3015</v>
      </c>
      <c r="EJ168" s="73">
        <v>1843</v>
      </c>
      <c r="EK168" s="73">
        <v>23136</v>
      </c>
      <c r="EL168" s="73">
        <v>44669.872328545025</v>
      </c>
      <c r="EM168" s="73">
        <v>-2364.2176822694605</v>
      </c>
      <c r="EN168" s="73">
        <v>45210.9328879717</v>
      </c>
      <c r="EO168" s="73">
        <v>-1202.2072983468809</v>
      </c>
      <c r="EP168" s="73">
        <v>47115.997531001238</v>
      </c>
      <c r="EQ168" s="73">
        <v>-3635.0456546126379</v>
      </c>
      <c r="ER168" s="73">
        <v>49985.61993228754</v>
      </c>
      <c r="ES168" s="73">
        <v>-601.27183709990197</v>
      </c>
      <c r="ET168" s="73">
        <v>51698</v>
      </c>
      <c r="EU168" s="73">
        <v>1972</v>
      </c>
      <c r="EV168" s="73">
        <v>56932</v>
      </c>
      <c r="EW168" s="73">
        <v>-954</v>
      </c>
      <c r="EX168" s="73">
        <v>59850</v>
      </c>
      <c r="EY168" s="73">
        <v>-1950</v>
      </c>
      <c r="EZ168" s="73">
        <v>62730</v>
      </c>
      <c r="FA168" s="73">
        <v>-2293</v>
      </c>
      <c r="FB168" s="73">
        <v>66331</v>
      </c>
      <c r="FC168" s="73">
        <v>-793</v>
      </c>
      <c r="FD168" s="73">
        <v>68836</v>
      </c>
      <c r="FE168" s="73">
        <v>-946</v>
      </c>
      <c r="FF168" s="73">
        <v>74872</v>
      </c>
      <c r="FG168" s="73">
        <v>3184</v>
      </c>
      <c r="FH168" s="73">
        <v>-7797</v>
      </c>
      <c r="FI168" s="73">
        <v>-4614</v>
      </c>
      <c r="FJ168" s="79">
        <v>16353</v>
      </c>
      <c r="FK168" s="80">
        <v>44189</v>
      </c>
      <c r="FL168" s="80">
        <v>28778</v>
      </c>
      <c r="FM168" s="80">
        <v>7337</v>
      </c>
      <c r="FN168" s="76">
        <v>1373</v>
      </c>
      <c r="FO168" s="80">
        <v>40248</v>
      </c>
      <c r="FP168" s="80">
        <v>1657</v>
      </c>
      <c r="FQ168" s="80">
        <v>2284</v>
      </c>
      <c r="FR168" s="80">
        <v>3594</v>
      </c>
      <c r="FS168" s="81">
        <v>-3222</v>
      </c>
      <c r="FT168" s="76">
        <v>1883</v>
      </c>
      <c r="FU168" s="76">
        <v>23977</v>
      </c>
      <c r="FV168" s="76">
        <v>3222</v>
      </c>
      <c r="FW168" s="80">
        <v>77272</v>
      </c>
      <c r="FX168" s="80">
        <v>1958</v>
      </c>
      <c r="FY168" s="73">
        <v>16309</v>
      </c>
      <c r="FZ168" s="73">
        <v>44780</v>
      </c>
      <c r="GA168" s="73">
        <v>31324</v>
      </c>
      <c r="GB168" s="73">
        <v>8323</v>
      </c>
      <c r="GC168" s="73">
        <v>1610</v>
      </c>
      <c r="GD168" s="73">
        <v>39914</v>
      </c>
      <c r="GE168" s="73">
        <v>2203</v>
      </c>
      <c r="GF168" s="73">
        <v>2663</v>
      </c>
      <c r="GG168" s="73">
        <v>4380</v>
      </c>
      <c r="GH168" s="73">
        <v>-3589</v>
      </c>
      <c r="GI168" s="73">
        <v>2023</v>
      </c>
      <c r="GJ168" s="73">
        <v>27536</v>
      </c>
      <c r="GK168" s="73">
        <v>3589</v>
      </c>
      <c r="GL168" s="73">
        <v>81224</v>
      </c>
      <c r="GM168" s="73">
        <v>2438</v>
      </c>
      <c r="GN168" s="73">
        <v>217</v>
      </c>
      <c r="GO168" s="77">
        <v>19.75</v>
      </c>
      <c r="GP168" s="78">
        <v>16369</v>
      </c>
      <c r="GQ168" s="73">
        <v>46959</v>
      </c>
      <c r="GR168" s="65">
        <v>33023</v>
      </c>
      <c r="GS168" s="65">
        <v>9478</v>
      </c>
      <c r="GT168" s="65">
        <v>1577</v>
      </c>
      <c r="GU168" s="65">
        <v>41376</v>
      </c>
      <c r="GV168" s="65">
        <v>2845</v>
      </c>
      <c r="GW168" s="65">
        <v>2738</v>
      </c>
      <c r="GX168" s="65">
        <v>7117</v>
      </c>
      <c r="GY168" s="65">
        <v>-3367</v>
      </c>
      <c r="GZ168" s="65">
        <v>2087</v>
      </c>
      <c r="HA168" s="65">
        <v>24928</v>
      </c>
      <c r="HB168" s="65">
        <v>3367</v>
      </c>
      <c r="HC168" s="65">
        <v>83618</v>
      </c>
      <c r="HD168" s="65">
        <v>5053</v>
      </c>
      <c r="HE168" s="78">
        <v>16300</v>
      </c>
      <c r="HF168" s="73">
        <v>47771</v>
      </c>
      <c r="HG168" s="65">
        <v>33385</v>
      </c>
      <c r="HH168" s="65">
        <v>10071</v>
      </c>
      <c r="HI168" s="65">
        <v>1527</v>
      </c>
      <c r="HJ168" s="65">
        <v>42847</v>
      </c>
      <c r="HK168" s="65">
        <v>1971</v>
      </c>
      <c r="HL168" s="65">
        <v>2953</v>
      </c>
      <c r="HM168" s="65">
        <v>3131</v>
      </c>
      <c r="HN168" s="65">
        <v>-3226</v>
      </c>
      <c r="HO168" s="65">
        <v>2267</v>
      </c>
      <c r="HP168" s="65">
        <v>26529</v>
      </c>
      <c r="HQ168" s="65">
        <v>3226</v>
      </c>
      <c r="HR168" s="65">
        <v>89408</v>
      </c>
      <c r="HS168" s="65">
        <v>887</v>
      </c>
      <c r="HT168" s="65">
        <v>6109</v>
      </c>
      <c r="HU168" s="77">
        <v>19.75</v>
      </c>
      <c r="HV168" s="180">
        <v>230</v>
      </c>
      <c r="HW168" s="30" t="s">
        <v>756</v>
      </c>
    </row>
    <row r="169" spans="1:231" ht="15" x14ac:dyDescent="0.25">
      <c r="A169" s="27">
        <v>561</v>
      </c>
      <c r="B169" s="27" t="s">
        <v>296</v>
      </c>
      <c r="C169" s="27">
        <v>2</v>
      </c>
      <c r="D169" s="27" t="s">
        <v>122</v>
      </c>
      <c r="E169" s="27">
        <v>1</v>
      </c>
      <c r="F169" s="27" t="s">
        <v>103</v>
      </c>
      <c r="G169" s="29" t="s">
        <v>130</v>
      </c>
      <c r="H169" s="27" t="s">
        <v>98</v>
      </c>
      <c r="I169" s="31" t="s">
        <v>122</v>
      </c>
      <c r="J169" s="69">
        <v>1344</v>
      </c>
      <c r="K169" s="69">
        <v>1359</v>
      </c>
      <c r="L169" s="36">
        <v>1342</v>
      </c>
      <c r="M169" s="36">
        <v>1317</v>
      </c>
      <c r="N169" s="36">
        <v>1326</v>
      </c>
      <c r="O169" s="36">
        <v>1346</v>
      </c>
      <c r="P169" s="36">
        <v>1343</v>
      </c>
      <c r="Q169" s="36">
        <v>1335</v>
      </c>
      <c r="R169" s="69">
        <v>1332</v>
      </c>
      <c r="S169" s="69">
        <v>1362</v>
      </c>
      <c r="T169" s="71">
        <v>1393</v>
      </c>
      <c r="U169" s="36">
        <v>2792</v>
      </c>
      <c r="V169" s="36">
        <v>492</v>
      </c>
      <c r="W169" s="36">
        <v>863</v>
      </c>
      <c r="X169" s="36">
        <v>213.598666606119</v>
      </c>
      <c r="Y169" s="36">
        <v>2275</v>
      </c>
      <c r="Z169" s="36">
        <v>442</v>
      </c>
      <c r="AA169" s="36">
        <v>914</v>
      </c>
      <c r="AB169" s="36">
        <v>90.989668215677483</v>
      </c>
      <c r="AC169" s="36">
        <v>2954</v>
      </c>
      <c r="AD169" s="36">
        <v>515</v>
      </c>
      <c r="AE169" s="36">
        <v>853</v>
      </c>
      <c r="AF169" s="36">
        <v>107.97664878829008</v>
      </c>
      <c r="AG169" s="36">
        <v>3051</v>
      </c>
      <c r="AH169" s="36">
        <v>493</v>
      </c>
      <c r="AI169" s="36">
        <v>878</v>
      </c>
      <c r="AJ169" s="36">
        <v>82.580271892601914</v>
      </c>
      <c r="AK169" s="36">
        <v>2698</v>
      </c>
      <c r="AL169" s="36">
        <v>512</v>
      </c>
      <c r="AM169" s="36">
        <v>923</v>
      </c>
      <c r="AN169" s="36">
        <v>53</v>
      </c>
      <c r="AO169" s="36">
        <v>2516</v>
      </c>
      <c r="AP169" s="36">
        <v>1335</v>
      </c>
      <c r="AQ169" s="36">
        <v>887</v>
      </c>
      <c r="AR169" s="36">
        <v>135</v>
      </c>
      <c r="AS169" s="36">
        <v>2629</v>
      </c>
      <c r="AT169" s="36">
        <v>1342</v>
      </c>
      <c r="AU169" s="36">
        <v>847</v>
      </c>
      <c r="AV169" s="36">
        <v>53</v>
      </c>
      <c r="AW169" s="36">
        <v>2803</v>
      </c>
      <c r="AX169" s="69">
        <v>1486</v>
      </c>
      <c r="AY169" s="36">
        <v>864</v>
      </c>
      <c r="AZ169" s="36">
        <v>32</v>
      </c>
      <c r="BA169" s="36">
        <v>2980</v>
      </c>
      <c r="BB169" s="36">
        <v>1557</v>
      </c>
      <c r="BC169" s="36">
        <v>1086</v>
      </c>
      <c r="BD169" s="36">
        <v>50</v>
      </c>
      <c r="BE169" s="70">
        <v>3079</v>
      </c>
      <c r="BF169" s="70">
        <v>1529</v>
      </c>
      <c r="BG169" s="70">
        <v>942</v>
      </c>
      <c r="BH169" s="70">
        <v>139</v>
      </c>
      <c r="BI169" s="36">
        <v>3467</v>
      </c>
      <c r="BJ169" s="36">
        <v>1847</v>
      </c>
      <c r="BK169" s="36">
        <v>1010</v>
      </c>
      <c r="BL169" s="36">
        <v>14</v>
      </c>
      <c r="BM169" s="36">
        <v>1719.7215480689504</v>
      </c>
      <c r="BN169" s="36">
        <v>1019.8915860626029</v>
      </c>
      <c r="BO169" s="36">
        <v>52.642820982452953</v>
      </c>
      <c r="BP169" s="36">
        <v>1483.5856993169891</v>
      </c>
      <c r="BQ169" s="36">
        <v>743.89519873926326</v>
      </c>
      <c r="BR169" s="36">
        <v>47.933559041530643</v>
      </c>
      <c r="BS169" s="36">
        <v>1947.7843763507592</v>
      </c>
      <c r="BT169" s="36">
        <v>923.68809212661859</v>
      </c>
      <c r="BU169" s="36">
        <v>82.580271892601914</v>
      </c>
      <c r="BV169" s="36">
        <v>2301</v>
      </c>
      <c r="BW169" s="36">
        <v>666</v>
      </c>
      <c r="BX169" s="36">
        <v>84</v>
      </c>
      <c r="BY169" s="36">
        <v>2464</v>
      </c>
      <c r="BZ169" s="36">
        <v>146</v>
      </c>
      <c r="CA169" s="36">
        <v>88</v>
      </c>
      <c r="CB169" s="36">
        <v>2278</v>
      </c>
      <c r="CC169" s="36">
        <v>136</v>
      </c>
      <c r="CD169" s="36">
        <v>102</v>
      </c>
      <c r="CE169" s="36">
        <v>2348</v>
      </c>
      <c r="CF169" s="36">
        <v>174</v>
      </c>
      <c r="CG169" s="36">
        <v>107</v>
      </c>
      <c r="CH169" s="36">
        <v>2469</v>
      </c>
      <c r="CI169" s="36">
        <v>211</v>
      </c>
      <c r="CJ169" s="70">
        <v>123</v>
      </c>
      <c r="CK169" s="70">
        <v>2607</v>
      </c>
      <c r="CL169" s="70">
        <v>236</v>
      </c>
      <c r="CM169" s="36">
        <v>137</v>
      </c>
      <c r="CN169" s="36">
        <v>2619</v>
      </c>
      <c r="CO169" s="36">
        <v>306</v>
      </c>
      <c r="CP169" s="36">
        <v>154</v>
      </c>
      <c r="CQ169" s="36">
        <v>2966</v>
      </c>
      <c r="CR169" s="36">
        <v>334</v>
      </c>
      <c r="CS169" s="36">
        <v>167</v>
      </c>
      <c r="CT169" s="36">
        <v>5.3820136467683533</v>
      </c>
      <c r="CU169" s="36">
        <v>-224.026318</v>
      </c>
      <c r="CV169" s="36">
        <v>165.16054378520383</v>
      </c>
      <c r="CW169" s="36">
        <v>180</v>
      </c>
      <c r="CX169" s="36">
        <v>-666.69694049342968</v>
      </c>
      <c r="CY169" s="36">
        <v>-608.50391790000003</v>
      </c>
      <c r="CZ169" s="36">
        <v>177.77463826981716</v>
      </c>
      <c r="DA169" s="36">
        <v>344</v>
      </c>
      <c r="DB169" s="36">
        <v>446.03438097592726</v>
      </c>
      <c r="DC169" s="36">
        <v>-436.44766920000006</v>
      </c>
      <c r="DD169" s="36">
        <v>235.29490911965394</v>
      </c>
      <c r="DE169" s="36">
        <v>314</v>
      </c>
      <c r="DF169" s="36">
        <v>226.04457316427082</v>
      </c>
      <c r="DG169" s="36">
        <v>-67</v>
      </c>
      <c r="DH169" s="36">
        <v>235.29490911965394</v>
      </c>
      <c r="DI169" s="36">
        <v>291</v>
      </c>
      <c r="DJ169" s="36">
        <v>-238</v>
      </c>
      <c r="DK169" s="36">
        <v>-201</v>
      </c>
      <c r="DL169" s="36">
        <v>228</v>
      </c>
      <c r="DM169" s="36">
        <v>269</v>
      </c>
      <c r="DN169" s="36">
        <v>378</v>
      </c>
      <c r="DO169" s="69">
        <v>-382</v>
      </c>
      <c r="DP169" s="36">
        <v>211</v>
      </c>
      <c r="DQ169" s="36">
        <v>846</v>
      </c>
      <c r="DR169" s="36">
        <v>-197</v>
      </c>
      <c r="DS169" s="36">
        <v>-461</v>
      </c>
      <c r="DT169" s="36">
        <v>221</v>
      </c>
      <c r="DU169" s="36">
        <v>794</v>
      </c>
      <c r="DV169" s="36">
        <v>-98</v>
      </c>
      <c r="DW169" s="71">
        <v>-14</v>
      </c>
      <c r="DX169" s="39">
        <v>246</v>
      </c>
      <c r="DY169" s="71">
        <v>741</v>
      </c>
      <c r="DZ169" s="70">
        <v>496</v>
      </c>
      <c r="EA169" s="35">
        <v>-196</v>
      </c>
      <c r="EB169" s="35">
        <v>249</v>
      </c>
      <c r="EC169" s="38">
        <v>689</v>
      </c>
      <c r="ED169" s="38">
        <v>389</v>
      </c>
      <c r="EE169" s="38">
        <v>-258</v>
      </c>
      <c r="EF169" s="38">
        <v>257</v>
      </c>
      <c r="EG169" s="73">
        <v>637</v>
      </c>
      <c r="EH169" s="73">
        <v>545</v>
      </c>
      <c r="EI169" s="73">
        <v>-448</v>
      </c>
      <c r="EJ169" s="73">
        <v>261</v>
      </c>
      <c r="EK169" s="73">
        <v>584</v>
      </c>
      <c r="EL169" s="73">
        <v>3971.4215075356601</v>
      </c>
      <c r="EM169" s="73">
        <v>-158.60121465320489</v>
      </c>
      <c r="EN169" s="73">
        <v>4028.4372146061123</v>
      </c>
      <c r="EO169" s="73">
        <v>-595.04888382082606</v>
      </c>
      <c r="EP169" s="73">
        <v>3745.0405585184662</v>
      </c>
      <c r="EQ169" s="73">
        <v>225.8763852378093</v>
      </c>
      <c r="ER169" s="73">
        <v>4020.7005699888828</v>
      </c>
      <c r="ES169" s="73">
        <v>5.8865774261528863</v>
      </c>
      <c r="ET169" s="73">
        <v>4355</v>
      </c>
      <c r="EU169" s="73">
        <v>-451</v>
      </c>
      <c r="EV169" s="73">
        <v>4370</v>
      </c>
      <c r="EW169" s="73">
        <v>309</v>
      </c>
      <c r="EX169" s="73">
        <v>5034</v>
      </c>
      <c r="EY169" s="73">
        <v>-291</v>
      </c>
      <c r="EZ169" s="73">
        <v>5263</v>
      </c>
      <c r="FA169" s="73">
        <v>-217</v>
      </c>
      <c r="FB169" s="73">
        <v>5164</v>
      </c>
      <c r="FC169" s="73">
        <v>387</v>
      </c>
      <c r="FD169" s="73">
        <v>5177</v>
      </c>
      <c r="FE169" s="73">
        <v>349</v>
      </c>
      <c r="FF169" s="73">
        <v>5791</v>
      </c>
      <c r="FG169" s="73">
        <v>532</v>
      </c>
      <c r="FH169" s="73">
        <v>292</v>
      </c>
      <c r="FI169" s="73">
        <v>826</v>
      </c>
      <c r="FJ169" s="79">
        <v>1403</v>
      </c>
      <c r="FK169" s="80">
        <v>3567</v>
      </c>
      <c r="FL169" s="80">
        <v>2154</v>
      </c>
      <c r="FM169" s="80">
        <v>1059</v>
      </c>
      <c r="FN169" s="76">
        <v>116</v>
      </c>
      <c r="FO169" s="80">
        <v>3138</v>
      </c>
      <c r="FP169" s="80">
        <v>257</v>
      </c>
      <c r="FQ169" s="80">
        <v>172</v>
      </c>
      <c r="FR169" s="80">
        <v>576</v>
      </c>
      <c r="FS169" s="81">
        <v>-182</v>
      </c>
      <c r="FT169" s="76">
        <v>249</v>
      </c>
      <c r="FU169" s="76">
        <v>532</v>
      </c>
      <c r="FV169" s="76">
        <v>182</v>
      </c>
      <c r="FW169" s="80">
        <v>6160</v>
      </c>
      <c r="FX169" s="80">
        <v>457</v>
      </c>
      <c r="FY169" s="73">
        <v>1414</v>
      </c>
      <c r="FZ169" s="73">
        <v>3539</v>
      </c>
      <c r="GA169" s="73">
        <v>2793</v>
      </c>
      <c r="GB169" s="73">
        <v>1154</v>
      </c>
      <c r="GC169" s="73">
        <v>21</v>
      </c>
      <c r="GD169" s="73">
        <v>3027</v>
      </c>
      <c r="GE169" s="73">
        <v>306</v>
      </c>
      <c r="GF169" s="73">
        <v>206</v>
      </c>
      <c r="GG169" s="73">
        <v>538</v>
      </c>
      <c r="GH169" s="73">
        <v>-303</v>
      </c>
      <c r="GI169" s="73">
        <v>231</v>
      </c>
      <c r="GJ169" s="73">
        <v>479</v>
      </c>
      <c r="GK169" s="73">
        <v>303</v>
      </c>
      <c r="GL169" s="73">
        <v>6969</v>
      </c>
      <c r="GM169" s="73">
        <v>330</v>
      </c>
      <c r="GN169" s="73">
        <v>1613</v>
      </c>
      <c r="GO169" s="77">
        <v>19</v>
      </c>
      <c r="GP169" s="78">
        <v>1422</v>
      </c>
      <c r="GQ169" s="73">
        <v>3647</v>
      </c>
      <c r="GR169" s="65">
        <v>2990</v>
      </c>
      <c r="GS169" s="65">
        <v>1172</v>
      </c>
      <c r="GT169" s="65">
        <v>44</v>
      </c>
      <c r="GU169" s="65">
        <v>3080</v>
      </c>
      <c r="GV169" s="65">
        <v>322</v>
      </c>
      <c r="GW169" s="65">
        <v>245</v>
      </c>
      <c r="GX169" s="65">
        <v>31</v>
      </c>
      <c r="GY169" s="65">
        <v>-726</v>
      </c>
      <c r="GZ169" s="65">
        <v>220</v>
      </c>
      <c r="HA169" s="65">
        <v>427</v>
      </c>
      <c r="HB169" s="65">
        <v>726</v>
      </c>
      <c r="HC169" s="65">
        <v>7822</v>
      </c>
      <c r="HD169" s="65">
        <v>-174</v>
      </c>
      <c r="HE169" s="78">
        <v>1434</v>
      </c>
      <c r="HF169" s="73">
        <v>3577</v>
      </c>
      <c r="HG169" s="65">
        <v>3430</v>
      </c>
      <c r="HH169" s="65">
        <v>1260</v>
      </c>
      <c r="HI169" s="65">
        <v>10</v>
      </c>
      <c r="HJ169" s="65">
        <v>3062</v>
      </c>
      <c r="HK169" s="65">
        <v>289</v>
      </c>
      <c r="HL169" s="65">
        <v>226</v>
      </c>
      <c r="HM169" s="65">
        <v>-124</v>
      </c>
      <c r="HN169" s="65">
        <v>-1658</v>
      </c>
      <c r="HO169" s="65">
        <v>265</v>
      </c>
      <c r="HP169" s="65">
        <v>1444</v>
      </c>
      <c r="HQ169" s="65">
        <v>1658</v>
      </c>
      <c r="HR169" s="65">
        <v>8396</v>
      </c>
      <c r="HS169" s="65">
        <v>-369</v>
      </c>
      <c r="HT169" s="65">
        <v>1071</v>
      </c>
      <c r="HU169" s="77">
        <v>19</v>
      </c>
      <c r="HV169" s="180">
        <v>320</v>
      </c>
      <c r="HW169" s="30" t="s">
        <v>759</v>
      </c>
    </row>
    <row r="170" spans="1:231" ht="15" x14ac:dyDescent="0.25">
      <c r="A170" s="27">
        <v>562</v>
      </c>
      <c r="B170" s="27" t="s">
        <v>297</v>
      </c>
      <c r="C170" s="27">
        <v>6</v>
      </c>
      <c r="D170" s="27" t="s">
        <v>114</v>
      </c>
      <c r="E170" s="27">
        <v>3</v>
      </c>
      <c r="F170" s="27" t="s">
        <v>743</v>
      </c>
      <c r="G170" s="29" t="s">
        <v>132</v>
      </c>
      <c r="H170" s="27" t="s">
        <v>99</v>
      </c>
      <c r="I170" s="31" t="s">
        <v>114</v>
      </c>
      <c r="J170" s="69">
        <v>8950</v>
      </c>
      <c r="K170" s="69">
        <v>8898</v>
      </c>
      <c r="L170" s="36">
        <v>8886</v>
      </c>
      <c r="M170" s="36">
        <v>8917</v>
      </c>
      <c r="N170" s="36">
        <v>8902</v>
      </c>
      <c r="O170" s="36">
        <v>8839</v>
      </c>
      <c r="P170" s="36">
        <v>8890</v>
      </c>
      <c r="Q170" s="36">
        <v>8929</v>
      </c>
      <c r="R170" s="69">
        <v>8910</v>
      </c>
      <c r="S170" s="69">
        <v>9555</v>
      </c>
      <c r="T170" s="71">
        <v>9632</v>
      </c>
      <c r="U170" s="36">
        <v>16200</v>
      </c>
      <c r="V170" s="36">
        <v>7903</v>
      </c>
      <c r="W170" s="36">
        <v>3413</v>
      </c>
      <c r="X170" s="36">
        <v>855.74016983616809</v>
      </c>
      <c r="Y170" s="36">
        <v>16361</v>
      </c>
      <c r="Z170" s="36">
        <v>8642</v>
      </c>
      <c r="AA170" s="36">
        <v>3773</v>
      </c>
      <c r="AB170" s="36">
        <v>708.239358329423</v>
      </c>
      <c r="AC170" s="36">
        <v>16851</v>
      </c>
      <c r="AD170" s="36">
        <v>8728</v>
      </c>
      <c r="AE170" s="36">
        <v>4387</v>
      </c>
      <c r="AF170" s="36">
        <v>554.01102976421737</v>
      </c>
      <c r="AG170" s="36">
        <v>18235</v>
      </c>
      <c r="AH170" s="36">
        <v>10459</v>
      </c>
      <c r="AI170" s="36">
        <v>5716</v>
      </c>
      <c r="AJ170" s="36">
        <v>542.57425076483457</v>
      </c>
      <c r="AK170" s="36">
        <v>18786</v>
      </c>
      <c r="AL170" s="36">
        <v>11457</v>
      </c>
      <c r="AM170" s="36">
        <v>5958</v>
      </c>
      <c r="AN170" s="36">
        <v>325</v>
      </c>
      <c r="AO170" s="36">
        <v>18159</v>
      </c>
      <c r="AP170" s="36">
        <v>12167</v>
      </c>
      <c r="AQ170" s="36">
        <v>6539</v>
      </c>
      <c r="AR170" s="36">
        <v>392</v>
      </c>
      <c r="AS170" s="36">
        <v>18840</v>
      </c>
      <c r="AT170" s="36">
        <v>12483</v>
      </c>
      <c r="AU170" s="36">
        <v>9125</v>
      </c>
      <c r="AV170" s="36">
        <v>335</v>
      </c>
      <c r="AW170" s="36">
        <v>19451</v>
      </c>
      <c r="AX170" s="69">
        <v>12908</v>
      </c>
      <c r="AY170" s="36">
        <v>9309</v>
      </c>
      <c r="AZ170" s="36">
        <v>462</v>
      </c>
      <c r="BA170" s="36">
        <v>20692</v>
      </c>
      <c r="BB170" s="36">
        <v>13948</v>
      </c>
      <c r="BC170" s="36">
        <v>9502</v>
      </c>
      <c r="BD170" s="36">
        <v>192</v>
      </c>
      <c r="BE170" s="70">
        <v>24028</v>
      </c>
      <c r="BF170" s="70">
        <v>15802</v>
      </c>
      <c r="BG170" s="70">
        <v>11837</v>
      </c>
      <c r="BH170" s="70">
        <v>306</v>
      </c>
      <c r="BI170" s="36">
        <v>24482</v>
      </c>
      <c r="BJ170" s="36">
        <v>17812</v>
      </c>
      <c r="BK170" s="36">
        <v>11571</v>
      </c>
      <c r="BL170" s="36">
        <v>86</v>
      </c>
      <c r="BM170" s="36">
        <v>13206.452361610769</v>
      </c>
      <c r="BN170" s="36">
        <v>2298.1198271700873</v>
      </c>
      <c r="BO170" s="36">
        <v>695.12070006542513</v>
      </c>
      <c r="BP170" s="36">
        <v>13618.512781441472</v>
      </c>
      <c r="BQ170" s="36">
        <v>2062.320354271048</v>
      </c>
      <c r="BR170" s="36">
        <v>680.32016253681206</v>
      </c>
      <c r="BS170" s="36">
        <v>13457.388747891344</v>
      </c>
      <c r="BT170" s="36">
        <v>2610.4448066091127</v>
      </c>
      <c r="BU170" s="36">
        <v>783.08298560479534</v>
      </c>
      <c r="BV170" s="36">
        <v>15276</v>
      </c>
      <c r="BW170" s="36">
        <v>2150</v>
      </c>
      <c r="BX170" s="36">
        <v>809</v>
      </c>
      <c r="BY170" s="36">
        <v>16953</v>
      </c>
      <c r="BZ170" s="36">
        <v>911</v>
      </c>
      <c r="CA170" s="36">
        <v>922</v>
      </c>
      <c r="CB170" s="36">
        <v>16422</v>
      </c>
      <c r="CC170" s="36">
        <v>814</v>
      </c>
      <c r="CD170" s="36">
        <v>923</v>
      </c>
      <c r="CE170" s="36">
        <v>17068</v>
      </c>
      <c r="CF170" s="36">
        <v>848</v>
      </c>
      <c r="CG170" s="36">
        <v>924</v>
      </c>
      <c r="CH170" s="36">
        <v>17481</v>
      </c>
      <c r="CI170" s="36">
        <v>995</v>
      </c>
      <c r="CJ170" s="70">
        <v>975</v>
      </c>
      <c r="CK170" s="70">
        <v>18472</v>
      </c>
      <c r="CL170" s="70">
        <v>1100</v>
      </c>
      <c r="CM170" s="36">
        <v>1120</v>
      </c>
      <c r="CN170" s="36">
        <v>21125</v>
      </c>
      <c r="CO170" s="36">
        <v>1559</v>
      </c>
      <c r="CP170" s="36">
        <v>1344</v>
      </c>
      <c r="CQ170" s="36">
        <v>21505</v>
      </c>
      <c r="CR170" s="36">
        <v>1461</v>
      </c>
      <c r="CS170" s="36">
        <v>1516</v>
      </c>
      <c r="CT170" s="36">
        <v>-296.68350227810544</v>
      </c>
      <c r="CU170" s="36">
        <v>-2164.0740500000002</v>
      </c>
      <c r="CV170" s="36">
        <v>1772.3643690514032</v>
      </c>
      <c r="CW170" s="36">
        <v>6474</v>
      </c>
      <c r="CX170" s="36">
        <v>1127.7000469244315</v>
      </c>
      <c r="CY170" s="36">
        <v>-1000.5499750000001</v>
      </c>
      <c r="CZ170" s="36">
        <v>1802.4700078880135</v>
      </c>
      <c r="DA170" s="36">
        <v>6894</v>
      </c>
      <c r="DB170" s="36">
        <v>1685.7475869237251</v>
      </c>
      <c r="DC170" s="36">
        <v>-1177.6518610000001</v>
      </c>
      <c r="DD170" s="36">
        <v>1749.4908110526378</v>
      </c>
      <c r="DE170" s="36">
        <v>5866</v>
      </c>
      <c r="DF170" s="36">
        <v>2694.5387698398681</v>
      </c>
      <c r="DG170" s="36">
        <v>-2193</v>
      </c>
      <c r="DH170" s="36">
        <v>1521.0916069179057</v>
      </c>
      <c r="DI170" s="36">
        <v>5386</v>
      </c>
      <c r="DJ170" s="36">
        <v>3259</v>
      </c>
      <c r="DK170" s="36">
        <v>-3113</v>
      </c>
      <c r="DL170" s="36">
        <v>1585</v>
      </c>
      <c r="DM170" s="36">
        <v>5490</v>
      </c>
      <c r="DN170" s="36">
        <v>1601</v>
      </c>
      <c r="DO170" s="69">
        <v>-1955</v>
      </c>
      <c r="DP170" s="36">
        <v>1705</v>
      </c>
      <c r="DQ170" s="36">
        <v>5315</v>
      </c>
      <c r="DR170" s="36">
        <v>1348</v>
      </c>
      <c r="DS170" s="36">
        <v>-3547</v>
      </c>
      <c r="DT170" s="36">
        <v>1805</v>
      </c>
      <c r="DU170" s="36">
        <v>7480</v>
      </c>
      <c r="DV170" s="36">
        <v>1228</v>
      </c>
      <c r="DW170" s="71">
        <v>-5028</v>
      </c>
      <c r="DX170" s="39">
        <v>2037</v>
      </c>
      <c r="DY170" s="71">
        <v>11443</v>
      </c>
      <c r="DZ170" s="70">
        <v>1051</v>
      </c>
      <c r="EA170" s="35">
        <v>-3754</v>
      </c>
      <c r="EB170" s="35">
        <v>2104</v>
      </c>
      <c r="EC170" s="38">
        <v>14179</v>
      </c>
      <c r="ED170" s="38">
        <v>3233</v>
      </c>
      <c r="EE170" s="38">
        <v>-1595</v>
      </c>
      <c r="EF170" s="38">
        <v>2196</v>
      </c>
      <c r="EG170" s="73">
        <v>14817</v>
      </c>
      <c r="EH170" s="73">
        <v>4455</v>
      </c>
      <c r="EI170" s="73">
        <v>-747</v>
      </c>
      <c r="EJ170" s="73">
        <v>2172</v>
      </c>
      <c r="EK170" s="73">
        <v>12565</v>
      </c>
      <c r="EL170" s="73">
        <v>28976.517601707441</v>
      </c>
      <c r="EM170" s="73">
        <v>-1331.8717802523827</v>
      </c>
      <c r="EN170" s="73">
        <v>28711.932765194517</v>
      </c>
      <c r="EO170" s="73">
        <v>-639.01320779786499</v>
      </c>
      <c r="EP170" s="73">
        <v>29071.711968084655</v>
      </c>
      <c r="EQ170" s="73">
        <v>-160.28309391782</v>
      </c>
      <c r="ER170" s="73">
        <v>32558.483146728828</v>
      </c>
      <c r="ES170" s="73">
        <v>947.94920051869144</v>
      </c>
      <c r="ET170" s="73">
        <v>35102.400000000001</v>
      </c>
      <c r="EU170" s="73">
        <v>1378.95</v>
      </c>
      <c r="EV170" s="73">
        <v>37721.449999999997</v>
      </c>
      <c r="EW170" s="73">
        <v>-148.44999999999999</v>
      </c>
      <c r="EX170" s="73">
        <v>41695.15</v>
      </c>
      <c r="EY170" s="73">
        <v>-485.35</v>
      </c>
      <c r="EZ170" s="73">
        <v>43391.75</v>
      </c>
      <c r="FA170" s="73">
        <v>-743.3</v>
      </c>
      <c r="FB170" s="73">
        <v>45757.8</v>
      </c>
      <c r="FC170" s="73">
        <v>-858.85</v>
      </c>
      <c r="FD170" s="73">
        <v>48140</v>
      </c>
      <c r="FE170" s="73">
        <v>1037</v>
      </c>
      <c r="FF170" s="73">
        <v>49131</v>
      </c>
      <c r="FG170" s="73">
        <v>2283</v>
      </c>
      <c r="FH170" s="73">
        <v>2077</v>
      </c>
      <c r="FI170" s="73">
        <v>4360</v>
      </c>
      <c r="FJ170" s="79">
        <v>9634</v>
      </c>
      <c r="FK170" s="80">
        <v>25588</v>
      </c>
      <c r="FL170" s="80">
        <v>19488</v>
      </c>
      <c r="FM170" s="80">
        <v>11452</v>
      </c>
      <c r="FN170" s="76">
        <v>164</v>
      </c>
      <c r="FO170" s="80">
        <v>22707</v>
      </c>
      <c r="FP170" s="80">
        <v>1213</v>
      </c>
      <c r="FQ170" s="80">
        <v>1668</v>
      </c>
      <c r="FR170" s="80">
        <v>5724</v>
      </c>
      <c r="FS170" s="81">
        <v>-3434</v>
      </c>
      <c r="FT170" s="76">
        <v>2070</v>
      </c>
      <c r="FU170" s="76">
        <v>14099</v>
      </c>
      <c r="FV170" s="76">
        <v>3434</v>
      </c>
      <c r="FW170" s="80">
        <v>50625</v>
      </c>
      <c r="FX170" s="80">
        <v>3654</v>
      </c>
      <c r="FY170" s="73">
        <v>9617</v>
      </c>
      <c r="FZ170" s="73">
        <v>26150</v>
      </c>
      <c r="GA170" s="73">
        <v>20650</v>
      </c>
      <c r="GB170" s="73">
        <v>9264</v>
      </c>
      <c r="GC170" s="73">
        <v>123</v>
      </c>
      <c r="GD170" s="73">
        <v>22959</v>
      </c>
      <c r="GE170" s="73">
        <v>1525</v>
      </c>
      <c r="GF170" s="73">
        <v>1666</v>
      </c>
      <c r="GG170" s="73">
        <v>4631</v>
      </c>
      <c r="GH170" s="73">
        <v>-3658</v>
      </c>
      <c r="GI170" s="73">
        <v>2084</v>
      </c>
      <c r="GJ170" s="73">
        <v>14419</v>
      </c>
      <c r="GK170" s="73">
        <v>3658</v>
      </c>
      <c r="GL170" s="73">
        <v>51310</v>
      </c>
      <c r="GM170" s="73">
        <v>2547</v>
      </c>
      <c r="GN170" s="73">
        <v>10562</v>
      </c>
      <c r="GO170" s="77">
        <v>20</v>
      </c>
      <c r="GP170" s="78">
        <v>9590</v>
      </c>
      <c r="GQ170" s="73">
        <v>27170</v>
      </c>
      <c r="GR170" s="65">
        <v>21569</v>
      </c>
      <c r="GS170" s="65">
        <v>8659</v>
      </c>
      <c r="GT170" s="65">
        <v>216</v>
      </c>
      <c r="GU170" s="65">
        <v>23754</v>
      </c>
      <c r="GV170" s="65">
        <v>1719</v>
      </c>
      <c r="GW170" s="65">
        <v>1697</v>
      </c>
      <c r="GX170" s="65">
        <v>3282</v>
      </c>
      <c r="GY170" s="65">
        <v>-4579</v>
      </c>
      <c r="GZ170" s="65">
        <v>2108</v>
      </c>
      <c r="HA170" s="65">
        <v>12500</v>
      </c>
      <c r="HB170" s="65">
        <v>4579</v>
      </c>
      <c r="HC170" s="65">
        <v>54128</v>
      </c>
      <c r="HD170" s="65">
        <v>1174</v>
      </c>
      <c r="HE170" s="78">
        <v>9571</v>
      </c>
      <c r="HF170" s="73">
        <v>27532</v>
      </c>
      <c r="HG170" s="65">
        <v>22977</v>
      </c>
      <c r="HH170" s="65">
        <v>8888</v>
      </c>
      <c r="HI170" s="65">
        <v>165</v>
      </c>
      <c r="HJ170" s="65">
        <v>24772</v>
      </c>
      <c r="HK170" s="65">
        <v>1160</v>
      </c>
      <c r="HL170" s="65">
        <v>1600</v>
      </c>
      <c r="HM170" s="65">
        <v>-1623</v>
      </c>
      <c r="HN170" s="65">
        <v>-5137</v>
      </c>
      <c r="HO170" s="65">
        <v>2214</v>
      </c>
      <c r="HP170" s="65">
        <v>16520</v>
      </c>
      <c r="HQ170" s="65">
        <v>5137</v>
      </c>
      <c r="HR170" s="65">
        <v>60909</v>
      </c>
      <c r="HS170" s="65">
        <v>-3837</v>
      </c>
      <c r="HT170" s="65">
        <v>7899</v>
      </c>
      <c r="HU170" s="77">
        <v>20</v>
      </c>
      <c r="HV170" s="180">
        <v>230</v>
      </c>
      <c r="HW170" s="30" t="s">
        <v>756</v>
      </c>
    </row>
    <row r="171" spans="1:231" ht="15" x14ac:dyDescent="0.25">
      <c r="A171" s="27">
        <v>563</v>
      </c>
      <c r="B171" s="27" t="s">
        <v>298</v>
      </c>
      <c r="C171" s="27">
        <v>17</v>
      </c>
      <c r="D171" s="27" t="s">
        <v>117</v>
      </c>
      <c r="E171" s="27">
        <v>3</v>
      </c>
      <c r="F171" s="27" t="s">
        <v>743</v>
      </c>
      <c r="G171" s="29" t="s">
        <v>132</v>
      </c>
      <c r="H171" s="27" t="s">
        <v>99</v>
      </c>
      <c r="I171" s="31" t="s">
        <v>117</v>
      </c>
      <c r="J171" s="69">
        <v>8296</v>
      </c>
      <c r="K171" s="36">
        <v>8267</v>
      </c>
      <c r="L171" s="36">
        <v>8203</v>
      </c>
      <c r="M171" s="36">
        <v>8188</v>
      </c>
      <c r="N171" s="36">
        <v>8219</v>
      </c>
      <c r="O171" s="36">
        <v>8198</v>
      </c>
      <c r="P171" s="36">
        <v>8129</v>
      </c>
      <c r="Q171" s="36">
        <v>8101</v>
      </c>
      <c r="R171" s="69">
        <v>8086</v>
      </c>
      <c r="S171" s="69">
        <v>7998</v>
      </c>
      <c r="T171" s="71">
        <v>8047</v>
      </c>
      <c r="U171" s="36">
        <v>14847</v>
      </c>
      <c r="V171" s="36">
        <v>11935</v>
      </c>
      <c r="W171" s="36">
        <v>5493</v>
      </c>
      <c r="X171" s="36">
        <v>304.08377104241197</v>
      </c>
      <c r="Y171" s="36">
        <v>15193</v>
      </c>
      <c r="Z171" s="36">
        <v>11917</v>
      </c>
      <c r="AA171" s="36">
        <v>5139</v>
      </c>
      <c r="AB171" s="36">
        <v>790.31506644264027</v>
      </c>
      <c r="AC171" s="36">
        <v>14866</v>
      </c>
      <c r="AD171" s="36">
        <v>11258</v>
      </c>
      <c r="AE171" s="36">
        <v>5109</v>
      </c>
      <c r="AF171" s="36">
        <v>590.33962187990369</v>
      </c>
      <c r="AG171" s="36">
        <v>16729</v>
      </c>
      <c r="AH171" s="36">
        <v>10981</v>
      </c>
      <c r="AI171" s="36">
        <v>4989</v>
      </c>
      <c r="AJ171" s="36">
        <v>1088.3440721324378</v>
      </c>
      <c r="AK171" s="36">
        <v>17436</v>
      </c>
      <c r="AL171" s="36">
        <v>12058</v>
      </c>
      <c r="AM171" s="36">
        <v>5542</v>
      </c>
      <c r="AN171" s="36">
        <v>696</v>
      </c>
      <c r="AO171" s="36">
        <v>16709</v>
      </c>
      <c r="AP171" s="36">
        <v>13335</v>
      </c>
      <c r="AQ171" s="36">
        <v>5964</v>
      </c>
      <c r="AR171" s="36">
        <v>1020</v>
      </c>
      <c r="AS171" s="36">
        <v>17305</v>
      </c>
      <c r="AT171" s="36">
        <v>13011</v>
      </c>
      <c r="AU171" s="36">
        <v>5306</v>
      </c>
      <c r="AV171" s="36">
        <v>1569</v>
      </c>
      <c r="AW171" s="36">
        <v>17796</v>
      </c>
      <c r="AX171" s="69">
        <v>14877</v>
      </c>
      <c r="AY171" s="36">
        <v>4808</v>
      </c>
      <c r="AZ171" s="36">
        <v>749</v>
      </c>
      <c r="BA171" s="36">
        <v>18872</v>
      </c>
      <c r="BB171" s="36">
        <v>15105</v>
      </c>
      <c r="BC171" s="36">
        <v>5286</v>
      </c>
      <c r="BD171" s="36">
        <v>377</v>
      </c>
      <c r="BE171" s="70">
        <v>20227</v>
      </c>
      <c r="BF171" s="70">
        <v>15355</v>
      </c>
      <c r="BG171" s="70">
        <v>5123</v>
      </c>
      <c r="BH171" s="70">
        <v>497</v>
      </c>
      <c r="BI171" s="36">
        <v>21408</v>
      </c>
      <c r="BJ171" s="36">
        <v>17434</v>
      </c>
      <c r="BK171" s="36">
        <v>5237</v>
      </c>
      <c r="BL171" s="36">
        <v>0</v>
      </c>
      <c r="BM171" s="36">
        <v>12662.700795360704</v>
      </c>
      <c r="BN171" s="36">
        <v>1661.3603375868061</v>
      </c>
      <c r="BO171" s="36">
        <v>522.72807544237628</v>
      </c>
      <c r="BP171" s="36">
        <v>12624.690323980403</v>
      </c>
      <c r="BQ171" s="36">
        <v>1949.2980676889129</v>
      </c>
      <c r="BR171" s="36">
        <v>619.26794523128365</v>
      </c>
      <c r="BS171" s="36">
        <v>12130.722383962944</v>
      </c>
      <c r="BT171" s="36">
        <v>2099.6580739455035</v>
      </c>
      <c r="BU171" s="36">
        <v>636.08673787743476</v>
      </c>
      <c r="BV171" s="36">
        <v>14313</v>
      </c>
      <c r="BW171" s="36">
        <v>1687</v>
      </c>
      <c r="BX171" s="36">
        <v>729</v>
      </c>
      <c r="BY171" s="36">
        <v>15450</v>
      </c>
      <c r="BZ171" s="36">
        <v>1229</v>
      </c>
      <c r="CA171" s="36">
        <v>757</v>
      </c>
      <c r="CB171" s="36">
        <v>15163</v>
      </c>
      <c r="CC171" s="36">
        <v>766</v>
      </c>
      <c r="CD171" s="36">
        <v>780</v>
      </c>
      <c r="CE171" s="36">
        <v>15651</v>
      </c>
      <c r="CF171" s="36">
        <v>911</v>
      </c>
      <c r="CG171" s="36">
        <v>743</v>
      </c>
      <c r="CH171" s="36">
        <v>15903</v>
      </c>
      <c r="CI171" s="36">
        <v>1072</v>
      </c>
      <c r="CJ171" s="70">
        <v>821</v>
      </c>
      <c r="CK171" s="70">
        <v>16825</v>
      </c>
      <c r="CL171" s="70">
        <v>1208</v>
      </c>
      <c r="CM171" s="36">
        <v>839</v>
      </c>
      <c r="CN171" s="36">
        <v>17736</v>
      </c>
      <c r="CO171" s="36">
        <v>1552</v>
      </c>
      <c r="CP171" s="36">
        <v>939</v>
      </c>
      <c r="CQ171" s="36">
        <v>18776</v>
      </c>
      <c r="CR171" s="36">
        <v>1528</v>
      </c>
      <c r="CS171" s="36">
        <v>1104</v>
      </c>
      <c r="CT171" s="36">
        <v>1469.2897255677603</v>
      </c>
      <c r="CU171" s="36">
        <v>-3521.01424</v>
      </c>
      <c r="CV171" s="36">
        <v>1315.7341487084009</v>
      </c>
      <c r="CW171" s="36">
        <v>9749</v>
      </c>
      <c r="CX171" s="36">
        <v>920.82889737677283</v>
      </c>
      <c r="CY171" s="36">
        <v>9418.5238819999995</v>
      </c>
      <c r="CZ171" s="36">
        <v>1319.6024710170154</v>
      </c>
      <c r="DA171" s="36">
        <v>9511</v>
      </c>
      <c r="DB171" s="36">
        <v>-266.57786344149497</v>
      </c>
      <c r="DC171" s="36">
        <v>-5062.7929620000004</v>
      </c>
      <c r="DD171" s="36">
        <v>1435.1475764960735</v>
      </c>
      <c r="DE171" s="36">
        <v>13734</v>
      </c>
      <c r="DF171" s="36">
        <v>1029.4782978709093</v>
      </c>
      <c r="DG171" s="36">
        <v>-1737</v>
      </c>
      <c r="DH171" s="36">
        <v>1571.7161727828206</v>
      </c>
      <c r="DI171" s="36">
        <v>14894</v>
      </c>
      <c r="DJ171" s="36">
        <v>2437</v>
      </c>
      <c r="DK171" s="36">
        <v>-2212</v>
      </c>
      <c r="DL171" s="36">
        <v>1501</v>
      </c>
      <c r="DM171" s="36">
        <v>15347</v>
      </c>
      <c r="DN171" s="36">
        <v>1241</v>
      </c>
      <c r="DO171" s="69">
        <v>-4188</v>
      </c>
      <c r="DP171" s="36">
        <v>1709</v>
      </c>
      <c r="DQ171" s="36">
        <v>18298</v>
      </c>
      <c r="DR171" s="36">
        <v>-616</v>
      </c>
      <c r="DS171" s="36">
        <v>-6245</v>
      </c>
      <c r="DT171" s="36">
        <v>1592</v>
      </c>
      <c r="DU171" s="36">
        <v>22677</v>
      </c>
      <c r="DV171" s="36">
        <v>-119</v>
      </c>
      <c r="DW171" s="71">
        <v>-1545</v>
      </c>
      <c r="DX171" s="39">
        <v>1815</v>
      </c>
      <c r="DY171" s="71">
        <v>26283</v>
      </c>
      <c r="DZ171" s="70">
        <v>-644</v>
      </c>
      <c r="EA171" s="35">
        <v>-1880</v>
      </c>
      <c r="EB171" s="35">
        <v>1727</v>
      </c>
      <c r="EC171" s="38">
        <v>27174</v>
      </c>
      <c r="ED171" s="38">
        <v>876</v>
      </c>
      <c r="EE171" s="38">
        <v>-1433</v>
      </c>
      <c r="EF171" s="38">
        <v>1396</v>
      </c>
      <c r="EG171" s="73">
        <v>26275</v>
      </c>
      <c r="EH171" s="73">
        <v>2791</v>
      </c>
      <c r="EI171" s="73">
        <v>-1951</v>
      </c>
      <c r="EJ171" s="73">
        <v>1433</v>
      </c>
      <c r="EK171" s="73">
        <v>24007</v>
      </c>
      <c r="EL171" s="73">
        <v>29524.885926538878</v>
      </c>
      <c r="EM171" s="73">
        <v>498.5090140319187</v>
      </c>
      <c r="EN171" s="73">
        <v>30534.68623701379</v>
      </c>
      <c r="EO171" s="73">
        <v>1729.3082598772564</v>
      </c>
      <c r="EP171" s="73">
        <v>30316.882872246133</v>
      </c>
      <c r="EQ171" s="73">
        <v>-1698.8662451877228</v>
      </c>
      <c r="ER171" s="73">
        <v>30237.329983029838</v>
      </c>
      <c r="ES171" s="73">
        <v>-667.70606805219882</v>
      </c>
      <c r="ET171" s="73">
        <v>32121</v>
      </c>
      <c r="EU171" s="73">
        <v>786</v>
      </c>
      <c r="EV171" s="73">
        <v>34851</v>
      </c>
      <c r="EW171" s="73">
        <v>-788</v>
      </c>
      <c r="EX171" s="73">
        <v>36892</v>
      </c>
      <c r="EY171" s="73">
        <v>-2239</v>
      </c>
      <c r="EZ171" s="73">
        <v>37727</v>
      </c>
      <c r="FA171" s="73">
        <v>-1889</v>
      </c>
      <c r="FB171" s="73">
        <v>39387</v>
      </c>
      <c r="FC171" s="73">
        <v>-2395</v>
      </c>
      <c r="FD171" s="73">
        <v>39186</v>
      </c>
      <c r="FE171" s="73">
        <v>-395</v>
      </c>
      <c r="FF171" s="73">
        <v>39991</v>
      </c>
      <c r="FG171" s="73">
        <v>1413</v>
      </c>
      <c r="FH171" s="73">
        <v>-2789</v>
      </c>
      <c r="FI171" s="73">
        <v>-1376</v>
      </c>
      <c r="FJ171" s="79">
        <v>7931</v>
      </c>
      <c r="FK171" s="80">
        <v>21593</v>
      </c>
      <c r="FL171" s="80">
        <v>18387</v>
      </c>
      <c r="FM171" s="80">
        <v>12417</v>
      </c>
      <c r="FN171" s="76">
        <v>543</v>
      </c>
      <c r="FO171" s="80">
        <v>19342</v>
      </c>
      <c r="FP171" s="80">
        <v>1077</v>
      </c>
      <c r="FQ171" s="80">
        <v>1174</v>
      </c>
      <c r="FR171" s="80">
        <v>2225</v>
      </c>
      <c r="FS171" s="81">
        <v>-72</v>
      </c>
      <c r="FT171" s="76">
        <v>1490</v>
      </c>
      <c r="FU171" s="76">
        <v>22416</v>
      </c>
      <c r="FV171" s="76">
        <v>72</v>
      </c>
      <c r="FW171" s="80">
        <v>50096</v>
      </c>
      <c r="FX171" s="80">
        <v>811</v>
      </c>
      <c r="FY171" s="73">
        <v>7889</v>
      </c>
      <c r="FZ171" s="73">
        <v>21121</v>
      </c>
      <c r="GA171" s="73">
        <v>19497</v>
      </c>
      <c r="GB171" s="73">
        <v>13841</v>
      </c>
      <c r="GC171" s="73">
        <v>1131</v>
      </c>
      <c r="GD171" s="73">
        <v>18560</v>
      </c>
      <c r="GE171" s="73">
        <v>1363</v>
      </c>
      <c r="GF171" s="73">
        <v>1198</v>
      </c>
      <c r="GG171" s="73">
        <v>2583</v>
      </c>
      <c r="GH171" s="73">
        <v>-415</v>
      </c>
      <c r="GI171" s="73">
        <v>1392</v>
      </c>
      <c r="GJ171" s="73">
        <v>22011</v>
      </c>
      <c r="GK171" s="73">
        <v>415</v>
      </c>
      <c r="GL171" s="73">
        <v>52565</v>
      </c>
      <c r="GM171" s="73">
        <v>1246</v>
      </c>
      <c r="GN171" s="73">
        <v>681</v>
      </c>
      <c r="GO171" s="77">
        <v>21</v>
      </c>
      <c r="GP171" s="78">
        <v>7916</v>
      </c>
      <c r="GQ171" s="73">
        <v>22096</v>
      </c>
      <c r="GR171" s="65">
        <v>20520</v>
      </c>
      <c r="GS171" s="65">
        <v>12101</v>
      </c>
      <c r="GT171" s="65">
        <v>0</v>
      </c>
      <c r="GU171" s="65">
        <v>19391</v>
      </c>
      <c r="GV171" s="65">
        <v>1464</v>
      </c>
      <c r="GW171" s="65">
        <v>1241</v>
      </c>
      <c r="GX171" s="65">
        <v>516</v>
      </c>
      <c r="GY171" s="65">
        <v>-1503</v>
      </c>
      <c r="GZ171" s="65">
        <v>1416</v>
      </c>
      <c r="HA171" s="65">
        <v>22412</v>
      </c>
      <c r="HB171" s="65">
        <v>1503</v>
      </c>
      <c r="HC171" s="65">
        <v>53563</v>
      </c>
      <c r="HD171" s="65">
        <v>-845</v>
      </c>
      <c r="HE171" s="78">
        <v>7847</v>
      </c>
      <c r="HF171" s="73">
        <v>22764</v>
      </c>
      <c r="HG171" s="65">
        <v>20895</v>
      </c>
      <c r="HH171" s="65">
        <v>7165</v>
      </c>
      <c r="HI171" s="65">
        <v>1252</v>
      </c>
      <c r="HJ171" s="65">
        <v>20560</v>
      </c>
      <c r="HK171" s="65">
        <v>838</v>
      </c>
      <c r="HL171" s="65">
        <v>1366</v>
      </c>
      <c r="HM171" s="65">
        <v>2052</v>
      </c>
      <c r="HN171" s="65">
        <v>-1292</v>
      </c>
      <c r="HO171" s="65">
        <v>1618</v>
      </c>
      <c r="HP171" s="65">
        <v>22699</v>
      </c>
      <c r="HQ171" s="65">
        <v>1292</v>
      </c>
      <c r="HR171" s="65">
        <v>49602</v>
      </c>
      <c r="HS171" s="65">
        <v>489</v>
      </c>
      <c r="HT171" s="65">
        <v>325</v>
      </c>
      <c r="HU171" s="77">
        <v>21</v>
      </c>
      <c r="HV171" s="180">
        <v>230</v>
      </c>
      <c r="HW171" s="30" t="s">
        <v>756</v>
      </c>
    </row>
    <row r="172" spans="1:231" ht="15" x14ac:dyDescent="0.25">
      <c r="A172" s="27">
        <v>564</v>
      </c>
      <c r="B172" s="27" t="s">
        <v>299</v>
      </c>
      <c r="C172" s="27">
        <v>17</v>
      </c>
      <c r="D172" s="27" t="s">
        <v>117</v>
      </c>
      <c r="E172" s="27">
        <v>7</v>
      </c>
      <c r="F172" s="27" t="s">
        <v>104</v>
      </c>
      <c r="G172" s="29" t="s">
        <v>141</v>
      </c>
      <c r="H172" s="27" t="s">
        <v>97</v>
      </c>
      <c r="I172" s="31" t="s">
        <v>117</v>
      </c>
      <c r="J172" s="85">
        <v>153883</v>
      </c>
      <c r="K172" s="85">
        <v>156917</v>
      </c>
      <c r="L172" s="85">
        <v>160851</v>
      </c>
      <c r="M172" s="85">
        <v>164224</v>
      </c>
      <c r="N172" s="85">
        <v>166415</v>
      </c>
      <c r="O172" s="85">
        <v>168540</v>
      </c>
      <c r="P172" s="85">
        <v>170912</v>
      </c>
      <c r="Q172" s="85">
        <v>173436</v>
      </c>
      <c r="R172" s="85">
        <v>175286</v>
      </c>
      <c r="S172" s="85">
        <v>177276</v>
      </c>
      <c r="T172" s="85">
        <v>179901</v>
      </c>
      <c r="U172" s="85">
        <v>332975</v>
      </c>
      <c r="V172" s="85">
        <v>83288</v>
      </c>
      <c r="W172" s="85">
        <v>176945</v>
      </c>
      <c r="X172" s="85">
        <v>7851.3487830762579</v>
      </c>
      <c r="Y172" s="85">
        <v>361764</v>
      </c>
      <c r="Z172" s="85">
        <v>86226</v>
      </c>
      <c r="AA172" s="85">
        <v>182895</v>
      </c>
      <c r="AB172" s="85">
        <v>7412.8828587910994</v>
      </c>
      <c r="AC172" s="85">
        <v>421894</v>
      </c>
      <c r="AD172" s="85">
        <v>89322</v>
      </c>
      <c r="AE172" s="85">
        <v>194897</v>
      </c>
      <c r="AF172" s="85">
        <v>6557.9836285872379</v>
      </c>
      <c r="AG172" s="85">
        <v>474268</v>
      </c>
      <c r="AH172" s="85">
        <v>81053</v>
      </c>
      <c r="AI172" s="85">
        <v>211187</v>
      </c>
      <c r="AJ172" s="85">
        <v>7825.447842401185</v>
      </c>
      <c r="AK172" s="85">
        <v>470415</v>
      </c>
      <c r="AL172" s="85">
        <v>89203</v>
      </c>
      <c r="AM172" s="85">
        <v>239924</v>
      </c>
      <c r="AN172" s="85">
        <v>7128</v>
      </c>
      <c r="AO172" s="85">
        <v>455105</v>
      </c>
      <c r="AP172" s="85">
        <v>91784</v>
      </c>
      <c r="AQ172" s="85">
        <v>272554</v>
      </c>
      <c r="AR172" s="85">
        <v>8843</v>
      </c>
      <c r="AS172" s="85">
        <v>460949</v>
      </c>
      <c r="AT172" s="85">
        <v>101749</v>
      </c>
      <c r="AU172" s="85">
        <v>289525</v>
      </c>
      <c r="AV172" s="85">
        <v>8984</v>
      </c>
      <c r="AW172" s="85">
        <v>488788</v>
      </c>
      <c r="AX172" s="85">
        <v>118339</v>
      </c>
      <c r="AY172" s="85">
        <v>291389</v>
      </c>
      <c r="AZ172" s="85">
        <v>8010</v>
      </c>
      <c r="BA172" s="85">
        <v>515091</v>
      </c>
      <c r="BB172" s="85">
        <v>132722</v>
      </c>
      <c r="BC172" s="85">
        <v>344724</v>
      </c>
      <c r="BD172" s="85">
        <v>9257</v>
      </c>
      <c r="BE172" s="85">
        <v>542107</v>
      </c>
      <c r="BF172" s="85">
        <v>142020</v>
      </c>
      <c r="BG172" s="85">
        <v>335009</v>
      </c>
      <c r="BH172" s="85">
        <v>71383</v>
      </c>
      <c r="BI172" s="85">
        <v>576015</v>
      </c>
      <c r="BJ172" s="85">
        <v>162286</v>
      </c>
      <c r="BK172" s="85">
        <v>383570</v>
      </c>
      <c r="BL172" s="85">
        <v>5634</v>
      </c>
      <c r="BM172" s="85">
        <v>290212.80818335171</v>
      </c>
      <c r="BN172" s="85">
        <v>31832.424277590806</v>
      </c>
      <c r="BO172" s="85">
        <v>10907.491594808374</v>
      </c>
      <c r="BP172" s="85">
        <v>301786.4921548742</v>
      </c>
      <c r="BQ172" s="85">
        <v>47090.264778252626</v>
      </c>
      <c r="BR172" s="85">
        <v>12865.367246746826</v>
      </c>
      <c r="BS172" s="85">
        <v>319541.75517556292</v>
      </c>
      <c r="BT172" s="85">
        <v>87924.275067989962</v>
      </c>
      <c r="BU172" s="85">
        <v>14406.305028987188</v>
      </c>
      <c r="BV172" s="85">
        <v>362824</v>
      </c>
      <c r="BW172" s="85">
        <v>96059</v>
      </c>
      <c r="BX172" s="85">
        <v>15363</v>
      </c>
      <c r="BY172" s="85">
        <v>394846</v>
      </c>
      <c r="BZ172" s="85">
        <v>59477</v>
      </c>
      <c r="CA172" s="85">
        <v>16089</v>
      </c>
      <c r="CB172" s="85">
        <v>391908</v>
      </c>
      <c r="CC172" s="85">
        <v>46670</v>
      </c>
      <c r="CD172" s="85">
        <v>16527</v>
      </c>
      <c r="CE172" s="85">
        <v>394515</v>
      </c>
      <c r="CF172" s="85">
        <v>49666</v>
      </c>
      <c r="CG172" s="85">
        <v>16768</v>
      </c>
      <c r="CH172" s="85">
        <v>412221</v>
      </c>
      <c r="CI172" s="85">
        <v>58510</v>
      </c>
      <c r="CJ172" s="85">
        <v>18057</v>
      </c>
      <c r="CK172" s="85">
        <v>436353</v>
      </c>
      <c r="CL172" s="85">
        <v>58875</v>
      </c>
      <c r="CM172" s="85">
        <v>19863</v>
      </c>
      <c r="CN172" s="85">
        <v>460691</v>
      </c>
      <c r="CO172" s="85">
        <v>60014</v>
      </c>
      <c r="CP172" s="85">
        <v>21402</v>
      </c>
      <c r="CQ172" s="85">
        <v>495507</v>
      </c>
      <c r="CR172" s="85">
        <v>57572</v>
      </c>
      <c r="CS172" s="85">
        <v>22936</v>
      </c>
      <c r="CT172" s="85">
        <v>57183.222245207908</v>
      </c>
      <c r="CU172" s="85">
        <v>-51213.391790599999</v>
      </c>
      <c r="CV172" s="85">
        <v>41002.702779978237</v>
      </c>
      <c r="CW172" s="85">
        <v>151415</v>
      </c>
      <c r="CX172" s="85">
        <v>80664.779598131761</v>
      </c>
      <c r="CY172" s="85">
        <v>-55057.326857200002</v>
      </c>
      <c r="CZ172" s="85">
        <v>43710.3602080821</v>
      </c>
      <c r="DA172" s="85">
        <v>132828</v>
      </c>
      <c r="DB172" s="85">
        <v>114693.90638323638</v>
      </c>
      <c r="DC172" s="85">
        <v>-88386.287298700001</v>
      </c>
      <c r="DD172" s="85">
        <v>45309.659200804606</v>
      </c>
      <c r="DE172" s="85">
        <v>104423</v>
      </c>
      <c r="DF172" s="85">
        <v>115433.93325966703</v>
      </c>
      <c r="DG172" s="85">
        <v>-99906</v>
      </c>
      <c r="DH172" s="85">
        <v>40927.018213070551</v>
      </c>
      <c r="DI172" s="85">
        <v>94800</v>
      </c>
      <c r="DJ172" s="85">
        <v>111788</v>
      </c>
      <c r="DK172" s="85">
        <v>-125509</v>
      </c>
      <c r="DL172" s="85">
        <v>45639</v>
      </c>
      <c r="DM172" s="85">
        <v>89698</v>
      </c>
      <c r="DN172" s="85">
        <v>87911</v>
      </c>
      <c r="DO172" s="85">
        <v>-109750</v>
      </c>
      <c r="DP172" s="85">
        <v>51369</v>
      </c>
      <c r="DQ172" s="85">
        <v>119411</v>
      </c>
      <c r="DR172" s="85">
        <v>66979</v>
      </c>
      <c r="DS172" s="85">
        <v>-106538</v>
      </c>
      <c r="DT172" s="85">
        <v>55246</v>
      </c>
      <c r="DU172" s="85">
        <v>161491</v>
      </c>
      <c r="DV172" s="85">
        <v>91641</v>
      </c>
      <c r="DW172" s="85">
        <v>-74304</v>
      </c>
      <c r="DX172" s="85">
        <v>60944</v>
      </c>
      <c r="DY172" s="85">
        <v>183237</v>
      </c>
      <c r="DZ172" s="85">
        <v>109758</v>
      </c>
      <c r="EA172" s="85">
        <v>-122598</v>
      </c>
      <c r="EB172" s="85">
        <v>63100</v>
      </c>
      <c r="EC172" s="85">
        <v>180940</v>
      </c>
      <c r="ED172" s="85">
        <v>103038</v>
      </c>
      <c r="EE172" s="85">
        <v>-97752</v>
      </c>
      <c r="EF172" s="85">
        <v>63955</v>
      </c>
      <c r="EG172" s="85">
        <v>194158</v>
      </c>
      <c r="EH172" s="85">
        <v>88515</v>
      </c>
      <c r="EI172" s="85">
        <v>-150758</v>
      </c>
      <c r="EJ172" s="85">
        <v>65493</v>
      </c>
      <c r="EK172" s="85">
        <v>230273</v>
      </c>
      <c r="EL172" s="85">
        <v>511030.77334490465</v>
      </c>
      <c r="EM172" s="85">
        <v>17776.286511496488</v>
      </c>
      <c r="EN172" s="85">
        <v>527009.9718621599</v>
      </c>
      <c r="EO172" s="85">
        <v>36303.195738790688</v>
      </c>
      <c r="EP172" s="85">
        <v>565597.49601815094</v>
      </c>
      <c r="EQ172" s="85">
        <v>24618.003172024291</v>
      </c>
      <c r="ER172" s="85">
        <v>625157.55004011281</v>
      </c>
      <c r="ES172" s="85">
        <v>62999.328930173418</v>
      </c>
      <c r="ET172" s="85">
        <v>690177</v>
      </c>
      <c r="EU172" s="85">
        <v>64378</v>
      </c>
      <c r="EV172" s="85">
        <v>736449</v>
      </c>
      <c r="EW172" s="85">
        <v>33520</v>
      </c>
      <c r="EX172" s="85">
        <v>789929</v>
      </c>
      <c r="EY172" s="85">
        <v>11208</v>
      </c>
      <c r="EZ172" s="85">
        <v>829094</v>
      </c>
      <c r="FA172" s="85">
        <v>37483</v>
      </c>
      <c r="FB172" s="85">
        <v>884873</v>
      </c>
      <c r="FC172" s="85">
        <v>49067</v>
      </c>
      <c r="FD172" s="85">
        <v>922543</v>
      </c>
      <c r="FE172" s="85">
        <v>94267</v>
      </c>
      <c r="FF172" s="85">
        <v>1031930</v>
      </c>
      <c r="FG172" s="85">
        <v>26828</v>
      </c>
      <c r="FH172" s="85">
        <v>473579</v>
      </c>
      <c r="FI172" s="85">
        <v>500407</v>
      </c>
      <c r="FJ172" s="85">
        <v>182528</v>
      </c>
      <c r="FK172" s="85">
        <v>582202</v>
      </c>
      <c r="FL172" s="85">
        <v>177964</v>
      </c>
      <c r="FM172" s="85">
        <v>369534</v>
      </c>
      <c r="FN172" s="85">
        <v>19746</v>
      </c>
      <c r="FO172" s="85">
        <v>509903</v>
      </c>
      <c r="FP172" s="85">
        <v>48364</v>
      </c>
      <c r="FQ172" s="85">
        <v>23935</v>
      </c>
      <c r="FR172" s="85">
        <v>76870</v>
      </c>
      <c r="FS172" s="85">
        <v>-112066</v>
      </c>
      <c r="FT172" s="85">
        <v>69407</v>
      </c>
      <c r="FU172" s="85">
        <v>285683</v>
      </c>
      <c r="FV172" s="85">
        <v>112066</v>
      </c>
      <c r="FW172" s="85">
        <v>1056625</v>
      </c>
      <c r="FX172" s="85">
        <v>21887</v>
      </c>
      <c r="FY172" s="85">
        <v>185419</v>
      </c>
      <c r="FZ172" s="85">
        <v>634588</v>
      </c>
      <c r="GA172" s="85">
        <v>202874</v>
      </c>
      <c r="GB172" s="85">
        <v>414401</v>
      </c>
      <c r="GC172" s="85">
        <v>6867</v>
      </c>
      <c r="GD172" s="85">
        <v>550333</v>
      </c>
      <c r="GE172" s="85">
        <v>52762</v>
      </c>
      <c r="GF172" s="85">
        <v>31493</v>
      </c>
      <c r="GG172" s="85">
        <v>136205</v>
      </c>
      <c r="GH172" s="85">
        <v>-115080</v>
      </c>
      <c r="GI172" s="85">
        <v>72623</v>
      </c>
      <c r="GJ172" s="85">
        <v>323125</v>
      </c>
      <c r="GK172" s="85">
        <v>115080</v>
      </c>
      <c r="GL172" s="85">
        <v>1120306</v>
      </c>
      <c r="GM172" s="85">
        <v>45553</v>
      </c>
      <c r="GN172" s="85">
        <v>565709</v>
      </c>
      <c r="GO172" s="77">
        <v>19</v>
      </c>
      <c r="GP172" s="85">
        <v>188114</v>
      </c>
      <c r="GQ172" s="85">
        <v>639784</v>
      </c>
      <c r="GR172" s="85">
        <v>207214</v>
      </c>
      <c r="GS172" s="85">
        <v>411752</v>
      </c>
      <c r="GT172" s="85">
        <v>7709</v>
      </c>
      <c r="GU172" s="85">
        <v>559754</v>
      </c>
      <c r="GV172" s="85">
        <v>48284</v>
      </c>
      <c r="GW172" s="85">
        <v>31746</v>
      </c>
      <c r="GX172" s="85">
        <v>93499</v>
      </c>
      <c r="GY172" s="85">
        <v>-133312</v>
      </c>
      <c r="GZ172" s="85">
        <v>75161</v>
      </c>
      <c r="HA172" s="85">
        <v>345914</v>
      </c>
      <c r="HB172" s="85">
        <v>133312</v>
      </c>
      <c r="HC172" s="85">
        <v>1170539</v>
      </c>
      <c r="HD172" s="85">
        <v>18196</v>
      </c>
      <c r="HE172" s="85">
        <v>190847</v>
      </c>
      <c r="HF172" s="85">
        <v>639557</v>
      </c>
      <c r="HG172" s="85">
        <v>217555</v>
      </c>
      <c r="HH172" s="85">
        <v>576223</v>
      </c>
      <c r="HI172" s="85">
        <v>11907</v>
      </c>
      <c r="HJ172" s="85">
        <v>579548</v>
      </c>
      <c r="HK172" s="85">
        <v>27015</v>
      </c>
      <c r="HL172" s="85">
        <v>32994</v>
      </c>
      <c r="HM172" s="85">
        <v>49440</v>
      </c>
      <c r="HN172" s="85">
        <v>-158881</v>
      </c>
      <c r="HO172" s="85">
        <v>81866</v>
      </c>
      <c r="HP172" s="85">
        <v>440370</v>
      </c>
      <c r="HQ172" s="85">
        <v>158881</v>
      </c>
      <c r="HR172" s="85">
        <v>1393224</v>
      </c>
      <c r="HS172" s="85">
        <v>-25300</v>
      </c>
      <c r="HT172" s="85">
        <v>562873</v>
      </c>
      <c r="HU172" s="77">
        <v>19</v>
      </c>
      <c r="HV172" s="180">
        <v>120</v>
      </c>
      <c r="HW172" s="30" t="s">
        <v>751</v>
      </c>
    </row>
    <row r="173" spans="1:231" ht="15" x14ac:dyDescent="0.25">
      <c r="A173" s="27">
        <v>309</v>
      </c>
      <c r="B173" s="27" t="s">
        <v>300</v>
      </c>
      <c r="C173" s="27">
        <v>12</v>
      </c>
      <c r="D173" s="27" t="s">
        <v>116</v>
      </c>
      <c r="E173" s="27">
        <v>3</v>
      </c>
      <c r="F173" s="27" t="s">
        <v>743</v>
      </c>
      <c r="G173" s="29" t="s">
        <v>132</v>
      </c>
      <c r="H173" s="27" t="s">
        <v>99</v>
      </c>
      <c r="I173" s="31" t="s">
        <v>116</v>
      </c>
      <c r="J173" s="69">
        <v>8557</v>
      </c>
      <c r="K173" s="69">
        <v>8343</v>
      </c>
      <c r="L173" s="36">
        <v>8155</v>
      </c>
      <c r="M173" s="36">
        <v>8024</v>
      </c>
      <c r="N173" s="36">
        <v>7955</v>
      </c>
      <c r="O173" s="36">
        <v>7840</v>
      </c>
      <c r="P173" s="36">
        <v>7803</v>
      </c>
      <c r="Q173" s="36">
        <v>7758</v>
      </c>
      <c r="R173" s="69">
        <v>7743</v>
      </c>
      <c r="S173" s="69">
        <v>7688</v>
      </c>
      <c r="T173" s="71">
        <v>7551</v>
      </c>
      <c r="U173" s="36">
        <v>15036</v>
      </c>
      <c r="V173" s="36">
        <v>8558</v>
      </c>
      <c r="W173" s="36">
        <v>7834</v>
      </c>
      <c r="X173" s="36">
        <v>290.29236107256804</v>
      </c>
      <c r="Y173" s="36">
        <v>14514</v>
      </c>
      <c r="Z173" s="36">
        <v>9134</v>
      </c>
      <c r="AA173" s="36">
        <v>6777</v>
      </c>
      <c r="AB173" s="36">
        <v>406.17384240454913</v>
      </c>
      <c r="AC173" s="36">
        <v>14180</v>
      </c>
      <c r="AD173" s="36">
        <v>10446</v>
      </c>
      <c r="AE173" s="36">
        <v>5888</v>
      </c>
      <c r="AF173" s="36">
        <v>336.03947707009905</v>
      </c>
      <c r="AG173" s="36">
        <v>16686</v>
      </c>
      <c r="AH173" s="36">
        <v>11247</v>
      </c>
      <c r="AI173" s="36">
        <v>7303</v>
      </c>
      <c r="AJ173" s="36">
        <v>344.11249754025158</v>
      </c>
      <c r="AK173" s="36">
        <v>16252</v>
      </c>
      <c r="AL173" s="36">
        <v>11500</v>
      </c>
      <c r="AM173" s="36">
        <v>8453</v>
      </c>
      <c r="AN173" s="36">
        <v>269</v>
      </c>
      <c r="AO173" s="36">
        <v>15667</v>
      </c>
      <c r="AP173" s="36">
        <v>11573</v>
      </c>
      <c r="AQ173" s="36">
        <v>6622</v>
      </c>
      <c r="AR173" s="36">
        <v>247</v>
      </c>
      <c r="AS173" s="36">
        <v>15584</v>
      </c>
      <c r="AT173" s="36">
        <v>12491</v>
      </c>
      <c r="AU173" s="36">
        <v>6578</v>
      </c>
      <c r="AV173" s="36">
        <v>247</v>
      </c>
      <c r="AW173" s="36">
        <v>17005</v>
      </c>
      <c r="AX173" s="69">
        <v>12264</v>
      </c>
      <c r="AY173" s="36">
        <v>6298</v>
      </c>
      <c r="AZ173" s="36">
        <v>245</v>
      </c>
      <c r="BA173" s="36">
        <v>17703</v>
      </c>
      <c r="BB173" s="36">
        <v>13458</v>
      </c>
      <c r="BC173" s="36">
        <v>8218</v>
      </c>
      <c r="BD173" s="36">
        <v>132</v>
      </c>
      <c r="BE173" s="70">
        <v>18631</v>
      </c>
      <c r="BF173" s="70">
        <v>13105</v>
      </c>
      <c r="BG173" s="70">
        <v>10174</v>
      </c>
      <c r="BH173" s="70">
        <v>242</v>
      </c>
      <c r="BI173" s="36">
        <v>19757</v>
      </c>
      <c r="BJ173" s="36">
        <v>14407</v>
      </c>
      <c r="BK173" s="36">
        <v>11240</v>
      </c>
      <c r="BL173" s="36">
        <v>153</v>
      </c>
      <c r="BM173" s="36">
        <v>12408.56883847736</v>
      </c>
      <c r="BN173" s="36">
        <v>2133.632035090729</v>
      </c>
      <c r="BO173" s="36">
        <v>483.20391272392118</v>
      </c>
      <c r="BP173" s="36">
        <v>11879.954185608831</v>
      </c>
      <c r="BQ173" s="36">
        <v>1932.9838388221463</v>
      </c>
      <c r="BR173" s="36">
        <v>691.08418983034881</v>
      </c>
      <c r="BS173" s="36">
        <v>11410.541682854755</v>
      </c>
      <c r="BT173" s="36">
        <v>2033.5602188461298</v>
      </c>
      <c r="BU173" s="36">
        <v>726.06727853434313</v>
      </c>
      <c r="BV173" s="36">
        <v>13483</v>
      </c>
      <c r="BW173" s="36">
        <v>2473</v>
      </c>
      <c r="BX173" s="36">
        <v>730</v>
      </c>
      <c r="BY173" s="36">
        <v>14595</v>
      </c>
      <c r="BZ173" s="36">
        <v>916</v>
      </c>
      <c r="CA173" s="36">
        <v>741</v>
      </c>
      <c r="CB173" s="36">
        <v>14139</v>
      </c>
      <c r="CC173" s="36">
        <v>804</v>
      </c>
      <c r="CD173" s="36">
        <v>724</v>
      </c>
      <c r="CE173" s="36">
        <v>13887</v>
      </c>
      <c r="CF173" s="36">
        <v>945</v>
      </c>
      <c r="CG173" s="36">
        <v>752</v>
      </c>
      <c r="CH173" s="36">
        <v>15056</v>
      </c>
      <c r="CI173" s="36">
        <v>1158</v>
      </c>
      <c r="CJ173" s="70">
        <v>791</v>
      </c>
      <c r="CK173" s="70">
        <v>15558</v>
      </c>
      <c r="CL173" s="70">
        <v>1350</v>
      </c>
      <c r="CM173" s="36">
        <v>795</v>
      </c>
      <c r="CN173" s="36">
        <v>16180</v>
      </c>
      <c r="CO173" s="36">
        <v>1638</v>
      </c>
      <c r="CP173" s="36">
        <v>813</v>
      </c>
      <c r="CQ173" s="36">
        <v>17337</v>
      </c>
      <c r="CR173" s="36">
        <v>1568</v>
      </c>
      <c r="CS173" s="36">
        <v>852</v>
      </c>
      <c r="CT173" s="36">
        <v>426.35639357993045</v>
      </c>
      <c r="CU173" s="36">
        <v>-2071.7388780000001</v>
      </c>
      <c r="CV173" s="36">
        <v>1264.9413949170244</v>
      </c>
      <c r="CW173" s="36">
        <v>6709</v>
      </c>
      <c r="CX173" s="36">
        <v>395.07343925808942</v>
      </c>
      <c r="CY173" s="36">
        <v>-1107.18112</v>
      </c>
      <c r="CZ173" s="36">
        <v>1336.9258274425513</v>
      </c>
      <c r="DA173" s="36">
        <v>6882</v>
      </c>
      <c r="DB173" s="36">
        <v>451.7527704756186</v>
      </c>
      <c r="DC173" s="36">
        <v>8471.4576679999991</v>
      </c>
      <c r="DD173" s="36">
        <v>885.50943281985553</v>
      </c>
      <c r="DE173" s="36">
        <v>1487</v>
      </c>
      <c r="DF173" s="36">
        <v>1459.8712016859158</v>
      </c>
      <c r="DG173" s="36">
        <v>-1833</v>
      </c>
      <c r="DH173" s="36">
        <v>989.44957137306938</v>
      </c>
      <c r="DI173" s="36">
        <v>1212</v>
      </c>
      <c r="DJ173" s="36">
        <v>2205</v>
      </c>
      <c r="DK173" s="36">
        <v>-1786</v>
      </c>
      <c r="DL173" s="36">
        <v>1023</v>
      </c>
      <c r="DM173" s="36">
        <v>1015</v>
      </c>
      <c r="DN173" s="36">
        <v>-874</v>
      </c>
      <c r="DO173" s="69">
        <v>-2154</v>
      </c>
      <c r="DP173" s="36">
        <v>1066</v>
      </c>
      <c r="DQ173" s="36">
        <v>3382</v>
      </c>
      <c r="DR173" s="36">
        <v>-87</v>
      </c>
      <c r="DS173" s="36">
        <v>-1552</v>
      </c>
      <c r="DT173" s="36">
        <v>1213</v>
      </c>
      <c r="DU173" s="36">
        <v>5085</v>
      </c>
      <c r="DV173" s="36">
        <v>-255</v>
      </c>
      <c r="DW173" s="71">
        <v>-1621</v>
      </c>
      <c r="DX173" s="39">
        <v>1710</v>
      </c>
      <c r="DY173" s="71">
        <v>6557</v>
      </c>
      <c r="DZ173" s="70">
        <v>1931</v>
      </c>
      <c r="EA173" s="35">
        <v>-2475</v>
      </c>
      <c r="EB173" s="35">
        <v>1201</v>
      </c>
      <c r="EC173" s="38">
        <v>7036</v>
      </c>
      <c r="ED173" s="38">
        <v>645</v>
      </c>
      <c r="EE173" s="38">
        <v>-3502</v>
      </c>
      <c r="EF173" s="38">
        <v>1243</v>
      </c>
      <c r="EG173" s="73">
        <v>9032</v>
      </c>
      <c r="EH173" s="73">
        <v>133</v>
      </c>
      <c r="EI173" s="73">
        <v>-2724</v>
      </c>
      <c r="EJ173" s="73">
        <v>1399</v>
      </c>
      <c r="EK173" s="73">
        <v>11001</v>
      </c>
      <c r="EL173" s="73">
        <v>29548.432236243487</v>
      </c>
      <c r="EM173" s="73">
        <v>756.8456690767996</v>
      </c>
      <c r="EN173" s="73">
        <v>28809.41448737161</v>
      </c>
      <c r="EO173" s="73">
        <v>-766.60056881156731</v>
      </c>
      <c r="EP173" s="73">
        <v>28897.881336690363</v>
      </c>
      <c r="EQ173" s="73">
        <v>3969.2350644916601</v>
      </c>
      <c r="ER173" s="73">
        <v>32607.770618578375</v>
      </c>
      <c r="ES173" s="73">
        <v>34.310336998148252</v>
      </c>
      <c r="ET173" s="73">
        <v>34196</v>
      </c>
      <c r="EU173" s="73">
        <v>991</v>
      </c>
      <c r="EV173" s="73">
        <v>34918</v>
      </c>
      <c r="EW173" s="73">
        <v>-1898</v>
      </c>
      <c r="EX173" s="73">
        <v>34855</v>
      </c>
      <c r="EY173" s="73">
        <v>-1288</v>
      </c>
      <c r="EZ173" s="73">
        <v>36646</v>
      </c>
      <c r="FA173" s="73">
        <v>-1965</v>
      </c>
      <c r="FB173" s="73">
        <v>37482</v>
      </c>
      <c r="FC173" s="73">
        <v>623</v>
      </c>
      <c r="FD173" s="73">
        <v>41197</v>
      </c>
      <c r="FE173" s="73">
        <v>-184</v>
      </c>
      <c r="FF173" s="73">
        <v>45057</v>
      </c>
      <c r="FG173" s="73">
        <v>-1266</v>
      </c>
      <c r="FH173" s="73">
        <v>-603</v>
      </c>
      <c r="FI173" s="73">
        <v>-1869</v>
      </c>
      <c r="FJ173" s="79">
        <v>7492</v>
      </c>
      <c r="FK173" s="80">
        <v>19624</v>
      </c>
      <c r="FL173" s="80">
        <v>15612</v>
      </c>
      <c r="FM173" s="80">
        <v>5899</v>
      </c>
      <c r="FN173" s="76">
        <v>159</v>
      </c>
      <c r="FO173" s="80">
        <v>17501</v>
      </c>
      <c r="FP173" s="80">
        <v>1209</v>
      </c>
      <c r="FQ173" s="80">
        <v>914</v>
      </c>
      <c r="FR173" s="80">
        <v>-208</v>
      </c>
      <c r="FS173" s="81">
        <v>-2969</v>
      </c>
      <c r="FT173" s="76">
        <v>1490</v>
      </c>
      <c r="FU173" s="76">
        <v>14271</v>
      </c>
      <c r="FV173" s="76">
        <v>2969</v>
      </c>
      <c r="FW173" s="80">
        <v>41188</v>
      </c>
      <c r="FX173" s="80">
        <v>-1698</v>
      </c>
      <c r="FY173" s="73">
        <v>7411</v>
      </c>
      <c r="FZ173" s="73">
        <v>20767</v>
      </c>
      <c r="GA173" s="73">
        <v>17528</v>
      </c>
      <c r="GB173" s="73">
        <v>6463</v>
      </c>
      <c r="GC173" s="73">
        <v>205</v>
      </c>
      <c r="GD173" s="73">
        <v>17951</v>
      </c>
      <c r="GE173" s="73">
        <v>1626</v>
      </c>
      <c r="GF173" s="73">
        <v>1190</v>
      </c>
      <c r="GG173" s="73">
        <v>3355</v>
      </c>
      <c r="GH173" s="73">
        <v>-934</v>
      </c>
      <c r="GI173" s="73">
        <v>1613</v>
      </c>
      <c r="GJ173" s="73">
        <v>14463</v>
      </c>
      <c r="GK173" s="73">
        <v>934</v>
      </c>
      <c r="GL173" s="73">
        <v>41313</v>
      </c>
      <c r="GM173" s="73">
        <v>1630</v>
      </c>
      <c r="GN173" s="73">
        <v>-1646</v>
      </c>
      <c r="GO173" s="77">
        <v>20.5</v>
      </c>
      <c r="GP173" s="78">
        <v>7377</v>
      </c>
      <c r="GQ173" s="73">
        <v>20468</v>
      </c>
      <c r="GR173" s="65">
        <v>17211</v>
      </c>
      <c r="GS173" s="65">
        <v>6445</v>
      </c>
      <c r="GT173" s="65">
        <v>379</v>
      </c>
      <c r="GU173" s="65">
        <v>17547</v>
      </c>
      <c r="GV173" s="65">
        <v>1736</v>
      </c>
      <c r="GW173" s="65">
        <v>1185</v>
      </c>
      <c r="GX173" s="65">
        <v>976</v>
      </c>
      <c r="GY173" s="65">
        <v>-1012</v>
      </c>
      <c r="GZ173" s="65">
        <v>1457</v>
      </c>
      <c r="HA173" s="65">
        <v>15099</v>
      </c>
      <c r="HB173" s="65">
        <v>1012</v>
      </c>
      <c r="HC173" s="65">
        <v>43201</v>
      </c>
      <c r="HD173" s="65">
        <v>-481</v>
      </c>
      <c r="HE173" s="78">
        <v>7343</v>
      </c>
      <c r="HF173" s="73">
        <v>20990</v>
      </c>
      <c r="HG173" s="65">
        <v>17840</v>
      </c>
      <c r="HH173" s="65">
        <v>6526</v>
      </c>
      <c r="HI173" s="65">
        <v>437</v>
      </c>
      <c r="HJ173" s="65">
        <v>18659</v>
      </c>
      <c r="HK173" s="65">
        <v>931</v>
      </c>
      <c r="HL173" s="65">
        <v>1400</v>
      </c>
      <c r="HM173" s="65">
        <v>-889</v>
      </c>
      <c r="HN173" s="65">
        <v>-1192</v>
      </c>
      <c r="HO173" s="65">
        <v>1476</v>
      </c>
      <c r="HP173" s="65">
        <v>15957</v>
      </c>
      <c r="HQ173" s="65">
        <v>1192</v>
      </c>
      <c r="HR173" s="65">
        <v>46352</v>
      </c>
      <c r="HS173" s="65">
        <v>-2365</v>
      </c>
      <c r="HT173" s="65">
        <v>-4672</v>
      </c>
      <c r="HU173" s="77">
        <v>21.25</v>
      </c>
      <c r="HV173" s="180">
        <v>240</v>
      </c>
      <c r="HW173" s="30" t="s">
        <v>757</v>
      </c>
    </row>
    <row r="174" spans="1:231" ht="15" x14ac:dyDescent="0.25">
      <c r="A174" s="27">
        <v>576</v>
      </c>
      <c r="B174" s="27" t="s">
        <v>301</v>
      </c>
      <c r="C174" s="27">
        <v>7</v>
      </c>
      <c r="D174" s="27" t="s">
        <v>119</v>
      </c>
      <c r="E174" s="27">
        <v>2</v>
      </c>
      <c r="F174" s="27" t="s">
        <v>744</v>
      </c>
      <c r="G174" s="29" t="s">
        <v>130</v>
      </c>
      <c r="H174" s="27" t="s">
        <v>98</v>
      </c>
      <c r="I174" s="31" t="s">
        <v>119</v>
      </c>
      <c r="J174" s="69">
        <v>4028</v>
      </c>
      <c r="K174" s="69">
        <v>3988</v>
      </c>
      <c r="L174" s="36">
        <v>3879</v>
      </c>
      <c r="M174" s="36">
        <v>3842</v>
      </c>
      <c r="N174" s="36">
        <v>3746</v>
      </c>
      <c r="O174" s="36">
        <v>3721</v>
      </c>
      <c r="P174" s="36">
        <v>3637</v>
      </c>
      <c r="Q174" s="36">
        <v>3639</v>
      </c>
      <c r="R174" s="69">
        <v>3597</v>
      </c>
      <c r="S174" s="69">
        <v>3531</v>
      </c>
      <c r="T174" s="71">
        <v>3513</v>
      </c>
      <c r="U174" s="36">
        <v>8629</v>
      </c>
      <c r="V174" s="36">
        <v>3786</v>
      </c>
      <c r="W174" s="36">
        <v>2131</v>
      </c>
      <c r="X174" s="36">
        <v>591.18056151221128</v>
      </c>
      <c r="Y174" s="36">
        <v>8242</v>
      </c>
      <c r="Z174" s="36">
        <v>3670</v>
      </c>
      <c r="AA174" s="36">
        <v>1946</v>
      </c>
      <c r="AB174" s="36">
        <v>416.93786969808582</v>
      </c>
      <c r="AC174" s="36">
        <v>7935</v>
      </c>
      <c r="AD174" s="36">
        <v>3605</v>
      </c>
      <c r="AE174" s="36">
        <v>2185</v>
      </c>
      <c r="AF174" s="36">
        <v>524.74633055991444</v>
      </c>
      <c r="AG174" s="36">
        <v>8022</v>
      </c>
      <c r="AH174" s="36">
        <v>4279</v>
      </c>
      <c r="AI174" s="36">
        <v>2403</v>
      </c>
      <c r="AJ174" s="36">
        <v>455.28471693131036</v>
      </c>
      <c r="AK174" s="36">
        <v>7361</v>
      </c>
      <c r="AL174" s="36">
        <v>4477</v>
      </c>
      <c r="AM174" s="36">
        <v>2625</v>
      </c>
      <c r="AN174" s="36">
        <v>259</v>
      </c>
      <c r="AO174" s="36">
        <v>7016</v>
      </c>
      <c r="AP174" s="36">
        <v>6478</v>
      </c>
      <c r="AQ174" s="36">
        <v>2827</v>
      </c>
      <c r="AR174" s="36">
        <v>584</v>
      </c>
      <c r="AS174" s="36">
        <v>7106</v>
      </c>
      <c r="AT174" s="36">
        <v>6247</v>
      </c>
      <c r="AU174" s="36">
        <v>2619</v>
      </c>
      <c r="AV174" s="36">
        <v>595</v>
      </c>
      <c r="AW174" s="36">
        <v>7166</v>
      </c>
      <c r="AX174" s="69">
        <v>6409</v>
      </c>
      <c r="AY174" s="36">
        <v>2779</v>
      </c>
      <c r="AZ174" s="36">
        <v>750</v>
      </c>
      <c r="BA174" s="36">
        <v>7998</v>
      </c>
      <c r="BB174" s="36">
        <v>6650</v>
      </c>
      <c r="BC174" s="36">
        <v>2913</v>
      </c>
      <c r="BD174" s="36">
        <v>149</v>
      </c>
      <c r="BE174" s="70">
        <v>8252</v>
      </c>
      <c r="BF174" s="70">
        <v>6670</v>
      </c>
      <c r="BG174" s="70">
        <v>2295</v>
      </c>
      <c r="BH174" s="70">
        <v>1793</v>
      </c>
      <c r="BI174" s="36">
        <v>8720</v>
      </c>
      <c r="BJ174" s="36">
        <v>7346</v>
      </c>
      <c r="BK174" s="36">
        <v>2270</v>
      </c>
      <c r="BL174" s="36">
        <v>107</v>
      </c>
      <c r="BM174" s="36">
        <v>5715.3621170150682</v>
      </c>
      <c r="BN174" s="36">
        <v>2549.0562134506613</v>
      </c>
      <c r="BO174" s="36">
        <v>364.12686078917136</v>
      </c>
      <c r="BP174" s="36">
        <v>5705.2708414273775</v>
      </c>
      <c r="BQ174" s="36">
        <v>2156.00102931011</v>
      </c>
      <c r="BR174" s="36">
        <v>380.27290172947642</v>
      </c>
      <c r="BS174" s="36">
        <v>5321.9705570215938</v>
      </c>
      <c r="BT174" s="36">
        <v>2185.7702922937974</v>
      </c>
      <c r="BU174" s="36">
        <v>427.19733321223799</v>
      </c>
      <c r="BV174" s="36">
        <v>6076</v>
      </c>
      <c r="BW174" s="36">
        <v>1505</v>
      </c>
      <c r="BX174" s="36">
        <v>441</v>
      </c>
      <c r="BY174" s="36">
        <v>6174</v>
      </c>
      <c r="BZ174" s="36">
        <v>721</v>
      </c>
      <c r="CA174" s="36">
        <v>466</v>
      </c>
      <c r="CB174" s="36">
        <v>6052</v>
      </c>
      <c r="CC174" s="36">
        <v>503</v>
      </c>
      <c r="CD174" s="36">
        <v>461</v>
      </c>
      <c r="CE174" s="36">
        <v>6075</v>
      </c>
      <c r="CF174" s="36">
        <v>556</v>
      </c>
      <c r="CG174" s="36">
        <v>475</v>
      </c>
      <c r="CH174" s="36">
        <v>5954</v>
      </c>
      <c r="CI174" s="36">
        <v>724</v>
      </c>
      <c r="CJ174" s="70">
        <v>488</v>
      </c>
      <c r="CK174" s="70">
        <v>6664</v>
      </c>
      <c r="CL174" s="70">
        <v>838</v>
      </c>
      <c r="CM174" s="36">
        <v>496</v>
      </c>
      <c r="CN174" s="36">
        <v>6741</v>
      </c>
      <c r="CO174" s="36">
        <v>990</v>
      </c>
      <c r="CP174" s="36">
        <v>521</v>
      </c>
      <c r="CQ174" s="36">
        <v>7114</v>
      </c>
      <c r="CR174" s="36">
        <v>1059</v>
      </c>
      <c r="CS174" s="36">
        <v>547</v>
      </c>
      <c r="CT174" s="36">
        <v>1813.4022231080119</v>
      </c>
      <c r="CU174" s="36">
        <v>-1243.9179039999999</v>
      </c>
      <c r="CV174" s="36">
        <v>643.99157042112574</v>
      </c>
      <c r="CW174" s="36">
        <v>1525</v>
      </c>
      <c r="CX174" s="36">
        <v>748.09989690080101</v>
      </c>
      <c r="CY174" s="36">
        <v>-1777.2418190000001</v>
      </c>
      <c r="CZ174" s="36">
        <v>779.71922707556519</v>
      </c>
      <c r="DA174" s="36">
        <v>3692</v>
      </c>
      <c r="DB174" s="36">
        <v>626.16365021620561</v>
      </c>
      <c r="DC174" s="36">
        <v>-1395.455226</v>
      </c>
      <c r="DD174" s="36">
        <v>812.0113089561753</v>
      </c>
      <c r="DE174" s="36">
        <v>4367</v>
      </c>
      <c r="DF174" s="36">
        <v>27.246444086764786</v>
      </c>
      <c r="DG174" s="36">
        <v>-857</v>
      </c>
      <c r="DH174" s="36">
        <v>853.04916301278399</v>
      </c>
      <c r="DI174" s="36">
        <v>4741</v>
      </c>
      <c r="DJ174" s="36">
        <v>-587</v>
      </c>
      <c r="DK174" s="36">
        <v>-552</v>
      </c>
      <c r="DL174" s="36">
        <v>898</v>
      </c>
      <c r="DM174" s="36">
        <v>5439</v>
      </c>
      <c r="DN174" s="36">
        <v>1468</v>
      </c>
      <c r="DO174" s="69">
        <v>-1506</v>
      </c>
      <c r="DP174" s="36">
        <v>918</v>
      </c>
      <c r="DQ174" s="36">
        <v>6643</v>
      </c>
      <c r="DR174" s="36">
        <v>939</v>
      </c>
      <c r="DS174" s="36">
        <v>-2587</v>
      </c>
      <c r="DT174" s="36">
        <v>974</v>
      </c>
      <c r="DU174" s="36">
        <v>8680</v>
      </c>
      <c r="DV174" s="36">
        <v>673</v>
      </c>
      <c r="DW174" s="71">
        <v>-1934</v>
      </c>
      <c r="DX174" s="39">
        <v>1030</v>
      </c>
      <c r="DY174" s="71">
        <v>9410</v>
      </c>
      <c r="DZ174" s="70">
        <v>968</v>
      </c>
      <c r="EA174" s="35">
        <v>-1449</v>
      </c>
      <c r="EB174" s="35">
        <v>1110</v>
      </c>
      <c r="EC174" s="38">
        <v>9939</v>
      </c>
      <c r="ED174" s="38">
        <v>1142</v>
      </c>
      <c r="EE174" s="38">
        <v>-538</v>
      </c>
      <c r="EF174" s="38">
        <v>1087</v>
      </c>
      <c r="EG174" s="73">
        <v>9586</v>
      </c>
      <c r="EH174" s="73">
        <v>355</v>
      </c>
      <c r="EI174" s="73">
        <v>-2945</v>
      </c>
      <c r="EJ174" s="73">
        <v>1013</v>
      </c>
      <c r="EK174" s="73">
        <v>10660</v>
      </c>
      <c r="EL174" s="73">
        <v>12501.9131376635</v>
      </c>
      <c r="EM174" s="73">
        <v>578.06190324821341</v>
      </c>
      <c r="EN174" s="73">
        <v>12753.522275649921</v>
      </c>
      <c r="EO174" s="73">
        <v>6.7275170584604416</v>
      </c>
      <c r="EP174" s="73">
        <v>12759.913416855457</v>
      </c>
      <c r="EQ174" s="73">
        <v>-67.94792229045045</v>
      </c>
      <c r="ER174" s="73">
        <v>13647.945668572234</v>
      </c>
      <c r="ES174" s="73">
        <v>-612.70861609928465</v>
      </c>
      <c r="ET174" s="73">
        <v>14844</v>
      </c>
      <c r="EU174" s="73">
        <v>-1197</v>
      </c>
      <c r="EV174" s="73">
        <v>15225</v>
      </c>
      <c r="EW174" s="73">
        <v>737</v>
      </c>
      <c r="EX174" s="73">
        <v>15322</v>
      </c>
      <c r="EY174" s="73">
        <v>-114</v>
      </c>
      <c r="EZ174" s="73">
        <v>16061</v>
      </c>
      <c r="FA174" s="73">
        <v>36</v>
      </c>
      <c r="FB174" s="73">
        <v>16694</v>
      </c>
      <c r="FC174" s="73">
        <v>-68</v>
      </c>
      <c r="FD174" s="73">
        <v>16481</v>
      </c>
      <c r="FE174" s="73">
        <v>1093</v>
      </c>
      <c r="FF174" s="73">
        <v>18063</v>
      </c>
      <c r="FG174" s="73">
        <v>-576</v>
      </c>
      <c r="FH174" s="73">
        <v>869</v>
      </c>
      <c r="FI174" s="73">
        <v>293</v>
      </c>
      <c r="FJ174" s="79">
        <v>3448</v>
      </c>
      <c r="FK174" s="80">
        <v>8908</v>
      </c>
      <c r="FL174" s="80">
        <v>8043</v>
      </c>
      <c r="FM174" s="80">
        <v>2735</v>
      </c>
      <c r="FN174" s="76">
        <v>909</v>
      </c>
      <c r="FO174" s="80">
        <v>7342</v>
      </c>
      <c r="FP174" s="80">
        <v>875</v>
      </c>
      <c r="FQ174" s="80">
        <v>691</v>
      </c>
      <c r="FR174" s="80">
        <v>1769</v>
      </c>
      <c r="FS174" s="81">
        <v>-1874</v>
      </c>
      <c r="FT174" s="76">
        <v>1371</v>
      </c>
      <c r="FU174" s="76">
        <v>13053</v>
      </c>
      <c r="FV174" s="76">
        <v>1874</v>
      </c>
      <c r="FW174" s="80">
        <v>18514</v>
      </c>
      <c r="FX174" s="80">
        <v>508</v>
      </c>
      <c r="FY174" s="73">
        <v>3423</v>
      </c>
      <c r="FZ174" s="73">
        <v>9114</v>
      </c>
      <c r="GA174" s="73">
        <v>8983</v>
      </c>
      <c r="GB174" s="73">
        <v>2757</v>
      </c>
      <c r="GC174" s="73">
        <v>261</v>
      </c>
      <c r="GD174" s="73">
        <v>7237</v>
      </c>
      <c r="GE174" s="73">
        <v>1063</v>
      </c>
      <c r="GF174" s="73">
        <v>814</v>
      </c>
      <c r="GG174" s="73">
        <v>1878</v>
      </c>
      <c r="GH174" s="73">
        <v>-780</v>
      </c>
      <c r="GI174" s="73">
        <v>1405</v>
      </c>
      <c r="GJ174" s="73">
        <v>10358</v>
      </c>
      <c r="GK174" s="73">
        <v>780</v>
      </c>
      <c r="GL174" s="73">
        <v>19057</v>
      </c>
      <c r="GM174" s="73">
        <v>277</v>
      </c>
      <c r="GN174" s="73">
        <v>1139</v>
      </c>
      <c r="GO174" s="77">
        <v>19.5</v>
      </c>
      <c r="GP174" s="78">
        <v>3369</v>
      </c>
      <c r="GQ174" s="73">
        <v>9219</v>
      </c>
      <c r="GR174" s="65">
        <v>8882</v>
      </c>
      <c r="GS174" s="65">
        <v>2944</v>
      </c>
      <c r="GT174" s="65">
        <v>0</v>
      </c>
      <c r="GU174" s="65">
        <v>7246</v>
      </c>
      <c r="GV174" s="65">
        <v>849</v>
      </c>
      <c r="GW174" s="65">
        <v>1124</v>
      </c>
      <c r="GX174" s="65">
        <v>1440</v>
      </c>
      <c r="GY174" s="65">
        <v>-965</v>
      </c>
      <c r="GZ174" s="65">
        <v>1294</v>
      </c>
      <c r="HA174" s="65">
        <v>9064</v>
      </c>
      <c r="HB174" s="65">
        <v>965</v>
      </c>
      <c r="HC174" s="65">
        <v>18987</v>
      </c>
      <c r="HD174" s="65">
        <v>210</v>
      </c>
      <c r="HE174" s="78">
        <v>3333</v>
      </c>
      <c r="HF174" s="73">
        <v>9004</v>
      </c>
      <c r="HG174" s="65">
        <v>9452</v>
      </c>
      <c r="HH174" s="65">
        <v>2921</v>
      </c>
      <c r="HI174" s="65">
        <v>245</v>
      </c>
      <c r="HJ174" s="65">
        <v>7423</v>
      </c>
      <c r="HK174" s="65">
        <v>723</v>
      </c>
      <c r="HL174" s="65">
        <v>858</v>
      </c>
      <c r="HM174" s="65">
        <v>1445</v>
      </c>
      <c r="HN174" s="65">
        <v>-1087</v>
      </c>
      <c r="HO174" s="65">
        <v>1313</v>
      </c>
      <c r="HP174" s="65">
        <v>9060</v>
      </c>
      <c r="HQ174" s="65">
        <v>1087</v>
      </c>
      <c r="HR174" s="65">
        <v>20025</v>
      </c>
      <c r="HS174" s="65">
        <v>82</v>
      </c>
      <c r="HT174" s="65">
        <v>2176</v>
      </c>
      <c r="HU174" s="77">
        <v>19.75</v>
      </c>
      <c r="HV174" s="180">
        <v>340</v>
      </c>
      <c r="HW174" s="30" t="s">
        <v>761</v>
      </c>
    </row>
    <row r="175" spans="1:231" ht="15" x14ac:dyDescent="0.25">
      <c r="A175" s="27">
        <v>577</v>
      </c>
      <c r="B175" s="27" t="s">
        <v>302</v>
      </c>
      <c r="C175" s="27">
        <v>2</v>
      </c>
      <c r="D175" s="27" t="s">
        <v>122</v>
      </c>
      <c r="E175" s="27">
        <v>4</v>
      </c>
      <c r="F175" s="27" t="s">
        <v>100</v>
      </c>
      <c r="G175" s="29" t="s">
        <v>132</v>
      </c>
      <c r="H175" s="27" t="s">
        <v>99</v>
      </c>
      <c r="I175" s="31" t="s">
        <v>122</v>
      </c>
      <c r="J175" s="69">
        <v>9726</v>
      </c>
      <c r="K175" s="69">
        <v>9797</v>
      </c>
      <c r="L175" s="36">
        <v>9815</v>
      </c>
      <c r="M175" s="36">
        <v>9792</v>
      </c>
      <c r="N175" s="36">
        <v>9880</v>
      </c>
      <c r="O175" s="36">
        <v>9791</v>
      </c>
      <c r="P175" s="36">
        <v>9808</v>
      </c>
      <c r="Q175" s="36">
        <v>9876</v>
      </c>
      <c r="R175" s="69">
        <v>10000</v>
      </c>
      <c r="S175" s="69">
        <v>10010</v>
      </c>
      <c r="T175" s="71">
        <v>10145</v>
      </c>
      <c r="U175" s="36">
        <v>20583</v>
      </c>
      <c r="V175" s="36">
        <v>4956</v>
      </c>
      <c r="W175" s="36">
        <v>6846</v>
      </c>
      <c r="X175" s="36">
        <v>606.3174748937472</v>
      </c>
      <c r="Y175" s="36">
        <v>22950</v>
      </c>
      <c r="Z175" s="36">
        <v>4793</v>
      </c>
      <c r="AA175" s="36">
        <v>7058</v>
      </c>
      <c r="AB175" s="36">
        <v>755.33197773864606</v>
      </c>
      <c r="AC175" s="36">
        <v>20984</v>
      </c>
      <c r="AD175" s="36">
        <v>5133</v>
      </c>
      <c r="AE175" s="36">
        <v>6907</v>
      </c>
      <c r="AF175" s="36">
        <v>544.76069380883428</v>
      </c>
      <c r="AG175" s="36">
        <v>23643</v>
      </c>
      <c r="AH175" s="36">
        <v>5719</v>
      </c>
      <c r="AI175" s="36">
        <v>6693</v>
      </c>
      <c r="AJ175" s="36">
        <v>560.06579511683174</v>
      </c>
      <c r="AK175" s="36">
        <v>25573</v>
      </c>
      <c r="AL175" s="36">
        <v>6747</v>
      </c>
      <c r="AM175" s="36">
        <v>7257</v>
      </c>
      <c r="AN175" s="36">
        <v>385</v>
      </c>
      <c r="AO175" s="36">
        <v>24455</v>
      </c>
      <c r="AP175" s="36">
        <v>6171</v>
      </c>
      <c r="AQ175" s="36">
        <v>7821</v>
      </c>
      <c r="AR175" s="36">
        <v>282</v>
      </c>
      <c r="AS175" s="36">
        <v>24422</v>
      </c>
      <c r="AT175" s="36">
        <v>8163</v>
      </c>
      <c r="AU175" s="36">
        <v>5894</v>
      </c>
      <c r="AV175" s="36">
        <v>329</v>
      </c>
      <c r="AW175" s="36">
        <v>25925</v>
      </c>
      <c r="AX175" s="69">
        <v>9272</v>
      </c>
      <c r="AY175" s="36">
        <v>6307</v>
      </c>
      <c r="AZ175" s="36">
        <v>2048</v>
      </c>
      <c r="BA175" s="36">
        <v>29066</v>
      </c>
      <c r="BB175" s="36">
        <v>9092</v>
      </c>
      <c r="BC175" s="36">
        <v>6844</v>
      </c>
      <c r="BD175" s="36">
        <v>291</v>
      </c>
      <c r="BE175" s="70">
        <v>31960</v>
      </c>
      <c r="BF175" s="70">
        <v>10143</v>
      </c>
      <c r="BG175" s="70">
        <v>7625</v>
      </c>
      <c r="BH175" s="70">
        <v>455</v>
      </c>
      <c r="BI175" s="36">
        <v>33203</v>
      </c>
      <c r="BJ175" s="36">
        <v>15087</v>
      </c>
      <c r="BK175" s="36">
        <v>7123</v>
      </c>
      <c r="BL175" s="36">
        <v>492</v>
      </c>
      <c r="BM175" s="36">
        <v>17438.228779308847</v>
      </c>
      <c r="BN175" s="36">
        <v>2584.3756780075787</v>
      </c>
      <c r="BO175" s="36">
        <v>550.98364708791019</v>
      </c>
      <c r="BP175" s="36">
        <v>17825.229198096786</v>
      </c>
      <c r="BQ175" s="36">
        <v>4578.411734135253</v>
      </c>
      <c r="BR175" s="36">
        <v>537.36042504452769</v>
      </c>
      <c r="BS175" s="36">
        <v>17514.922473775296</v>
      </c>
      <c r="BT175" s="36">
        <v>2877.5272338299924</v>
      </c>
      <c r="BU175" s="36">
        <v>582.60297726267424</v>
      </c>
      <c r="BV175" s="36">
        <v>20473</v>
      </c>
      <c r="BW175" s="36">
        <v>2546</v>
      </c>
      <c r="BX175" s="36">
        <v>614</v>
      </c>
      <c r="BY175" s="36">
        <v>22455</v>
      </c>
      <c r="BZ175" s="36">
        <v>2473</v>
      </c>
      <c r="CA175" s="36">
        <v>645</v>
      </c>
      <c r="CB175" s="36">
        <v>22524</v>
      </c>
      <c r="CC175" s="36">
        <v>1284</v>
      </c>
      <c r="CD175" s="36">
        <v>647</v>
      </c>
      <c r="CE175" s="36">
        <v>22246</v>
      </c>
      <c r="CF175" s="36">
        <v>1546</v>
      </c>
      <c r="CG175" s="36">
        <v>630</v>
      </c>
      <c r="CH175" s="36">
        <v>22995</v>
      </c>
      <c r="CI175" s="36">
        <v>2255</v>
      </c>
      <c r="CJ175" s="70">
        <v>675</v>
      </c>
      <c r="CK175" s="70">
        <v>25711</v>
      </c>
      <c r="CL175" s="70">
        <v>2639</v>
      </c>
      <c r="CM175" s="36">
        <v>716</v>
      </c>
      <c r="CN175" s="36">
        <v>28375</v>
      </c>
      <c r="CO175" s="36">
        <v>2828</v>
      </c>
      <c r="CP175" s="36">
        <v>757</v>
      </c>
      <c r="CQ175" s="36">
        <v>29663</v>
      </c>
      <c r="CR175" s="36">
        <v>2731</v>
      </c>
      <c r="CS175" s="36">
        <v>809</v>
      </c>
      <c r="CT175" s="36">
        <v>271.28712538241729</v>
      </c>
      <c r="CU175" s="36">
        <v>-2083.3438449999999</v>
      </c>
      <c r="CV175" s="36">
        <v>976.16272518260996</v>
      </c>
      <c r="CW175" s="36">
        <v>5058</v>
      </c>
      <c r="CX175" s="36">
        <v>2351.4353998583856</v>
      </c>
      <c r="CY175" s="36">
        <v>-1000.549975</v>
      </c>
      <c r="CZ175" s="36">
        <v>1086.6621928678228</v>
      </c>
      <c r="DA175" s="36">
        <v>4262</v>
      </c>
      <c r="DB175" s="36">
        <v>-1273.5189791665614</v>
      </c>
      <c r="DC175" s="36">
        <v>-3781.537339</v>
      </c>
      <c r="DD175" s="36">
        <v>1157.9738736875033</v>
      </c>
      <c r="DE175" s="36">
        <v>8377</v>
      </c>
      <c r="DF175" s="36">
        <v>-290.46054899902953</v>
      </c>
      <c r="DG175" s="36">
        <v>-1075</v>
      </c>
      <c r="DH175" s="36">
        <v>1198.1707881118045</v>
      </c>
      <c r="DI175" s="36">
        <v>8588</v>
      </c>
      <c r="DJ175" s="36">
        <v>3676</v>
      </c>
      <c r="DK175" s="36">
        <v>-904</v>
      </c>
      <c r="DL175" s="36">
        <v>1255</v>
      </c>
      <c r="DM175" s="36">
        <v>8738</v>
      </c>
      <c r="DN175" s="36">
        <v>946</v>
      </c>
      <c r="DO175" s="69">
        <v>-3525</v>
      </c>
      <c r="DP175" s="36">
        <v>1325</v>
      </c>
      <c r="DQ175" s="36">
        <v>8287</v>
      </c>
      <c r="DR175" s="36">
        <v>-755</v>
      </c>
      <c r="DS175" s="36">
        <v>-2830</v>
      </c>
      <c r="DT175" s="36">
        <v>1293</v>
      </c>
      <c r="DU175" s="36">
        <v>10378</v>
      </c>
      <c r="DV175" s="36">
        <v>69</v>
      </c>
      <c r="DW175" s="71">
        <v>-4407</v>
      </c>
      <c r="DX175" s="39">
        <v>1087</v>
      </c>
      <c r="DY175" s="71">
        <v>17220</v>
      </c>
      <c r="DZ175" s="70">
        <v>1181</v>
      </c>
      <c r="EA175" s="35">
        <v>-2901</v>
      </c>
      <c r="EB175" s="35">
        <v>1305</v>
      </c>
      <c r="EC175" s="38">
        <v>18346</v>
      </c>
      <c r="ED175" s="38">
        <v>2817</v>
      </c>
      <c r="EE175" s="38">
        <v>-2473</v>
      </c>
      <c r="EF175" s="38">
        <v>1468</v>
      </c>
      <c r="EG175" s="73">
        <v>18345</v>
      </c>
      <c r="EH175" s="73">
        <v>-568</v>
      </c>
      <c r="EI175" s="73">
        <v>-5027</v>
      </c>
      <c r="EJ175" s="73">
        <v>1537</v>
      </c>
      <c r="EK175" s="73">
        <v>25590</v>
      </c>
      <c r="EL175" s="73">
        <v>30936.823569183263</v>
      </c>
      <c r="EM175" s="73">
        <v>-978.18098030014812</v>
      </c>
      <c r="EN175" s="73">
        <v>31525.985875577935</v>
      </c>
      <c r="EO175" s="73">
        <v>1313.3795177379395</v>
      </c>
      <c r="EP175" s="73">
        <v>32979.634123984775</v>
      </c>
      <c r="EQ175" s="73">
        <v>-812.51587273555981</v>
      </c>
      <c r="ER175" s="73">
        <v>34784.963326622637</v>
      </c>
      <c r="ES175" s="73">
        <v>-337.55316840825265</v>
      </c>
      <c r="ET175" s="73">
        <v>35917</v>
      </c>
      <c r="EU175" s="73">
        <v>2727</v>
      </c>
      <c r="EV175" s="73">
        <v>37445</v>
      </c>
      <c r="EW175" s="73">
        <v>-183</v>
      </c>
      <c r="EX175" s="73">
        <v>39260</v>
      </c>
      <c r="EY175" s="73">
        <v>-1652</v>
      </c>
      <c r="EZ175" s="73">
        <v>41259</v>
      </c>
      <c r="FA175" s="73">
        <v>22</v>
      </c>
      <c r="FB175" s="73">
        <v>43562</v>
      </c>
      <c r="FC175" s="73">
        <v>142</v>
      </c>
      <c r="FD175" s="73">
        <v>46502</v>
      </c>
      <c r="FE175" s="73">
        <v>1432</v>
      </c>
      <c r="FF175" s="73">
        <v>55385</v>
      </c>
      <c r="FG175" s="73">
        <v>-1846</v>
      </c>
      <c r="FH175" s="73">
        <v>1550</v>
      </c>
      <c r="FI175" s="73">
        <v>-296</v>
      </c>
      <c r="FJ175" s="79">
        <v>10334</v>
      </c>
      <c r="FK175" s="80">
        <v>33009</v>
      </c>
      <c r="FL175" s="80">
        <v>9536</v>
      </c>
      <c r="FM175" s="80">
        <v>6229</v>
      </c>
      <c r="FN175" s="76">
        <v>198</v>
      </c>
      <c r="FO175" s="80">
        <v>30314</v>
      </c>
      <c r="FP175" s="80">
        <v>1816</v>
      </c>
      <c r="FQ175" s="80">
        <v>879</v>
      </c>
      <c r="FR175" s="80">
        <v>-2387</v>
      </c>
      <c r="FS175" s="81">
        <v>-3721</v>
      </c>
      <c r="FT175" s="76">
        <v>1856</v>
      </c>
      <c r="FU175" s="76">
        <v>27484</v>
      </c>
      <c r="FV175" s="76">
        <v>3721</v>
      </c>
      <c r="FW175" s="80">
        <v>50780</v>
      </c>
      <c r="FX175" s="80">
        <v>-4150</v>
      </c>
      <c r="FY175" s="73">
        <v>10402</v>
      </c>
      <c r="FZ175" s="73">
        <v>35013</v>
      </c>
      <c r="GA175" s="73">
        <v>12268</v>
      </c>
      <c r="GB175" s="73">
        <v>7239</v>
      </c>
      <c r="GC175" s="73">
        <v>-532</v>
      </c>
      <c r="GD175" s="73">
        <v>31892</v>
      </c>
      <c r="GE175" s="73">
        <v>1668</v>
      </c>
      <c r="GF175" s="73">
        <v>1453</v>
      </c>
      <c r="GG175" s="73">
        <v>1808</v>
      </c>
      <c r="GH175" s="73">
        <v>-5227</v>
      </c>
      <c r="GI175" s="73">
        <v>1862</v>
      </c>
      <c r="GJ175" s="73">
        <v>29132</v>
      </c>
      <c r="GK175" s="73">
        <v>5227</v>
      </c>
      <c r="GL175" s="73">
        <v>51655</v>
      </c>
      <c r="GM175" s="73">
        <v>-2139</v>
      </c>
      <c r="GN175" s="73">
        <v>-6572</v>
      </c>
      <c r="GO175" s="77">
        <v>19.5</v>
      </c>
      <c r="GP175" s="78">
        <v>10471</v>
      </c>
      <c r="GQ175" s="73">
        <v>34534</v>
      </c>
      <c r="GR175" s="65">
        <v>12907</v>
      </c>
      <c r="GS175" s="65">
        <v>7503</v>
      </c>
      <c r="GT175" s="65">
        <v>541</v>
      </c>
      <c r="GU175" s="65">
        <v>31413</v>
      </c>
      <c r="GV175" s="65">
        <v>1763</v>
      </c>
      <c r="GW175" s="65">
        <v>1358</v>
      </c>
      <c r="GX175" s="65">
        <v>1654</v>
      </c>
      <c r="GY175" s="65">
        <v>-1670</v>
      </c>
      <c r="GZ175" s="65">
        <v>1932</v>
      </c>
      <c r="HA175" s="65">
        <v>29825</v>
      </c>
      <c r="HB175" s="65">
        <v>1670</v>
      </c>
      <c r="HC175" s="65">
        <v>53248</v>
      </c>
      <c r="HD175" s="65">
        <v>-186</v>
      </c>
      <c r="HE175" s="78">
        <v>10591</v>
      </c>
      <c r="HF175" s="73">
        <v>36251</v>
      </c>
      <c r="HG175" s="65">
        <v>12539</v>
      </c>
      <c r="HH175" s="65">
        <v>8540</v>
      </c>
      <c r="HI175" s="65">
        <v>1181</v>
      </c>
      <c r="HJ175" s="65">
        <v>33389</v>
      </c>
      <c r="HK175" s="65">
        <v>1419</v>
      </c>
      <c r="HL175" s="65">
        <v>1443</v>
      </c>
      <c r="HM175" s="65">
        <v>2460</v>
      </c>
      <c r="HN175" s="65">
        <v>-1896</v>
      </c>
      <c r="HO175" s="65">
        <v>2028</v>
      </c>
      <c r="HP175" s="65">
        <v>33518</v>
      </c>
      <c r="HQ175" s="65">
        <v>1896</v>
      </c>
      <c r="HR175" s="65">
        <v>54892</v>
      </c>
      <c r="HS175" s="65">
        <v>17</v>
      </c>
      <c r="HT175" s="65">
        <v>-7095</v>
      </c>
      <c r="HU175" s="77">
        <v>19.75</v>
      </c>
      <c r="HV175" s="180">
        <v>220</v>
      </c>
      <c r="HW175" s="30" t="s">
        <v>755</v>
      </c>
    </row>
    <row r="176" spans="1:231" ht="15" x14ac:dyDescent="0.25">
      <c r="A176" s="27">
        <v>578</v>
      </c>
      <c r="B176" s="27" t="s">
        <v>303</v>
      </c>
      <c r="C176" s="27">
        <v>18</v>
      </c>
      <c r="D176" s="27" t="s">
        <v>108</v>
      </c>
      <c r="E176" s="27">
        <v>2</v>
      </c>
      <c r="F176" s="27" t="s">
        <v>744</v>
      </c>
      <c r="G176" s="29" t="s">
        <v>130</v>
      </c>
      <c r="H176" s="27" t="s">
        <v>98</v>
      </c>
      <c r="I176" s="31" t="s">
        <v>108</v>
      </c>
      <c r="J176" s="69">
        <v>4600</v>
      </c>
      <c r="K176" s="69">
        <v>4530</v>
      </c>
      <c r="L176" s="36">
        <v>4420</v>
      </c>
      <c r="M176" s="36">
        <v>4348</v>
      </c>
      <c r="N176" s="36">
        <v>4217</v>
      </c>
      <c r="O176" s="36">
        <v>4220</v>
      </c>
      <c r="P176" s="36">
        <v>4219</v>
      </c>
      <c r="Q176" s="36">
        <v>4183</v>
      </c>
      <c r="R176" s="69">
        <v>4093</v>
      </c>
      <c r="S176" s="69">
        <v>4071</v>
      </c>
      <c r="T176" s="71">
        <v>3998</v>
      </c>
      <c r="U176" s="36">
        <v>8189</v>
      </c>
      <c r="V176" s="36">
        <v>6447</v>
      </c>
      <c r="W176" s="36">
        <v>3601</v>
      </c>
      <c r="X176" s="36">
        <v>237.31316423719207</v>
      </c>
      <c r="Y176" s="36">
        <v>8135</v>
      </c>
      <c r="Z176" s="36">
        <v>6215</v>
      </c>
      <c r="AA176" s="36">
        <v>3433</v>
      </c>
      <c r="AB176" s="36">
        <v>302.57007970425832</v>
      </c>
      <c r="AC176" s="36">
        <v>7814</v>
      </c>
      <c r="AD176" s="36">
        <v>6343</v>
      </c>
      <c r="AE176" s="36">
        <v>3398</v>
      </c>
      <c r="AF176" s="36">
        <v>344.28068546671307</v>
      </c>
      <c r="AG176" s="36">
        <v>8226</v>
      </c>
      <c r="AH176" s="36">
        <v>7240</v>
      </c>
      <c r="AI176" s="36">
        <v>3322</v>
      </c>
      <c r="AJ176" s="36">
        <v>309.97034846856485</v>
      </c>
      <c r="AK176" s="36">
        <v>8444</v>
      </c>
      <c r="AL176" s="36">
        <v>7651</v>
      </c>
      <c r="AM176" s="36">
        <v>3856</v>
      </c>
      <c r="AN176" s="36">
        <v>263</v>
      </c>
      <c r="AO176" s="36">
        <v>7811</v>
      </c>
      <c r="AP176" s="36">
        <v>8233</v>
      </c>
      <c r="AQ176" s="36">
        <v>3918</v>
      </c>
      <c r="AR176" s="36">
        <v>394</v>
      </c>
      <c r="AS176" s="36">
        <v>8069</v>
      </c>
      <c r="AT176" s="36">
        <v>8458</v>
      </c>
      <c r="AU176" s="36">
        <v>3761</v>
      </c>
      <c r="AV176" s="36">
        <v>716</v>
      </c>
      <c r="AW176" s="36">
        <v>8407</v>
      </c>
      <c r="AX176" s="69">
        <v>7664</v>
      </c>
      <c r="AY176" s="36">
        <v>4995</v>
      </c>
      <c r="AZ176" s="36">
        <v>351</v>
      </c>
      <c r="BA176" s="36">
        <v>8586</v>
      </c>
      <c r="BB176" s="36">
        <v>8107</v>
      </c>
      <c r="BC176" s="36">
        <v>3216</v>
      </c>
      <c r="BD176" s="36">
        <v>184</v>
      </c>
      <c r="BE176" s="70">
        <v>8944</v>
      </c>
      <c r="BF176" s="70">
        <v>8646</v>
      </c>
      <c r="BG176" s="70">
        <v>3206</v>
      </c>
      <c r="BH176" s="70">
        <v>218</v>
      </c>
      <c r="BI176" s="36">
        <v>9891</v>
      </c>
      <c r="BJ176" s="36">
        <v>9790</v>
      </c>
      <c r="BK176" s="36">
        <v>3419</v>
      </c>
      <c r="BL176" s="36">
        <v>0</v>
      </c>
      <c r="BM176" s="36">
        <v>6171.8241494316089</v>
      </c>
      <c r="BN176" s="36">
        <v>1598.9626168695854</v>
      </c>
      <c r="BO176" s="36">
        <v>418.28337310977793</v>
      </c>
      <c r="BP176" s="36">
        <v>6173.674216622685</v>
      </c>
      <c r="BQ176" s="36">
        <v>1348.6989822948569</v>
      </c>
      <c r="BR176" s="36">
        <v>612.8768040257462</v>
      </c>
      <c r="BS176" s="36">
        <v>5785.8328582024405</v>
      </c>
      <c r="BT176" s="36">
        <v>1428.9246232169976</v>
      </c>
      <c r="BU176" s="36">
        <v>599.08539405590227</v>
      </c>
      <c r="BV176" s="36">
        <v>6678</v>
      </c>
      <c r="BW176" s="36">
        <v>926</v>
      </c>
      <c r="BX176" s="36">
        <v>622</v>
      </c>
      <c r="BY176" s="36">
        <v>7196</v>
      </c>
      <c r="BZ176" s="36">
        <v>609</v>
      </c>
      <c r="CA176" s="36">
        <v>639</v>
      </c>
      <c r="CB176" s="36">
        <v>6837</v>
      </c>
      <c r="CC176" s="36">
        <v>333</v>
      </c>
      <c r="CD176" s="36">
        <v>641</v>
      </c>
      <c r="CE176" s="36">
        <v>7007</v>
      </c>
      <c r="CF176" s="36">
        <v>427</v>
      </c>
      <c r="CG176" s="36">
        <v>635</v>
      </c>
      <c r="CH176" s="36">
        <v>7211</v>
      </c>
      <c r="CI176" s="36">
        <v>562</v>
      </c>
      <c r="CJ176" s="70">
        <v>634</v>
      </c>
      <c r="CK176" s="70">
        <v>7096</v>
      </c>
      <c r="CL176" s="70">
        <v>715</v>
      </c>
      <c r="CM176" s="36">
        <v>775</v>
      </c>
      <c r="CN176" s="36">
        <v>7404</v>
      </c>
      <c r="CO176" s="36">
        <v>751</v>
      </c>
      <c r="CP176" s="36">
        <v>789</v>
      </c>
      <c r="CQ176" s="36">
        <v>8454</v>
      </c>
      <c r="CR176" s="36">
        <v>600</v>
      </c>
      <c r="CS176" s="36">
        <v>837</v>
      </c>
      <c r="CT176" s="36">
        <v>746.75439348910902</v>
      </c>
      <c r="CU176" s="36">
        <v>-799.73359029999995</v>
      </c>
      <c r="CV176" s="36">
        <v>689.06593471281064</v>
      </c>
      <c r="CW176" s="36">
        <v>1430</v>
      </c>
      <c r="CX176" s="36">
        <v>390.02780146424408</v>
      </c>
      <c r="CY176" s="36">
        <v>-1551.5336219999999</v>
      </c>
      <c r="CZ176" s="36">
        <v>685.36580033065741</v>
      </c>
      <c r="DA176" s="36">
        <v>2338</v>
      </c>
      <c r="DB176" s="36">
        <v>-84.262151157217019</v>
      </c>
      <c r="DC176" s="36">
        <v>-138.0822876</v>
      </c>
      <c r="DD176" s="36">
        <v>709.75304966757653</v>
      </c>
      <c r="DE176" s="36">
        <v>3684</v>
      </c>
      <c r="DF176" s="36">
        <v>779.88741500202661</v>
      </c>
      <c r="DG176" s="36">
        <v>-647</v>
      </c>
      <c r="DH176" s="36">
        <v>723.88083549034343</v>
      </c>
      <c r="DI176" s="36">
        <v>3665</v>
      </c>
      <c r="DJ176" s="36">
        <v>1263</v>
      </c>
      <c r="DK176" s="36">
        <v>-554</v>
      </c>
      <c r="DL176" s="36">
        <v>692</v>
      </c>
      <c r="DM176" s="36">
        <v>3194</v>
      </c>
      <c r="DN176" s="36">
        <v>1124</v>
      </c>
      <c r="DO176" s="69">
        <v>-809</v>
      </c>
      <c r="DP176" s="36">
        <v>760</v>
      </c>
      <c r="DQ176" s="36">
        <v>2213</v>
      </c>
      <c r="DR176" s="36">
        <v>430</v>
      </c>
      <c r="DS176" s="36">
        <v>-1178</v>
      </c>
      <c r="DT176" s="36">
        <v>712</v>
      </c>
      <c r="DU176" s="36">
        <v>3224</v>
      </c>
      <c r="DV176" s="36">
        <v>518</v>
      </c>
      <c r="DW176" s="71">
        <v>-3021</v>
      </c>
      <c r="DX176" s="39">
        <v>680</v>
      </c>
      <c r="DY176" s="71">
        <v>5483</v>
      </c>
      <c r="DZ176" s="70">
        <v>62</v>
      </c>
      <c r="EA176" s="35">
        <v>-4035</v>
      </c>
      <c r="EB176" s="35">
        <v>744</v>
      </c>
      <c r="EC176" s="38">
        <v>10001</v>
      </c>
      <c r="ED176" s="38">
        <v>132</v>
      </c>
      <c r="EE176" s="38">
        <v>-1468</v>
      </c>
      <c r="EF176" s="38">
        <v>807</v>
      </c>
      <c r="EG176" s="73">
        <v>11962</v>
      </c>
      <c r="EH176" s="73">
        <v>799</v>
      </c>
      <c r="EI176" s="73">
        <v>-2708</v>
      </c>
      <c r="EJ176" s="73">
        <v>982</v>
      </c>
      <c r="EK176" s="73">
        <v>13316</v>
      </c>
      <c r="EL176" s="73">
        <v>16925.087415674778</v>
      </c>
      <c r="EM176" s="73">
        <v>-37.842283453839983</v>
      </c>
      <c r="EN176" s="73">
        <v>16879.172111750784</v>
      </c>
      <c r="EO176" s="73">
        <v>-243.70430544272949</v>
      </c>
      <c r="EP176" s="73">
        <v>17025.4956077723</v>
      </c>
      <c r="EQ176" s="73">
        <v>-761.21855516479889</v>
      </c>
      <c r="ER176" s="73">
        <v>17164.250647103047</v>
      </c>
      <c r="ES176" s="73">
        <v>32.628457733533139</v>
      </c>
      <c r="ET176" s="73">
        <v>18640</v>
      </c>
      <c r="EU176" s="73">
        <v>598</v>
      </c>
      <c r="EV176" s="73">
        <v>19081</v>
      </c>
      <c r="EW176" s="73">
        <v>430</v>
      </c>
      <c r="EX176" s="73">
        <v>20056</v>
      </c>
      <c r="EY176" s="73">
        <v>240</v>
      </c>
      <c r="EZ176" s="73">
        <v>19494</v>
      </c>
      <c r="FA176" s="73">
        <v>-242</v>
      </c>
      <c r="FB176" s="73">
        <v>19807</v>
      </c>
      <c r="FC176" s="73">
        <v>-530</v>
      </c>
      <c r="FD176" s="73">
        <v>20432</v>
      </c>
      <c r="FE176" s="73">
        <v>-351</v>
      </c>
      <c r="FF176" s="73">
        <v>21736</v>
      </c>
      <c r="FG176" s="73">
        <v>-104</v>
      </c>
      <c r="FH176" s="73">
        <v>116</v>
      </c>
      <c r="FI176" s="73">
        <v>12</v>
      </c>
      <c r="FJ176" s="79">
        <v>3917</v>
      </c>
      <c r="FK176" s="80">
        <v>9622</v>
      </c>
      <c r="FL176" s="80">
        <v>10148</v>
      </c>
      <c r="FM176" s="80">
        <v>3322</v>
      </c>
      <c r="FN176" s="76">
        <v>461</v>
      </c>
      <c r="FO176" s="80">
        <v>8252</v>
      </c>
      <c r="FP176" s="80">
        <v>489</v>
      </c>
      <c r="FQ176" s="80">
        <v>881</v>
      </c>
      <c r="FR176" s="80">
        <v>1650</v>
      </c>
      <c r="FS176" s="81">
        <v>-364</v>
      </c>
      <c r="FT176" s="76">
        <v>1580</v>
      </c>
      <c r="FU176" s="76">
        <v>12817</v>
      </c>
      <c r="FV176" s="76">
        <v>364</v>
      </c>
      <c r="FW176" s="80">
        <v>21524</v>
      </c>
      <c r="FX176" s="80">
        <v>439</v>
      </c>
      <c r="FY176" s="73">
        <v>3884</v>
      </c>
      <c r="FZ176" s="73">
        <v>10058</v>
      </c>
      <c r="GA176" s="73">
        <v>10619</v>
      </c>
      <c r="GB176" s="73">
        <v>3258</v>
      </c>
      <c r="GC176" s="73">
        <v>17</v>
      </c>
      <c r="GD176" s="73">
        <v>8393</v>
      </c>
      <c r="GE176" s="73">
        <v>694</v>
      </c>
      <c r="GF176" s="73">
        <v>971</v>
      </c>
      <c r="GG176" s="73">
        <v>2023</v>
      </c>
      <c r="GH176" s="73">
        <v>-410</v>
      </c>
      <c r="GI176" s="73">
        <v>1062</v>
      </c>
      <c r="GJ176" s="73">
        <v>10631</v>
      </c>
      <c r="GK176" s="73">
        <v>410</v>
      </c>
      <c r="GL176" s="73">
        <v>21683</v>
      </c>
      <c r="GM176" s="73">
        <v>983</v>
      </c>
      <c r="GN176" s="73">
        <v>1434</v>
      </c>
      <c r="GO176" s="77">
        <v>20.5</v>
      </c>
      <c r="GP176" s="78">
        <v>3807</v>
      </c>
      <c r="GQ176" s="73">
        <v>10193</v>
      </c>
      <c r="GR176" s="65">
        <v>10666</v>
      </c>
      <c r="GS176" s="65">
        <v>3403</v>
      </c>
      <c r="GT176" s="65">
        <v>11</v>
      </c>
      <c r="GU176" s="65">
        <v>8451</v>
      </c>
      <c r="GV176" s="65">
        <v>714</v>
      </c>
      <c r="GW176" s="65">
        <v>1028</v>
      </c>
      <c r="GX176" s="65">
        <v>1022</v>
      </c>
      <c r="GY176" s="65">
        <v>-2028</v>
      </c>
      <c r="GZ176" s="65">
        <v>1033</v>
      </c>
      <c r="HA176" s="65">
        <v>11044</v>
      </c>
      <c r="HB176" s="65">
        <v>2028</v>
      </c>
      <c r="HC176" s="65">
        <v>23026</v>
      </c>
      <c r="HD176" s="65">
        <v>11</v>
      </c>
      <c r="HE176" s="78">
        <v>3743</v>
      </c>
      <c r="HF176" s="73">
        <v>9749</v>
      </c>
      <c r="HG176" s="65">
        <v>11086</v>
      </c>
      <c r="HH176" s="65">
        <v>3572</v>
      </c>
      <c r="HI176" s="65">
        <v>25</v>
      </c>
      <c r="HJ176" s="65">
        <v>8293</v>
      </c>
      <c r="HK176" s="65">
        <v>401</v>
      </c>
      <c r="HL176" s="65">
        <v>1055</v>
      </c>
      <c r="HM176" s="65">
        <v>383</v>
      </c>
      <c r="HN176" s="65">
        <v>-2588</v>
      </c>
      <c r="HO176" s="65">
        <v>1347</v>
      </c>
      <c r="HP176" s="65">
        <v>13301</v>
      </c>
      <c r="HQ176" s="65">
        <v>2588</v>
      </c>
      <c r="HR176" s="65">
        <v>23823</v>
      </c>
      <c r="HS176" s="65">
        <v>-943</v>
      </c>
      <c r="HT176" s="65">
        <v>435</v>
      </c>
      <c r="HU176" s="77">
        <v>20.5</v>
      </c>
      <c r="HV176" s="180">
        <v>340</v>
      </c>
      <c r="HW176" s="30" t="s">
        <v>761</v>
      </c>
    </row>
    <row r="177" spans="1:231" ht="15" x14ac:dyDescent="0.25">
      <c r="A177" s="27">
        <v>445</v>
      </c>
      <c r="B177" s="27" t="s">
        <v>563</v>
      </c>
      <c r="C177" s="27">
        <v>2</v>
      </c>
      <c r="D177" s="27" t="s">
        <v>122</v>
      </c>
      <c r="E177" s="27">
        <v>4</v>
      </c>
      <c r="F177" s="27" t="s">
        <v>100</v>
      </c>
      <c r="G177" s="29" t="s">
        <v>132</v>
      </c>
      <c r="H177" s="27" t="s">
        <v>99</v>
      </c>
      <c r="I177" s="31" t="s">
        <v>122</v>
      </c>
      <c r="J177" s="69">
        <v>15406</v>
      </c>
      <c r="K177" s="69">
        <v>15372</v>
      </c>
      <c r="L177" s="36">
        <v>15295</v>
      </c>
      <c r="M177" s="36">
        <v>15269</v>
      </c>
      <c r="N177" s="36">
        <v>15241</v>
      </c>
      <c r="O177" s="36">
        <v>15281</v>
      </c>
      <c r="P177" s="36">
        <v>15283</v>
      </c>
      <c r="Q177" s="36">
        <v>15298</v>
      </c>
      <c r="R177" s="69">
        <v>15368</v>
      </c>
      <c r="S177" s="69">
        <v>15373</v>
      </c>
      <c r="T177" s="71">
        <v>15405</v>
      </c>
      <c r="U177" s="36">
        <v>35133</v>
      </c>
      <c r="V177" s="36">
        <v>10684</v>
      </c>
      <c r="W177" s="36">
        <v>9026</v>
      </c>
      <c r="X177" s="36">
        <v>666.69694049342979</v>
      </c>
      <c r="Y177" s="36">
        <v>38842</v>
      </c>
      <c r="Z177" s="36">
        <v>11061</v>
      </c>
      <c r="AA177" s="36">
        <v>8313</v>
      </c>
      <c r="AB177" s="36">
        <v>1757.3956435963287</v>
      </c>
      <c r="AC177" s="36">
        <v>36674</v>
      </c>
      <c r="AD177" s="36">
        <v>11088</v>
      </c>
      <c r="AE177" s="36">
        <v>8929</v>
      </c>
      <c r="AF177" s="36">
        <v>926.71547480292577</v>
      </c>
      <c r="AG177" s="36">
        <v>37968</v>
      </c>
      <c r="AH177" s="36">
        <v>13358</v>
      </c>
      <c r="AI177" s="36">
        <v>8813</v>
      </c>
      <c r="AJ177" s="36">
        <v>857.42204910078317</v>
      </c>
      <c r="AK177" s="36">
        <v>40817</v>
      </c>
      <c r="AL177" s="36">
        <v>15542</v>
      </c>
      <c r="AM177" s="36">
        <v>9715</v>
      </c>
      <c r="AN177" s="36">
        <v>969</v>
      </c>
      <c r="AO177" s="36">
        <v>38868</v>
      </c>
      <c r="AP177" s="36">
        <v>15541</v>
      </c>
      <c r="AQ177" s="36">
        <v>10329</v>
      </c>
      <c r="AR177" s="36">
        <v>1130</v>
      </c>
      <c r="AS177" s="36">
        <v>40355</v>
      </c>
      <c r="AT177" s="36">
        <v>16629</v>
      </c>
      <c r="AU177" s="36">
        <v>10016</v>
      </c>
      <c r="AV177" s="36">
        <v>655</v>
      </c>
      <c r="AW177" s="36">
        <v>42229</v>
      </c>
      <c r="AX177" s="69">
        <v>17542</v>
      </c>
      <c r="AY177" s="36">
        <v>10880</v>
      </c>
      <c r="AZ177" s="36">
        <v>680</v>
      </c>
      <c r="BA177" s="36">
        <v>45494</v>
      </c>
      <c r="BB177" s="36">
        <v>18747</v>
      </c>
      <c r="BC177" s="36">
        <v>11521</v>
      </c>
      <c r="BD177" s="36">
        <v>1155</v>
      </c>
      <c r="BE177" s="70">
        <v>48482</v>
      </c>
      <c r="BF177" s="70">
        <v>19171</v>
      </c>
      <c r="BG177" s="70">
        <v>14132</v>
      </c>
      <c r="BH177" s="70">
        <v>500</v>
      </c>
      <c r="BI177" s="36">
        <v>52051</v>
      </c>
      <c r="BJ177" s="36">
        <v>21750</v>
      </c>
      <c r="BK177" s="36">
        <v>14121</v>
      </c>
      <c r="BL177" s="36">
        <v>512</v>
      </c>
      <c r="BM177" s="36">
        <v>27046.300454275588</v>
      </c>
      <c r="BN177" s="36">
        <v>6096.4759583768518</v>
      </c>
      <c r="BO177" s="36">
        <v>1977.2172634815238</v>
      </c>
      <c r="BP177" s="36">
        <v>30672.263960859305</v>
      </c>
      <c r="BQ177" s="36">
        <v>6157.5281756823806</v>
      </c>
      <c r="BR177" s="36">
        <v>1998.2407542892124</v>
      </c>
      <c r="BS177" s="36">
        <v>29004.344294140501</v>
      </c>
      <c r="BT177" s="36">
        <v>5221.7305528505321</v>
      </c>
      <c r="BU177" s="36">
        <v>2434.3520476039107</v>
      </c>
      <c r="BV177" s="36">
        <v>32387</v>
      </c>
      <c r="BW177" s="36">
        <v>3005</v>
      </c>
      <c r="BX177" s="36">
        <v>2562</v>
      </c>
      <c r="BY177" s="36">
        <v>35572</v>
      </c>
      <c r="BZ177" s="36">
        <v>2408</v>
      </c>
      <c r="CA177" s="36">
        <v>2825</v>
      </c>
      <c r="CB177" s="36">
        <v>34611</v>
      </c>
      <c r="CC177" s="36">
        <v>1332</v>
      </c>
      <c r="CD177" s="36">
        <v>2914</v>
      </c>
      <c r="CE177" s="36">
        <v>35337</v>
      </c>
      <c r="CF177" s="36">
        <v>1696</v>
      </c>
      <c r="CG177" s="36">
        <v>3311</v>
      </c>
      <c r="CH177" s="36">
        <v>36268</v>
      </c>
      <c r="CI177" s="36">
        <v>2415</v>
      </c>
      <c r="CJ177" s="70">
        <v>3546</v>
      </c>
      <c r="CK177" s="70">
        <v>39175</v>
      </c>
      <c r="CL177" s="70">
        <v>2719</v>
      </c>
      <c r="CM177" s="36">
        <v>3600</v>
      </c>
      <c r="CN177" s="36">
        <v>42223</v>
      </c>
      <c r="CO177" s="36">
        <v>2547</v>
      </c>
      <c r="CP177" s="36">
        <v>3712</v>
      </c>
      <c r="CQ177" s="36">
        <v>45815</v>
      </c>
      <c r="CR177" s="36">
        <v>2253</v>
      </c>
      <c r="CS177" s="36">
        <v>3983</v>
      </c>
      <c r="CT177" s="36">
        <v>-104.94926611198287</v>
      </c>
      <c r="CU177" s="36">
        <v>-2584.03930167</v>
      </c>
      <c r="CV177" s="36">
        <v>2036.4194135959756</v>
      </c>
      <c r="CW177" s="36">
        <v>15429</v>
      </c>
      <c r="CX177" s="36">
        <v>4857.2673162084384</v>
      </c>
      <c r="CY177" s="36">
        <v>-2942.2795859099997</v>
      </c>
      <c r="CZ177" s="36">
        <v>2168.6151237947233</v>
      </c>
      <c r="DA177" s="36">
        <v>11872</v>
      </c>
      <c r="DB177" s="36">
        <v>-205.52564613596644</v>
      </c>
      <c r="DC177" s="36">
        <v>-3614.52672742</v>
      </c>
      <c r="DD177" s="36">
        <v>2187.7885474113355</v>
      </c>
      <c r="DE177" s="36">
        <v>12949</v>
      </c>
      <c r="DF177" s="36">
        <v>-53.147384761837429</v>
      </c>
      <c r="DG177" s="36">
        <v>-3498</v>
      </c>
      <c r="DH177" s="36">
        <v>2366.067749460537</v>
      </c>
      <c r="DI177" s="36">
        <v>14975</v>
      </c>
      <c r="DJ177" s="36">
        <v>7937</v>
      </c>
      <c r="DK177" s="36">
        <v>-2798</v>
      </c>
      <c r="DL177" s="36">
        <v>2407</v>
      </c>
      <c r="DM177" s="36">
        <v>13993</v>
      </c>
      <c r="DN177" s="36">
        <v>2645</v>
      </c>
      <c r="DO177" s="69">
        <v>-3837</v>
      </c>
      <c r="DP177" s="36">
        <v>2366</v>
      </c>
      <c r="DQ177" s="36">
        <v>13351</v>
      </c>
      <c r="DR177" s="36">
        <v>1341</v>
      </c>
      <c r="DS177" s="36">
        <v>-4903</v>
      </c>
      <c r="DT177" s="36">
        <v>2563</v>
      </c>
      <c r="DU177" s="36">
        <v>15348</v>
      </c>
      <c r="DV177" s="36">
        <v>-102</v>
      </c>
      <c r="DW177" s="71">
        <v>-7115</v>
      </c>
      <c r="DX177" s="39">
        <v>2629</v>
      </c>
      <c r="DY177" s="71">
        <v>23104</v>
      </c>
      <c r="DZ177" s="70">
        <v>4098</v>
      </c>
      <c r="EA177" s="35">
        <v>-4882</v>
      </c>
      <c r="EB177" s="35">
        <v>2847</v>
      </c>
      <c r="EC177" s="38">
        <v>25690</v>
      </c>
      <c r="ED177" s="38">
        <v>4841</v>
      </c>
      <c r="EE177" s="38">
        <v>-6244</v>
      </c>
      <c r="EF177" s="38">
        <v>2976</v>
      </c>
      <c r="EG177" s="73">
        <v>26873</v>
      </c>
      <c r="EH177" s="73">
        <v>1153</v>
      </c>
      <c r="EI177" s="73">
        <v>-10529</v>
      </c>
      <c r="EJ177" s="73">
        <v>3297</v>
      </c>
      <c r="EK177" s="73">
        <v>35928</v>
      </c>
      <c r="EL177" s="73">
        <v>51867.811017318309</v>
      </c>
      <c r="EM177" s="73">
        <v>-1966.4532361879869</v>
      </c>
      <c r="EN177" s="73">
        <v>52361.106205629927</v>
      </c>
      <c r="EO177" s="73">
        <v>2904.100926210911</v>
      </c>
      <c r="EP177" s="73">
        <v>55017.970879942412</v>
      </c>
      <c r="EQ177" s="73">
        <v>-2221.9306964830221</v>
      </c>
      <c r="ER177" s="73">
        <v>57712.173273929358</v>
      </c>
      <c r="ES177" s="73">
        <v>-2399.5371468263779</v>
      </c>
      <c r="ET177" s="73">
        <v>58105</v>
      </c>
      <c r="EU177" s="73">
        <v>5188</v>
      </c>
      <c r="EV177" s="73">
        <v>62577</v>
      </c>
      <c r="EW177" s="73">
        <v>257</v>
      </c>
      <c r="EX177" s="73">
        <v>65710</v>
      </c>
      <c r="EY177" s="73">
        <v>-1220</v>
      </c>
      <c r="EZ177" s="73">
        <v>70621</v>
      </c>
      <c r="FA177" s="73">
        <v>-2721</v>
      </c>
      <c r="FB177" s="73">
        <v>72120</v>
      </c>
      <c r="FC177" s="73">
        <v>1326</v>
      </c>
      <c r="FD177" s="73">
        <v>76317</v>
      </c>
      <c r="FE177" s="73">
        <v>2344</v>
      </c>
      <c r="FF177" s="73">
        <v>86044</v>
      </c>
      <c r="FG177" s="73">
        <v>-2277</v>
      </c>
      <c r="FH177" s="73">
        <v>2529</v>
      </c>
      <c r="FI177" s="73">
        <v>1658</v>
      </c>
      <c r="FJ177" s="79">
        <v>15490</v>
      </c>
      <c r="FK177" s="80">
        <v>51664</v>
      </c>
      <c r="FL177" s="80">
        <v>23850</v>
      </c>
      <c r="FM177" s="80">
        <v>16847</v>
      </c>
      <c r="FN177" s="76">
        <v>165</v>
      </c>
      <c r="FO177" s="80">
        <v>45580</v>
      </c>
      <c r="FP177" s="80">
        <v>1778</v>
      </c>
      <c r="FQ177" s="80">
        <v>4306</v>
      </c>
      <c r="FR177" s="80">
        <v>3651</v>
      </c>
      <c r="FS177" s="81">
        <v>-5927</v>
      </c>
      <c r="FT177" s="76">
        <v>3628</v>
      </c>
      <c r="FU177" s="76">
        <v>39914</v>
      </c>
      <c r="FV177" s="76">
        <v>5927</v>
      </c>
      <c r="FW177" s="80">
        <v>87796</v>
      </c>
      <c r="FX177" s="80">
        <v>-129</v>
      </c>
      <c r="FY177" s="73">
        <v>15501</v>
      </c>
      <c r="FZ177" s="73">
        <v>54837</v>
      </c>
      <c r="GA177" s="73">
        <v>27301</v>
      </c>
      <c r="GB177" s="73">
        <v>16982</v>
      </c>
      <c r="GC177" s="73">
        <v>219</v>
      </c>
      <c r="GD177" s="73">
        <v>46331</v>
      </c>
      <c r="GE177" s="73">
        <v>2524</v>
      </c>
      <c r="GF177" s="73">
        <v>5982</v>
      </c>
      <c r="GG177" s="73">
        <v>6770</v>
      </c>
      <c r="GH177" s="73">
        <v>-5096</v>
      </c>
      <c r="GI177" s="73">
        <v>3711</v>
      </c>
      <c r="GJ177" s="73">
        <v>37720</v>
      </c>
      <c r="GK177" s="73">
        <v>5096</v>
      </c>
      <c r="GL177" s="73">
        <v>91674</v>
      </c>
      <c r="GM177" s="73">
        <v>3218</v>
      </c>
      <c r="GN177" s="73">
        <v>4524</v>
      </c>
      <c r="GO177" s="77">
        <v>19.25</v>
      </c>
      <c r="GP177" s="78">
        <v>15505</v>
      </c>
      <c r="GQ177" s="73">
        <v>56646</v>
      </c>
      <c r="GR177" s="65">
        <v>28369</v>
      </c>
      <c r="GS177" s="65">
        <v>18354</v>
      </c>
      <c r="GT177" s="65">
        <v>525</v>
      </c>
      <c r="GU177" s="65">
        <v>46707</v>
      </c>
      <c r="GV177" s="65">
        <v>3785</v>
      </c>
      <c r="GW177" s="65">
        <v>6154</v>
      </c>
      <c r="GX177" s="65">
        <v>4304</v>
      </c>
      <c r="GY177" s="65">
        <v>-8887</v>
      </c>
      <c r="GZ177" s="65">
        <v>3722</v>
      </c>
      <c r="HA177" s="65">
        <v>39663</v>
      </c>
      <c r="HB177" s="65">
        <v>8887</v>
      </c>
      <c r="HC177" s="65">
        <v>98319</v>
      </c>
      <c r="HD177" s="65">
        <v>1457</v>
      </c>
      <c r="HE177" s="78">
        <v>15561</v>
      </c>
      <c r="HF177" s="73">
        <v>57277</v>
      </c>
      <c r="HG177" s="65">
        <v>30442</v>
      </c>
      <c r="HH177" s="65">
        <v>16021</v>
      </c>
      <c r="HI177" s="65">
        <v>772</v>
      </c>
      <c r="HJ177" s="65">
        <v>48149</v>
      </c>
      <c r="HK177" s="65">
        <v>2803</v>
      </c>
      <c r="HL177" s="65">
        <v>6325</v>
      </c>
      <c r="HM177" s="65">
        <v>1771</v>
      </c>
      <c r="HN177" s="65">
        <v>-7292</v>
      </c>
      <c r="HO177" s="65">
        <v>3802</v>
      </c>
      <c r="HP177" s="65">
        <v>47614</v>
      </c>
      <c r="HQ177" s="65">
        <v>7292</v>
      </c>
      <c r="HR177" s="65">
        <v>101929</v>
      </c>
      <c r="HS177" s="65">
        <v>-1923</v>
      </c>
      <c r="HT177" s="65">
        <v>4057</v>
      </c>
      <c r="HU177" s="77">
        <v>19.25</v>
      </c>
      <c r="HV177" s="180">
        <v>230</v>
      </c>
      <c r="HW177" s="30" t="s">
        <v>756</v>
      </c>
    </row>
    <row r="178" spans="1:231" ht="15" x14ac:dyDescent="0.25">
      <c r="A178" s="27">
        <v>580</v>
      </c>
      <c r="B178" s="27" t="s">
        <v>304</v>
      </c>
      <c r="C178" s="27">
        <v>9</v>
      </c>
      <c r="D178" s="27" t="s">
        <v>105</v>
      </c>
      <c r="E178" s="27">
        <v>2</v>
      </c>
      <c r="F178" s="27" t="s">
        <v>744</v>
      </c>
      <c r="G178" s="29" t="s">
        <v>130</v>
      </c>
      <c r="H178" s="27" t="s">
        <v>98</v>
      </c>
      <c r="I178" s="31" t="s">
        <v>105</v>
      </c>
      <c r="J178" s="69">
        <v>6911</v>
      </c>
      <c r="K178" s="69">
        <v>6832</v>
      </c>
      <c r="L178" s="36">
        <v>6653</v>
      </c>
      <c r="M178" s="36">
        <v>6579</v>
      </c>
      <c r="N178" s="36">
        <v>6468</v>
      </c>
      <c r="O178" s="36">
        <v>6353</v>
      </c>
      <c r="P178" s="36">
        <v>6271</v>
      </c>
      <c r="Q178" s="36">
        <v>6231</v>
      </c>
      <c r="R178" s="69">
        <v>6151</v>
      </c>
      <c r="S178" s="69">
        <v>6070</v>
      </c>
      <c r="T178" s="71">
        <v>6007</v>
      </c>
      <c r="U178" s="36">
        <v>12002</v>
      </c>
      <c r="V178" s="36">
        <v>7111</v>
      </c>
      <c r="W178" s="36">
        <v>5411</v>
      </c>
      <c r="X178" s="36">
        <v>542.57425076483457</v>
      </c>
      <c r="Y178" s="36">
        <v>11585</v>
      </c>
      <c r="Z178" s="36">
        <v>7474</v>
      </c>
      <c r="AA178" s="36">
        <v>5326</v>
      </c>
      <c r="AB178" s="36">
        <v>591.01237358574974</v>
      </c>
      <c r="AC178" s="36">
        <v>11605</v>
      </c>
      <c r="AD178" s="36">
        <v>7964</v>
      </c>
      <c r="AE178" s="36">
        <v>5468</v>
      </c>
      <c r="AF178" s="36">
        <v>681.3292900955812</v>
      </c>
      <c r="AG178" s="36">
        <v>11402</v>
      </c>
      <c r="AH178" s="36">
        <v>9359</v>
      </c>
      <c r="AI178" s="36">
        <v>5808</v>
      </c>
      <c r="AJ178" s="36">
        <v>472.60807335684603</v>
      </c>
      <c r="AK178" s="36">
        <v>11631</v>
      </c>
      <c r="AL178" s="36">
        <v>10287</v>
      </c>
      <c r="AM178" s="36">
        <v>5871</v>
      </c>
      <c r="AN178" s="36">
        <v>370</v>
      </c>
      <c r="AO178" s="36">
        <v>11200</v>
      </c>
      <c r="AP178" s="36">
        <v>11393</v>
      </c>
      <c r="AQ178" s="36">
        <v>6240</v>
      </c>
      <c r="AR178" s="36">
        <v>291</v>
      </c>
      <c r="AS178" s="36">
        <v>11430</v>
      </c>
      <c r="AT178" s="36">
        <v>11527</v>
      </c>
      <c r="AU178" s="36">
        <v>6210</v>
      </c>
      <c r="AV178" s="36">
        <v>296</v>
      </c>
      <c r="AW178" s="36">
        <v>11670</v>
      </c>
      <c r="AX178" s="69">
        <v>11614</v>
      </c>
      <c r="AY178" s="36">
        <v>8822</v>
      </c>
      <c r="AZ178" s="36">
        <v>275</v>
      </c>
      <c r="BA178" s="36">
        <v>12154</v>
      </c>
      <c r="BB178" s="36">
        <v>12292</v>
      </c>
      <c r="BC178" s="36">
        <v>10468</v>
      </c>
      <c r="BD178" s="36">
        <v>226</v>
      </c>
      <c r="BE178" s="70">
        <v>12834</v>
      </c>
      <c r="BF178" s="70">
        <v>12596</v>
      </c>
      <c r="BG178" s="70">
        <v>9917</v>
      </c>
      <c r="BH178" s="70">
        <v>355</v>
      </c>
      <c r="BI178" s="36">
        <v>13298</v>
      </c>
      <c r="BJ178" s="36">
        <v>13872</v>
      </c>
      <c r="BK178" s="36">
        <v>9411</v>
      </c>
      <c r="BL178" s="36">
        <v>343</v>
      </c>
      <c r="BM178" s="36">
        <v>8715.3301613090407</v>
      </c>
      <c r="BN178" s="36">
        <v>2800.833539363543</v>
      </c>
      <c r="BO178" s="36">
        <v>473.61720091561506</v>
      </c>
      <c r="BP178" s="36">
        <v>8977.8715145154583</v>
      </c>
      <c r="BQ178" s="36">
        <v>2119.1678734150391</v>
      </c>
      <c r="BR178" s="36">
        <v>476.47639566546076</v>
      </c>
      <c r="BS178" s="36">
        <v>8420.8331020749356</v>
      </c>
      <c r="BT178" s="36">
        <v>2599.8489672420378</v>
      </c>
      <c r="BU178" s="36">
        <v>573.35264130729115</v>
      </c>
      <c r="BV178" s="36">
        <v>9527</v>
      </c>
      <c r="BW178" s="36">
        <v>1255</v>
      </c>
      <c r="BX178" s="36">
        <v>609</v>
      </c>
      <c r="BY178" s="36">
        <v>10201</v>
      </c>
      <c r="BZ178" s="36">
        <v>808</v>
      </c>
      <c r="CA178" s="36">
        <v>619</v>
      </c>
      <c r="CB178" s="36">
        <v>10155</v>
      </c>
      <c r="CC178" s="36">
        <v>418</v>
      </c>
      <c r="CD178" s="36">
        <v>627</v>
      </c>
      <c r="CE178" s="36">
        <v>10228</v>
      </c>
      <c r="CF178" s="36">
        <v>610</v>
      </c>
      <c r="CG178" s="36">
        <v>592</v>
      </c>
      <c r="CH178" s="36">
        <v>10318</v>
      </c>
      <c r="CI178" s="36">
        <v>755</v>
      </c>
      <c r="CJ178" s="70">
        <v>597</v>
      </c>
      <c r="CK178" s="70">
        <v>10772</v>
      </c>
      <c r="CL178" s="70">
        <v>785</v>
      </c>
      <c r="CM178" s="36">
        <v>597</v>
      </c>
      <c r="CN178" s="36">
        <v>11267</v>
      </c>
      <c r="CO178" s="36">
        <v>951</v>
      </c>
      <c r="CP178" s="36">
        <v>616</v>
      </c>
      <c r="CQ178" s="36">
        <v>11631</v>
      </c>
      <c r="CR178" s="36">
        <v>1013</v>
      </c>
      <c r="CS178" s="36">
        <v>654</v>
      </c>
      <c r="CT178" s="36">
        <v>716.31237879957541</v>
      </c>
      <c r="CU178" s="36">
        <v>-796.70620770000005</v>
      </c>
      <c r="CV178" s="36">
        <v>819.74795357340463</v>
      </c>
      <c r="CW178" s="36">
        <v>3142</v>
      </c>
      <c r="CX178" s="36">
        <v>455.62109278423338</v>
      </c>
      <c r="CY178" s="36">
        <v>-729.76741291999997</v>
      </c>
      <c r="CZ178" s="36">
        <v>878.44553990847203</v>
      </c>
      <c r="DA178" s="36">
        <v>2786</v>
      </c>
      <c r="DB178" s="36">
        <v>784.09211316356436</v>
      </c>
      <c r="DC178" s="36">
        <v>-446.53894478999996</v>
      </c>
      <c r="DD178" s="36">
        <v>856.58110946847569</v>
      </c>
      <c r="DE178" s="36">
        <v>2525</v>
      </c>
      <c r="DF178" s="36">
        <v>-118.90886400828828</v>
      </c>
      <c r="DG178" s="36">
        <v>-793</v>
      </c>
      <c r="DH178" s="36">
        <v>864.82231786508976</v>
      </c>
      <c r="DI178" s="36">
        <v>2132</v>
      </c>
      <c r="DJ178" s="36">
        <v>2550</v>
      </c>
      <c r="DK178" s="36">
        <v>-481</v>
      </c>
      <c r="DL178" s="36">
        <v>841</v>
      </c>
      <c r="DM178" s="36">
        <v>1538</v>
      </c>
      <c r="DN178" s="36">
        <v>1649</v>
      </c>
      <c r="DO178" s="69">
        <v>-767</v>
      </c>
      <c r="DP178" s="36">
        <v>809</v>
      </c>
      <c r="DQ178" s="36">
        <v>1125</v>
      </c>
      <c r="DR178" s="36">
        <v>123</v>
      </c>
      <c r="DS178" s="36">
        <v>-1582</v>
      </c>
      <c r="DT178" s="36">
        <v>920</v>
      </c>
      <c r="DU178" s="36">
        <v>962</v>
      </c>
      <c r="DV178" s="36">
        <v>2053</v>
      </c>
      <c r="DW178" s="71">
        <v>-1369</v>
      </c>
      <c r="DX178" s="39">
        <v>924</v>
      </c>
      <c r="DY178" s="71">
        <v>901</v>
      </c>
      <c r="DZ178" s="70">
        <v>1701</v>
      </c>
      <c r="EA178" s="35">
        <v>-1872</v>
      </c>
      <c r="EB178" s="35">
        <v>885</v>
      </c>
      <c r="EC178" s="38">
        <v>842</v>
      </c>
      <c r="ED178" s="38">
        <v>993</v>
      </c>
      <c r="EE178" s="38">
        <v>-2729</v>
      </c>
      <c r="EF178" s="38">
        <v>925</v>
      </c>
      <c r="EG178" s="73">
        <v>788</v>
      </c>
      <c r="EH178" s="73">
        <v>660</v>
      </c>
      <c r="EI178" s="73">
        <v>-4429</v>
      </c>
      <c r="EJ178" s="73">
        <v>1006</v>
      </c>
      <c r="EK178" s="73">
        <v>742</v>
      </c>
      <c r="EL178" s="73">
        <v>23118.271431766996</v>
      </c>
      <c r="EM178" s="73">
        <v>180.12926924027832</v>
      </c>
      <c r="EN178" s="73">
        <v>23309.332916227275</v>
      </c>
      <c r="EO178" s="73">
        <v>-292.3106161901062</v>
      </c>
      <c r="EP178" s="73">
        <v>23708.779241573364</v>
      </c>
      <c r="EQ178" s="73">
        <v>58.697586335067342</v>
      </c>
      <c r="ER178" s="73">
        <v>25863.939331251164</v>
      </c>
      <c r="ES178" s="73">
        <v>-538.03317675037374</v>
      </c>
      <c r="ET178" s="73">
        <v>25498</v>
      </c>
      <c r="EU178" s="73">
        <v>1794</v>
      </c>
      <c r="EV178" s="73">
        <v>27409</v>
      </c>
      <c r="EW178" s="73">
        <v>1549</v>
      </c>
      <c r="EX178" s="73">
        <v>29320</v>
      </c>
      <c r="EY178" s="73">
        <v>-449</v>
      </c>
      <c r="EZ178" s="73">
        <v>30312</v>
      </c>
      <c r="FA178" s="73">
        <v>1325</v>
      </c>
      <c r="FB178" s="73">
        <v>33431</v>
      </c>
      <c r="FC178" s="73">
        <v>717</v>
      </c>
      <c r="FD178" s="73">
        <v>34673</v>
      </c>
      <c r="FE178" s="73">
        <v>123</v>
      </c>
      <c r="FF178" s="73">
        <v>36258</v>
      </c>
      <c r="FG178" s="73">
        <v>-296</v>
      </c>
      <c r="FH178" s="73">
        <v>10864</v>
      </c>
      <c r="FI178" s="73">
        <v>10568</v>
      </c>
      <c r="FJ178" s="79">
        <v>5885</v>
      </c>
      <c r="FK178" s="80">
        <v>13578</v>
      </c>
      <c r="FL178" s="80">
        <v>15102</v>
      </c>
      <c r="FM178" s="80">
        <v>10767</v>
      </c>
      <c r="FN178" s="76">
        <v>74</v>
      </c>
      <c r="FO178" s="80">
        <v>11990</v>
      </c>
      <c r="FP178" s="80">
        <v>843</v>
      </c>
      <c r="FQ178" s="80">
        <v>745</v>
      </c>
      <c r="FR178" s="80">
        <v>1698</v>
      </c>
      <c r="FS178" s="81">
        <v>-4180</v>
      </c>
      <c r="FT178" s="76">
        <v>1157</v>
      </c>
      <c r="FU178" s="76">
        <v>693</v>
      </c>
      <c r="FV178" s="76">
        <v>4180</v>
      </c>
      <c r="FW178" s="80">
        <v>37823</v>
      </c>
      <c r="FX178" s="80">
        <v>588</v>
      </c>
      <c r="FY178" s="73">
        <v>5787</v>
      </c>
      <c r="FZ178" s="73">
        <v>14284</v>
      </c>
      <c r="GA178" s="73">
        <v>15519</v>
      </c>
      <c r="GB178" s="73">
        <v>10482</v>
      </c>
      <c r="GC178" s="73">
        <v>-60</v>
      </c>
      <c r="GD178" s="73">
        <v>12079</v>
      </c>
      <c r="GE178" s="73">
        <v>1073</v>
      </c>
      <c r="GF178" s="73">
        <v>1132</v>
      </c>
      <c r="GG178" s="73">
        <v>1742</v>
      </c>
      <c r="GH178" s="73">
        <v>-49</v>
      </c>
      <c r="GI178" s="73">
        <v>1569</v>
      </c>
      <c r="GJ178" s="73">
        <v>1584</v>
      </c>
      <c r="GK178" s="73">
        <v>49</v>
      </c>
      <c r="GL178" s="73">
        <v>38479</v>
      </c>
      <c r="GM178" s="73">
        <v>240</v>
      </c>
      <c r="GN178" s="73">
        <v>11435</v>
      </c>
      <c r="GO178" s="77">
        <v>18.5</v>
      </c>
      <c r="GP178" s="78">
        <v>5664</v>
      </c>
      <c r="GQ178" s="73">
        <v>14363</v>
      </c>
      <c r="GR178" s="65">
        <v>15520</v>
      </c>
      <c r="GS178" s="65">
        <v>11248</v>
      </c>
      <c r="GT178" s="65">
        <v>35</v>
      </c>
      <c r="GU178" s="65">
        <v>12047</v>
      </c>
      <c r="GV178" s="65">
        <v>1180</v>
      </c>
      <c r="GW178" s="65">
        <v>1136</v>
      </c>
      <c r="GX178" s="65">
        <v>991</v>
      </c>
      <c r="GY178" s="65">
        <v>-1251</v>
      </c>
      <c r="GZ178" s="65">
        <v>1297</v>
      </c>
      <c r="HA178" s="65">
        <v>1435</v>
      </c>
      <c r="HB178" s="65">
        <v>1251</v>
      </c>
      <c r="HC178" s="65">
        <v>40162</v>
      </c>
      <c r="HD178" s="65">
        <v>-278</v>
      </c>
      <c r="HE178" s="78">
        <v>5591</v>
      </c>
      <c r="HF178" s="73">
        <v>14154</v>
      </c>
      <c r="HG178" s="65">
        <v>15945</v>
      </c>
      <c r="HH178" s="65">
        <v>10814</v>
      </c>
      <c r="HI178" s="65">
        <v>49</v>
      </c>
      <c r="HJ178" s="65">
        <v>12196</v>
      </c>
      <c r="HK178" s="65">
        <v>815</v>
      </c>
      <c r="HL178" s="65">
        <v>1143</v>
      </c>
      <c r="HM178" s="65">
        <v>13</v>
      </c>
      <c r="HN178" s="65">
        <v>-1463</v>
      </c>
      <c r="HO178" s="65">
        <v>1332</v>
      </c>
      <c r="HP178" s="65">
        <v>1765</v>
      </c>
      <c r="HQ178" s="65">
        <v>1463</v>
      </c>
      <c r="HR178" s="65">
        <v>40933</v>
      </c>
      <c r="HS178" s="65">
        <v>-1270</v>
      </c>
      <c r="HT178" s="65">
        <v>9957</v>
      </c>
      <c r="HU178" s="77">
        <v>18.5</v>
      </c>
      <c r="HV178" s="180">
        <v>340</v>
      </c>
      <c r="HW178" s="30" t="s">
        <v>761</v>
      </c>
    </row>
    <row r="179" spans="1:231" ht="15" x14ac:dyDescent="0.25">
      <c r="A179" s="27">
        <v>581</v>
      </c>
      <c r="B179" s="27" t="s">
        <v>305</v>
      </c>
      <c r="C179" s="27">
        <v>6</v>
      </c>
      <c r="D179" s="27" t="s">
        <v>114</v>
      </c>
      <c r="E179" s="27">
        <v>3</v>
      </c>
      <c r="F179" s="27" t="s">
        <v>743</v>
      </c>
      <c r="G179" s="29" t="s">
        <v>132</v>
      </c>
      <c r="H179" s="27" t="s">
        <v>99</v>
      </c>
      <c r="I179" s="31" t="s">
        <v>114</v>
      </c>
      <c r="J179" s="69">
        <v>7988</v>
      </c>
      <c r="K179" s="69">
        <v>7947</v>
      </c>
      <c r="L179" s="36">
        <v>7807</v>
      </c>
      <c r="M179" s="36">
        <v>7758</v>
      </c>
      <c r="N179" s="36">
        <v>7620</v>
      </c>
      <c r="O179" s="36">
        <v>7499</v>
      </c>
      <c r="P179" s="36">
        <v>7471</v>
      </c>
      <c r="Q179" s="36">
        <v>7340</v>
      </c>
      <c r="R179" s="69">
        <v>7213</v>
      </c>
      <c r="S179" s="69">
        <v>7132</v>
      </c>
      <c r="T179" s="71">
        <v>7115</v>
      </c>
      <c r="U179" s="36">
        <v>15625</v>
      </c>
      <c r="V179" s="36">
        <v>7111</v>
      </c>
      <c r="W179" s="36">
        <v>4526</v>
      </c>
      <c r="X179" s="36">
        <v>525.08270641283741</v>
      </c>
      <c r="Y179" s="36">
        <v>15291</v>
      </c>
      <c r="Z179" s="36">
        <v>7314</v>
      </c>
      <c r="AA179" s="36">
        <v>4568</v>
      </c>
      <c r="AB179" s="36">
        <v>296.85169020456698</v>
      </c>
      <c r="AC179" s="36">
        <v>15932</v>
      </c>
      <c r="AD179" s="36">
        <v>8410</v>
      </c>
      <c r="AE179" s="36">
        <v>4701</v>
      </c>
      <c r="AF179" s="36">
        <v>223.68994219380966</v>
      </c>
      <c r="AG179" s="36">
        <v>17648</v>
      </c>
      <c r="AH179" s="36">
        <v>7624</v>
      </c>
      <c r="AI179" s="36">
        <v>4842</v>
      </c>
      <c r="AJ179" s="36">
        <v>698.31627066819374</v>
      </c>
      <c r="AK179" s="36">
        <v>18897</v>
      </c>
      <c r="AL179" s="36">
        <v>7980</v>
      </c>
      <c r="AM179" s="36">
        <v>4906</v>
      </c>
      <c r="AN179" s="36">
        <v>134</v>
      </c>
      <c r="AO179" s="36">
        <v>16616</v>
      </c>
      <c r="AP179" s="36">
        <v>7818</v>
      </c>
      <c r="AQ179" s="36">
        <v>5362</v>
      </c>
      <c r="AR179" s="36">
        <v>192</v>
      </c>
      <c r="AS179" s="36">
        <v>16485</v>
      </c>
      <c r="AT179" s="36">
        <v>8910</v>
      </c>
      <c r="AU179" s="36">
        <v>5065</v>
      </c>
      <c r="AV179" s="36">
        <v>133</v>
      </c>
      <c r="AW179" s="36">
        <v>16562</v>
      </c>
      <c r="AX179" s="69">
        <v>8935</v>
      </c>
      <c r="AY179" s="36">
        <v>4843</v>
      </c>
      <c r="AZ179" s="36">
        <v>223</v>
      </c>
      <c r="BA179" s="36">
        <v>18213</v>
      </c>
      <c r="BB179" s="36">
        <v>10345</v>
      </c>
      <c r="BC179" s="36">
        <v>4887</v>
      </c>
      <c r="BD179" s="36">
        <v>87</v>
      </c>
      <c r="BE179" s="70">
        <v>19875</v>
      </c>
      <c r="BF179" s="70">
        <v>10586</v>
      </c>
      <c r="BG179" s="70">
        <v>5254</v>
      </c>
      <c r="BH179" s="70">
        <v>192</v>
      </c>
      <c r="BI179" s="36">
        <v>21254</v>
      </c>
      <c r="BJ179" s="36">
        <v>11853</v>
      </c>
      <c r="BK179" s="36">
        <v>5605</v>
      </c>
      <c r="BL179" s="36">
        <v>82</v>
      </c>
      <c r="BM179" s="36">
        <v>12606.862403775482</v>
      </c>
      <c r="BN179" s="36">
        <v>2381.8774145479192</v>
      </c>
      <c r="BO179" s="36">
        <v>636.75948958328092</v>
      </c>
      <c r="BP179" s="36">
        <v>11984.903451720815</v>
      </c>
      <c r="BQ179" s="36">
        <v>2606.7446722269592</v>
      </c>
      <c r="BR179" s="36">
        <v>699.15721030050133</v>
      </c>
      <c r="BS179" s="36">
        <v>12255.181449544463</v>
      </c>
      <c r="BT179" s="36">
        <v>2939.5885786942899</v>
      </c>
      <c r="BU179" s="36">
        <v>737.50405753372581</v>
      </c>
      <c r="BV179" s="36">
        <v>13473</v>
      </c>
      <c r="BW179" s="36">
        <v>3405</v>
      </c>
      <c r="BX179" s="36">
        <v>771</v>
      </c>
      <c r="BY179" s="36">
        <v>14736</v>
      </c>
      <c r="BZ179" s="36">
        <v>3363</v>
      </c>
      <c r="CA179" s="36">
        <v>798</v>
      </c>
      <c r="CB179" s="36">
        <v>14152</v>
      </c>
      <c r="CC179" s="36">
        <v>1696</v>
      </c>
      <c r="CD179" s="36">
        <v>768</v>
      </c>
      <c r="CE179" s="36">
        <v>14136</v>
      </c>
      <c r="CF179" s="36">
        <v>1579</v>
      </c>
      <c r="CG179" s="36">
        <v>770</v>
      </c>
      <c r="CH179" s="36">
        <v>14216</v>
      </c>
      <c r="CI179" s="36">
        <v>1539</v>
      </c>
      <c r="CJ179" s="70">
        <v>807</v>
      </c>
      <c r="CK179" s="70">
        <v>15514</v>
      </c>
      <c r="CL179" s="70">
        <v>1781</v>
      </c>
      <c r="CM179" s="36">
        <v>918</v>
      </c>
      <c r="CN179" s="36">
        <v>16633</v>
      </c>
      <c r="CO179" s="36">
        <v>2134</v>
      </c>
      <c r="CP179" s="36">
        <v>1108</v>
      </c>
      <c r="CQ179" s="36">
        <v>17846</v>
      </c>
      <c r="CR179" s="36">
        <v>2245</v>
      </c>
      <c r="CS179" s="36">
        <v>1163</v>
      </c>
      <c r="CT179" s="36">
        <v>1055.7156143989048</v>
      </c>
      <c r="CU179" s="36">
        <v>-1524.455365</v>
      </c>
      <c r="CV179" s="36">
        <v>1142.668772379506</v>
      </c>
      <c r="CW179" s="36">
        <v>9124</v>
      </c>
      <c r="CX179" s="36">
        <v>-252.11370176580502</v>
      </c>
      <c r="CY179" s="36">
        <v>-1194.470654</v>
      </c>
      <c r="CZ179" s="36">
        <v>1203.8891776114961</v>
      </c>
      <c r="DA179" s="36">
        <v>9798</v>
      </c>
      <c r="DB179" s="36">
        <v>2194.8524403227188</v>
      </c>
      <c r="DC179" s="36">
        <v>-1167.392398</v>
      </c>
      <c r="DD179" s="36">
        <v>1192.1160227591902</v>
      </c>
      <c r="DE179" s="36">
        <v>8926</v>
      </c>
      <c r="DF179" s="36">
        <v>2349.5853326673091</v>
      </c>
      <c r="DG179" s="36">
        <v>-1383</v>
      </c>
      <c r="DH179" s="36">
        <v>1193.1251503179592</v>
      </c>
      <c r="DI179" s="36">
        <v>8200</v>
      </c>
      <c r="DJ179" s="36">
        <v>4027</v>
      </c>
      <c r="DK179" s="36">
        <v>-1306</v>
      </c>
      <c r="DL179" s="36">
        <v>1287</v>
      </c>
      <c r="DM179" s="36">
        <v>6154</v>
      </c>
      <c r="DN179" s="36">
        <v>172</v>
      </c>
      <c r="DO179" s="69">
        <v>-2361</v>
      </c>
      <c r="DP179" s="36">
        <v>1171</v>
      </c>
      <c r="DQ179" s="36">
        <v>7307</v>
      </c>
      <c r="DR179" s="36">
        <v>-250</v>
      </c>
      <c r="DS179" s="36">
        <v>-2451</v>
      </c>
      <c r="DT179" s="36">
        <v>899</v>
      </c>
      <c r="DU179" s="36">
        <v>10656</v>
      </c>
      <c r="DV179" s="36">
        <v>-1247</v>
      </c>
      <c r="DW179" s="71">
        <v>-1611</v>
      </c>
      <c r="DX179" s="39">
        <v>1026</v>
      </c>
      <c r="DY179" s="71">
        <v>14077</v>
      </c>
      <c r="DZ179" s="70">
        <v>394</v>
      </c>
      <c r="EA179" s="35">
        <v>-949</v>
      </c>
      <c r="EB179" s="35">
        <v>1300</v>
      </c>
      <c r="EC179" s="38">
        <v>15098</v>
      </c>
      <c r="ED179" s="38">
        <v>3106</v>
      </c>
      <c r="EE179" s="38">
        <v>-986</v>
      </c>
      <c r="EF179" s="38">
        <v>1216</v>
      </c>
      <c r="EG179" s="73">
        <v>13408</v>
      </c>
      <c r="EH179" s="73">
        <v>2778</v>
      </c>
      <c r="EI179" s="73">
        <v>-1814</v>
      </c>
      <c r="EJ179" s="73">
        <v>1167</v>
      </c>
      <c r="EK179" s="73">
        <v>11798</v>
      </c>
      <c r="EL179" s="73">
        <v>24800.655260161493</v>
      </c>
      <c r="EM179" s="73">
        <v>-86.953157980601205</v>
      </c>
      <c r="EN179" s="73">
        <v>25643.108583807203</v>
      </c>
      <c r="EO179" s="73">
        <v>-1456.002879377301</v>
      </c>
      <c r="EP179" s="73">
        <v>25126.26708579098</v>
      </c>
      <c r="EQ179" s="73">
        <v>1002.7364175635288</v>
      </c>
      <c r="ER179" s="73">
        <v>26499.185129496294</v>
      </c>
      <c r="ES179" s="73">
        <v>1156.4601823493499</v>
      </c>
      <c r="ET179" s="73">
        <v>27549</v>
      </c>
      <c r="EU179" s="73">
        <v>2740</v>
      </c>
      <c r="EV179" s="73">
        <v>29536</v>
      </c>
      <c r="EW179" s="73">
        <v>-939</v>
      </c>
      <c r="EX179" s="73">
        <v>30481</v>
      </c>
      <c r="EY179" s="73">
        <v>-1149</v>
      </c>
      <c r="EZ179" s="73">
        <v>31489</v>
      </c>
      <c r="FA179" s="73">
        <v>-2273</v>
      </c>
      <c r="FB179" s="73">
        <v>32758</v>
      </c>
      <c r="FC179" s="73">
        <v>-906</v>
      </c>
      <c r="FD179" s="73">
        <v>32166</v>
      </c>
      <c r="FE179" s="73">
        <v>1890</v>
      </c>
      <c r="FF179" s="73">
        <v>35509</v>
      </c>
      <c r="FG179" s="73">
        <v>1611</v>
      </c>
      <c r="FH179" s="73">
        <v>-241</v>
      </c>
      <c r="FI179" s="73">
        <v>1370</v>
      </c>
      <c r="FJ179" s="79">
        <v>7069</v>
      </c>
      <c r="FK179" s="80">
        <v>21474</v>
      </c>
      <c r="FL179" s="80">
        <v>12988</v>
      </c>
      <c r="FM179" s="80">
        <v>5823</v>
      </c>
      <c r="FN179" s="76">
        <v>66</v>
      </c>
      <c r="FO179" s="80">
        <v>18393</v>
      </c>
      <c r="FP179" s="80">
        <v>1908</v>
      </c>
      <c r="FQ179" s="80">
        <v>1173</v>
      </c>
      <c r="FR179" s="80">
        <v>4010</v>
      </c>
      <c r="FS179" s="81">
        <v>-1818</v>
      </c>
      <c r="FT179" s="76">
        <v>1121</v>
      </c>
      <c r="FU179" s="76">
        <v>11452</v>
      </c>
      <c r="FV179" s="76">
        <v>1818</v>
      </c>
      <c r="FW179" s="80">
        <v>35956</v>
      </c>
      <c r="FX179" s="80">
        <v>2889</v>
      </c>
      <c r="FY179" s="73">
        <v>6978</v>
      </c>
      <c r="FZ179" s="73">
        <v>20380</v>
      </c>
      <c r="GA179" s="73">
        <v>13786</v>
      </c>
      <c r="GB179" s="73">
        <v>6958</v>
      </c>
      <c r="GC179" s="73">
        <v>78</v>
      </c>
      <c r="GD179" s="73">
        <v>16986</v>
      </c>
      <c r="GE179" s="73">
        <v>2211</v>
      </c>
      <c r="GF179" s="73">
        <v>1183</v>
      </c>
      <c r="GG179" s="73">
        <v>3479</v>
      </c>
      <c r="GH179" s="73">
        <v>-1039</v>
      </c>
      <c r="GI179" s="73">
        <v>1183</v>
      </c>
      <c r="GJ179" s="73">
        <v>10535</v>
      </c>
      <c r="GK179" s="73">
        <v>1039</v>
      </c>
      <c r="GL179" s="73">
        <v>37480</v>
      </c>
      <c r="GM179" s="73">
        <v>2296</v>
      </c>
      <c r="GN179" s="73">
        <v>6555</v>
      </c>
      <c r="GO179" s="77">
        <v>20.5</v>
      </c>
      <c r="GP179" s="78">
        <v>6982</v>
      </c>
      <c r="GQ179" s="73">
        <v>20500</v>
      </c>
      <c r="GR179" s="65">
        <v>14542</v>
      </c>
      <c r="GS179" s="65">
        <v>7010</v>
      </c>
      <c r="GT179" s="65">
        <v>112</v>
      </c>
      <c r="GU179" s="65">
        <v>16999</v>
      </c>
      <c r="GV179" s="65">
        <v>2294</v>
      </c>
      <c r="GW179" s="65">
        <v>1207</v>
      </c>
      <c r="GX179" s="65">
        <v>2926</v>
      </c>
      <c r="GY179" s="65">
        <v>-1682</v>
      </c>
      <c r="GZ179" s="65">
        <v>1294</v>
      </c>
      <c r="HA179" s="65">
        <v>9581</v>
      </c>
      <c r="HB179" s="65">
        <v>1682</v>
      </c>
      <c r="HC179" s="65">
        <v>39019</v>
      </c>
      <c r="HD179" s="65">
        <v>1632</v>
      </c>
      <c r="HE179" s="78">
        <v>6918</v>
      </c>
      <c r="HF179" s="73">
        <v>20361</v>
      </c>
      <c r="HG179" s="65">
        <v>15425</v>
      </c>
      <c r="HH179" s="65">
        <v>7136</v>
      </c>
      <c r="HI179" s="65">
        <v>79</v>
      </c>
      <c r="HJ179" s="65">
        <v>17554</v>
      </c>
      <c r="HK179" s="65">
        <v>1527</v>
      </c>
      <c r="HL179" s="65">
        <v>1280</v>
      </c>
      <c r="HM179" s="65">
        <v>1185</v>
      </c>
      <c r="HN179" s="65">
        <v>-4528</v>
      </c>
      <c r="HO179" s="65">
        <v>1292</v>
      </c>
      <c r="HP179" s="65">
        <v>10003</v>
      </c>
      <c r="HQ179" s="65">
        <v>4528</v>
      </c>
      <c r="HR179" s="65">
        <v>41662</v>
      </c>
      <c r="HS179" s="65">
        <v>-107</v>
      </c>
      <c r="HT179" s="65">
        <v>8080</v>
      </c>
      <c r="HU179" s="77">
        <v>20.5</v>
      </c>
      <c r="HV179" s="180">
        <v>240</v>
      </c>
      <c r="HW179" s="30" t="s">
        <v>757</v>
      </c>
    </row>
    <row r="180" spans="1:231" ht="15" x14ac:dyDescent="0.25">
      <c r="A180" s="27">
        <v>599</v>
      </c>
      <c r="B180" s="27" t="s">
        <v>306</v>
      </c>
      <c r="C180" s="27">
        <v>15</v>
      </c>
      <c r="D180" s="27" t="s">
        <v>115</v>
      </c>
      <c r="E180" s="27">
        <v>4</v>
      </c>
      <c r="F180" s="27" t="s">
        <v>100</v>
      </c>
      <c r="G180" s="29" t="s">
        <v>130</v>
      </c>
      <c r="H180" s="27" t="s">
        <v>98</v>
      </c>
      <c r="I180" s="31" t="s">
        <v>115</v>
      </c>
      <c r="J180" s="69">
        <v>10194</v>
      </c>
      <c r="K180" s="69">
        <v>10150</v>
      </c>
      <c r="L180" s="36">
        <v>10258</v>
      </c>
      <c r="M180" s="36">
        <v>10260</v>
      </c>
      <c r="N180" s="36">
        <v>10310</v>
      </c>
      <c r="O180" s="36">
        <v>10406</v>
      </c>
      <c r="P180" s="36">
        <v>10511</v>
      </c>
      <c r="Q180" s="36">
        <v>10566</v>
      </c>
      <c r="R180" s="69">
        <v>10623</v>
      </c>
      <c r="S180" s="69">
        <v>10665</v>
      </c>
      <c r="T180" s="71">
        <v>10757</v>
      </c>
      <c r="U180" s="36">
        <v>16664</v>
      </c>
      <c r="V180" s="36">
        <v>11432</v>
      </c>
      <c r="W180" s="36">
        <v>3892</v>
      </c>
      <c r="X180" s="36">
        <v>597.90807857067171</v>
      </c>
      <c r="Y180" s="36">
        <v>17123</v>
      </c>
      <c r="Z180" s="36">
        <v>11579</v>
      </c>
      <c r="AA180" s="36">
        <v>3831</v>
      </c>
      <c r="AB180" s="36">
        <v>676.95640400758191</v>
      </c>
      <c r="AC180" s="36">
        <v>16787</v>
      </c>
      <c r="AD180" s="36">
        <v>12781</v>
      </c>
      <c r="AE180" s="36">
        <v>4302</v>
      </c>
      <c r="AF180" s="36">
        <v>521.8871358100688</v>
      </c>
      <c r="AG180" s="36">
        <v>19838</v>
      </c>
      <c r="AH180" s="36">
        <v>14800</v>
      </c>
      <c r="AI180" s="36">
        <v>4427</v>
      </c>
      <c r="AJ180" s="36">
        <v>576.38002398359833</v>
      </c>
      <c r="AK180" s="36">
        <v>21109</v>
      </c>
      <c r="AL180" s="36">
        <v>15769</v>
      </c>
      <c r="AM180" s="36">
        <v>4788</v>
      </c>
      <c r="AN180" s="36">
        <v>436</v>
      </c>
      <c r="AO180" s="36">
        <v>20049</v>
      </c>
      <c r="AP180" s="36">
        <v>15779</v>
      </c>
      <c r="AQ180" s="36">
        <v>4600</v>
      </c>
      <c r="AR180" s="36">
        <v>528</v>
      </c>
      <c r="AS180" s="36">
        <v>20391</v>
      </c>
      <c r="AT180" s="36">
        <v>16583</v>
      </c>
      <c r="AU180" s="36">
        <v>5379</v>
      </c>
      <c r="AV180" s="36">
        <v>523</v>
      </c>
      <c r="AW180" s="36">
        <v>21542</v>
      </c>
      <c r="AX180" s="69">
        <v>17612</v>
      </c>
      <c r="AY180" s="36">
        <v>5343</v>
      </c>
      <c r="AZ180" s="36">
        <v>525</v>
      </c>
      <c r="BA180" s="36">
        <v>22669</v>
      </c>
      <c r="BB180" s="36">
        <v>18639</v>
      </c>
      <c r="BC180" s="36">
        <v>6010</v>
      </c>
      <c r="BD180" s="36">
        <v>170</v>
      </c>
      <c r="BE180" s="70">
        <v>24346</v>
      </c>
      <c r="BF180" s="70">
        <v>19510</v>
      </c>
      <c r="BG180" s="70">
        <v>6140</v>
      </c>
      <c r="BH180" s="70">
        <v>513</v>
      </c>
      <c r="BI180" s="36">
        <v>26505</v>
      </c>
      <c r="BJ180" s="36">
        <v>21639</v>
      </c>
      <c r="BK180" s="36">
        <v>6243</v>
      </c>
      <c r="BL180" s="36">
        <v>181</v>
      </c>
      <c r="BM180" s="36">
        <v>14438.260735014876</v>
      </c>
      <c r="BN180" s="36">
        <v>1792.378732300323</v>
      </c>
      <c r="BO180" s="36">
        <v>433.58847441777539</v>
      </c>
      <c r="BP180" s="36">
        <v>14323.556569168126</v>
      </c>
      <c r="BQ180" s="36">
        <v>2199.8980781165642</v>
      </c>
      <c r="BR180" s="36">
        <v>599.25358198236381</v>
      </c>
      <c r="BS180" s="36">
        <v>14370.985564430272</v>
      </c>
      <c r="BT180" s="36">
        <v>1790.360477182785</v>
      </c>
      <c r="BU180" s="36">
        <v>625.32271058389802</v>
      </c>
      <c r="BV180" s="36">
        <v>17067</v>
      </c>
      <c r="BW180" s="36">
        <v>2112</v>
      </c>
      <c r="BX180" s="36">
        <v>659</v>
      </c>
      <c r="BY180" s="36">
        <v>18797</v>
      </c>
      <c r="BZ180" s="36">
        <v>1613</v>
      </c>
      <c r="CA180" s="36">
        <v>699</v>
      </c>
      <c r="CB180" s="36">
        <v>18440</v>
      </c>
      <c r="CC180" s="36">
        <v>907</v>
      </c>
      <c r="CD180" s="36">
        <v>702</v>
      </c>
      <c r="CE180" s="36">
        <v>18488</v>
      </c>
      <c r="CF180" s="36">
        <v>1191</v>
      </c>
      <c r="CG180" s="36">
        <v>712</v>
      </c>
      <c r="CH180" s="36">
        <v>19280</v>
      </c>
      <c r="CI180" s="36">
        <v>1348</v>
      </c>
      <c r="CJ180" s="70">
        <v>914</v>
      </c>
      <c r="CK180" s="70">
        <v>20332</v>
      </c>
      <c r="CL180" s="70">
        <v>1437</v>
      </c>
      <c r="CM180" s="36">
        <v>900</v>
      </c>
      <c r="CN180" s="36">
        <v>21672</v>
      </c>
      <c r="CO180" s="36">
        <v>1720</v>
      </c>
      <c r="CP180" s="36">
        <v>954</v>
      </c>
      <c r="CQ180" s="36">
        <v>23646</v>
      </c>
      <c r="CR180" s="36">
        <v>1845</v>
      </c>
      <c r="CS180" s="36">
        <v>1014</v>
      </c>
      <c r="CT180" s="36">
        <v>1370.2270368819306</v>
      </c>
      <c r="CU180" s="36">
        <v>-2724.3080329999998</v>
      </c>
      <c r="CV180" s="36">
        <v>1115.7587041456641</v>
      </c>
      <c r="CW180" s="36">
        <v>3125</v>
      </c>
      <c r="CX180" s="36">
        <v>978.68554407953263</v>
      </c>
      <c r="CY180" s="36">
        <v>-1718.376045</v>
      </c>
      <c r="CZ180" s="36">
        <v>1225.2490442721078</v>
      </c>
      <c r="DA180" s="36">
        <v>2637</v>
      </c>
      <c r="DB180" s="36">
        <v>-266.40967551503348</v>
      </c>
      <c r="DC180" s="36">
        <v>-2012.873104</v>
      </c>
      <c r="DD180" s="36">
        <v>1398.8189843803873</v>
      </c>
      <c r="DE180" s="36">
        <v>5791</v>
      </c>
      <c r="DF180" s="36">
        <v>2602.8763499183447</v>
      </c>
      <c r="DG180" s="36">
        <v>-1299</v>
      </c>
      <c r="DH180" s="36">
        <v>1310.520322988094</v>
      </c>
      <c r="DI180" s="36">
        <v>4484</v>
      </c>
      <c r="DJ180" s="36">
        <v>4234</v>
      </c>
      <c r="DK180" s="36">
        <v>-3236</v>
      </c>
      <c r="DL180" s="36">
        <v>1287</v>
      </c>
      <c r="DM180" s="36">
        <v>3778</v>
      </c>
      <c r="DN180" s="36">
        <v>924</v>
      </c>
      <c r="DO180" s="69">
        <v>-3366</v>
      </c>
      <c r="DP180" s="36">
        <v>1348</v>
      </c>
      <c r="DQ180" s="36">
        <v>6198</v>
      </c>
      <c r="DR180" s="36">
        <v>51</v>
      </c>
      <c r="DS180" s="36">
        <v>-2859</v>
      </c>
      <c r="DT180" s="36">
        <v>1504</v>
      </c>
      <c r="DU180" s="36">
        <v>7616</v>
      </c>
      <c r="DV180" s="36">
        <v>313</v>
      </c>
      <c r="DW180" s="71">
        <v>-1841</v>
      </c>
      <c r="DX180" s="39">
        <v>1521</v>
      </c>
      <c r="DY180" s="71">
        <v>8720</v>
      </c>
      <c r="DZ180" s="70">
        <v>1480</v>
      </c>
      <c r="EA180" s="35">
        <v>-1503</v>
      </c>
      <c r="EB180" s="35">
        <v>1478</v>
      </c>
      <c r="EC180" s="38">
        <v>9459</v>
      </c>
      <c r="ED180" s="38">
        <v>1505</v>
      </c>
      <c r="EE180" s="38">
        <v>-2177</v>
      </c>
      <c r="EF180" s="38">
        <v>1532</v>
      </c>
      <c r="EG180" s="73">
        <v>9749</v>
      </c>
      <c r="EH180" s="73">
        <v>1979</v>
      </c>
      <c r="EI180" s="73">
        <v>-2004</v>
      </c>
      <c r="EJ180" s="73">
        <v>1636</v>
      </c>
      <c r="EK180" s="73">
        <v>10767</v>
      </c>
      <c r="EL180" s="73">
        <v>29609.148077696093</v>
      </c>
      <c r="EM180" s="73">
        <v>234.28578156088486</v>
      </c>
      <c r="EN180" s="73">
        <v>30368.852941522739</v>
      </c>
      <c r="EO180" s="73">
        <v>-215.78510965011864</v>
      </c>
      <c r="EP180" s="73">
        <v>32920.936537649708</v>
      </c>
      <c r="EQ180" s="73">
        <v>-1547.3289234459014</v>
      </c>
      <c r="ER180" s="73">
        <v>35055.073136519823</v>
      </c>
      <c r="ES180" s="73">
        <v>1589.8804688406638</v>
      </c>
      <c r="ET180" s="73">
        <v>37692</v>
      </c>
      <c r="EU180" s="73">
        <v>3005</v>
      </c>
      <c r="EV180" s="73">
        <v>39674</v>
      </c>
      <c r="EW180" s="73">
        <v>-350</v>
      </c>
      <c r="EX180" s="73">
        <v>42611</v>
      </c>
      <c r="EY180" s="73">
        <v>-1386</v>
      </c>
      <c r="EZ180" s="73">
        <v>44578</v>
      </c>
      <c r="FA180" s="73">
        <v>-1146</v>
      </c>
      <c r="FB180" s="73">
        <v>46004</v>
      </c>
      <c r="FC180" s="73">
        <v>60</v>
      </c>
      <c r="FD180" s="73">
        <v>48584</v>
      </c>
      <c r="FE180" s="73">
        <v>7</v>
      </c>
      <c r="FF180" s="73">
        <v>52465</v>
      </c>
      <c r="FG180" s="73">
        <v>497</v>
      </c>
      <c r="FH180" s="73">
        <v>4417</v>
      </c>
      <c r="FI180" s="73">
        <v>4876</v>
      </c>
      <c r="FJ180" s="79">
        <v>10821</v>
      </c>
      <c r="FK180" s="80">
        <v>27368</v>
      </c>
      <c r="FL180" s="80">
        <v>23519</v>
      </c>
      <c r="FM180" s="80">
        <v>8575</v>
      </c>
      <c r="FN180" s="76">
        <v>188</v>
      </c>
      <c r="FO180" s="80">
        <v>24631</v>
      </c>
      <c r="FP180" s="80">
        <v>1576</v>
      </c>
      <c r="FQ180" s="80">
        <v>1161</v>
      </c>
      <c r="FR180" s="80">
        <v>2223</v>
      </c>
      <c r="FS180" s="81">
        <v>-2975</v>
      </c>
      <c r="FT180" s="76">
        <v>1641</v>
      </c>
      <c r="FU180" s="76">
        <v>8680</v>
      </c>
      <c r="FV180" s="76">
        <v>2975</v>
      </c>
      <c r="FW180" s="80">
        <v>57373</v>
      </c>
      <c r="FX180" s="80">
        <v>629</v>
      </c>
      <c r="FY180" s="73">
        <v>10893</v>
      </c>
      <c r="FZ180" s="73">
        <v>27906</v>
      </c>
      <c r="GA180" s="73">
        <v>24766</v>
      </c>
      <c r="GB180" s="73">
        <v>9355</v>
      </c>
      <c r="GC180" s="73">
        <v>196</v>
      </c>
      <c r="GD180" s="73">
        <v>24523</v>
      </c>
      <c r="GE180" s="73">
        <v>1992</v>
      </c>
      <c r="GF180" s="73">
        <v>1391</v>
      </c>
      <c r="GG180" s="73">
        <v>3602</v>
      </c>
      <c r="GH180" s="73">
        <v>-4403</v>
      </c>
      <c r="GI180" s="73">
        <v>1958</v>
      </c>
      <c r="GJ180" s="73">
        <v>10204</v>
      </c>
      <c r="GK180" s="73">
        <v>4403</v>
      </c>
      <c r="GL180" s="73">
        <v>58621</v>
      </c>
      <c r="GM180" s="73">
        <v>1690</v>
      </c>
      <c r="GN180" s="73">
        <v>7125</v>
      </c>
      <c r="GO180" s="77">
        <v>19.5</v>
      </c>
      <c r="GP180" s="78">
        <v>10937</v>
      </c>
      <c r="GQ180" s="73">
        <v>29159</v>
      </c>
      <c r="GR180" s="65">
        <v>25495</v>
      </c>
      <c r="GS180" s="65">
        <v>9982</v>
      </c>
      <c r="GT180" s="65">
        <v>213</v>
      </c>
      <c r="GU180" s="65">
        <v>25398</v>
      </c>
      <c r="GV180" s="65">
        <v>2327</v>
      </c>
      <c r="GW180" s="65">
        <v>1434</v>
      </c>
      <c r="GX180" s="65">
        <v>2550</v>
      </c>
      <c r="GY180" s="65">
        <v>-7417</v>
      </c>
      <c r="GZ180" s="65">
        <v>1970</v>
      </c>
      <c r="HA180" s="65">
        <v>14640</v>
      </c>
      <c r="HB180" s="65">
        <v>7417</v>
      </c>
      <c r="HC180" s="65">
        <v>62211</v>
      </c>
      <c r="HD180" s="65">
        <v>626</v>
      </c>
      <c r="HE180" s="78">
        <v>10940</v>
      </c>
      <c r="HF180" s="73">
        <v>30170</v>
      </c>
      <c r="HG180" s="65">
        <v>26266</v>
      </c>
      <c r="HH180" s="65">
        <v>10735</v>
      </c>
      <c r="HI180" s="65">
        <v>255</v>
      </c>
      <c r="HJ180" s="65">
        <v>26936</v>
      </c>
      <c r="HK180" s="65">
        <v>1750</v>
      </c>
      <c r="HL180" s="65">
        <v>1484</v>
      </c>
      <c r="HM180" s="65">
        <v>844</v>
      </c>
      <c r="HN180" s="65">
        <v>-6078</v>
      </c>
      <c r="HO180" s="65">
        <v>2073</v>
      </c>
      <c r="HP180" s="65">
        <v>22306</v>
      </c>
      <c r="HQ180" s="65">
        <v>6078</v>
      </c>
      <c r="HR180" s="65">
        <v>66420</v>
      </c>
      <c r="HS180" s="65">
        <v>-1183</v>
      </c>
      <c r="HT180" s="65">
        <v>6851</v>
      </c>
      <c r="HU180" s="77">
        <v>19.5</v>
      </c>
      <c r="HV180" s="180">
        <v>330</v>
      </c>
      <c r="HW180" s="30" t="s">
        <v>760</v>
      </c>
    </row>
    <row r="181" spans="1:231" ht="15" x14ac:dyDescent="0.25">
      <c r="A181" s="27">
        <v>583</v>
      </c>
      <c r="B181" s="27" t="s">
        <v>307</v>
      </c>
      <c r="C181" s="27">
        <v>19</v>
      </c>
      <c r="D181" s="27" t="s">
        <v>113</v>
      </c>
      <c r="E181" s="27">
        <v>1</v>
      </c>
      <c r="F181" s="27" t="s">
        <v>103</v>
      </c>
      <c r="G181" s="29" t="s">
        <v>130</v>
      </c>
      <c r="H181" s="27" t="s">
        <v>98</v>
      </c>
      <c r="I181" s="31" t="s">
        <v>113</v>
      </c>
      <c r="J181" s="69">
        <v>1310</v>
      </c>
      <c r="K181" s="69">
        <v>1263</v>
      </c>
      <c r="L181" s="36">
        <v>1243</v>
      </c>
      <c r="M181" s="36">
        <v>1213</v>
      </c>
      <c r="N181" s="36">
        <v>1216</v>
      </c>
      <c r="O181" s="36">
        <v>1180</v>
      </c>
      <c r="P181" s="36">
        <v>1152</v>
      </c>
      <c r="Q181" s="36">
        <v>1113</v>
      </c>
      <c r="R181" s="69">
        <v>1076</v>
      </c>
      <c r="S181" s="69">
        <v>1063</v>
      </c>
      <c r="T181" s="71">
        <v>1046</v>
      </c>
      <c r="U181" s="36">
        <v>3917</v>
      </c>
      <c r="V181" s="36">
        <v>2235</v>
      </c>
      <c r="W181" s="36">
        <v>922</v>
      </c>
      <c r="X181" s="36">
        <v>121.09530705228794</v>
      </c>
      <c r="Y181" s="36">
        <v>3750</v>
      </c>
      <c r="Z181" s="36">
        <v>2128</v>
      </c>
      <c r="AA181" s="36">
        <v>852</v>
      </c>
      <c r="AB181" s="36">
        <v>130.85020678705558</v>
      </c>
      <c r="AC181" s="36">
        <v>3973</v>
      </c>
      <c r="AD181" s="36">
        <v>2168</v>
      </c>
      <c r="AE181" s="36">
        <v>882</v>
      </c>
      <c r="AF181" s="36">
        <v>138.08228762490054</v>
      </c>
      <c r="AG181" s="36">
        <v>3865</v>
      </c>
      <c r="AH181" s="36">
        <v>1821</v>
      </c>
      <c r="AI181" s="36">
        <v>1011</v>
      </c>
      <c r="AJ181" s="36">
        <v>118.23611230244225</v>
      </c>
      <c r="AK181" s="36">
        <v>2697</v>
      </c>
      <c r="AL181" s="36">
        <v>2437</v>
      </c>
      <c r="AM181" s="36">
        <v>973</v>
      </c>
      <c r="AN181" s="36">
        <v>37</v>
      </c>
      <c r="AO181" s="36">
        <v>2919</v>
      </c>
      <c r="AP181" s="36">
        <v>2805</v>
      </c>
      <c r="AQ181" s="36">
        <v>919</v>
      </c>
      <c r="AR181" s="36">
        <v>59</v>
      </c>
      <c r="AS181" s="36">
        <v>2779</v>
      </c>
      <c r="AT181" s="36">
        <v>2869</v>
      </c>
      <c r="AU181" s="36">
        <v>990</v>
      </c>
      <c r="AV181" s="36">
        <v>45</v>
      </c>
      <c r="AW181" s="36">
        <v>2976</v>
      </c>
      <c r="AX181" s="69">
        <v>2561</v>
      </c>
      <c r="AY181" s="36">
        <v>1163</v>
      </c>
      <c r="AZ181" s="36">
        <v>46</v>
      </c>
      <c r="BA181" s="36">
        <v>3437</v>
      </c>
      <c r="BB181" s="36">
        <v>2410</v>
      </c>
      <c r="BC181" s="36">
        <v>1374</v>
      </c>
      <c r="BD181" s="36">
        <v>573</v>
      </c>
      <c r="BE181" s="70">
        <v>3756</v>
      </c>
      <c r="BF181" s="70">
        <v>2479</v>
      </c>
      <c r="BG181" s="70">
        <v>1332</v>
      </c>
      <c r="BH181" s="70">
        <v>465</v>
      </c>
      <c r="BI181" s="36">
        <v>3980</v>
      </c>
      <c r="BJ181" s="36">
        <v>2821</v>
      </c>
      <c r="BK181" s="36">
        <v>1647</v>
      </c>
      <c r="BL181" s="36">
        <v>8</v>
      </c>
      <c r="BM181" s="36">
        <v>1999.0816939215201</v>
      </c>
      <c r="BN181" s="36">
        <v>1451.9663691422245</v>
      </c>
      <c r="BO181" s="36">
        <v>466.04874422484698</v>
      </c>
      <c r="BP181" s="36">
        <v>2028.5145810522845</v>
      </c>
      <c r="BQ181" s="36">
        <v>1170.0834043927323</v>
      </c>
      <c r="BR181" s="36">
        <v>551.32002294083316</v>
      </c>
      <c r="BS181" s="36">
        <v>1832.4074587981629</v>
      </c>
      <c r="BT181" s="36">
        <v>1582.9847638557419</v>
      </c>
      <c r="BU181" s="36">
        <v>557.71116414637061</v>
      </c>
      <c r="BV181" s="36">
        <v>2131</v>
      </c>
      <c r="BW181" s="36">
        <v>1124</v>
      </c>
      <c r="BX181" s="36">
        <v>611</v>
      </c>
      <c r="BY181" s="36">
        <v>2061</v>
      </c>
      <c r="BZ181" s="36">
        <v>15</v>
      </c>
      <c r="CA181" s="36">
        <v>621</v>
      </c>
      <c r="CB181" s="36">
        <v>2229</v>
      </c>
      <c r="CC181" s="36">
        <v>52</v>
      </c>
      <c r="CD181" s="36">
        <v>638</v>
      </c>
      <c r="CE181" s="36">
        <v>2036</v>
      </c>
      <c r="CF181" s="36">
        <v>84</v>
      </c>
      <c r="CG181" s="36">
        <v>659</v>
      </c>
      <c r="CH181" s="36">
        <v>2133</v>
      </c>
      <c r="CI181" s="36">
        <v>150</v>
      </c>
      <c r="CJ181" s="70">
        <v>693</v>
      </c>
      <c r="CK181" s="70">
        <v>2192</v>
      </c>
      <c r="CL181" s="70">
        <v>225</v>
      </c>
      <c r="CM181" s="36">
        <v>1020</v>
      </c>
      <c r="CN181" s="36">
        <v>2378</v>
      </c>
      <c r="CO181" s="36">
        <v>297</v>
      </c>
      <c r="CP181" s="36">
        <v>1081</v>
      </c>
      <c r="CQ181" s="36">
        <v>2522</v>
      </c>
      <c r="CR181" s="36">
        <v>297</v>
      </c>
      <c r="CS181" s="36">
        <v>1161</v>
      </c>
      <c r="CT181" s="36">
        <v>576.71639983652142</v>
      </c>
      <c r="CU181" s="36">
        <v>-560.90673470000002</v>
      </c>
      <c r="CV181" s="36">
        <v>320.56618783563999</v>
      </c>
      <c r="CW181" s="36">
        <v>419</v>
      </c>
      <c r="CX181" s="36">
        <v>103.94013855321381</v>
      </c>
      <c r="CY181" s="36">
        <v>-703.02553260000002</v>
      </c>
      <c r="CZ181" s="36">
        <v>344.95343717255912</v>
      </c>
      <c r="DA181" s="36">
        <v>533</v>
      </c>
      <c r="DB181" s="36">
        <v>210.90765978273484</v>
      </c>
      <c r="DC181" s="36">
        <v>-376.57276729999995</v>
      </c>
      <c r="DD181" s="36">
        <v>373.37719674455451</v>
      </c>
      <c r="DE181" s="36">
        <v>486</v>
      </c>
      <c r="DF181" s="36">
        <v>-450.40726706392655</v>
      </c>
      <c r="DG181" s="36">
        <v>-365</v>
      </c>
      <c r="DH181" s="36">
        <v>305.42927445410402</v>
      </c>
      <c r="DI181" s="36">
        <v>839</v>
      </c>
      <c r="DJ181" s="36">
        <v>-825</v>
      </c>
      <c r="DK181" s="36">
        <v>-247</v>
      </c>
      <c r="DL181" s="36">
        <v>297</v>
      </c>
      <c r="DM181" s="36">
        <v>1687</v>
      </c>
      <c r="DN181" s="36">
        <v>131</v>
      </c>
      <c r="DO181" s="69">
        <v>-102</v>
      </c>
      <c r="DP181" s="36">
        <v>289</v>
      </c>
      <c r="DQ181" s="36">
        <v>2026</v>
      </c>
      <c r="DR181" s="36">
        <v>-230</v>
      </c>
      <c r="DS181" s="36">
        <v>-269</v>
      </c>
      <c r="DT181" s="36">
        <v>277</v>
      </c>
      <c r="DU181" s="36">
        <v>1860</v>
      </c>
      <c r="DV181" s="36">
        <v>-620</v>
      </c>
      <c r="DW181" s="71">
        <v>-587</v>
      </c>
      <c r="DX181" s="39">
        <v>269</v>
      </c>
      <c r="DY181" s="71">
        <v>2594</v>
      </c>
      <c r="DZ181" s="70">
        <v>-372</v>
      </c>
      <c r="EA181" s="35">
        <v>1285</v>
      </c>
      <c r="EB181" s="35">
        <v>239</v>
      </c>
      <c r="EC181" s="38">
        <v>3649</v>
      </c>
      <c r="ED181" s="38">
        <v>470</v>
      </c>
      <c r="EE181" s="38">
        <v>138</v>
      </c>
      <c r="EF181" s="38">
        <v>168</v>
      </c>
      <c r="EG181" s="73">
        <v>3915</v>
      </c>
      <c r="EH181" s="73">
        <v>1062</v>
      </c>
      <c r="EI181" s="73">
        <v>-676</v>
      </c>
      <c r="EJ181" s="73">
        <v>216</v>
      </c>
      <c r="EK181" s="73">
        <v>3844</v>
      </c>
      <c r="EL181" s="73">
        <v>6363.0538218183465</v>
      </c>
      <c r="EM181" s="73">
        <v>87.962285539370271</v>
      </c>
      <c r="EN181" s="73">
        <v>6500.4633577374016</v>
      </c>
      <c r="EO181" s="73">
        <v>66.770606805219884</v>
      </c>
      <c r="EP181" s="73">
        <v>6721.9668568872112</v>
      </c>
      <c r="EQ181" s="73">
        <v>-151.87369759474447</v>
      </c>
      <c r="ER181" s="73">
        <v>7035.3009638850062</v>
      </c>
      <c r="ES181" s="73">
        <v>-742.54969532757116</v>
      </c>
      <c r="ET181" s="73">
        <v>6925</v>
      </c>
      <c r="EU181" s="73">
        <v>-1110</v>
      </c>
      <c r="EV181" s="73">
        <v>6516</v>
      </c>
      <c r="EW181" s="73">
        <v>-146</v>
      </c>
      <c r="EX181" s="73">
        <v>6868</v>
      </c>
      <c r="EY181" s="73">
        <v>-496</v>
      </c>
      <c r="EZ181" s="73">
        <v>7316</v>
      </c>
      <c r="FA181" s="73">
        <v>-879</v>
      </c>
      <c r="FB181" s="73">
        <v>7534</v>
      </c>
      <c r="FC181" s="73">
        <v>72</v>
      </c>
      <c r="FD181" s="73">
        <v>7016</v>
      </c>
      <c r="FE181" s="73">
        <v>694</v>
      </c>
      <c r="FF181" s="73">
        <v>7270</v>
      </c>
      <c r="FG181" s="73">
        <v>976</v>
      </c>
      <c r="FH181" s="73">
        <v>-966</v>
      </c>
      <c r="FI181" s="73">
        <v>10</v>
      </c>
      <c r="FJ181" s="79">
        <v>1025</v>
      </c>
      <c r="FK181" s="80">
        <v>4063</v>
      </c>
      <c r="FL181" s="80">
        <v>3061</v>
      </c>
      <c r="FM181" s="80">
        <v>1613</v>
      </c>
      <c r="FN181" s="76">
        <v>10</v>
      </c>
      <c r="FO181" s="80">
        <v>2601</v>
      </c>
      <c r="FP181" s="80">
        <v>239</v>
      </c>
      <c r="FQ181" s="80">
        <v>1223</v>
      </c>
      <c r="FR181" s="80">
        <v>1362</v>
      </c>
      <c r="FS181" s="81">
        <v>-1199</v>
      </c>
      <c r="FT181" s="76">
        <v>299</v>
      </c>
      <c r="FU181" s="76">
        <v>3758</v>
      </c>
      <c r="FV181" s="76">
        <v>1199</v>
      </c>
      <c r="FW181" s="80">
        <v>7304</v>
      </c>
      <c r="FX181" s="80">
        <v>1063</v>
      </c>
      <c r="FY181" s="73">
        <v>1008</v>
      </c>
      <c r="FZ181" s="73">
        <v>4054</v>
      </c>
      <c r="GA181" s="73">
        <v>3431</v>
      </c>
      <c r="GB181" s="73">
        <v>1454</v>
      </c>
      <c r="GC181" s="73">
        <v>8</v>
      </c>
      <c r="GD181" s="73">
        <v>2429</v>
      </c>
      <c r="GE181" s="73">
        <v>351</v>
      </c>
      <c r="GF181" s="73">
        <v>1274</v>
      </c>
      <c r="GG181" s="73">
        <v>1305</v>
      </c>
      <c r="GH181" s="73">
        <v>-867</v>
      </c>
      <c r="GI181" s="73">
        <v>374</v>
      </c>
      <c r="GJ181" s="73">
        <v>3484</v>
      </c>
      <c r="GK181" s="73">
        <v>867</v>
      </c>
      <c r="GL181" s="73">
        <v>7622</v>
      </c>
      <c r="GM181" s="73">
        <v>931</v>
      </c>
      <c r="GN181" s="73">
        <v>2004</v>
      </c>
      <c r="GO181" s="77">
        <v>20.75</v>
      </c>
      <c r="GP181" s="78">
        <v>973</v>
      </c>
      <c r="GQ181" s="73">
        <v>4280</v>
      </c>
      <c r="GR181" s="65">
        <v>3362</v>
      </c>
      <c r="GS181" s="65">
        <v>1558</v>
      </c>
      <c r="GT181" s="65">
        <v>15</v>
      </c>
      <c r="GU181" s="65">
        <v>2542</v>
      </c>
      <c r="GV181" s="65">
        <v>376</v>
      </c>
      <c r="GW181" s="65">
        <v>1362</v>
      </c>
      <c r="GX181" s="65">
        <v>686</v>
      </c>
      <c r="GY181" s="65">
        <v>-401</v>
      </c>
      <c r="GZ181" s="65">
        <v>342</v>
      </c>
      <c r="HA181" s="65">
        <v>3357</v>
      </c>
      <c r="HB181" s="65">
        <v>401</v>
      </c>
      <c r="HC181" s="65">
        <v>8511</v>
      </c>
      <c r="HD181" s="65">
        <v>344</v>
      </c>
      <c r="HE181" s="78">
        <v>963</v>
      </c>
      <c r="HF181" s="73">
        <v>4030</v>
      </c>
      <c r="HG181" s="65">
        <v>3870</v>
      </c>
      <c r="HH181" s="65">
        <v>1422</v>
      </c>
      <c r="HI181" s="65">
        <v>12</v>
      </c>
      <c r="HJ181" s="65">
        <v>2357</v>
      </c>
      <c r="HK181" s="65">
        <v>219</v>
      </c>
      <c r="HL181" s="65">
        <v>1454</v>
      </c>
      <c r="HM181" s="65">
        <v>431</v>
      </c>
      <c r="HN181" s="65">
        <v>-493</v>
      </c>
      <c r="HO181" s="65">
        <v>348</v>
      </c>
      <c r="HP181" s="65">
        <v>2959</v>
      </c>
      <c r="HQ181" s="65">
        <v>493</v>
      </c>
      <c r="HR181" s="65">
        <v>8878</v>
      </c>
      <c r="HS181" s="65">
        <v>83</v>
      </c>
      <c r="HT181" s="65">
        <v>2432</v>
      </c>
      <c r="HU181" s="77">
        <v>19.75</v>
      </c>
      <c r="HV181" s="180">
        <v>320</v>
      </c>
      <c r="HW181" s="30" t="s">
        <v>759</v>
      </c>
    </row>
    <row r="182" spans="1:231" ht="15" x14ac:dyDescent="0.25">
      <c r="A182" s="27">
        <v>854</v>
      </c>
      <c r="B182" s="27" t="s">
        <v>308</v>
      </c>
      <c r="C182" s="27">
        <v>19</v>
      </c>
      <c r="D182" s="27" t="s">
        <v>113</v>
      </c>
      <c r="E182" s="27">
        <v>2</v>
      </c>
      <c r="F182" s="27" t="s">
        <v>744</v>
      </c>
      <c r="G182" s="29" t="s">
        <v>130</v>
      </c>
      <c r="H182" s="27" t="s">
        <v>98</v>
      </c>
      <c r="I182" s="31" t="s">
        <v>113</v>
      </c>
      <c r="J182" s="69">
        <v>5114</v>
      </c>
      <c r="K182" s="69">
        <v>4949</v>
      </c>
      <c r="L182" s="36">
        <v>4830</v>
      </c>
      <c r="M182" s="36">
        <v>4649</v>
      </c>
      <c r="N182" s="36">
        <v>4625</v>
      </c>
      <c r="O182" s="36">
        <v>4586</v>
      </c>
      <c r="P182" s="36">
        <v>4524</v>
      </c>
      <c r="Q182" s="36">
        <v>4477</v>
      </c>
      <c r="R182" s="69">
        <v>4361</v>
      </c>
      <c r="S182" s="69">
        <v>4216</v>
      </c>
      <c r="T182" s="71">
        <v>4114</v>
      </c>
      <c r="U182" s="36">
        <v>8795</v>
      </c>
      <c r="V182" s="36">
        <v>6963</v>
      </c>
      <c r="W182" s="36">
        <v>3449</v>
      </c>
      <c r="X182" s="36">
        <v>207.20752540058157</v>
      </c>
      <c r="Y182" s="36">
        <v>8526</v>
      </c>
      <c r="Z182" s="36">
        <v>6932</v>
      </c>
      <c r="AA182" s="36">
        <v>3374</v>
      </c>
      <c r="AB182" s="36">
        <v>209.22578051811971</v>
      </c>
      <c r="AC182" s="36">
        <v>7845</v>
      </c>
      <c r="AD182" s="36">
        <v>7202</v>
      </c>
      <c r="AE182" s="36">
        <v>3539</v>
      </c>
      <c r="AF182" s="36">
        <v>88.466849318754797</v>
      </c>
      <c r="AG182" s="36">
        <v>8972</v>
      </c>
      <c r="AH182" s="36">
        <v>8371</v>
      </c>
      <c r="AI182" s="36">
        <v>3689</v>
      </c>
      <c r="AJ182" s="36">
        <v>103.26738684736777</v>
      </c>
      <c r="AK182" s="36">
        <v>9462</v>
      </c>
      <c r="AL182" s="36">
        <v>8653</v>
      </c>
      <c r="AM182" s="36">
        <v>3919</v>
      </c>
      <c r="AN182" s="36">
        <v>57</v>
      </c>
      <c r="AO182" s="36">
        <v>9078</v>
      </c>
      <c r="AP182" s="36">
        <v>8245</v>
      </c>
      <c r="AQ182" s="36">
        <v>4168</v>
      </c>
      <c r="AR182" s="36">
        <v>50</v>
      </c>
      <c r="AS182" s="36">
        <v>9186</v>
      </c>
      <c r="AT182" s="36">
        <v>8919</v>
      </c>
      <c r="AU182" s="36">
        <v>3556</v>
      </c>
      <c r="AV182" s="36">
        <v>51</v>
      </c>
      <c r="AW182" s="36">
        <v>9298</v>
      </c>
      <c r="AX182" s="69">
        <v>8793</v>
      </c>
      <c r="AY182" s="36">
        <v>3320</v>
      </c>
      <c r="AZ182" s="36">
        <v>51</v>
      </c>
      <c r="BA182" s="36">
        <v>9886</v>
      </c>
      <c r="BB182" s="36">
        <v>10028</v>
      </c>
      <c r="BC182" s="36">
        <v>3537</v>
      </c>
      <c r="BD182" s="36">
        <v>162</v>
      </c>
      <c r="BE182" s="70">
        <v>9659</v>
      </c>
      <c r="BF182" s="70">
        <v>10212</v>
      </c>
      <c r="BG182" s="70">
        <v>3736</v>
      </c>
      <c r="BH182" s="70">
        <v>56</v>
      </c>
      <c r="BI182" s="36">
        <v>10666</v>
      </c>
      <c r="BJ182" s="36">
        <v>12591</v>
      </c>
      <c r="BK182" s="36">
        <v>3985</v>
      </c>
      <c r="BL182" s="36">
        <v>99</v>
      </c>
      <c r="BM182" s="36">
        <v>7437.9428598338636</v>
      </c>
      <c r="BN182" s="36">
        <v>1012.9958810776809</v>
      </c>
      <c r="BO182" s="36">
        <v>343.94430961379004</v>
      </c>
      <c r="BP182" s="36">
        <v>7262.0182887551236</v>
      </c>
      <c r="BQ182" s="36">
        <v>920.49252152384986</v>
      </c>
      <c r="BR182" s="36">
        <v>343.43974583440553</v>
      </c>
      <c r="BS182" s="36">
        <v>6360.1946270685012</v>
      </c>
      <c r="BT182" s="36">
        <v>1125.6817918068932</v>
      </c>
      <c r="BU182" s="36">
        <v>358.74484714240305</v>
      </c>
      <c r="BV182" s="36">
        <v>7768</v>
      </c>
      <c r="BW182" s="36">
        <v>843</v>
      </c>
      <c r="BX182" s="36">
        <v>361</v>
      </c>
      <c r="BY182" s="36">
        <v>8053</v>
      </c>
      <c r="BZ182" s="36">
        <v>957</v>
      </c>
      <c r="CA182" s="36">
        <v>452</v>
      </c>
      <c r="CB182" s="36">
        <v>8211</v>
      </c>
      <c r="CC182" s="36">
        <v>414</v>
      </c>
      <c r="CD182" s="36">
        <v>453</v>
      </c>
      <c r="CE182" s="36">
        <v>8141</v>
      </c>
      <c r="CF182" s="36">
        <v>595</v>
      </c>
      <c r="CG182" s="36">
        <v>450</v>
      </c>
      <c r="CH182" s="36">
        <v>8121</v>
      </c>
      <c r="CI182" s="36">
        <v>708</v>
      </c>
      <c r="CJ182" s="70">
        <v>469</v>
      </c>
      <c r="CK182" s="70">
        <v>8609</v>
      </c>
      <c r="CL182" s="70">
        <v>807</v>
      </c>
      <c r="CM182" s="36">
        <v>470</v>
      </c>
      <c r="CN182" s="36">
        <v>8378</v>
      </c>
      <c r="CO182" s="36">
        <v>823</v>
      </c>
      <c r="CP182" s="36">
        <v>458</v>
      </c>
      <c r="CQ182" s="36">
        <v>9507</v>
      </c>
      <c r="CR182" s="36">
        <v>682</v>
      </c>
      <c r="CS182" s="36">
        <v>477</v>
      </c>
      <c r="CT182" s="36">
        <v>734.47667485741863</v>
      </c>
      <c r="CU182" s="36">
        <v>-1536.0603319999998</v>
      </c>
      <c r="CV182" s="36">
        <v>662.15586647896896</v>
      </c>
      <c r="CW182" s="36">
        <v>1054</v>
      </c>
      <c r="CX182" s="36">
        <v>184.50215532827761</v>
      </c>
      <c r="CY182" s="36">
        <v>-1314.7250210000002</v>
      </c>
      <c r="CZ182" s="36">
        <v>743.72701081280161</v>
      </c>
      <c r="DA182" s="36">
        <v>1314</v>
      </c>
      <c r="DB182" s="36">
        <v>-1355.5946872797788</v>
      </c>
      <c r="DC182" s="36">
        <v>-1513.859526</v>
      </c>
      <c r="DD182" s="36">
        <v>815.20687955894391</v>
      </c>
      <c r="DE182" s="36">
        <v>3107</v>
      </c>
      <c r="DF182" s="36">
        <v>518.35518935437699</v>
      </c>
      <c r="DG182" s="36">
        <v>-658</v>
      </c>
      <c r="DH182" s="36">
        <v>849.51721655709218</v>
      </c>
      <c r="DI182" s="36">
        <v>3491</v>
      </c>
      <c r="DJ182" s="36">
        <v>1790</v>
      </c>
      <c r="DK182" s="36">
        <v>-1633</v>
      </c>
      <c r="DL182" s="36">
        <v>948</v>
      </c>
      <c r="DM182" s="36">
        <v>4121</v>
      </c>
      <c r="DN182" s="36">
        <v>149</v>
      </c>
      <c r="DO182" s="69">
        <v>-1563</v>
      </c>
      <c r="DP182" s="36">
        <v>872</v>
      </c>
      <c r="DQ182" s="36">
        <v>4284</v>
      </c>
      <c r="DR182" s="36">
        <v>559</v>
      </c>
      <c r="DS182" s="36">
        <v>-1282</v>
      </c>
      <c r="DT182" s="36">
        <v>928</v>
      </c>
      <c r="DU182" s="36">
        <v>4819</v>
      </c>
      <c r="DV182" s="36">
        <v>-499</v>
      </c>
      <c r="DW182" s="71">
        <v>-1027</v>
      </c>
      <c r="DX182" s="39">
        <v>978</v>
      </c>
      <c r="DY182" s="71">
        <v>5147</v>
      </c>
      <c r="DZ182" s="70">
        <v>1014</v>
      </c>
      <c r="EA182" s="35">
        <v>-1217</v>
      </c>
      <c r="EB182" s="35">
        <v>986</v>
      </c>
      <c r="EC182" s="38">
        <v>5536</v>
      </c>
      <c r="ED182" s="38">
        <v>113</v>
      </c>
      <c r="EE182" s="38">
        <v>-3099</v>
      </c>
      <c r="EF182" s="38">
        <v>1101</v>
      </c>
      <c r="EG182" s="73">
        <v>8440</v>
      </c>
      <c r="EH182" s="73">
        <v>3185</v>
      </c>
      <c r="EI182" s="73">
        <v>-1882</v>
      </c>
      <c r="EJ182" s="73">
        <v>683</v>
      </c>
      <c r="EK182" s="73">
        <v>8380</v>
      </c>
      <c r="EL182" s="73">
        <v>17707.834025426651</v>
      </c>
      <c r="EM182" s="73">
        <v>406.67840618393365</v>
      </c>
      <c r="EN182" s="73">
        <v>17912.182356077385</v>
      </c>
      <c r="EO182" s="73">
        <v>-548.62901611744894</v>
      </c>
      <c r="EP182" s="73">
        <v>19006.244817709514</v>
      </c>
      <c r="EQ182" s="73">
        <v>-2313.0885526251614</v>
      </c>
      <c r="ER182" s="73">
        <v>19561.433162958965</v>
      </c>
      <c r="ES182" s="73">
        <v>-331.16202720271519</v>
      </c>
      <c r="ET182" s="73">
        <v>20205</v>
      </c>
      <c r="EU182" s="73">
        <v>842</v>
      </c>
      <c r="EV182" s="73">
        <v>21263</v>
      </c>
      <c r="EW182" s="73">
        <v>-723</v>
      </c>
      <c r="EX182" s="73">
        <v>21044</v>
      </c>
      <c r="EY182" s="73">
        <v>-369</v>
      </c>
      <c r="EZ182" s="73">
        <v>21886</v>
      </c>
      <c r="FA182" s="73">
        <v>-1477</v>
      </c>
      <c r="FB182" s="73">
        <v>22318</v>
      </c>
      <c r="FC182" s="73">
        <v>132</v>
      </c>
      <c r="FD182" s="73">
        <v>23247</v>
      </c>
      <c r="FE182" s="73">
        <v>-988</v>
      </c>
      <c r="FF182" s="73">
        <v>23774</v>
      </c>
      <c r="FG182" s="73">
        <v>2502</v>
      </c>
      <c r="FH182" s="73">
        <v>-4247</v>
      </c>
      <c r="FI182" s="73">
        <v>-1745</v>
      </c>
      <c r="FJ182" s="79">
        <v>4021</v>
      </c>
      <c r="FK182" s="80">
        <v>10381</v>
      </c>
      <c r="FL182" s="80">
        <v>13269</v>
      </c>
      <c r="FM182" s="80">
        <v>4126</v>
      </c>
      <c r="FN182" s="76">
        <v>217</v>
      </c>
      <c r="FO182" s="80">
        <v>9369</v>
      </c>
      <c r="FP182" s="80">
        <v>483</v>
      </c>
      <c r="FQ182" s="80">
        <v>529</v>
      </c>
      <c r="FR182" s="80">
        <v>3146</v>
      </c>
      <c r="FS182" s="81">
        <v>-1794</v>
      </c>
      <c r="FT182" s="76">
        <v>807</v>
      </c>
      <c r="FU182" s="76">
        <v>6886</v>
      </c>
      <c r="FV182" s="76">
        <v>1794</v>
      </c>
      <c r="FW182" s="80">
        <v>24558</v>
      </c>
      <c r="FX182" s="80">
        <v>2339</v>
      </c>
      <c r="FY182" s="73">
        <v>3980</v>
      </c>
      <c r="FZ182" s="73">
        <v>10327</v>
      </c>
      <c r="GA182" s="73">
        <v>14081</v>
      </c>
      <c r="GB182" s="73">
        <v>4317</v>
      </c>
      <c r="GC182" s="73">
        <v>193</v>
      </c>
      <c r="GD182" s="73">
        <v>9035</v>
      </c>
      <c r="GE182" s="73">
        <v>787</v>
      </c>
      <c r="GF182" s="73">
        <v>505</v>
      </c>
      <c r="GG182" s="73">
        <v>3260</v>
      </c>
      <c r="GH182" s="73">
        <v>-714</v>
      </c>
      <c r="GI182" s="73">
        <v>801</v>
      </c>
      <c r="GJ182" s="73">
        <v>5662</v>
      </c>
      <c r="GK182" s="73">
        <v>714</v>
      </c>
      <c r="GL182" s="73">
        <v>25429</v>
      </c>
      <c r="GM182" s="73">
        <v>2459</v>
      </c>
      <c r="GN182" s="73">
        <v>3053</v>
      </c>
      <c r="GO182" s="77">
        <v>20.25</v>
      </c>
      <c r="GP182" s="78">
        <v>3912</v>
      </c>
      <c r="GQ182" s="73">
        <v>10770</v>
      </c>
      <c r="GR182" s="65">
        <v>14454</v>
      </c>
      <c r="GS182" s="65">
        <v>4402</v>
      </c>
      <c r="GT182" s="65">
        <v>223</v>
      </c>
      <c r="GU182" s="65">
        <v>9236</v>
      </c>
      <c r="GV182" s="65">
        <v>1032</v>
      </c>
      <c r="GW182" s="65">
        <v>502</v>
      </c>
      <c r="GX182" s="65">
        <v>3439</v>
      </c>
      <c r="GY182" s="65">
        <v>-822</v>
      </c>
      <c r="GZ182" s="65">
        <v>864</v>
      </c>
      <c r="HA182" s="65">
        <v>4716</v>
      </c>
      <c r="HB182" s="65">
        <v>822</v>
      </c>
      <c r="HC182" s="65">
        <v>26241</v>
      </c>
      <c r="HD182" s="65">
        <v>1529</v>
      </c>
      <c r="HE182" s="78">
        <v>3819</v>
      </c>
      <c r="HF182" s="73">
        <v>10623</v>
      </c>
      <c r="HG182" s="65">
        <v>14888</v>
      </c>
      <c r="HH182" s="65">
        <v>4317</v>
      </c>
      <c r="HI182" s="65">
        <v>164</v>
      </c>
      <c r="HJ182" s="65">
        <v>9402</v>
      </c>
      <c r="HK182" s="65">
        <v>712</v>
      </c>
      <c r="HL182" s="65">
        <v>509</v>
      </c>
      <c r="HM182" s="65">
        <v>810</v>
      </c>
      <c r="HN182" s="65">
        <v>-2349</v>
      </c>
      <c r="HO182" s="65">
        <v>963</v>
      </c>
      <c r="HP182" s="65">
        <v>3482</v>
      </c>
      <c r="HQ182" s="65">
        <v>2349</v>
      </c>
      <c r="HR182" s="65">
        <v>29080</v>
      </c>
      <c r="HS182" s="65">
        <v>247</v>
      </c>
      <c r="HT182" s="65">
        <v>4429</v>
      </c>
      <c r="HU182" s="77">
        <v>20.25</v>
      </c>
      <c r="HV182" s="180">
        <v>340</v>
      </c>
      <c r="HW182" s="30" t="s">
        <v>761</v>
      </c>
    </row>
    <row r="183" spans="1:231" ht="15" x14ac:dyDescent="0.25">
      <c r="A183" s="27">
        <v>584</v>
      </c>
      <c r="B183" s="27" t="s">
        <v>309</v>
      </c>
      <c r="C183" s="27">
        <v>16</v>
      </c>
      <c r="D183" s="27" t="s">
        <v>110</v>
      </c>
      <c r="E183" s="27">
        <v>2</v>
      </c>
      <c r="F183" s="27" t="s">
        <v>744</v>
      </c>
      <c r="G183" s="29" t="s">
        <v>130</v>
      </c>
      <c r="H183" s="27" t="s">
        <v>98</v>
      </c>
      <c r="I183" s="31" t="s">
        <v>110</v>
      </c>
      <c r="J183" s="69">
        <v>3281</v>
      </c>
      <c r="K183" s="69">
        <v>3230</v>
      </c>
      <c r="L183" s="36">
        <v>3155</v>
      </c>
      <c r="M183" s="36">
        <v>3101</v>
      </c>
      <c r="N183" s="36">
        <v>3070</v>
      </c>
      <c r="O183" s="36">
        <v>3038</v>
      </c>
      <c r="P183" s="36">
        <v>3005</v>
      </c>
      <c r="Q183" s="36">
        <v>3044</v>
      </c>
      <c r="R183" s="69">
        <v>3004</v>
      </c>
      <c r="S183" s="69">
        <v>3017</v>
      </c>
      <c r="T183" s="71">
        <v>3020</v>
      </c>
      <c r="U183" s="36">
        <v>4950</v>
      </c>
      <c r="V183" s="36">
        <v>5470</v>
      </c>
      <c r="W183" s="36">
        <v>2352</v>
      </c>
      <c r="X183" s="36">
        <v>167.51517475566499</v>
      </c>
      <c r="Y183" s="36">
        <v>4799</v>
      </c>
      <c r="Z183" s="36">
        <v>5656</v>
      </c>
      <c r="AA183" s="36">
        <v>2863</v>
      </c>
      <c r="AB183" s="36">
        <v>240.84511069288379</v>
      </c>
      <c r="AC183" s="36">
        <v>4886</v>
      </c>
      <c r="AD183" s="36">
        <v>5631</v>
      </c>
      <c r="AE183" s="36">
        <v>2818</v>
      </c>
      <c r="AF183" s="36">
        <v>552.8337142789868</v>
      </c>
      <c r="AG183" s="36">
        <v>5042</v>
      </c>
      <c r="AH183" s="36">
        <v>6183</v>
      </c>
      <c r="AI183" s="36">
        <v>2921</v>
      </c>
      <c r="AJ183" s="36">
        <v>350.840014598712</v>
      </c>
      <c r="AK183" s="36">
        <v>5109</v>
      </c>
      <c r="AL183" s="36">
        <v>6422</v>
      </c>
      <c r="AM183" s="36">
        <v>2973</v>
      </c>
      <c r="AN183" s="36">
        <v>398</v>
      </c>
      <c r="AO183" s="36">
        <v>4986</v>
      </c>
      <c r="AP183" s="36">
        <v>7391</v>
      </c>
      <c r="AQ183" s="36">
        <v>3063</v>
      </c>
      <c r="AR183" s="36">
        <v>582</v>
      </c>
      <c r="AS183" s="36">
        <v>5067</v>
      </c>
      <c r="AT183" s="36">
        <v>6976</v>
      </c>
      <c r="AU183" s="36">
        <v>2489</v>
      </c>
      <c r="AV183" s="36">
        <v>353</v>
      </c>
      <c r="AW183" s="36">
        <v>5061</v>
      </c>
      <c r="AX183" s="69">
        <v>7177</v>
      </c>
      <c r="AY183" s="36">
        <v>2781</v>
      </c>
      <c r="AZ183" s="36">
        <v>569</v>
      </c>
      <c r="BA183" s="36">
        <v>5563</v>
      </c>
      <c r="BB183" s="36">
        <v>7698</v>
      </c>
      <c r="BC183" s="36">
        <v>2777</v>
      </c>
      <c r="BD183" s="36">
        <v>278</v>
      </c>
      <c r="BE183" s="70">
        <v>6080</v>
      </c>
      <c r="BF183" s="70">
        <v>8159</v>
      </c>
      <c r="BG183" s="70">
        <v>2699</v>
      </c>
      <c r="BH183" s="70">
        <v>229</v>
      </c>
      <c r="BI183" s="36">
        <v>6690</v>
      </c>
      <c r="BJ183" s="36">
        <v>9275</v>
      </c>
      <c r="BK183" s="36">
        <v>2543</v>
      </c>
      <c r="BL183" s="36">
        <v>139</v>
      </c>
      <c r="BM183" s="36">
        <v>3671.0378708754015</v>
      </c>
      <c r="BN183" s="36">
        <v>1122.3180332776631</v>
      </c>
      <c r="BO183" s="36">
        <v>151.36913381535993</v>
      </c>
      <c r="BP183" s="36">
        <v>3796.3378760892269</v>
      </c>
      <c r="BQ183" s="36">
        <v>842.95788742509319</v>
      </c>
      <c r="BR183" s="36">
        <v>155.23745612397468</v>
      </c>
      <c r="BS183" s="36">
        <v>3859.9129122916775</v>
      </c>
      <c r="BT183" s="36">
        <v>864.48594201216667</v>
      </c>
      <c r="BU183" s="36">
        <v>156.58295953566676</v>
      </c>
      <c r="BV183" s="36">
        <v>4387</v>
      </c>
      <c r="BW183" s="36">
        <v>483</v>
      </c>
      <c r="BX183" s="36">
        <v>167</v>
      </c>
      <c r="BY183" s="36">
        <v>4686</v>
      </c>
      <c r="BZ183" s="36">
        <v>252</v>
      </c>
      <c r="CA183" s="36">
        <v>167</v>
      </c>
      <c r="CB183" s="36">
        <v>4673</v>
      </c>
      <c r="CC183" s="36">
        <v>146</v>
      </c>
      <c r="CD183" s="36">
        <v>163</v>
      </c>
      <c r="CE183" s="36">
        <v>4724</v>
      </c>
      <c r="CF183" s="36">
        <v>177</v>
      </c>
      <c r="CG183" s="36">
        <v>166</v>
      </c>
      <c r="CH183" s="36">
        <v>4671</v>
      </c>
      <c r="CI183" s="36">
        <v>205</v>
      </c>
      <c r="CJ183" s="70">
        <v>185</v>
      </c>
      <c r="CK183" s="70">
        <v>5101</v>
      </c>
      <c r="CL183" s="70">
        <v>244</v>
      </c>
      <c r="CM183" s="36">
        <v>218</v>
      </c>
      <c r="CN183" s="36">
        <v>5385</v>
      </c>
      <c r="CO183" s="36">
        <v>467</v>
      </c>
      <c r="CP183" s="36">
        <v>228</v>
      </c>
      <c r="CQ183" s="36">
        <v>5817</v>
      </c>
      <c r="CR183" s="36">
        <v>632</v>
      </c>
      <c r="CS183" s="36">
        <v>241</v>
      </c>
      <c r="CT183" s="36">
        <v>734.14029900449566</v>
      </c>
      <c r="CU183" s="36">
        <v>-718.83519769999998</v>
      </c>
      <c r="CV183" s="36">
        <v>400.96001668424236</v>
      </c>
      <c r="CW183" s="36">
        <v>1606</v>
      </c>
      <c r="CX183" s="36">
        <v>401.29639253716527</v>
      </c>
      <c r="CY183" s="36">
        <v>-378.2546466</v>
      </c>
      <c r="CZ183" s="36">
        <v>401.63276839008836</v>
      </c>
      <c r="DA183" s="36">
        <v>2100</v>
      </c>
      <c r="DB183" s="36">
        <v>-286.76041461687629</v>
      </c>
      <c r="DC183" s="36">
        <v>4484.8992470000003</v>
      </c>
      <c r="DD183" s="36">
        <v>439.81142769685135</v>
      </c>
      <c r="DE183" s="36">
        <v>2895</v>
      </c>
      <c r="DF183" s="36">
        <v>44.737988438761931</v>
      </c>
      <c r="DG183" s="36">
        <v>-610</v>
      </c>
      <c r="DH183" s="36">
        <v>468.9079389746928</v>
      </c>
      <c r="DI183" s="36">
        <v>3352</v>
      </c>
      <c r="DJ183" s="36">
        <v>-760</v>
      </c>
      <c r="DK183" s="36">
        <v>-1561</v>
      </c>
      <c r="DL183" s="36">
        <v>471</v>
      </c>
      <c r="DM183" s="36">
        <v>4293</v>
      </c>
      <c r="DN183" s="36">
        <v>72</v>
      </c>
      <c r="DO183" s="69">
        <v>-1483</v>
      </c>
      <c r="DP183" s="36">
        <v>556</v>
      </c>
      <c r="DQ183" s="36">
        <v>5368</v>
      </c>
      <c r="DR183" s="36">
        <v>-732</v>
      </c>
      <c r="DS183" s="36">
        <v>-1246</v>
      </c>
      <c r="DT183" s="36">
        <v>649</v>
      </c>
      <c r="DU183" s="36">
        <v>5607</v>
      </c>
      <c r="DV183" s="36">
        <v>-520</v>
      </c>
      <c r="DW183" s="71">
        <v>-290</v>
      </c>
      <c r="DX183" s="39">
        <v>673</v>
      </c>
      <c r="DY183" s="71">
        <v>6466</v>
      </c>
      <c r="DZ183" s="70">
        <v>852</v>
      </c>
      <c r="EA183" s="35">
        <v>-460</v>
      </c>
      <c r="EB183" s="35">
        <v>685</v>
      </c>
      <c r="EC183" s="38">
        <v>6617</v>
      </c>
      <c r="ED183" s="38">
        <v>1329</v>
      </c>
      <c r="EE183" s="38">
        <v>162</v>
      </c>
      <c r="EF183" s="38">
        <v>741</v>
      </c>
      <c r="EG183" s="73">
        <v>5284</v>
      </c>
      <c r="EH183" s="73">
        <v>1792</v>
      </c>
      <c r="EI183" s="73">
        <v>-829</v>
      </c>
      <c r="EJ183" s="73">
        <v>759</v>
      </c>
      <c r="EK183" s="73">
        <v>4459</v>
      </c>
      <c r="EL183" s="73">
        <v>11605.807865476569</v>
      </c>
      <c r="EM183" s="73">
        <v>547.61988855867992</v>
      </c>
      <c r="EN183" s="73">
        <v>12346.002929833679</v>
      </c>
      <c r="EO183" s="73">
        <v>4.7092619409223087</v>
      </c>
      <c r="EP183" s="73">
        <v>13093.261887102171</v>
      </c>
      <c r="EQ183" s="73">
        <v>0</v>
      </c>
      <c r="ER183" s="73">
        <v>13591.098149428244</v>
      </c>
      <c r="ES183" s="73">
        <v>-394.90525133162788</v>
      </c>
      <c r="ET183" s="73">
        <v>14827</v>
      </c>
      <c r="EU183" s="73">
        <v>-1278</v>
      </c>
      <c r="EV183" s="73">
        <v>15636</v>
      </c>
      <c r="EW183" s="73">
        <v>-530</v>
      </c>
      <c r="EX183" s="73">
        <v>15238</v>
      </c>
      <c r="EY183" s="73">
        <v>-372</v>
      </c>
      <c r="EZ183" s="73">
        <v>15718</v>
      </c>
      <c r="FA183" s="73">
        <v>-184</v>
      </c>
      <c r="FB183" s="73">
        <v>15464</v>
      </c>
      <c r="FC183" s="73">
        <v>175</v>
      </c>
      <c r="FD183" s="73">
        <v>15565</v>
      </c>
      <c r="FE183" s="73">
        <v>594</v>
      </c>
      <c r="FF183" s="73">
        <v>16642</v>
      </c>
      <c r="FG183" s="73">
        <v>1039</v>
      </c>
      <c r="FH183" s="73">
        <v>347</v>
      </c>
      <c r="FI183" s="73">
        <v>1386</v>
      </c>
      <c r="FJ183" s="79">
        <v>2986</v>
      </c>
      <c r="FK183" s="80">
        <v>6396</v>
      </c>
      <c r="FL183" s="80">
        <v>9916</v>
      </c>
      <c r="FM183" s="80">
        <v>2711</v>
      </c>
      <c r="FN183" s="76">
        <v>331</v>
      </c>
      <c r="FO183" s="80">
        <v>5647</v>
      </c>
      <c r="FP183" s="80">
        <v>503</v>
      </c>
      <c r="FQ183" s="80">
        <v>246</v>
      </c>
      <c r="FR183" s="80">
        <v>1092</v>
      </c>
      <c r="FS183" s="81">
        <v>-1669</v>
      </c>
      <c r="FT183" s="76">
        <v>679</v>
      </c>
      <c r="FU183" s="76">
        <v>3588</v>
      </c>
      <c r="FV183" s="76">
        <v>1669</v>
      </c>
      <c r="FW183" s="80">
        <v>18040</v>
      </c>
      <c r="FX183" s="80">
        <v>641</v>
      </c>
      <c r="FY183" s="73">
        <v>2934</v>
      </c>
      <c r="FZ183" s="73">
        <v>6401</v>
      </c>
      <c r="GA183" s="73">
        <v>10360</v>
      </c>
      <c r="GB183" s="73">
        <v>3082</v>
      </c>
      <c r="GC183" s="73">
        <v>113</v>
      </c>
      <c r="GD183" s="73">
        <v>5513</v>
      </c>
      <c r="GE183" s="73">
        <v>634</v>
      </c>
      <c r="GF183" s="73">
        <v>254</v>
      </c>
      <c r="GG183" s="73">
        <v>635</v>
      </c>
      <c r="GH183" s="73">
        <v>-1053</v>
      </c>
      <c r="GI183" s="73">
        <v>721</v>
      </c>
      <c r="GJ183" s="73">
        <v>3289</v>
      </c>
      <c r="GK183" s="73">
        <v>1053</v>
      </c>
      <c r="GL183" s="73">
        <v>19321</v>
      </c>
      <c r="GM183" s="73">
        <v>-80</v>
      </c>
      <c r="GN183" s="73">
        <v>1948</v>
      </c>
      <c r="GO183" s="77">
        <v>19.5</v>
      </c>
      <c r="GP183" s="78">
        <v>2910</v>
      </c>
      <c r="GQ183" s="73">
        <v>6721</v>
      </c>
      <c r="GR183" s="65">
        <v>10633</v>
      </c>
      <c r="GS183" s="65">
        <v>3240</v>
      </c>
      <c r="GT183" s="65">
        <v>108</v>
      </c>
      <c r="GU183" s="65">
        <v>5794</v>
      </c>
      <c r="GV183" s="65">
        <v>670</v>
      </c>
      <c r="GW183" s="65">
        <v>257</v>
      </c>
      <c r="GX183" s="65">
        <v>877</v>
      </c>
      <c r="GY183" s="65">
        <v>-2385</v>
      </c>
      <c r="GZ183" s="65">
        <v>867</v>
      </c>
      <c r="HA183" s="65">
        <v>5078</v>
      </c>
      <c r="HB183" s="65">
        <v>2385</v>
      </c>
      <c r="HC183" s="65">
        <v>19583</v>
      </c>
      <c r="HD183" s="65">
        <v>16</v>
      </c>
      <c r="HE183" s="78">
        <v>2923</v>
      </c>
      <c r="HF183" s="73">
        <v>6702</v>
      </c>
      <c r="HG183" s="65">
        <v>10758</v>
      </c>
      <c r="HH183" s="65">
        <v>3582</v>
      </c>
      <c r="HI183" s="65">
        <v>134</v>
      </c>
      <c r="HJ183" s="65">
        <v>5944</v>
      </c>
      <c r="HK183" s="65">
        <v>382</v>
      </c>
      <c r="HL183" s="65">
        <v>376</v>
      </c>
      <c r="HM183" s="65">
        <v>971</v>
      </c>
      <c r="HN183" s="65">
        <v>-2423</v>
      </c>
      <c r="HO183" s="65">
        <v>967</v>
      </c>
      <c r="HP183" s="65">
        <v>6440</v>
      </c>
      <c r="HQ183" s="65">
        <v>2423</v>
      </c>
      <c r="HR183" s="65">
        <v>20205</v>
      </c>
      <c r="HS183" s="65">
        <v>10</v>
      </c>
      <c r="HT183" s="65">
        <v>1974</v>
      </c>
      <c r="HU183" s="77">
        <v>20.5</v>
      </c>
      <c r="HV183" s="180">
        <v>340</v>
      </c>
      <c r="HW183" s="30" t="s">
        <v>761</v>
      </c>
    </row>
    <row r="184" spans="1:231" ht="15" x14ac:dyDescent="0.25">
      <c r="A184" s="27">
        <v>588</v>
      </c>
      <c r="B184" s="27" t="s">
        <v>310</v>
      </c>
      <c r="C184" s="27">
        <v>10</v>
      </c>
      <c r="D184" s="27" t="s">
        <v>107</v>
      </c>
      <c r="E184" s="27">
        <v>1</v>
      </c>
      <c r="F184" s="27" t="s">
        <v>103</v>
      </c>
      <c r="G184" s="29" t="s">
        <v>130</v>
      </c>
      <c r="H184" s="27" t="s">
        <v>98</v>
      </c>
      <c r="I184" s="31" t="s">
        <v>107</v>
      </c>
      <c r="J184" s="69">
        <v>2198</v>
      </c>
      <c r="K184" s="69">
        <v>2160</v>
      </c>
      <c r="L184" s="36">
        <v>2178</v>
      </c>
      <c r="M184" s="36">
        <v>2203</v>
      </c>
      <c r="N184" s="36">
        <v>2175</v>
      </c>
      <c r="O184" s="36">
        <v>2167</v>
      </c>
      <c r="P184" s="36">
        <v>2115</v>
      </c>
      <c r="Q184" s="36">
        <v>2102</v>
      </c>
      <c r="R184" s="69">
        <v>2059</v>
      </c>
      <c r="S184" s="69">
        <v>2019</v>
      </c>
      <c r="T184" s="71">
        <v>1979</v>
      </c>
      <c r="U184" s="36">
        <v>4181</v>
      </c>
      <c r="V184" s="36">
        <v>2779</v>
      </c>
      <c r="W184" s="36">
        <v>1463</v>
      </c>
      <c r="X184" s="36">
        <v>236.1358487519615</v>
      </c>
      <c r="Y184" s="36">
        <v>3836</v>
      </c>
      <c r="Z184" s="36">
        <v>2509</v>
      </c>
      <c r="AA184" s="36">
        <v>1636</v>
      </c>
      <c r="AB184" s="36">
        <v>229.91289547288557</v>
      </c>
      <c r="AC184" s="36">
        <v>3991</v>
      </c>
      <c r="AD184" s="36">
        <v>2801</v>
      </c>
      <c r="AE184" s="36">
        <v>1691</v>
      </c>
      <c r="AF184" s="36">
        <v>115.71329340551959</v>
      </c>
      <c r="AG184" s="36">
        <v>3883</v>
      </c>
      <c r="AH184" s="36">
        <v>3193</v>
      </c>
      <c r="AI184" s="36">
        <v>1964</v>
      </c>
      <c r="AJ184" s="36">
        <v>149.51906662428331</v>
      </c>
      <c r="AK184" s="36">
        <v>4019</v>
      </c>
      <c r="AL184" s="36">
        <v>3621</v>
      </c>
      <c r="AM184" s="36">
        <v>2033</v>
      </c>
      <c r="AN184" s="36">
        <v>94</v>
      </c>
      <c r="AO184" s="36">
        <v>3543</v>
      </c>
      <c r="AP184" s="36">
        <v>4231</v>
      </c>
      <c r="AQ184" s="36">
        <v>1456</v>
      </c>
      <c r="AR184" s="36">
        <v>76</v>
      </c>
      <c r="AS184" s="36">
        <v>3849</v>
      </c>
      <c r="AT184" s="36">
        <v>4624</v>
      </c>
      <c r="AU184" s="36">
        <v>1579</v>
      </c>
      <c r="AV184" s="36">
        <v>92</v>
      </c>
      <c r="AW184" s="36">
        <v>3954</v>
      </c>
      <c r="AX184" s="69">
        <v>4507</v>
      </c>
      <c r="AY184" s="36">
        <v>1653</v>
      </c>
      <c r="AZ184" s="36">
        <v>89</v>
      </c>
      <c r="BA184" s="36">
        <v>4189</v>
      </c>
      <c r="BB184" s="36">
        <v>4383</v>
      </c>
      <c r="BC184" s="36">
        <v>1841</v>
      </c>
      <c r="BD184" s="36">
        <v>67</v>
      </c>
      <c r="BE184" s="70">
        <v>4426</v>
      </c>
      <c r="BF184" s="70">
        <v>4506</v>
      </c>
      <c r="BG184" s="70">
        <v>1969</v>
      </c>
      <c r="BH184" s="70">
        <v>114</v>
      </c>
      <c r="BI184" s="36">
        <v>4843</v>
      </c>
      <c r="BJ184" s="36">
        <v>4984</v>
      </c>
      <c r="BK184" s="36">
        <v>2298</v>
      </c>
      <c r="BL184" s="36">
        <v>59</v>
      </c>
      <c r="BM184" s="36">
        <v>2536.2739310395864</v>
      </c>
      <c r="BN184" s="36">
        <v>1433.6338851579201</v>
      </c>
      <c r="BO184" s="36">
        <v>205.86202198888947</v>
      </c>
      <c r="BP184" s="36">
        <v>2457.7301693820605</v>
      </c>
      <c r="BQ184" s="36">
        <v>1164.3650148930408</v>
      </c>
      <c r="BR184" s="36">
        <v>209.39396844458122</v>
      </c>
      <c r="BS184" s="36">
        <v>2443.6023835592937</v>
      </c>
      <c r="BT184" s="36">
        <v>1299.5881077680958</v>
      </c>
      <c r="BU184" s="36">
        <v>243.03155373688344</v>
      </c>
      <c r="BV184" s="36">
        <v>2778</v>
      </c>
      <c r="BW184" s="36">
        <v>831</v>
      </c>
      <c r="BX184" s="36">
        <v>270</v>
      </c>
      <c r="BY184" s="36">
        <v>3209</v>
      </c>
      <c r="BZ184" s="36">
        <v>533</v>
      </c>
      <c r="CA184" s="36">
        <v>273</v>
      </c>
      <c r="CB184" s="36">
        <v>2963</v>
      </c>
      <c r="CC184" s="36">
        <v>300</v>
      </c>
      <c r="CD184" s="36">
        <v>275</v>
      </c>
      <c r="CE184" s="36">
        <v>3176</v>
      </c>
      <c r="CF184" s="36">
        <v>396</v>
      </c>
      <c r="CG184" s="36">
        <v>277</v>
      </c>
      <c r="CH184" s="36">
        <v>3095</v>
      </c>
      <c r="CI184" s="36">
        <v>537</v>
      </c>
      <c r="CJ184" s="70">
        <v>322</v>
      </c>
      <c r="CK184" s="70">
        <v>3200</v>
      </c>
      <c r="CL184" s="70">
        <v>660</v>
      </c>
      <c r="CM184" s="36">
        <v>329</v>
      </c>
      <c r="CN184" s="36">
        <v>3313</v>
      </c>
      <c r="CO184" s="36">
        <v>744</v>
      </c>
      <c r="CP184" s="36">
        <v>369</v>
      </c>
      <c r="CQ184" s="36">
        <v>3769</v>
      </c>
      <c r="CR184" s="36">
        <v>692</v>
      </c>
      <c r="CS184" s="36">
        <v>382</v>
      </c>
      <c r="CT184" s="36">
        <v>676.78821608112037</v>
      </c>
      <c r="CU184" s="36">
        <v>-433.42028649999997</v>
      </c>
      <c r="CV184" s="36">
        <v>782.07385804602632</v>
      </c>
      <c r="CW184" s="36">
        <v>35</v>
      </c>
      <c r="CX184" s="36">
        <v>-246.56350019257516</v>
      </c>
      <c r="CY184" s="36">
        <v>-242.6951779</v>
      </c>
      <c r="CZ184" s="36">
        <v>337.3849804817911</v>
      </c>
      <c r="DA184" s="36">
        <v>21</v>
      </c>
      <c r="DB184" s="36">
        <v>-137.91409969843903</v>
      </c>
      <c r="DC184" s="36">
        <v>-397.59625820000002</v>
      </c>
      <c r="DD184" s="36">
        <v>354.70833690732678</v>
      </c>
      <c r="DE184" s="36">
        <v>0</v>
      </c>
      <c r="DF184" s="36">
        <v>-411.38766812485596</v>
      </c>
      <c r="DG184" s="36">
        <v>-420</v>
      </c>
      <c r="DH184" s="36">
        <v>363.45410908332531</v>
      </c>
      <c r="DI184" s="36">
        <v>0</v>
      </c>
      <c r="DJ184" s="36">
        <v>207</v>
      </c>
      <c r="DK184" s="36">
        <v>-241</v>
      </c>
      <c r="DL184" s="36">
        <v>337</v>
      </c>
      <c r="DM184" s="36">
        <v>485</v>
      </c>
      <c r="DN184" s="36">
        <v>-285</v>
      </c>
      <c r="DO184" s="69">
        <v>-760</v>
      </c>
      <c r="DP184" s="36">
        <v>299</v>
      </c>
      <c r="DQ184" s="36">
        <v>1024</v>
      </c>
      <c r="DR184" s="36">
        <v>462</v>
      </c>
      <c r="DS184" s="36">
        <v>-169</v>
      </c>
      <c r="DT184" s="36">
        <v>364</v>
      </c>
      <c r="DU184" s="36">
        <v>1312</v>
      </c>
      <c r="DV184" s="36">
        <v>408</v>
      </c>
      <c r="DW184" s="71">
        <v>-374</v>
      </c>
      <c r="DX184" s="39">
        <v>344</v>
      </c>
      <c r="DY184" s="71">
        <v>1136</v>
      </c>
      <c r="DZ184" s="70">
        <v>275</v>
      </c>
      <c r="EA184" s="35">
        <v>-169</v>
      </c>
      <c r="EB184" s="35">
        <v>342</v>
      </c>
      <c r="EC184" s="38">
        <v>960</v>
      </c>
      <c r="ED184" s="38">
        <v>577</v>
      </c>
      <c r="EE184" s="38">
        <v>-1075</v>
      </c>
      <c r="EF184" s="38">
        <v>342</v>
      </c>
      <c r="EG184" s="73">
        <v>2104</v>
      </c>
      <c r="EH184" s="73">
        <v>1005</v>
      </c>
      <c r="EI184" s="73">
        <v>-2216</v>
      </c>
      <c r="EJ184" s="73">
        <v>385</v>
      </c>
      <c r="EK184" s="73">
        <v>4228</v>
      </c>
      <c r="EL184" s="73">
        <v>7618.0721290741421</v>
      </c>
      <c r="EM184" s="73">
        <v>40.196914424301134</v>
      </c>
      <c r="EN184" s="73">
        <v>8074.5341614906829</v>
      </c>
      <c r="EO184" s="73">
        <v>-246.56350019257516</v>
      </c>
      <c r="EP184" s="73">
        <v>8387.1955167826327</v>
      </c>
      <c r="EQ184" s="73">
        <v>-137.91409969843903</v>
      </c>
      <c r="ER184" s="73">
        <v>9228.3033370166486</v>
      </c>
      <c r="ES184" s="73">
        <v>-728.92647328418877</v>
      </c>
      <c r="ET184" s="73">
        <v>9545</v>
      </c>
      <c r="EU184" s="73">
        <v>-54</v>
      </c>
      <c r="EV184" s="73">
        <v>9572</v>
      </c>
      <c r="EW184" s="73">
        <v>-582</v>
      </c>
      <c r="EX184" s="73">
        <v>9652</v>
      </c>
      <c r="EY184" s="73">
        <v>99</v>
      </c>
      <c r="EZ184" s="73">
        <v>9821</v>
      </c>
      <c r="FA184" s="73">
        <v>64</v>
      </c>
      <c r="FB184" s="73">
        <v>10198</v>
      </c>
      <c r="FC184" s="73">
        <v>-67</v>
      </c>
      <c r="FD184" s="73">
        <v>10369</v>
      </c>
      <c r="FE184" s="73">
        <v>252</v>
      </c>
      <c r="FF184" s="73">
        <v>11087</v>
      </c>
      <c r="FG184" s="73">
        <v>604</v>
      </c>
      <c r="FH184" s="73">
        <v>-231</v>
      </c>
      <c r="FI184" s="73">
        <v>373</v>
      </c>
      <c r="FJ184" s="79">
        <v>1983</v>
      </c>
      <c r="FK184" s="80">
        <v>4787</v>
      </c>
      <c r="FL184" s="80">
        <v>5197</v>
      </c>
      <c r="FM184" s="80">
        <v>1951</v>
      </c>
      <c r="FN184" s="76">
        <v>94</v>
      </c>
      <c r="FO184" s="80">
        <v>3834</v>
      </c>
      <c r="FP184" s="80">
        <v>543</v>
      </c>
      <c r="FQ184" s="80">
        <v>410</v>
      </c>
      <c r="FR184" s="80">
        <v>819</v>
      </c>
      <c r="FS184" s="81">
        <v>-1153</v>
      </c>
      <c r="FT184" s="76">
        <v>337</v>
      </c>
      <c r="FU184" s="76">
        <v>4494</v>
      </c>
      <c r="FV184" s="76">
        <v>1153</v>
      </c>
      <c r="FW184" s="80">
        <v>11135</v>
      </c>
      <c r="FX184" s="80">
        <v>482</v>
      </c>
      <c r="FY184" s="73">
        <v>1936</v>
      </c>
      <c r="FZ184" s="73">
        <v>4606</v>
      </c>
      <c r="GA184" s="73">
        <v>5420</v>
      </c>
      <c r="GB184" s="73">
        <v>2278</v>
      </c>
      <c r="GC184" s="73">
        <v>61</v>
      </c>
      <c r="GD184" s="73">
        <v>3501</v>
      </c>
      <c r="GE184" s="73">
        <v>681</v>
      </c>
      <c r="GF184" s="73">
        <v>424</v>
      </c>
      <c r="GG184" s="73">
        <v>411</v>
      </c>
      <c r="GH184" s="73">
        <v>-382</v>
      </c>
      <c r="GI184" s="73">
        <v>402</v>
      </c>
      <c r="GJ184" s="73">
        <v>4179</v>
      </c>
      <c r="GK184" s="73">
        <v>382</v>
      </c>
      <c r="GL184" s="73">
        <v>11913</v>
      </c>
      <c r="GM184" s="73">
        <v>9</v>
      </c>
      <c r="GN184" s="73">
        <v>864</v>
      </c>
      <c r="GO184" s="77">
        <v>20</v>
      </c>
      <c r="GP184" s="78">
        <v>1910</v>
      </c>
      <c r="GQ184" s="73">
        <v>4914</v>
      </c>
      <c r="GR184" s="65">
        <v>5618</v>
      </c>
      <c r="GS184" s="65">
        <v>2128</v>
      </c>
      <c r="GT184" s="65">
        <v>85</v>
      </c>
      <c r="GU184" s="65">
        <v>3733</v>
      </c>
      <c r="GV184" s="65">
        <v>680</v>
      </c>
      <c r="GW184" s="65">
        <v>501</v>
      </c>
      <c r="GX184" s="65">
        <v>920</v>
      </c>
      <c r="GY184" s="65">
        <v>-845</v>
      </c>
      <c r="GZ184" s="65">
        <v>441</v>
      </c>
      <c r="HA184" s="65">
        <v>4373</v>
      </c>
      <c r="HB184" s="65">
        <v>845</v>
      </c>
      <c r="HC184" s="65">
        <v>11765</v>
      </c>
      <c r="HD184" s="65">
        <v>385</v>
      </c>
      <c r="HE184" s="78">
        <v>1857</v>
      </c>
      <c r="HF184" s="73">
        <v>4832</v>
      </c>
      <c r="HG184" s="65">
        <v>5979</v>
      </c>
      <c r="HH184" s="65">
        <v>1963</v>
      </c>
      <c r="HI184" s="65">
        <v>59</v>
      </c>
      <c r="HJ184" s="65">
        <v>3870</v>
      </c>
      <c r="HK184" s="65">
        <v>431</v>
      </c>
      <c r="HL184" s="65">
        <v>531</v>
      </c>
      <c r="HM184" s="65">
        <v>159</v>
      </c>
      <c r="HN184" s="65">
        <v>-738</v>
      </c>
      <c r="HO184" s="65">
        <v>508</v>
      </c>
      <c r="HP184" s="65">
        <v>4438</v>
      </c>
      <c r="HQ184" s="65">
        <v>738</v>
      </c>
      <c r="HR184" s="65">
        <v>12626</v>
      </c>
      <c r="HS184" s="65">
        <v>-349</v>
      </c>
      <c r="HT184" s="65">
        <v>900</v>
      </c>
      <c r="HU184" s="77">
        <v>20</v>
      </c>
      <c r="HV184" s="180">
        <v>340</v>
      </c>
      <c r="HW184" s="30" t="s">
        <v>761</v>
      </c>
    </row>
    <row r="185" spans="1:231" ht="15" x14ac:dyDescent="0.25">
      <c r="A185" s="27">
        <v>592</v>
      </c>
      <c r="B185" s="27" t="s">
        <v>311</v>
      </c>
      <c r="C185" s="27">
        <v>13</v>
      </c>
      <c r="D185" s="27" t="s">
        <v>111</v>
      </c>
      <c r="E185" s="27">
        <v>2</v>
      </c>
      <c r="F185" s="27" t="s">
        <v>744</v>
      </c>
      <c r="G185" s="29" t="s">
        <v>130</v>
      </c>
      <c r="H185" s="27" t="s">
        <v>98</v>
      </c>
      <c r="I185" s="31" t="s">
        <v>111</v>
      </c>
      <c r="J185" s="69">
        <v>3790</v>
      </c>
      <c r="K185" s="69">
        <v>3766</v>
      </c>
      <c r="L185" s="36">
        <v>3780</v>
      </c>
      <c r="M185" s="36">
        <v>3758</v>
      </c>
      <c r="N185" s="36">
        <v>3721</v>
      </c>
      <c r="O185" s="36">
        <v>3691</v>
      </c>
      <c r="P185" s="36">
        <v>3682</v>
      </c>
      <c r="Q185" s="36">
        <v>3703</v>
      </c>
      <c r="R185" s="69">
        <v>3748</v>
      </c>
      <c r="S185" s="69">
        <v>3859</v>
      </c>
      <c r="T185" s="71">
        <v>3887</v>
      </c>
      <c r="U185" s="36">
        <v>6772</v>
      </c>
      <c r="V185" s="36">
        <v>5666</v>
      </c>
      <c r="W185" s="36">
        <v>2435</v>
      </c>
      <c r="X185" s="36">
        <v>113.35866243505843</v>
      </c>
      <c r="Y185" s="36">
        <v>6901</v>
      </c>
      <c r="Z185" s="36">
        <v>5501</v>
      </c>
      <c r="AA185" s="36">
        <v>2572</v>
      </c>
      <c r="AB185" s="36">
        <v>327.6300807470235</v>
      </c>
      <c r="AC185" s="36">
        <v>6708</v>
      </c>
      <c r="AD185" s="36">
        <v>5784</v>
      </c>
      <c r="AE185" s="36">
        <v>2602</v>
      </c>
      <c r="AF185" s="36">
        <v>467.73062348946218</v>
      </c>
      <c r="AG185" s="36">
        <v>7161</v>
      </c>
      <c r="AH185" s="36">
        <v>6628</v>
      </c>
      <c r="AI185" s="36">
        <v>3018</v>
      </c>
      <c r="AJ185" s="36">
        <v>452.25733425500317</v>
      </c>
      <c r="AK185" s="36">
        <v>7351</v>
      </c>
      <c r="AL185" s="36">
        <v>7710</v>
      </c>
      <c r="AM185" s="36">
        <v>3017</v>
      </c>
      <c r="AN185" s="36">
        <v>422</v>
      </c>
      <c r="AO185" s="36">
        <v>7158</v>
      </c>
      <c r="AP185" s="36">
        <v>8294</v>
      </c>
      <c r="AQ185" s="36">
        <v>3030</v>
      </c>
      <c r="AR185" s="36">
        <v>662</v>
      </c>
      <c r="AS185" s="36">
        <v>7135</v>
      </c>
      <c r="AT185" s="36">
        <v>8074</v>
      </c>
      <c r="AU185" s="36">
        <v>3559</v>
      </c>
      <c r="AV185" s="36">
        <v>316</v>
      </c>
      <c r="AW185" s="36">
        <v>7463</v>
      </c>
      <c r="AX185" s="69">
        <v>6821</v>
      </c>
      <c r="AY185" s="36">
        <v>3675</v>
      </c>
      <c r="AZ185" s="36">
        <v>385</v>
      </c>
      <c r="BA185" s="36">
        <v>8134</v>
      </c>
      <c r="BB185" s="36">
        <v>7300</v>
      </c>
      <c r="BC185" s="36">
        <v>3928</v>
      </c>
      <c r="BD185" s="36">
        <v>350</v>
      </c>
      <c r="BE185" s="70">
        <v>8460</v>
      </c>
      <c r="BF185" s="70">
        <v>7462</v>
      </c>
      <c r="BG185" s="70">
        <v>4132</v>
      </c>
      <c r="BH185" s="70">
        <v>890</v>
      </c>
      <c r="BI185" s="36">
        <v>9321</v>
      </c>
      <c r="BJ185" s="36">
        <v>8113</v>
      </c>
      <c r="BK185" s="36">
        <v>4005</v>
      </c>
      <c r="BL185" s="36">
        <v>0</v>
      </c>
      <c r="BM185" s="36">
        <v>5128.2180657379331</v>
      </c>
      <c r="BN185" s="36">
        <v>1426.4018043200751</v>
      </c>
      <c r="BO185" s="36">
        <v>217.63517684119526</v>
      </c>
      <c r="BP185" s="36">
        <v>5372.0905591071241</v>
      </c>
      <c r="BQ185" s="36">
        <v>1305.6428731207102</v>
      </c>
      <c r="BR185" s="36">
        <v>223.01719048796363</v>
      </c>
      <c r="BS185" s="36">
        <v>5114.258467841627</v>
      </c>
      <c r="BT185" s="36">
        <v>1372.41347992593</v>
      </c>
      <c r="BU185" s="36">
        <v>221.16712329688701</v>
      </c>
      <c r="BV185" s="36">
        <v>5987</v>
      </c>
      <c r="BW185" s="36">
        <v>932</v>
      </c>
      <c r="BX185" s="36">
        <v>242</v>
      </c>
      <c r="BY185" s="36">
        <v>6493</v>
      </c>
      <c r="BZ185" s="36">
        <v>554</v>
      </c>
      <c r="CA185" s="36">
        <v>304</v>
      </c>
      <c r="CB185" s="36">
        <v>6499</v>
      </c>
      <c r="CC185" s="36">
        <v>355</v>
      </c>
      <c r="CD185" s="36">
        <v>304</v>
      </c>
      <c r="CE185" s="36">
        <v>6409</v>
      </c>
      <c r="CF185" s="36">
        <v>421</v>
      </c>
      <c r="CG185" s="36">
        <v>305</v>
      </c>
      <c r="CH185" s="36">
        <v>6535</v>
      </c>
      <c r="CI185" s="36">
        <v>610</v>
      </c>
      <c r="CJ185" s="70">
        <v>318</v>
      </c>
      <c r="CK185" s="70">
        <v>7018</v>
      </c>
      <c r="CL185" s="70">
        <v>792</v>
      </c>
      <c r="CM185" s="36">
        <v>324</v>
      </c>
      <c r="CN185" s="36">
        <v>7291</v>
      </c>
      <c r="CO185" s="36">
        <v>836</v>
      </c>
      <c r="CP185" s="36">
        <v>333</v>
      </c>
      <c r="CQ185" s="36">
        <v>8245</v>
      </c>
      <c r="CR185" s="36">
        <v>725</v>
      </c>
      <c r="CS185" s="36">
        <v>351</v>
      </c>
      <c r="CT185" s="36">
        <v>514.15049119283924</v>
      </c>
      <c r="CU185" s="36">
        <v>-524.91451849999999</v>
      </c>
      <c r="CV185" s="36">
        <v>431.23384344731426</v>
      </c>
      <c r="CW185" s="36">
        <v>2555</v>
      </c>
      <c r="CX185" s="36">
        <v>327.79826867348498</v>
      </c>
      <c r="CY185" s="36">
        <v>-764.58231369999999</v>
      </c>
      <c r="CZ185" s="36">
        <v>487.24042295899744</v>
      </c>
      <c r="DA185" s="36">
        <v>2539</v>
      </c>
      <c r="DB185" s="36">
        <v>-688.72955885988767</v>
      </c>
      <c r="DC185" s="36">
        <v>-1111.5540060000001</v>
      </c>
      <c r="DD185" s="36">
        <v>528.78284079499065</v>
      </c>
      <c r="DE185" s="36">
        <v>2037</v>
      </c>
      <c r="DF185" s="36">
        <v>-991.80420234353051</v>
      </c>
      <c r="DG185" s="36">
        <v>-2723</v>
      </c>
      <c r="DH185" s="36">
        <v>572.34351374852201</v>
      </c>
      <c r="DI185" s="36">
        <v>4690</v>
      </c>
      <c r="DJ185" s="36">
        <v>400</v>
      </c>
      <c r="DK185" s="36">
        <v>-1853</v>
      </c>
      <c r="DL185" s="36">
        <v>667</v>
      </c>
      <c r="DM185" s="36">
        <v>5789</v>
      </c>
      <c r="DN185" s="36">
        <v>1766</v>
      </c>
      <c r="DO185" s="69">
        <v>-1958</v>
      </c>
      <c r="DP185" s="36">
        <v>603</v>
      </c>
      <c r="DQ185" s="36">
        <v>5375</v>
      </c>
      <c r="DR185" s="36">
        <v>629</v>
      </c>
      <c r="DS185" s="36">
        <v>-2082</v>
      </c>
      <c r="DT185" s="36">
        <v>678</v>
      </c>
      <c r="DU185" s="36">
        <v>5218</v>
      </c>
      <c r="DV185" s="36">
        <v>949</v>
      </c>
      <c r="DW185" s="71">
        <v>-1493</v>
      </c>
      <c r="DX185" s="39">
        <v>854</v>
      </c>
      <c r="DY185" s="71">
        <v>4424</v>
      </c>
      <c r="DZ185" s="70">
        <v>1188</v>
      </c>
      <c r="EA185" s="35">
        <v>-1188</v>
      </c>
      <c r="EB185" s="35">
        <v>723</v>
      </c>
      <c r="EC185" s="38">
        <v>3759</v>
      </c>
      <c r="ED185" s="38">
        <v>1507</v>
      </c>
      <c r="EE185" s="38">
        <v>-266</v>
      </c>
      <c r="EF185" s="38">
        <v>712</v>
      </c>
      <c r="EG185" s="73">
        <v>3263</v>
      </c>
      <c r="EH185" s="73">
        <v>131</v>
      </c>
      <c r="EI185" s="73">
        <v>-1125</v>
      </c>
      <c r="EJ185" s="73">
        <v>768</v>
      </c>
      <c r="EK185" s="73">
        <v>3881</v>
      </c>
      <c r="EL185" s="73">
        <v>13761.472518933755</v>
      </c>
      <c r="EM185" s="73">
        <v>89.812352730446889</v>
      </c>
      <c r="EN185" s="73">
        <v>14306.905964448435</v>
      </c>
      <c r="EO185" s="73">
        <v>15.305101307997504</v>
      </c>
      <c r="EP185" s="73">
        <v>15367.330840788263</v>
      </c>
      <c r="EQ185" s="73">
        <v>8663.3600920324334</v>
      </c>
      <c r="ER185" s="73">
        <v>17190.992527410428</v>
      </c>
      <c r="ES185" s="73">
        <v>-1539.5922788286719</v>
      </c>
      <c r="ET185" s="73">
        <v>17290</v>
      </c>
      <c r="EU185" s="73">
        <v>-171</v>
      </c>
      <c r="EV185" s="73">
        <v>16996</v>
      </c>
      <c r="EW185" s="73">
        <v>1247</v>
      </c>
      <c r="EX185" s="73">
        <v>18251</v>
      </c>
      <c r="EY185" s="73">
        <v>-49</v>
      </c>
      <c r="EZ185" s="73">
        <v>17223</v>
      </c>
      <c r="FA185" s="73">
        <v>105</v>
      </c>
      <c r="FB185" s="73">
        <v>18461</v>
      </c>
      <c r="FC185" s="73">
        <v>475</v>
      </c>
      <c r="FD185" s="73">
        <v>19239</v>
      </c>
      <c r="FE185" s="73">
        <v>755</v>
      </c>
      <c r="FF185" s="73">
        <v>21039</v>
      </c>
      <c r="FG185" s="73">
        <v>-627</v>
      </c>
      <c r="FH185" s="73">
        <v>9717</v>
      </c>
      <c r="FI185" s="73">
        <v>9091</v>
      </c>
      <c r="FJ185" s="79">
        <v>3979</v>
      </c>
      <c r="FK185" s="80">
        <v>9151</v>
      </c>
      <c r="FL185" s="80">
        <v>8723</v>
      </c>
      <c r="FM185" s="80">
        <v>4350</v>
      </c>
      <c r="FN185" s="76">
        <v>315</v>
      </c>
      <c r="FO185" s="80">
        <v>8220</v>
      </c>
      <c r="FP185" s="80">
        <v>562</v>
      </c>
      <c r="FQ185" s="80">
        <v>369</v>
      </c>
      <c r="FR185" s="80">
        <v>241</v>
      </c>
      <c r="FS185" s="81">
        <v>-3308</v>
      </c>
      <c r="FT185" s="76">
        <v>838</v>
      </c>
      <c r="FU185" s="76">
        <v>7033</v>
      </c>
      <c r="FV185" s="76">
        <v>3308</v>
      </c>
      <c r="FW185" s="80">
        <v>22198</v>
      </c>
      <c r="FX185" s="80">
        <v>-20</v>
      </c>
      <c r="FY185" s="73">
        <v>4022</v>
      </c>
      <c r="FZ185" s="73">
        <v>10175</v>
      </c>
      <c r="GA185" s="73">
        <v>9266</v>
      </c>
      <c r="GB185" s="73">
        <v>3095</v>
      </c>
      <c r="GC185" s="73">
        <v>203</v>
      </c>
      <c r="GD185" s="73">
        <v>8980</v>
      </c>
      <c r="GE185" s="73">
        <v>711</v>
      </c>
      <c r="GF185" s="73">
        <v>484</v>
      </c>
      <c r="GG185" s="73">
        <v>1719</v>
      </c>
      <c r="GH185" s="73">
        <v>-732</v>
      </c>
      <c r="GI185" s="73">
        <v>1132</v>
      </c>
      <c r="GJ185" s="73">
        <v>6117</v>
      </c>
      <c r="GK185" s="73">
        <v>732</v>
      </c>
      <c r="GL185" s="73">
        <v>20947</v>
      </c>
      <c r="GM185" s="73">
        <v>597</v>
      </c>
      <c r="GN185" s="73">
        <v>9667</v>
      </c>
      <c r="GO185" s="77">
        <v>20</v>
      </c>
      <c r="GP185" s="78">
        <v>4065</v>
      </c>
      <c r="GQ185" s="73">
        <v>10501</v>
      </c>
      <c r="GR185" s="65">
        <v>9671</v>
      </c>
      <c r="GS185" s="65">
        <v>3580</v>
      </c>
      <c r="GT185" s="65">
        <v>64</v>
      </c>
      <c r="GU185" s="65">
        <v>9256</v>
      </c>
      <c r="GV185" s="65">
        <v>736</v>
      </c>
      <c r="GW185" s="65">
        <v>509</v>
      </c>
      <c r="GX185" s="65">
        <v>623</v>
      </c>
      <c r="GY185" s="65">
        <v>-2238</v>
      </c>
      <c r="GZ185" s="65">
        <v>1062</v>
      </c>
      <c r="HA185" s="65">
        <v>8300</v>
      </c>
      <c r="HB185" s="65">
        <v>2238</v>
      </c>
      <c r="HC185" s="65">
        <v>23046</v>
      </c>
      <c r="HD185" s="65">
        <v>-432</v>
      </c>
      <c r="HE185" s="78">
        <v>4095</v>
      </c>
      <c r="HF185" s="73">
        <v>10839</v>
      </c>
      <c r="HG185" s="65">
        <v>10097</v>
      </c>
      <c r="HH185" s="65">
        <v>3424</v>
      </c>
      <c r="HI185" s="65">
        <v>172</v>
      </c>
      <c r="HJ185" s="65">
        <v>9720</v>
      </c>
      <c r="HK185" s="65">
        <v>443</v>
      </c>
      <c r="HL185" s="65">
        <v>676</v>
      </c>
      <c r="HM185" s="65">
        <v>-319</v>
      </c>
      <c r="HN185" s="65">
        <v>-1090</v>
      </c>
      <c r="HO185" s="65">
        <v>1142</v>
      </c>
      <c r="HP185" s="65">
        <v>9188</v>
      </c>
      <c r="HQ185" s="65">
        <v>1090</v>
      </c>
      <c r="HR185" s="65">
        <v>24701</v>
      </c>
      <c r="HS185" s="65">
        <v>-1454</v>
      </c>
      <c r="HT185" s="65">
        <v>7782</v>
      </c>
      <c r="HU185" s="77">
        <v>20.5</v>
      </c>
      <c r="HV185" s="180">
        <v>340</v>
      </c>
      <c r="HW185" s="30" t="s">
        <v>761</v>
      </c>
    </row>
    <row r="186" spans="1:231" ht="15" x14ac:dyDescent="0.25">
      <c r="A186" s="27">
        <v>593</v>
      </c>
      <c r="B186" s="27" t="s">
        <v>312</v>
      </c>
      <c r="C186" s="27">
        <v>10</v>
      </c>
      <c r="D186" s="27" t="s">
        <v>107</v>
      </c>
      <c r="E186" s="27">
        <v>4</v>
      </c>
      <c r="F186" s="27" t="s">
        <v>100</v>
      </c>
      <c r="G186" s="29" t="s">
        <v>132</v>
      </c>
      <c r="H186" s="27" t="s">
        <v>99</v>
      </c>
      <c r="I186" s="31" t="s">
        <v>107</v>
      </c>
      <c r="J186" s="69">
        <v>22620</v>
      </c>
      <c r="K186" s="69">
        <v>22338</v>
      </c>
      <c r="L186" s="36">
        <v>22040</v>
      </c>
      <c r="M186" s="36">
        <v>21774</v>
      </c>
      <c r="N186" s="36">
        <v>21491</v>
      </c>
      <c r="O186" s="36">
        <v>21264</v>
      </c>
      <c r="P186" s="36">
        <v>21127</v>
      </c>
      <c r="Q186" s="36">
        <v>20966</v>
      </c>
      <c r="R186" s="69">
        <v>20746</v>
      </c>
      <c r="S186" s="69">
        <v>20476</v>
      </c>
      <c r="T186" s="71">
        <v>20304</v>
      </c>
      <c r="U186" s="36">
        <v>45254</v>
      </c>
      <c r="V186" s="36">
        <v>18112</v>
      </c>
      <c r="W186" s="36">
        <v>13400</v>
      </c>
      <c r="X186" s="36">
        <v>1219.1942789194936</v>
      </c>
      <c r="Y186" s="36">
        <v>44278</v>
      </c>
      <c r="Z186" s="36">
        <v>19082</v>
      </c>
      <c r="AA186" s="36">
        <v>13600</v>
      </c>
      <c r="AB186" s="36">
        <v>1576.761810576666</v>
      </c>
      <c r="AC186" s="36">
        <v>42221</v>
      </c>
      <c r="AD186" s="36">
        <v>21553</v>
      </c>
      <c r="AE186" s="36">
        <v>14225</v>
      </c>
      <c r="AF186" s="36">
        <v>1001.7272900047597</v>
      </c>
      <c r="AG186" s="36">
        <v>46263</v>
      </c>
      <c r="AH186" s="36">
        <v>24696</v>
      </c>
      <c r="AI186" s="36">
        <v>14346</v>
      </c>
      <c r="AJ186" s="36">
        <v>853.72191471862993</v>
      </c>
      <c r="AK186" s="36">
        <v>48042</v>
      </c>
      <c r="AL186" s="36">
        <v>26474</v>
      </c>
      <c r="AM186" s="36">
        <v>14450</v>
      </c>
      <c r="AN186" s="36">
        <v>636</v>
      </c>
      <c r="AO186" s="36">
        <v>46299</v>
      </c>
      <c r="AP186" s="36">
        <v>27353</v>
      </c>
      <c r="AQ186" s="36">
        <v>15453</v>
      </c>
      <c r="AR186" s="36">
        <v>640</v>
      </c>
      <c r="AS186" s="36">
        <v>46174</v>
      </c>
      <c r="AT186" s="36">
        <v>27724</v>
      </c>
      <c r="AU186" s="36">
        <v>16388</v>
      </c>
      <c r="AV186" s="36">
        <v>514</v>
      </c>
      <c r="AW186" s="36">
        <v>48156</v>
      </c>
      <c r="AX186" s="69">
        <v>28270</v>
      </c>
      <c r="AY186" s="36">
        <v>15968</v>
      </c>
      <c r="AZ186" s="36">
        <v>498</v>
      </c>
      <c r="BA186" s="36">
        <v>49969</v>
      </c>
      <c r="BB186" s="36">
        <v>30321</v>
      </c>
      <c r="BC186" s="36">
        <v>17311</v>
      </c>
      <c r="BD186" s="36">
        <v>2379</v>
      </c>
      <c r="BE186" s="70">
        <v>52636</v>
      </c>
      <c r="BF186" s="70">
        <v>30496</v>
      </c>
      <c r="BG186" s="70">
        <v>20652</v>
      </c>
      <c r="BH186" s="70">
        <v>3773</v>
      </c>
      <c r="BI186" s="36">
        <v>55912</v>
      </c>
      <c r="BJ186" s="36">
        <v>35835</v>
      </c>
      <c r="BK186" s="36">
        <v>20079</v>
      </c>
      <c r="BL186" s="36">
        <v>985</v>
      </c>
      <c r="BM186" s="36">
        <v>36819.028109248153</v>
      </c>
      <c r="BN186" s="36">
        <v>6550.583359822931</v>
      </c>
      <c r="BO186" s="36">
        <v>1852.7581979000056</v>
      </c>
      <c r="BP186" s="36">
        <v>36499.639236897739</v>
      </c>
      <c r="BQ186" s="36">
        <v>5907.9372928134981</v>
      </c>
      <c r="BR186" s="36">
        <v>1840.3122913418536</v>
      </c>
      <c r="BS186" s="36">
        <v>33817.546373616024</v>
      </c>
      <c r="BT186" s="36">
        <v>6509.3773178398606</v>
      </c>
      <c r="BU186" s="36">
        <v>1865.5404803110805</v>
      </c>
      <c r="BV186" s="36">
        <v>39274</v>
      </c>
      <c r="BW186" s="36">
        <v>5033</v>
      </c>
      <c r="BX186" s="36">
        <v>1929</v>
      </c>
      <c r="BY186" s="36">
        <v>42360</v>
      </c>
      <c r="BZ186" s="36">
        <v>3675</v>
      </c>
      <c r="CA186" s="36">
        <v>1980</v>
      </c>
      <c r="CB186" s="36">
        <v>42248</v>
      </c>
      <c r="CC186" s="36">
        <v>2012</v>
      </c>
      <c r="CD186" s="36">
        <v>2014</v>
      </c>
      <c r="CE186" s="36">
        <v>41443</v>
      </c>
      <c r="CF186" s="36">
        <v>2680</v>
      </c>
      <c r="CG186" s="36">
        <v>2040</v>
      </c>
      <c r="CH186" s="36">
        <v>42703</v>
      </c>
      <c r="CI186" s="36">
        <v>3288</v>
      </c>
      <c r="CJ186" s="70">
        <v>2155</v>
      </c>
      <c r="CK186" s="70">
        <v>44191</v>
      </c>
      <c r="CL186" s="70">
        <v>3576</v>
      </c>
      <c r="CM186" s="36">
        <v>2202</v>
      </c>
      <c r="CN186" s="36">
        <v>46150</v>
      </c>
      <c r="CO186" s="36">
        <v>4248</v>
      </c>
      <c r="CP186" s="36">
        <v>2238</v>
      </c>
      <c r="CQ186" s="36">
        <v>49342</v>
      </c>
      <c r="CR186" s="36">
        <v>4212</v>
      </c>
      <c r="CS186" s="36">
        <v>2358</v>
      </c>
      <c r="CT186" s="36">
        <v>3135.1911371690267</v>
      </c>
      <c r="CU186" s="36">
        <v>-3118.8769081999999</v>
      </c>
      <c r="CV186" s="36">
        <v>3323.0570510265352</v>
      </c>
      <c r="CW186" s="36">
        <v>11078</v>
      </c>
      <c r="CX186" s="36">
        <v>1386.0367019693124</v>
      </c>
      <c r="CY186" s="36">
        <v>169.19705400000009</v>
      </c>
      <c r="CZ186" s="36">
        <v>3538.0012210443456</v>
      </c>
      <c r="DA186" s="36">
        <v>12510</v>
      </c>
      <c r="DB186" s="36">
        <v>-1301.269987032711</v>
      </c>
      <c r="DC186" s="36">
        <v>-3381.0818854999998</v>
      </c>
      <c r="DD186" s="36">
        <v>3611.3311569815651</v>
      </c>
      <c r="DE186" s="36">
        <v>14436</v>
      </c>
      <c r="DF186" s="36">
        <v>2535.4329914072787</v>
      </c>
      <c r="DG186" s="36">
        <v>-3187</v>
      </c>
      <c r="DH186" s="36">
        <v>3130.4818752281053</v>
      </c>
      <c r="DI186" s="36">
        <v>10754</v>
      </c>
      <c r="DJ186" s="36">
        <v>4827</v>
      </c>
      <c r="DK186" s="36">
        <v>-4970</v>
      </c>
      <c r="DL186" s="36">
        <v>3473</v>
      </c>
      <c r="DM186" s="36">
        <v>12145</v>
      </c>
      <c r="DN186" s="36">
        <v>1072</v>
      </c>
      <c r="DO186" s="69">
        <v>-2839</v>
      </c>
      <c r="DP186" s="36">
        <v>3327</v>
      </c>
      <c r="DQ186" s="36">
        <v>8400</v>
      </c>
      <c r="DR186" s="36">
        <v>323</v>
      </c>
      <c r="DS186" s="36">
        <v>-4156</v>
      </c>
      <c r="DT186" s="36">
        <v>3396</v>
      </c>
      <c r="DU186" s="36">
        <v>8281</v>
      </c>
      <c r="DV186" s="36">
        <v>-990</v>
      </c>
      <c r="DW186" s="71">
        <v>-7130</v>
      </c>
      <c r="DX186" s="39">
        <v>3732</v>
      </c>
      <c r="DY186" s="71">
        <v>14874</v>
      </c>
      <c r="DZ186" s="70">
        <v>199</v>
      </c>
      <c r="EA186" s="35">
        <v>-6176</v>
      </c>
      <c r="EB186" s="35">
        <v>3135</v>
      </c>
      <c r="EC186" s="38">
        <v>20288</v>
      </c>
      <c r="ED186" s="38">
        <v>3267</v>
      </c>
      <c r="EE186" s="38">
        <v>-4939</v>
      </c>
      <c r="EF186" s="38">
        <v>3227</v>
      </c>
      <c r="EG186" s="73">
        <v>27297</v>
      </c>
      <c r="EH186" s="73">
        <v>5246</v>
      </c>
      <c r="EI186" s="73">
        <v>-15200</v>
      </c>
      <c r="EJ186" s="73">
        <v>3260</v>
      </c>
      <c r="EK186" s="73">
        <v>36675</v>
      </c>
      <c r="EL186" s="73">
        <v>70330.97702048361</v>
      </c>
      <c r="EM186" s="73">
        <v>1928.9473285870699</v>
      </c>
      <c r="EN186" s="73">
        <v>73030.056864337937</v>
      </c>
      <c r="EO186" s="73">
        <v>1205.4028689496497</v>
      </c>
      <c r="EP186" s="73">
        <v>75648.57469141719</v>
      </c>
      <c r="EQ186" s="73">
        <v>-4902.1734925736619</v>
      </c>
      <c r="ER186" s="73">
        <v>79066.321545041574</v>
      </c>
      <c r="ES186" s="73">
        <v>249.59088286888232</v>
      </c>
      <c r="ET186" s="73">
        <v>84068</v>
      </c>
      <c r="EU186" s="73">
        <v>1838</v>
      </c>
      <c r="EV186" s="73">
        <v>88124</v>
      </c>
      <c r="EW186" s="73">
        <v>-2066</v>
      </c>
      <c r="EX186" s="73">
        <v>90205</v>
      </c>
      <c r="EY186" s="73">
        <v>-3049</v>
      </c>
      <c r="EZ186" s="73">
        <v>93787</v>
      </c>
      <c r="FA186" s="73">
        <v>-4671</v>
      </c>
      <c r="FB186" s="73">
        <v>97160</v>
      </c>
      <c r="FC186" s="73">
        <v>-782</v>
      </c>
      <c r="FD186" s="73">
        <v>100163</v>
      </c>
      <c r="FE186" s="73">
        <v>3260</v>
      </c>
      <c r="FF186" s="73">
        <v>106463</v>
      </c>
      <c r="FG186" s="73">
        <v>2685</v>
      </c>
      <c r="FH186" s="73">
        <v>580</v>
      </c>
      <c r="FI186" s="73">
        <v>3266</v>
      </c>
      <c r="FJ186" s="79">
        <v>20151</v>
      </c>
      <c r="FK186" s="80">
        <v>56251</v>
      </c>
      <c r="FL186" s="80">
        <v>38941</v>
      </c>
      <c r="FM186" s="80">
        <v>20922</v>
      </c>
      <c r="FN186" s="76">
        <v>720</v>
      </c>
      <c r="FO186" s="80">
        <v>50457</v>
      </c>
      <c r="FP186" s="80">
        <v>3271</v>
      </c>
      <c r="FQ186" s="80">
        <v>2523</v>
      </c>
      <c r="FR186" s="80">
        <v>5145</v>
      </c>
      <c r="FS186" s="81">
        <v>-9362</v>
      </c>
      <c r="FT186" s="76">
        <v>3437</v>
      </c>
      <c r="FU186" s="76">
        <v>40329</v>
      </c>
      <c r="FV186" s="76">
        <v>9362</v>
      </c>
      <c r="FW186" s="80">
        <v>110702</v>
      </c>
      <c r="FX186" s="80">
        <v>2034</v>
      </c>
      <c r="FY186" s="73">
        <v>19869</v>
      </c>
      <c r="FZ186" s="73">
        <v>58472</v>
      </c>
      <c r="GA186" s="73">
        <v>41062</v>
      </c>
      <c r="GB186" s="73">
        <v>21616</v>
      </c>
      <c r="GC186" s="73">
        <v>580</v>
      </c>
      <c r="GD186" s="73">
        <v>51458</v>
      </c>
      <c r="GE186" s="73">
        <v>4283</v>
      </c>
      <c r="GF186" s="73">
        <v>2731</v>
      </c>
      <c r="GG186" s="73">
        <v>5507</v>
      </c>
      <c r="GH186" s="73">
        <v>-1798</v>
      </c>
      <c r="GI186" s="73">
        <v>3744</v>
      </c>
      <c r="GJ186" s="73">
        <v>38908</v>
      </c>
      <c r="GK186" s="73">
        <v>1798</v>
      </c>
      <c r="GL186" s="73">
        <v>115628</v>
      </c>
      <c r="GM186" s="73">
        <v>1845</v>
      </c>
      <c r="GN186" s="73">
        <v>7145</v>
      </c>
      <c r="GO186" s="77">
        <v>19.75</v>
      </c>
      <c r="GP186" s="78">
        <v>19700</v>
      </c>
      <c r="GQ186" s="73">
        <v>58505</v>
      </c>
      <c r="GR186" s="65">
        <v>42432</v>
      </c>
      <c r="GS186" s="65">
        <v>21877</v>
      </c>
      <c r="GT186" s="65">
        <v>468</v>
      </c>
      <c r="GU186" s="65">
        <v>50973</v>
      </c>
      <c r="GV186" s="65">
        <v>4875</v>
      </c>
      <c r="GW186" s="65">
        <v>2657</v>
      </c>
      <c r="GX186" s="65">
        <v>628</v>
      </c>
      <c r="GY186" s="65">
        <v>-4516</v>
      </c>
      <c r="GZ186" s="65">
        <v>3740</v>
      </c>
      <c r="HA186" s="65">
        <v>42841</v>
      </c>
      <c r="HB186" s="65">
        <v>4516</v>
      </c>
      <c r="HC186" s="65">
        <v>121788</v>
      </c>
      <c r="HD186" s="65">
        <v>-2640</v>
      </c>
      <c r="HE186" s="78">
        <v>19407</v>
      </c>
      <c r="HF186" s="73">
        <v>59574</v>
      </c>
      <c r="HG186" s="65">
        <v>44021</v>
      </c>
      <c r="HH186" s="65">
        <v>21810</v>
      </c>
      <c r="HI186" s="65">
        <v>541</v>
      </c>
      <c r="HJ186" s="65">
        <v>53300</v>
      </c>
      <c r="HK186" s="65">
        <v>3239</v>
      </c>
      <c r="HL186" s="65">
        <v>3035</v>
      </c>
      <c r="HM186" s="65">
        <v>2878</v>
      </c>
      <c r="HN186" s="65">
        <v>-10939</v>
      </c>
      <c r="HO186" s="65">
        <v>4220</v>
      </c>
      <c r="HP186" s="65">
        <v>48963</v>
      </c>
      <c r="HQ186" s="65">
        <v>10939</v>
      </c>
      <c r="HR186" s="65">
        <v>122383</v>
      </c>
      <c r="HS186" s="65">
        <v>-1203</v>
      </c>
      <c r="HT186" s="65">
        <v>3304</v>
      </c>
      <c r="HU186" s="77">
        <v>19.75</v>
      </c>
      <c r="HV186" s="180">
        <v>240</v>
      </c>
      <c r="HW186" s="30" t="s">
        <v>757</v>
      </c>
    </row>
    <row r="187" spans="1:231" ht="15" x14ac:dyDescent="0.25">
      <c r="A187" s="27">
        <v>595</v>
      </c>
      <c r="B187" s="27" t="s">
        <v>313</v>
      </c>
      <c r="C187" s="27">
        <v>11</v>
      </c>
      <c r="D187" s="27" t="s">
        <v>118</v>
      </c>
      <c r="E187" s="27">
        <v>2</v>
      </c>
      <c r="F187" s="27" t="s">
        <v>744</v>
      </c>
      <c r="G187" s="29" t="s">
        <v>130</v>
      </c>
      <c r="H187" s="27" t="s">
        <v>98</v>
      </c>
      <c r="I187" s="31" t="s">
        <v>118</v>
      </c>
      <c r="J187" s="69">
        <v>6170</v>
      </c>
      <c r="K187" s="69">
        <v>6059</v>
      </c>
      <c r="L187" s="36">
        <v>5916</v>
      </c>
      <c r="M187" s="36">
        <v>5822</v>
      </c>
      <c r="N187" s="36">
        <v>5747</v>
      </c>
      <c r="O187" s="36">
        <v>5633</v>
      </c>
      <c r="P187" s="36">
        <v>5550</v>
      </c>
      <c r="Q187" s="36">
        <v>5482</v>
      </c>
      <c r="R187" s="69">
        <v>5367</v>
      </c>
      <c r="S187" s="69">
        <v>5292</v>
      </c>
      <c r="T187" s="71">
        <v>5249</v>
      </c>
      <c r="U187" s="36">
        <v>10613</v>
      </c>
      <c r="V187" s="36">
        <v>8140</v>
      </c>
      <c r="W187" s="36">
        <v>3670</v>
      </c>
      <c r="X187" s="36">
        <v>196.94806188642943</v>
      </c>
      <c r="Y187" s="36">
        <v>9830</v>
      </c>
      <c r="Z187" s="36">
        <v>8532</v>
      </c>
      <c r="AA187" s="36">
        <v>3842</v>
      </c>
      <c r="AB187" s="36">
        <v>352.01733008394257</v>
      </c>
      <c r="AC187" s="36">
        <v>10028</v>
      </c>
      <c r="AD187" s="36">
        <v>9423</v>
      </c>
      <c r="AE187" s="36">
        <v>4386</v>
      </c>
      <c r="AF187" s="36">
        <v>269.43705819134067</v>
      </c>
      <c r="AG187" s="36">
        <v>9838</v>
      </c>
      <c r="AH187" s="36">
        <v>10189</v>
      </c>
      <c r="AI187" s="36">
        <v>4576</v>
      </c>
      <c r="AJ187" s="36">
        <v>301.39276421902775</v>
      </c>
      <c r="AK187" s="36">
        <v>10156</v>
      </c>
      <c r="AL187" s="36">
        <v>11592</v>
      </c>
      <c r="AM187" s="36">
        <v>4713</v>
      </c>
      <c r="AN187" s="36">
        <v>184</v>
      </c>
      <c r="AO187" s="36">
        <v>9496</v>
      </c>
      <c r="AP187" s="36">
        <v>11954</v>
      </c>
      <c r="AQ187" s="36">
        <v>4797</v>
      </c>
      <c r="AR187" s="36">
        <v>267</v>
      </c>
      <c r="AS187" s="36">
        <v>9641</v>
      </c>
      <c r="AT187" s="36">
        <v>12040</v>
      </c>
      <c r="AU187" s="36">
        <v>5089</v>
      </c>
      <c r="AV187" s="36">
        <v>350</v>
      </c>
      <c r="AW187" s="36">
        <v>10057</v>
      </c>
      <c r="AX187" s="69">
        <v>12431</v>
      </c>
      <c r="AY187" s="36">
        <v>5652</v>
      </c>
      <c r="AZ187" s="36">
        <v>357</v>
      </c>
      <c r="BA187" s="36">
        <v>10361</v>
      </c>
      <c r="BB187" s="36">
        <v>12785</v>
      </c>
      <c r="BC187" s="36">
        <v>5576</v>
      </c>
      <c r="BD187" s="36">
        <v>260</v>
      </c>
      <c r="BE187" s="70">
        <v>10987</v>
      </c>
      <c r="BF187" s="70">
        <v>13329</v>
      </c>
      <c r="BG187" s="70">
        <v>5568</v>
      </c>
      <c r="BH187" s="70">
        <v>237</v>
      </c>
      <c r="BI187" s="36">
        <v>11816</v>
      </c>
      <c r="BJ187" s="36">
        <v>15043</v>
      </c>
      <c r="BK187" s="36">
        <v>5841</v>
      </c>
      <c r="BL187" s="36">
        <v>501</v>
      </c>
      <c r="BM187" s="36">
        <v>7314.9974855904993</v>
      </c>
      <c r="BN187" s="36">
        <v>2924.4516653127539</v>
      </c>
      <c r="BO187" s="36">
        <v>373.37719674455451</v>
      </c>
      <c r="BP187" s="36">
        <v>7178.2607013772904</v>
      </c>
      <c r="BQ187" s="36">
        <v>2272.3870744214755</v>
      </c>
      <c r="BR187" s="36">
        <v>379.26377417070745</v>
      </c>
      <c r="BS187" s="36">
        <v>7062.8837838246955</v>
      </c>
      <c r="BT187" s="36">
        <v>2578.1527247285021</v>
      </c>
      <c r="BU187" s="36">
        <v>387.33679464085992</v>
      </c>
      <c r="BV187" s="36">
        <v>7879</v>
      </c>
      <c r="BW187" s="36">
        <v>1552</v>
      </c>
      <c r="BX187" s="36">
        <v>406</v>
      </c>
      <c r="BY187" s="36">
        <v>8650</v>
      </c>
      <c r="BZ187" s="36">
        <v>999</v>
      </c>
      <c r="CA187" s="36">
        <v>507</v>
      </c>
      <c r="CB187" s="36">
        <v>8439</v>
      </c>
      <c r="CC187" s="36">
        <v>544</v>
      </c>
      <c r="CD187" s="36">
        <v>513</v>
      </c>
      <c r="CE187" s="36">
        <v>8379</v>
      </c>
      <c r="CF187" s="36">
        <v>773</v>
      </c>
      <c r="CG187" s="36">
        <v>489</v>
      </c>
      <c r="CH187" s="36">
        <v>8449</v>
      </c>
      <c r="CI187" s="36">
        <v>1072</v>
      </c>
      <c r="CJ187" s="70">
        <v>536</v>
      </c>
      <c r="CK187" s="70">
        <v>8455</v>
      </c>
      <c r="CL187" s="70">
        <v>1230</v>
      </c>
      <c r="CM187" s="36">
        <v>676</v>
      </c>
      <c r="CN187" s="36">
        <v>8907</v>
      </c>
      <c r="CO187" s="36">
        <v>1393</v>
      </c>
      <c r="CP187" s="36">
        <v>687</v>
      </c>
      <c r="CQ187" s="36">
        <v>9735</v>
      </c>
      <c r="CR187" s="36">
        <v>1359</v>
      </c>
      <c r="CS187" s="36">
        <v>722</v>
      </c>
      <c r="CT187" s="36">
        <v>357.2311558042494</v>
      </c>
      <c r="CU187" s="36">
        <v>-1623.0134899999998</v>
      </c>
      <c r="CV187" s="36">
        <v>945.55252256661504</v>
      </c>
      <c r="CW187" s="36">
        <v>2769</v>
      </c>
      <c r="CX187" s="36">
        <v>-167.34698682920347</v>
      </c>
      <c r="CY187" s="36">
        <v>2684.6156820000001</v>
      </c>
      <c r="CZ187" s="36">
        <v>983.05843016753204</v>
      </c>
      <c r="DA187" s="36">
        <v>2864</v>
      </c>
      <c r="DB187" s="36">
        <v>601.94458880574803</v>
      </c>
      <c r="DC187" s="36">
        <v>-1543.6287890000001</v>
      </c>
      <c r="DD187" s="36">
        <v>852.2082233804764</v>
      </c>
      <c r="DE187" s="36">
        <v>3039</v>
      </c>
      <c r="DF187" s="36">
        <v>-192.40698787196862</v>
      </c>
      <c r="DG187" s="36">
        <v>-1976</v>
      </c>
      <c r="DH187" s="36">
        <v>916.28782336231211</v>
      </c>
      <c r="DI187" s="36">
        <v>3877</v>
      </c>
      <c r="DJ187" s="36">
        <v>1937</v>
      </c>
      <c r="DK187" s="36">
        <v>-666</v>
      </c>
      <c r="DL187" s="36">
        <v>898</v>
      </c>
      <c r="DM187" s="36">
        <v>4576</v>
      </c>
      <c r="DN187" s="36">
        <v>752</v>
      </c>
      <c r="DO187" s="69">
        <v>-1326</v>
      </c>
      <c r="DP187" s="36">
        <v>994</v>
      </c>
      <c r="DQ187" s="36">
        <v>4086</v>
      </c>
      <c r="DR187" s="36">
        <v>232</v>
      </c>
      <c r="DS187" s="36">
        <v>-678</v>
      </c>
      <c r="DT187" s="36">
        <v>953</v>
      </c>
      <c r="DU187" s="36">
        <v>4608</v>
      </c>
      <c r="DV187" s="36">
        <v>111</v>
      </c>
      <c r="DW187" s="71">
        <v>-154</v>
      </c>
      <c r="DX187" s="39">
        <v>995</v>
      </c>
      <c r="DY187" s="71">
        <v>5031</v>
      </c>
      <c r="DZ187" s="70">
        <v>105</v>
      </c>
      <c r="EA187" s="35">
        <v>-908</v>
      </c>
      <c r="EB187" s="35">
        <v>958</v>
      </c>
      <c r="EC187" s="38">
        <v>4850</v>
      </c>
      <c r="ED187" s="38">
        <v>3</v>
      </c>
      <c r="EE187" s="38">
        <v>-830</v>
      </c>
      <c r="EF187" s="38">
        <v>968</v>
      </c>
      <c r="EG187" s="73">
        <v>6099</v>
      </c>
      <c r="EH187" s="73">
        <v>1398</v>
      </c>
      <c r="EI187" s="73">
        <v>-800</v>
      </c>
      <c r="EJ187" s="73">
        <v>926</v>
      </c>
      <c r="EK187" s="73">
        <v>5876</v>
      </c>
      <c r="EL187" s="73">
        <v>21038.627721070414</v>
      </c>
      <c r="EM187" s="73">
        <v>-571.8389499691375</v>
      </c>
      <c r="EN187" s="73">
        <v>21586.079421702634</v>
      </c>
      <c r="EO187" s="73">
        <v>272.46444086764785</v>
      </c>
      <c r="EP187" s="73">
        <v>22272.117973739136</v>
      </c>
      <c r="EQ187" s="73">
        <v>-2085.1939122698136</v>
      </c>
      <c r="ER187" s="73">
        <v>23792.873204804117</v>
      </c>
      <c r="ES187" s="73">
        <v>-910.23305800969774</v>
      </c>
      <c r="ET187" s="73">
        <v>24419</v>
      </c>
      <c r="EU187" s="73">
        <v>1410</v>
      </c>
      <c r="EV187" s="73">
        <v>25630</v>
      </c>
      <c r="EW187" s="73">
        <v>-249</v>
      </c>
      <c r="EX187" s="73">
        <v>26752</v>
      </c>
      <c r="EY187" s="73">
        <v>-709</v>
      </c>
      <c r="EZ187" s="73">
        <v>28231</v>
      </c>
      <c r="FA187" s="73">
        <v>-862</v>
      </c>
      <c r="FB187" s="73">
        <v>28735</v>
      </c>
      <c r="FC187" s="73">
        <v>-800</v>
      </c>
      <c r="FD187" s="73">
        <v>29858</v>
      </c>
      <c r="FE187" s="73">
        <v>-965</v>
      </c>
      <c r="FF187" s="73">
        <v>31570</v>
      </c>
      <c r="FG187" s="73">
        <v>472</v>
      </c>
      <c r="FH187" s="73">
        <v>-2952</v>
      </c>
      <c r="FI187" s="73">
        <v>-1480</v>
      </c>
      <c r="FJ187" s="79">
        <v>5147</v>
      </c>
      <c r="FK187" s="80">
        <v>11706</v>
      </c>
      <c r="FL187" s="80">
        <v>16101</v>
      </c>
      <c r="FM187" s="80">
        <v>5986</v>
      </c>
      <c r="FN187" s="76">
        <v>601</v>
      </c>
      <c r="FO187" s="80">
        <v>9848</v>
      </c>
      <c r="FP187" s="80">
        <v>1116</v>
      </c>
      <c r="FQ187" s="80">
        <v>742</v>
      </c>
      <c r="FR187" s="80">
        <v>670</v>
      </c>
      <c r="FS187" s="81">
        <v>-683</v>
      </c>
      <c r="FT187" s="76">
        <v>942</v>
      </c>
      <c r="FU187" s="76">
        <v>5068</v>
      </c>
      <c r="FV187" s="76">
        <v>683</v>
      </c>
      <c r="FW187" s="80">
        <v>33525</v>
      </c>
      <c r="FX187" s="80">
        <v>-272</v>
      </c>
      <c r="FY187" s="73">
        <v>5087</v>
      </c>
      <c r="FZ187" s="73">
        <v>11996</v>
      </c>
      <c r="GA187" s="73">
        <v>17265</v>
      </c>
      <c r="GB187" s="73">
        <v>6270</v>
      </c>
      <c r="GC187" s="73">
        <v>528</v>
      </c>
      <c r="GD187" s="73">
        <v>9814</v>
      </c>
      <c r="GE187" s="73">
        <v>1471</v>
      </c>
      <c r="GF187" s="73">
        <v>711</v>
      </c>
      <c r="GG187" s="73">
        <v>1665</v>
      </c>
      <c r="GH187" s="73">
        <v>-519</v>
      </c>
      <c r="GI187" s="73">
        <v>976</v>
      </c>
      <c r="GJ187" s="73">
        <v>5069</v>
      </c>
      <c r="GK187" s="73">
        <v>519</v>
      </c>
      <c r="GL187" s="73">
        <v>34326</v>
      </c>
      <c r="GM187" s="73">
        <v>689</v>
      </c>
      <c r="GN187" s="73">
        <v>-1063</v>
      </c>
      <c r="GO187" s="77">
        <v>19.75</v>
      </c>
      <c r="GP187" s="78">
        <v>5006</v>
      </c>
      <c r="GQ187" s="73">
        <v>12282</v>
      </c>
      <c r="GR187" s="65">
        <v>17414</v>
      </c>
      <c r="GS187" s="65">
        <v>3870</v>
      </c>
      <c r="GT187" s="65">
        <v>338</v>
      </c>
      <c r="GU187" s="65">
        <v>9856</v>
      </c>
      <c r="GV187" s="65">
        <v>1533</v>
      </c>
      <c r="GW187" s="65">
        <v>893</v>
      </c>
      <c r="GX187" s="65">
        <v>782</v>
      </c>
      <c r="GY187" s="65">
        <v>-706</v>
      </c>
      <c r="GZ187" s="65">
        <v>989</v>
      </c>
      <c r="HA187" s="65">
        <v>4179</v>
      </c>
      <c r="HB187" s="65">
        <v>706</v>
      </c>
      <c r="HC187" s="65">
        <v>33048</v>
      </c>
      <c r="HD187" s="65">
        <v>-184</v>
      </c>
      <c r="HE187" s="78">
        <v>4926</v>
      </c>
      <c r="HF187" s="73">
        <v>12012</v>
      </c>
      <c r="HG187" s="65">
        <v>18009</v>
      </c>
      <c r="HH187" s="65">
        <v>4915</v>
      </c>
      <c r="HI187" s="65">
        <v>407</v>
      </c>
      <c r="HJ187" s="65">
        <v>10166</v>
      </c>
      <c r="HK187" s="65">
        <v>920</v>
      </c>
      <c r="HL187" s="65">
        <v>926</v>
      </c>
      <c r="HM187" s="65">
        <v>212</v>
      </c>
      <c r="HN187" s="65">
        <v>-861</v>
      </c>
      <c r="HO187" s="65">
        <v>1075</v>
      </c>
      <c r="HP187" s="65">
        <v>5070</v>
      </c>
      <c r="HQ187" s="65">
        <v>861</v>
      </c>
      <c r="HR187" s="65">
        <v>35065</v>
      </c>
      <c r="HS187" s="65">
        <v>-863</v>
      </c>
      <c r="HT187" s="65">
        <v>-1901</v>
      </c>
      <c r="HU187" s="77">
        <v>19.75</v>
      </c>
      <c r="HV187" s="180">
        <v>340</v>
      </c>
      <c r="HW187" s="30" t="s">
        <v>761</v>
      </c>
    </row>
    <row r="188" spans="1:231" ht="15" x14ac:dyDescent="0.25">
      <c r="A188" s="27">
        <v>598</v>
      </c>
      <c r="B188" s="27" t="s">
        <v>314</v>
      </c>
      <c r="C188" s="27">
        <v>15</v>
      </c>
      <c r="D188" s="27" t="s">
        <v>115</v>
      </c>
      <c r="E188" s="27">
        <v>4</v>
      </c>
      <c r="F188" s="27" t="s">
        <v>100</v>
      </c>
      <c r="G188" s="29" t="s">
        <v>141</v>
      </c>
      <c r="H188" s="27" t="s">
        <v>97</v>
      </c>
      <c r="I188" s="31" t="s">
        <v>115</v>
      </c>
      <c r="J188" s="71">
        <v>19817</v>
      </c>
      <c r="K188" s="70">
        <v>19730</v>
      </c>
      <c r="L188" s="70">
        <v>19636</v>
      </c>
      <c r="M188" s="70">
        <v>19519</v>
      </c>
      <c r="N188" s="70">
        <v>19457</v>
      </c>
      <c r="O188" s="70">
        <v>19431</v>
      </c>
      <c r="P188" s="70">
        <v>19467</v>
      </c>
      <c r="Q188" s="70">
        <v>19521</v>
      </c>
      <c r="R188" s="70">
        <v>19557</v>
      </c>
      <c r="S188" s="70">
        <v>19569</v>
      </c>
      <c r="T188" s="70">
        <v>19667</v>
      </c>
      <c r="U188" s="70">
        <v>45304</v>
      </c>
      <c r="V188" s="70">
        <v>13968</v>
      </c>
      <c r="W188" s="70">
        <v>27121</v>
      </c>
      <c r="X188" s="70">
        <v>574.02539301313709</v>
      </c>
      <c r="Y188" s="70">
        <v>50048</v>
      </c>
      <c r="Z188" s="70">
        <v>14125</v>
      </c>
      <c r="AA188" s="70">
        <v>25156</v>
      </c>
      <c r="AB188" s="70">
        <v>1506.6274452422158</v>
      </c>
      <c r="AC188" s="70">
        <v>50791</v>
      </c>
      <c r="AD188" s="70">
        <v>15277</v>
      </c>
      <c r="AE188" s="70">
        <v>27142</v>
      </c>
      <c r="AF188" s="70">
        <v>958.16661705122829</v>
      </c>
      <c r="AG188" s="70">
        <v>61026</v>
      </c>
      <c r="AH188" s="70">
        <v>14999</v>
      </c>
      <c r="AI188" s="70">
        <v>27990</v>
      </c>
      <c r="AJ188" s="70">
        <v>815.71144333832865</v>
      </c>
      <c r="AK188" s="70">
        <v>56889</v>
      </c>
      <c r="AL188" s="70">
        <v>16255</v>
      </c>
      <c r="AM188" s="70">
        <v>29687</v>
      </c>
      <c r="AN188" s="70">
        <v>767</v>
      </c>
      <c r="AO188" s="70">
        <v>56923</v>
      </c>
      <c r="AP188" s="70">
        <v>15618</v>
      </c>
      <c r="AQ188" s="70">
        <v>32815</v>
      </c>
      <c r="AR188" s="70">
        <v>608</v>
      </c>
      <c r="AS188" s="70">
        <v>55587</v>
      </c>
      <c r="AT188" s="70">
        <v>17775</v>
      </c>
      <c r="AU188" s="70">
        <v>35073</v>
      </c>
      <c r="AV188" s="70">
        <v>881</v>
      </c>
      <c r="AW188" s="70">
        <v>56126</v>
      </c>
      <c r="AX188" s="70">
        <v>19385</v>
      </c>
      <c r="AY188" s="70">
        <v>34799</v>
      </c>
      <c r="AZ188" s="70">
        <v>1193</v>
      </c>
      <c r="BA188" s="70">
        <v>58325</v>
      </c>
      <c r="BB188" s="70">
        <v>22506</v>
      </c>
      <c r="BC188" s="70">
        <v>37176</v>
      </c>
      <c r="BD188" s="70">
        <v>871</v>
      </c>
      <c r="BE188" s="70">
        <v>60693</v>
      </c>
      <c r="BF188" s="70">
        <v>24714</v>
      </c>
      <c r="BG188" s="70">
        <v>38903</v>
      </c>
      <c r="BH188" s="70">
        <v>1101</v>
      </c>
      <c r="BI188" s="70">
        <v>64612</v>
      </c>
      <c r="BJ188" s="70">
        <v>28683</v>
      </c>
      <c r="BK188" s="70">
        <v>42131</v>
      </c>
      <c r="BL188" s="70">
        <v>331</v>
      </c>
      <c r="BM188" s="70">
        <v>39999.629986561784</v>
      </c>
      <c r="BN188" s="70">
        <v>3829.6390855286063</v>
      </c>
      <c r="BO188" s="70">
        <v>1474.5035512880672</v>
      </c>
      <c r="BP188" s="70">
        <v>41322.932591960955</v>
      </c>
      <c r="BQ188" s="70">
        <v>7195.4158698763649</v>
      </c>
      <c r="BR188" s="70">
        <v>1529.3328153145201</v>
      </c>
      <c r="BS188" s="70">
        <v>37956.65124383381</v>
      </c>
      <c r="BT188" s="70">
        <v>11198.456707586789</v>
      </c>
      <c r="BU188" s="70">
        <v>1636.1321486175793</v>
      </c>
      <c r="BV188" s="70">
        <v>43605</v>
      </c>
      <c r="BW188" s="70">
        <v>15624</v>
      </c>
      <c r="BX188" s="70">
        <v>1797</v>
      </c>
      <c r="BY188" s="70">
        <v>47626</v>
      </c>
      <c r="BZ188" s="70">
        <v>7170</v>
      </c>
      <c r="CA188" s="70">
        <v>2093</v>
      </c>
      <c r="CB188" s="70">
        <v>46643</v>
      </c>
      <c r="CC188" s="70">
        <v>7601</v>
      </c>
      <c r="CD188" s="70">
        <v>2679</v>
      </c>
      <c r="CE188" s="70">
        <v>46459</v>
      </c>
      <c r="CF188" s="70">
        <v>6492</v>
      </c>
      <c r="CG188" s="70">
        <v>2636</v>
      </c>
      <c r="CH188" s="70">
        <v>47983</v>
      </c>
      <c r="CI188" s="70">
        <v>5398</v>
      </c>
      <c r="CJ188" s="70">
        <v>2745</v>
      </c>
      <c r="CK188" s="70">
        <v>50496</v>
      </c>
      <c r="CL188" s="70">
        <v>4805</v>
      </c>
      <c r="CM188" s="70">
        <v>3024</v>
      </c>
      <c r="CN188" s="70">
        <v>52416</v>
      </c>
      <c r="CO188" s="70">
        <v>5210</v>
      </c>
      <c r="CP188" s="70">
        <v>3067</v>
      </c>
      <c r="CQ188" s="70">
        <v>55917</v>
      </c>
      <c r="CR188" s="70">
        <v>5439</v>
      </c>
      <c r="CS188" s="70">
        <v>3256</v>
      </c>
      <c r="CT188" s="70">
        <v>2908.1374364459871</v>
      </c>
      <c r="CU188" s="70">
        <v>-4750.9725470000003</v>
      </c>
      <c r="CV188" s="70">
        <v>4243.8859484033073</v>
      </c>
      <c r="CW188" s="70">
        <v>25407</v>
      </c>
      <c r="CX188" s="70">
        <v>8146.8549698691331</v>
      </c>
      <c r="CY188" s="70">
        <v>-5864.2084320000004</v>
      </c>
      <c r="CZ188" s="70">
        <v>4351.3580334122134</v>
      </c>
      <c r="DA188" s="70">
        <v>22834</v>
      </c>
      <c r="DB188" s="70">
        <v>6217.234889576217</v>
      </c>
      <c r="DC188" s="70">
        <v>-8290.4874589999999</v>
      </c>
      <c r="DD188" s="70">
        <v>4476.8262265525009</v>
      </c>
      <c r="DE188" s="70">
        <v>19624</v>
      </c>
      <c r="DF188" s="70">
        <v>8124.8223515026748</v>
      </c>
      <c r="DG188" s="70">
        <v>-6506</v>
      </c>
      <c r="DH188" s="70">
        <v>4783.2646285653736</v>
      </c>
      <c r="DI188" s="70">
        <v>22759</v>
      </c>
      <c r="DJ188" s="70">
        <v>7709</v>
      </c>
      <c r="DK188" s="70">
        <v>-12954</v>
      </c>
      <c r="DL188" s="70">
        <v>4880</v>
      </c>
      <c r="DM188" s="70">
        <v>21886</v>
      </c>
      <c r="DN188" s="70">
        <v>7229</v>
      </c>
      <c r="DO188" s="70">
        <v>-14447</v>
      </c>
      <c r="DP188" s="70">
        <v>5346</v>
      </c>
      <c r="DQ188" s="70">
        <v>33872</v>
      </c>
      <c r="DR188" s="70">
        <v>4920</v>
      </c>
      <c r="DS188" s="70">
        <v>-10820</v>
      </c>
      <c r="DT188" s="70">
        <v>5529</v>
      </c>
      <c r="DU188" s="70">
        <v>37502</v>
      </c>
      <c r="DV188" s="70">
        <v>3183</v>
      </c>
      <c r="DW188" s="71">
        <v>-10216</v>
      </c>
      <c r="DX188" s="39">
        <v>5825</v>
      </c>
      <c r="DY188" s="71">
        <v>45234</v>
      </c>
      <c r="DZ188" s="70">
        <v>8624</v>
      </c>
      <c r="EA188" s="35">
        <v>-12960</v>
      </c>
      <c r="EB188" s="35">
        <v>5997</v>
      </c>
      <c r="EC188" s="38">
        <v>53910</v>
      </c>
      <c r="ED188" s="38">
        <v>6101</v>
      </c>
      <c r="EE188" s="38">
        <v>-14519</v>
      </c>
      <c r="EF188" s="38">
        <v>6306</v>
      </c>
      <c r="EG188" s="73">
        <v>63137</v>
      </c>
      <c r="EH188" s="73">
        <v>6242</v>
      </c>
      <c r="EI188" s="73">
        <v>-14618</v>
      </c>
      <c r="EJ188" s="73">
        <v>6600</v>
      </c>
      <c r="EK188" s="73">
        <v>75081</v>
      </c>
      <c r="EL188" s="73">
        <v>80000.437288608795</v>
      </c>
      <c r="EM188" s="73">
        <v>-1353.5764321622407</v>
      </c>
      <c r="EN188" s="73">
        <v>78489.941521057961</v>
      </c>
      <c r="EO188" s="73">
        <v>4496.1678380955746</v>
      </c>
      <c r="EP188" s="73">
        <v>83779.788184125413</v>
      </c>
      <c r="EQ188" s="73">
        <v>1755.7137643317137</v>
      </c>
      <c r="ER188" s="73">
        <v>92217.776454699429</v>
      </c>
      <c r="ES188" s="73">
        <v>3352.1535623043765</v>
      </c>
      <c r="ET188" s="73">
        <v>94797</v>
      </c>
      <c r="EU188" s="73">
        <v>2834</v>
      </c>
      <c r="EV188" s="73">
        <v>97736</v>
      </c>
      <c r="EW188" s="73">
        <v>1863</v>
      </c>
      <c r="EX188" s="73">
        <v>103252</v>
      </c>
      <c r="EY188" s="73">
        <v>-604</v>
      </c>
      <c r="EZ188" s="73">
        <v>109331</v>
      </c>
      <c r="FA188" s="73">
        <v>-2265</v>
      </c>
      <c r="FB188" s="73">
        <v>108727</v>
      </c>
      <c r="FC188" s="73">
        <v>2636</v>
      </c>
      <c r="FD188" s="73">
        <v>116838</v>
      </c>
      <c r="FE188" s="73">
        <v>-226</v>
      </c>
      <c r="FF188" s="73">
        <v>127254</v>
      </c>
      <c r="FG188" s="73">
        <v>-358</v>
      </c>
      <c r="FH188" s="73">
        <v>14302</v>
      </c>
      <c r="FI188" s="73">
        <v>13944</v>
      </c>
      <c r="FJ188" s="79">
        <v>19627</v>
      </c>
      <c r="FK188" s="80">
        <v>63683</v>
      </c>
      <c r="FL188" s="80">
        <v>32314</v>
      </c>
      <c r="FM188" s="80">
        <v>44397</v>
      </c>
      <c r="FN188" s="76">
        <v>768</v>
      </c>
      <c r="FO188" s="80">
        <v>56067</v>
      </c>
      <c r="FP188" s="80">
        <v>4166</v>
      </c>
      <c r="FQ188" s="80">
        <v>3450</v>
      </c>
      <c r="FR188" s="80">
        <v>3756</v>
      </c>
      <c r="FS188" s="81">
        <v>-12516</v>
      </c>
      <c r="FT188" s="76">
        <v>6883</v>
      </c>
      <c r="FU188" s="76">
        <v>85280</v>
      </c>
      <c r="FV188" s="76">
        <v>12516</v>
      </c>
      <c r="FW188" s="80">
        <v>135449</v>
      </c>
      <c r="FX188" s="80">
        <v>-3127</v>
      </c>
      <c r="FY188" s="73">
        <v>19656</v>
      </c>
      <c r="FZ188" s="73">
        <v>65616</v>
      </c>
      <c r="GA188" s="73">
        <v>33518</v>
      </c>
      <c r="GB188" s="73">
        <v>111631</v>
      </c>
      <c r="GC188" s="73">
        <v>715</v>
      </c>
      <c r="GD188" s="73">
        <v>57298</v>
      </c>
      <c r="GE188" s="73">
        <v>4145</v>
      </c>
      <c r="GF188" s="73">
        <v>4173</v>
      </c>
      <c r="GG188" s="73">
        <v>11101</v>
      </c>
      <c r="GH188" s="73">
        <v>-9085</v>
      </c>
      <c r="GI188" s="73">
        <v>9309</v>
      </c>
      <c r="GJ188" s="73">
        <v>91044</v>
      </c>
      <c r="GK188" s="73">
        <v>9085</v>
      </c>
      <c r="GL188" s="73">
        <v>198660</v>
      </c>
      <c r="GM188" s="73">
        <v>1792</v>
      </c>
      <c r="GN188" s="73">
        <v>12608</v>
      </c>
      <c r="GO188" s="77">
        <v>20.25</v>
      </c>
      <c r="GP188" s="78">
        <v>19623</v>
      </c>
      <c r="GQ188" s="73">
        <v>68555</v>
      </c>
      <c r="GR188" s="65">
        <v>35648</v>
      </c>
      <c r="GS188" s="65">
        <v>112918</v>
      </c>
      <c r="GT188" s="65">
        <v>1049</v>
      </c>
      <c r="GU188" s="65">
        <v>59672</v>
      </c>
      <c r="GV188" s="65">
        <v>4651</v>
      </c>
      <c r="GW188" s="65">
        <v>4232</v>
      </c>
      <c r="GX188" s="65">
        <v>7750</v>
      </c>
      <c r="GY188" s="65">
        <v>-18811</v>
      </c>
      <c r="GZ188" s="65">
        <v>9107</v>
      </c>
      <c r="HA188" s="65">
        <v>101076</v>
      </c>
      <c r="HB188" s="65">
        <v>18811</v>
      </c>
      <c r="HC188" s="65">
        <v>208449</v>
      </c>
      <c r="HD188" s="65">
        <v>-1357</v>
      </c>
      <c r="HE188" s="78">
        <v>19680</v>
      </c>
      <c r="HF188" s="73">
        <v>69454</v>
      </c>
      <c r="HG188" s="65">
        <v>37574</v>
      </c>
      <c r="HH188" s="65">
        <v>113051</v>
      </c>
      <c r="HI188" s="65">
        <v>2675</v>
      </c>
      <c r="HJ188" s="65">
        <v>60890</v>
      </c>
      <c r="HK188" s="65">
        <v>3629</v>
      </c>
      <c r="HL188" s="65">
        <v>4935</v>
      </c>
      <c r="HM188" s="65">
        <v>5172</v>
      </c>
      <c r="HN188" s="65">
        <v>-12773</v>
      </c>
      <c r="HO188" s="65">
        <v>9330</v>
      </c>
      <c r="HP188" s="65">
        <v>109009</v>
      </c>
      <c r="HQ188" s="65">
        <v>12773</v>
      </c>
      <c r="HR188" s="65">
        <v>214656</v>
      </c>
      <c r="HS188" s="65">
        <v>-2914</v>
      </c>
      <c r="HT188" s="65">
        <v>8337</v>
      </c>
      <c r="HU188" s="77">
        <v>20.25</v>
      </c>
      <c r="HV188" s="180">
        <v>130</v>
      </c>
      <c r="HW188" s="30" t="s">
        <v>752</v>
      </c>
    </row>
    <row r="189" spans="1:231" ht="15" x14ac:dyDescent="0.25">
      <c r="A189" s="27">
        <v>601</v>
      </c>
      <c r="B189" s="27" t="s">
        <v>315</v>
      </c>
      <c r="C189" s="27">
        <v>13</v>
      </c>
      <c r="D189" s="27" t="s">
        <v>111</v>
      </c>
      <c r="E189" s="27">
        <v>2</v>
      </c>
      <c r="F189" s="27" t="s">
        <v>744</v>
      </c>
      <c r="G189" s="29" t="s">
        <v>130</v>
      </c>
      <c r="H189" s="27" t="s">
        <v>98</v>
      </c>
      <c r="I189" s="31" t="s">
        <v>111</v>
      </c>
      <c r="J189" s="69">
        <v>5345</v>
      </c>
      <c r="K189" s="69">
        <v>5303</v>
      </c>
      <c r="L189" s="36">
        <v>5225</v>
      </c>
      <c r="M189" s="36">
        <v>5139</v>
      </c>
      <c r="N189" s="36">
        <v>5046</v>
      </c>
      <c r="O189" s="36">
        <v>4996</v>
      </c>
      <c r="P189" s="36">
        <v>4984</v>
      </c>
      <c r="Q189" s="36">
        <v>4917</v>
      </c>
      <c r="R189" s="69">
        <v>4843</v>
      </c>
      <c r="S189" s="69">
        <v>4784</v>
      </c>
      <c r="T189" s="71">
        <v>4700</v>
      </c>
      <c r="U189" s="36">
        <v>8990</v>
      </c>
      <c r="V189" s="36">
        <v>7191</v>
      </c>
      <c r="W189" s="36">
        <v>3621</v>
      </c>
      <c r="X189" s="36">
        <v>182.65208813720099</v>
      </c>
      <c r="Y189" s="36">
        <v>8681</v>
      </c>
      <c r="Z189" s="36">
        <v>7346</v>
      </c>
      <c r="AA189" s="36">
        <v>4276</v>
      </c>
      <c r="AB189" s="36">
        <v>444.8570654906967</v>
      </c>
      <c r="AC189" s="36">
        <v>8760</v>
      </c>
      <c r="AD189" s="36">
        <v>7516</v>
      </c>
      <c r="AE189" s="36">
        <v>4813</v>
      </c>
      <c r="AF189" s="36">
        <v>797.88352313340829</v>
      </c>
      <c r="AG189" s="36">
        <v>9581</v>
      </c>
      <c r="AH189" s="36">
        <v>8390</v>
      </c>
      <c r="AI189" s="36">
        <v>5115</v>
      </c>
      <c r="AJ189" s="36">
        <v>739.01774887187946</v>
      </c>
      <c r="AK189" s="36">
        <v>9248</v>
      </c>
      <c r="AL189" s="36">
        <v>9020</v>
      </c>
      <c r="AM189" s="36">
        <v>5598</v>
      </c>
      <c r="AN189" s="36">
        <v>669</v>
      </c>
      <c r="AO189" s="36">
        <v>8575</v>
      </c>
      <c r="AP189" s="36">
        <v>9647</v>
      </c>
      <c r="AQ189" s="36">
        <v>5521</v>
      </c>
      <c r="AR189" s="36">
        <v>1113</v>
      </c>
      <c r="AS189" s="36">
        <v>8775</v>
      </c>
      <c r="AT189" s="36">
        <v>10254</v>
      </c>
      <c r="AU189" s="36">
        <v>5513</v>
      </c>
      <c r="AV189" s="36">
        <v>573</v>
      </c>
      <c r="AW189" s="36">
        <v>9123</v>
      </c>
      <c r="AX189" s="69">
        <v>10366</v>
      </c>
      <c r="AY189" s="36">
        <v>7027</v>
      </c>
      <c r="AZ189" s="36">
        <v>852</v>
      </c>
      <c r="BA189" s="36">
        <v>9321</v>
      </c>
      <c r="BB189" s="36">
        <v>11835</v>
      </c>
      <c r="BC189" s="36">
        <v>7299</v>
      </c>
      <c r="BD189" s="36">
        <v>367</v>
      </c>
      <c r="BE189" s="70">
        <v>10234</v>
      </c>
      <c r="BF189" s="70">
        <v>12648</v>
      </c>
      <c r="BG189" s="70">
        <v>7515</v>
      </c>
      <c r="BH189" s="70">
        <v>267</v>
      </c>
      <c r="BI189" s="36">
        <v>10921</v>
      </c>
      <c r="BJ189" s="36">
        <v>13647</v>
      </c>
      <c r="BK189" s="36">
        <v>7480</v>
      </c>
      <c r="BL189" s="36">
        <v>0</v>
      </c>
      <c r="BM189" s="36">
        <v>6782.8508862662784</v>
      </c>
      <c r="BN189" s="36">
        <v>1967.6305516732175</v>
      </c>
      <c r="BO189" s="36">
        <v>239.33141935473017</v>
      </c>
      <c r="BP189" s="36">
        <v>6885.1091455548767</v>
      </c>
      <c r="BQ189" s="36">
        <v>1471.4761686117599</v>
      </c>
      <c r="BR189" s="36">
        <v>324.26632221779329</v>
      </c>
      <c r="BS189" s="36">
        <v>6544.5285944703173</v>
      </c>
      <c r="BT189" s="36">
        <v>1801.9654441086291</v>
      </c>
      <c r="BU189" s="36">
        <v>413.74229909531715</v>
      </c>
      <c r="BV189" s="36">
        <v>7793</v>
      </c>
      <c r="BW189" s="36">
        <v>1357</v>
      </c>
      <c r="BX189" s="36">
        <v>431</v>
      </c>
      <c r="BY189" s="36">
        <v>8105</v>
      </c>
      <c r="BZ189" s="36">
        <v>712</v>
      </c>
      <c r="CA189" s="36">
        <v>431</v>
      </c>
      <c r="CB189" s="36">
        <v>7679</v>
      </c>
      <c r="CC189" s="36">
        <v>477</v>
      </c>
      <c r="CD189" s="36">
        <v>419</v>
      </c>
      <c r="CE189" s="36">
        <v>7762</v>
      </c>
      <c r="CF189" s="36">
        <v>594</v>
      </c>
      <c r="CG189" s="36">
        <v>419</v>
      </c>
      <c r="CH189" s="36">
        <v>7867</v>
      </c>
      <c r="CI189" s="36">
        <v>766</v>
      </c>
      <c r="CJ189" s="70">
        <v>490</v>
      </c>
      <c r="CK189" s="70">
        <v>7944</v>
      </c>
      <c r="CL189" s="70">
        <v>917</v>
      </c>
      <c r="CM189" s="36">
        <v>460</v>
      </c>
      <c r="CN189" s="36">
        <v>8499</v>
      </c>
      <c r="CO189" s="36">
        <v>1263</v>
      </c>
      <c r="CP189" s="36">
        <v>472</v>
      </c>
      <c r="CQ189" s="36">
        <v>8987</v>
      </c>
      <c r="CR189" s="36">
        <v>1423</v>
      </c>
      <c r="CS189" s="36">
        <v>511</v>
      </c>
      <c r="CT189" s="36">
        <v>1217.1760238019554</v>
      </c>
      <c r="CU189" s="36">
        <v>-2857.3446829999998</v>
      </c>
      <c r="CV189" s="36">
        <v>834.04392732263318</v>
      </c>
      <c r="CW189" s="36">
        <v>4457</v>
      </c>
      <c r="CX189" s="36">
        <v>316.36148967410224</v>
      </c>
      <c r="CY189" s="36">
        <v>-1625.368121</v>
      </c>
      <c r="CZ189" s="36">
        <v>985.91762491737779</v>
      </c>
      <c r="DA189" s="36">
        <v>4971</v>
      </c>
      <c r="DB189" s="36">
        <v>749.27721238603147</v>
      </c>
      <c r="DC189" s="36">
        <v>10034.59626</v>
      </c>
      <c r="DD189" s="36">
        <v>1037.3831304145999</v>
      </c>
      <c r="DE189" s="36">
        <v>4700</v>
      </c>
      <c r="DF189" s="36">
        <v>1322.2934778403996</v>
      </c>
      <c r="DG189" s="36">
        <v>-1662</v>
      </c>
      <c r="DH189" s="36">
        <v>1101.6309183228973</v>
      </c>
      <c r="DI189" s="36">
        <v>4373</v>
      </c>
      <c r="DJ189" s="36">
        <v>701</v>
      </c>
      <c r="DK189" s="36">
        <v>-650</v>
      </c>
      <c r="DL189" s="36">
        <v>1176</v>
      </c>
      <c r="DM189" s="36">
        <v>3668</v>
      </c>
      <c r="DN189" s="36">
        <v>453</v>
      </c>
      <c r="DO189" s="69">
        <v>-1234</v>
      </c>
      <c r="DP189" s="36">
        <v>1173</v>
      </c>
      <c r="DQ189" s="36">
        <v>5277</v>
      </c>
      <c r="DR189" s="36">
        <v>404</v>
      </c>
      <c r="DS189" s="36">
        <v>-644</v>
      </c>
      <c r="DT189" s="36">
        <v>1195</v>
      </c>
      <c r="DU189" s="36">
        <v>5194</v>
      </c>
      <c r="DV189" s="36">
        <v>417</v>
      </c>
      <c r="DW189" s="71">
        <v>-1992</v>
      </c>
      <c r="DX189" s="39">
        <v>745</v>
      </c>
      <c r="DY189" s="71">
        <v>7543</v>
      </c>
      <c r="DZ189" s="70">
        <v>1000</v>
      </c>
      <c r="EA189" s="35">
        <v>-2980</v>
      </c>
      <c r="EB189" s="35">
        <v>736</v>
      </c>
      <c r="EC189" s="38">
        <v>6662</v>
      </c>
      <c r="ED189" s="38">
        <v>1329</v>
      </c>
      <c r="EE189" s="38">
        <v>-2797</v>
      </c>
      <c r="EF189" s="38">
        <v>880</v>
      </c>
      <c r="EG189" s="73">
        <v>8345</v>
      </c>
      <c r="EH189" s="73">
        <v>-60</v>
      </c>
      <c r="EI189" s="73">
        <v>-2147</v>
      </c>
      <c r="EJ189" s="73">
        <v>950</v>
      </c>
      <c r="EK189" s="73">
        <v>9376</v>
      </c>
      <c r="EL189" s="73">
        <v>17728.689328307879</v>
      </c>
      <c r="EM189" s="73">
        <v>481.85840931222907</v>
      </c>
      <c r="EN189" s="73">
        <v>19426.210070083907</v>
      </c>
      <c r="EO189" s="73">
        <v>-637.43224128912675</v>
      </c>
      <c r="EP189" s="73">
        <v>20076.760969637035</v>
      </c>
      <c r="EQ189" s="73">
        <v>385.15035159686028</v>
      </c>
      <c r="ER189" s="73">
        <v>21244.153367206385</v>
      </c>
      <c r="ES189" s="73">
        <v>254.46833273626618</v>
      </c>
      <c r="ET189" s="73">
        <v>22630</v>
      </c>
      <c r="EU189" s="73">
        <v>-307</v>
      </c>
      <c r="EV189" s="73">
        <v>23966</v>
      </c>
      <c r="EW189" s="73">
        <v>25</v>
      </c>
      <c r="EX189" s="73">
        <v>24380</v>
      </c>
      <c r="EY189" s="73">
        <v>-543</v>
      </c>
      <c r="EZ189" s="73">
        <v>26473</v>
      </c>
      <c r="FA189" s="73">
        <v>74</v>
      </c>
      <c r="FB189" s="73">
        <v>27764</v>
      </c>
      <c r="FC189" s="73">
        <v>391</v>
      </c>
      <c r="FD189" s="73">
        <v>29038</v>
      </c>
      <c r="FE189" s="73">
        <v>572</v>
      </c>
      <c r="FF189" s="73">
        <v>31100</v>
      </c>
      <c r="FG189" s="73">
        <v>-784</v>
      </c>
      <c r="FH189" s="73">
        <v>496</v>
      </c>
      <c r="FI189" s="73">
        <v>-288</v>
      </c>
      <c r="FJ189" s="79">
        <v>4613</v>
      </c>
      <c r="FK189" s="80">
        <v>10628</v>
      </c>
      <c r="FL189" s="80">
        <v>14481</v>
      </c>
      <c r="FM189" s="80">
        <v>8166</v>
      </c>
      <c r="FN189" s="76">
        <v>265</v>
      </c>
      <c r="FO189" s="80">
        <v>8914</v>
      </c>
      <c r="FP189" s="80">
        <v>1177</v>
      </c>
      <c r="FQ189" s="80">
        <v>537</v>
      </c>
      <c r="FR189" s="80">
        <v>1082</v>
      </c>
      <c r="FS189" s="81">
        <v>-788</v>
      </c>
      <c r="FT189" s="76">
        <v>1056</v>
      </c>
      <c r="FU189" s="76">
        <v>10760</v>
      </c>
      <c r="FV189" s="76">
        <v>788</v>
      </c>
      <c r="FW189" s="80">
        <v>32436</v>
      </c>
      <c r="FX189" s="80">
        <v>157</v>
      </c>
      <c r="FY189" s="73">
        <v>4563</v>
      </c>
      <c r="FZ189" s="73">
        <v>10843</v>
      </c>
      <c r="GA189" s="73">
        <v>15100</v>
      </c>
      <c r="GB189" s="73">
        <v>8682</v>
      </c>
      <c r="GC189" s="73">
        <v>302</v>
      </c>
      <c r="GD189" s="73">
        <v>8817</v>
      </c>
      <c r="GE189" s="73">
        <v>1496</v>
      </c>
      <c r="GF189" s="73">
        <v>530</v>
      </c>
      <c r="GG189" s="73">
        <v>1248</v>
      </c>
      <c r="GH189" s="73">
        <v>-1765</v>
      </c>
      <c r="GI189" s="73">
        <v>1062</v>
      </c>
      <c r="GJ189" s="73">
        <v>11086</v>
      </c>
      <c r="GK189" s="73">
        <v>1765</v>
      </c>
      <c r="GL189" s="73">
        <v>33679</v>
      </c>
      <c r="GM189" s="73">
        <v>302</v>
      </c>
      <c r="GN189" s="73">
        <v>171</v>
      </c>
      <c r="GO189" s="77">
        <v>19.5</v>
      </c>
      <c r="GP189" s="78">
        <v>4500</v>
      </c>
      <c r="GQ189" s="73">
        <v>10642</v>
      </c>
      <c r="GR189" s="65">
        <v>15138</v>
      </c>
      <c r="GS189" s="65">
        <v>6145</v>
      </c>
      <c r="GT189" s="65">
        <v>22</v>
      </c>
      <c r="GU189" s="65">
        <v>8570</v>
      </c>
      <c r="GV189" s="65">
        <v>1537</v>
      </c>
      <c r="GW189" s="65">
        <v>535</v>
      </c>
      <c r="GX189" s="65">
        <v>-593</v>
      </c>
      <c r="GY189" s="65">
        <v>-1137</v>
      </c>
      <c r="GZ189" s="65">
        <v>1373</v>
      </c>
      <c r="HA189" s="65">
        <v>11843</v>
      </c>
      <c r="HB189" s="65">
        <v>1137</v>
      </c>
      <c r="HC189" s="65">
        <v>32532</v>
      </c>
      <c r="HD189" s="65">
        <v>49</v>
      </c>
      <c r="HE189" s="78">
        <v>4441</v>
      </c>
      <c r="HF189" s="73">
        <v>10744</v>
      </c>
      <c r="HG189" s="65">
        <v>17374</v>
      </c>
      <c r="HH189" s="65">
        <v>16012</v>
      </c>
      <c r="HI189" s="65">
        <v>1531</v>
      </c>
      <c r="HJ189" s="65">
        <v>9135</v>
      </c>
      <c r="HK189" s="65">
        <v>949</v>
      </c>
      <c r="HL189" s="65">
        <v>660</v>
      </c>
      <c r="HM189" s="65">
        <v>1493</v>
      </c>
      <c r="HN189" s="65">
        <v>-3586</v>
      </c>
      <c r="HO189" s="65">
        <v>1467</v>
      </c>
      <c r="HP189" s="65">
        <v>14975</v>
      </c>
      <c r="HQ189" s="65">
        <v>3586</v>
      </c>
      <c r="HR189" s="65">
        <v>42628</v>
      </c>
      <c r="HS189" s="65">
        <v>1648</v>
      </c>
      <c r="HT189" s="65">
        <v>1868</v>
      </c>
      <c r="HU189" s="77">
        <v>20</v>
      </c>
      <c r="HV189" s="180">
        <v>340</v>
      </c>
      <c r="HW189" s="30" t="s">
        <v>761</v>
      </c>
    </row>
    <row r="190" spans="1:231" ht="15" x14ac:dyDescent="0.25">
      <c r="A190" s="27">
        <v>604</v>
      </c>
      <c r="B190" s="27" t="s">
        <v>316</v>
      </c>
      <c r="C190" s="27">
        <v>6</v>
      </c>
      <c r="D190" s="27" t="s">
        <v>114</v>
      </c>
      <c r="E190" s="27">
        <v>4</v>
      </c>
      <c r="F190" s="27" t="s">
        <v>100</v>
      </c>
      <c r="G190" s="29" t="s">
        <v>141</v>
      </c>
      <c r="H190" s="27" t="s">
        <v>97</v>
      </c>
      <c r="I190" s="31" t="s">
        <v>114</v>
      </c>
      <c r="J190" s="69">
        <v>12056</v>
      </c>
      <c r="K190" s="69">
        <v>12358</v>
      </c>
      <c r="L190" s="36">
        <v>12736</v>
      </c>
      <c r="M190" s="36">
        <v>13280</v>
      </c>
      <c r="N190" s="36">
        <v>13684</v>
      </c>
      <c r="O190" s="36">
        <v>14322</v>
      </c>
      <c r="P190" s="36">
        <v>14560</v>
      </c>
      <c r="Q190" s="36">
        <v>14875</v>
      </c>
      <c r="R190" s="69">
        <v>15268</v>
      </c>
      <c r="S190" s="69">
        <v>15788</v>
      </c>
      <c r="T190" s="71">
        <v>16154</v>
      </c>
      <c r="U190" s="36">
        <v>26363</v>
      </c>
      <c r="V190" s="36">
        <v>3683</v>
      </c>
      <c r="W190" s="36">
        <v>6587</v>
      </c>
      <c r="X190" s="36">
        <v>437.79317257931319</v>
      </c>
      <c r="Y190" s="36">
        <v>27130</v>
      </c>
      <c r="Z190" s="36">
        <v>4035</v>
      </c>
      <c r="AA190" s="36">
        <v>7363</v>
      </c>
      <c r="AB190" s="36">
        <v>356.22202824548037</v>
      </c>
      <c r="AC190" s="36">
        <v>28615</v>
      </c>
      <c r="AD190" s="36">
        <v>4558</v>
      </c>
      <c r="AE190" s="36">
        <v>8682</v>
      </c>
      <c r="AF190" s="36">
        <v>292.14242826364466</v>
      </c>
      <c r="AG190" s="36">
        <v>31964</v>
      </c>
      <c r="AH190" s="36">
        <v>5337</v>
      </c>
      <c r="AI190" s="36">
        <v>8641</v>
      </c>
      <c r="AJ190" s="36">
        <v>295.67437471933641</v>
      </c>
      <c r="AK190" s="36">
        <v>35661</v>
      </c>
      <c r="AL190" s="36">
        <v>6338</v>
      </c>
      <c r="AM190" s="36">
        <v>8397</v>
      </c>
      <c r="AN190" s="36">
        <v>243</v>
      </c>
      <c r="AO190" s="36">
        <v>36388</v>
      </c>
      <c r="AP190" s="36">
        <v>6963</v>
      </c>
      <c r="AQ190" s="36">
        <v>8711</v>
      </c>
      <c r="AR190" s="36">
        <v>155</v>
      </c>
      <c r="AS190" s="36">
        <v>39348</v>
      </c>
      <c r="AT190" s="36">
        <v>7858</v>
      </c>
      <c r="AU190" s="36">
        <v>8921</v>
      </c>
      <c r="AV190" s="36">
        <v>180</v>
      </c>
      <c r="AW190" s="36">
        <v>41694</v>
      </c>
      <c r="AX190" s="69">
        <v>8687</v>
      </c>
      <c r="AY190" s="36">
        <v>9869</v>
      </c>
      <c r="AZ190" s="36">
        <v>415</v>
      </c>
      <c r="BA190" s="36">
        <v>45073</v>
      </c>
      <c r="BB190" s="36">
        <v>9378</v>
      </c>
      <c r="BC190" s="36">
        <v>10455</v>
      </c>
      <c r="BD190" s="36">
        <v>147</v>
      </c>
      <c r="BE190" s="70">
        <v>50143</v>
      </c>
      <c r="BF190" s="70">
        <v>10066</v>
      </c>
      <c r="BG190" s="70">
        <v>11940</v>
      </c>
      <c r="BH190" s="70">
        <v>274</v>
      </c>
      <c r="BI190" s="36">
        <v>56464</v>
      </c>
      <c r="BJ190" s="36">
        <v>11242</v>
      </c>
      <c r="BK190" s="36">
        <v>14636</v>
      </c>
      <c r="BL190" s="36">
        <v>3786</v>
      </c>
      <c r="BM190" s="36">
        <v>23138.958546721762</v>
      </c>
      <c r="BN190" s="36">
        <v>2466.4759415580593</v>
      </c>
      <c r="BO190" s="36">
        <v>758.02298456203016</v>
      </c>
      <c r="BP190" s="36">
        <v>24235.207451397891</v>
      </c>
      <c r="BQ190" s="36">
        <v>2099.3216980925808</v>
      </c>
      <c r="BR190" s="36">
        <v>795.36070423648562</v>
      </c>
      <c r="BS190" s="36">
        <v>25205.651787080813</v>
      </c>
      <c r="BT190" s="36">
        <v>2438.2203699125253</v>
      </c>
      <c r="BU190" s="36">
        <v>971.11708738876462</v>
      </c>
      <c r="BV190" s="36">
        <v>29304</v>
      </c>
      <c r="BW190" s="36">
        <v>1530</v>
      </c>
      <c r="BX190" s="36">
        <v>1131</v>
      </c>
      <c r="BY190" s="36">
        <v>33226</v>
      </c>
      <c r="BZ190" s="36">
        <v>1204</v>
      </c>
      <c r="CA190" s="36">
        <v>1231</v>
      </c>
      <c r="CB190" s="36">
        <v>34391</v>
      </c>
      <c r="CC190" s="36">
        <v>632</v>
      </c>
      <c r="CD190" s="36">
        <v>1365</v>
      </c>
      <c r="CE190" s="36">
        <v>37119</v>
      </c>
      <c r="CF190" s="36">
        <v>803</v>
      </c>
      <c r="CG190" s="36">
        <v>1426</v>
      </c>
      <c r="CH190" s="36">
        <v>39111</v>
      </c>
      <c r="CI190" s="36">
        <v>961</v>
      </c>
      <c r="CJ190" s="70">
        <v>1622</v>
      </c>
      <c r="CK190" s="70">
        <v>42147</v>
      </c>
      <c r="CL190" s="70">
        <v>1060</v>
      </c>
      <c r="CM190" s="36">
        <v>1866</v>
      </c>
      <c r="CN190" s="36">
        <v>46704</v>
      </c>
      <c r="CO190" s="36">
        <v>1480</v>
      </c>
      <c r="CP190" s="36">
        <v>1959</v>
      </c>
      <c r="CQ190" s="36">
        <v>52620</v>
      </c>
      <c r="CR190" s="36">
        <v>1681</v>
      </c>
      <c r="CS190" s="36">
        <v>2163</v>
      </c>
      <c r="CT190" s="36">
        <v>1739.2313475384856</v>
      </c>
      <c r="CU190" s="36">
        <v>-2688.4840039999999</v>
      </c>
      <c r="CV190" s="36">
        <v>1557.4201990335921</v>
      </c>
      <c r="CW190" s="36">
        <v>2939</v>
      </c>
      <c r="CX190" s="36">
        <v>1451.9663691422247</v>
      </c>
      <c r="CY190" s="36">
        <v>-3693.7432410000001</v>
      </c>
      <c r="CZ190" s="36">
        <v>1683.0565801003409</v>
      </c>
      <c r="DA190" s="36">
        <v>7381</v>
      </c>
      <c r="DB190" s="36">
        <v>2222.4352602624067</v>
      </c>
      <c r="DC190" s="36">
        <v>-4836.2438249999996</v>
      </c>
      <c r="DD190" s="36">
        <v>1863.5222251935422</v>
      </c>
      <c r="DE190" s="36">
        <v>11213</v>
      </c>
      <c r="DF190" s="36">
        <v>860.6176197035519</v>
      </c>
      <c r="DG190" s="36">
        <v>-4971</v>
      </c>
      <c r="DH190" s="36">
        <v>2100.3308256513496</v>
      </c>
      <c r="DI190" s="36">
        <v>13466</v>
      </c>
      <c r="DJ190" s="36">
        <v>5314</v>
      </c>
      <c r="DK190" s="36">
        <v>-4409</v>
      </c>
      <c r="DL190" s="36">
        <v>2239</v>
      </c>
      <c r="DM190" s="36">
        <v>14751</v>
      </c>
      <c r="DN190" s="36">
        <v>4510</v>
      </c>
      <c r="DO190" s="69">
        <v>-4403</v>
      </c>
      <c r="DP190" s="36">
        <v>2430</v>
      </c>
      <c r="DQ190" s="36">
        <v>15868</v>
      </c>
      <c r="DR190" s="36">
        <v>3841</v>
      </c>
      <c r="DS190" s="36">
        <v>-5081</v>
      </c>
      <c r="DT190" s="36">
        <v>2532</v>
      </c>
      <c r="DU190" s="36">
        <v>18617</v>
      </c>
      <c r="DV190" s="36">
        <v>3493</v>
      </c>
      <c r="DW190" s="71">
        <v>-9683</v>
      </c>
      <c r="DX190" s="39">
        <v>2699</v>
      </c>
      <c r="DY190" s="71">
        <v>22520</v>
      </c>
      <c r="DZ190" s="70">
        <v>2789</v>
      </c>
      <c r="EA190" s="35">
        <v>-8981</v>
      </c>
      <c r="EB190" s="35">
        <v>3108</v>
      </c>
      <c r="EC190" s="38">
        <v>29132</v>
      </c>
      <c r="ED190" s="38">
        <v>5032</v>
      </c>
      <c r="EE190" s="38">
        <v>-9389</v>
      </c>
      <c r="EF190" s="38">
        <v>3456</v>
      </c>
      <c r="EG190" s="73">
        <v>34694</v>
      </c>
      <c r="EH190" s="73">
        <v>8818</v>
      </c>
      <c r="EI190" s="73">
        <v>-2218</v>
      </c>
      <c r="EJ190" s="73">
        <v>3902</v>
      </c>
      <c r="EK190" s="73">
        <v>35709</v>
      </c>
      <c r="EL190" s="73">
        <v>33256.471450940422</v>
      </c>
      <c r="EM190" s="73">
        <v>30.273826763071984</v>
      </c>
      <c r="EN190" s="73">
        <v>35432.823219352373</v>
      </c>
      <c r="EO190" s="73">
        <v>-4.0365102350762649</v>
      </c>
      <c r="EP190" s="73">
        <v>37672.245460187391</v>
      </c>
      <c r="EQ190" s="73">
        <v>358.91303506886453</v>
      </c>
      <c r="ER190" s="73">
        <v>42621.007008390901</v>
      </c>
      <c r="ES190" s="73">
        <v>-1352.0627408240871</v>
      </c>
      <c r="ET190" s="73">
        <v>44611</v>
      </c>
      <c r="EU190" s="73">
        <v>4323</v>
      </c>
      <c r="EV190" s="73">
        <v>47103</v>
      </c>
      <c r="EW190" s="73">
        <v>2224</v>
      </c>
      <c r="EX190" s="73">
        <v>51842</v>
      </c>
      <c r="EY190" s="73">
        <v>1309</v>
      </c>
      <c r="EZ190" s="73">
        <v>56282</v>
      </c>
      <c r="FA190" s="73">
        <v>938</v>
      </c>
      <c r="FB190" s="73">
        <v>61338</v>
      </c>
      <c r="FC190" s="73">
        <v>-454</v>
      </c>
      <c r="FD190" s="73">
        <v>66076</v>
      </c>
      <c r="FE190" s="73">
        <v>1491</v>
      </c>
      <c r="FF190" s="73">
        <v>72542</v>
      </c>
      <c r="FG190" s="73">
        <v>8399</v>
      </c>
      <c r="FH190" s="73">
        <v>12349</v>
      </c>
      <c r="FI190" s="73">
        <v>20748</v>
      </c>
      <c r="FJ190" s="79">
        <v>16515</v>
      </c>
      <c r="FK190" s="80">
        <v>58214</v>
      </c>
      <c r="FL190" s="80">
        <v>11887</v>
      </c>
      <c r="FM190" s="80">
        <v>15521</v>
      </c>
      <c r="FN190" s="76">
        <v>182</v>
      </c>
      <c r="FO190" s="80">
        <v>54498</v>
      </c>
      <c r="FP190" s="80">
        <v>1377</v>
      </c>
      <c r="FQ190" s="80">
        <v>2339</v>
      </c>
      <c r="FR190" s="80">
        <v>7513</v>
      </c>
      <c r="FS190" s="81">
        <v>-6118</v>
      </c>
      <c r="FT190" s="76">
        <v>4433</v>
      </c>
      <c r="FU190" s="76">
        <v>32829</v>
      </c>
      <c r="FV190" s="76">
        <v>6118</v>
      </c>
      <c r="FW190" s="80">
        <v>76841</v>
      </c>
      <c r="FX190" s="80">
        <v>3068</v>
      </c>
      <c r="FY190" s="73">
        <v>17237</v>
      </c>
      <c r="FZ190" s="73">
        <v>60562</v>
      </c>
      <c r="GA190" s="73">
        <v>12842</v>
      </c>
      <c r="GB190" s="73">
        <v>16347</v>
      </c>
      <c r="GC190" s="73">
        <v>223</v>
      </c>
      <c r="GD190" s="73">
        <v>55373</v>
      </c>
      <c r="GE190" s="73">
        <v>2002</v>
      </c>
      <c r="GF190" s="73">
        <v>3187</v>
      </c>
      <c r="GG190" s="73">
        <v>7077</v>
      </c>
      <c r="GH190" s="73">
        <v>-12835</v>
      </c>
      <c r="GI190" s="73">
        <v>4621</v>
      </c>
      <c r="GJ190" s="73">
        <v>42332</v>
      </c>
      <c r="GK190" s="73">
        <v>12835</v>
      </c>
      <c r="GL190" s="73">
        <v>81303</v>
      </c>
      <c r="GM190" s="73">
        <v>2569</v>
      </c>
      <c r="GN190" s="73">
        <v>26387</v>
      </c>
      <c r="GO190" s="77">
        <v>19</v>
      </c>
      <c r="GP190" s="78">
        <v>17763</v>
      </c>
      <c r="GQ190" s="73">
        <v>67908</v>
      </c>
      <c r="GR190" s="65">
        <v>13834</v>
      </c>
      <c r="GS190" s="65">
        <v>16004</v>
      </c>
      <c r="GT190" s="65">
        <v>138</v>
      </c>
      <c r="GU190" s="65">
        <v>62085</v>
      </c>
      <c r="GV190" s="65">
        <v>2566</v>
      </c>
      <c r="GW190" s="65">
        <v>3257</v>
      </c>
      <c r="GX190" s="65">
        <v>10364</v>
      </c>
      <c r="GY190" s="65">
        <v>-9005</v>
      </c>
      <c r="GZ190" s="65">
        <v>4820</v>
      </c>
      <c r="HA190" s="65">
        <v>35510</v>
      </c>
      <c r="HB190" s="65">
        <v>9005</v>
      </c>
      <c r="HC190" s="65">
        <v>85859</v>
      </c>
      <c r="HD190" s="65">
        <v>5544</v>
      </c>
      <c r="HE190" s="78">
        <v>18128</v>
      </c>
      <c r="HF190" s="73">
        <v>72529</v>
      </c>
      <c r="HG190" s="65">
        <v>13921</v>
      </c>
      <c r="HH190" s="65">
        <v>14209</v>
      </c>
      <c r="HI190" s="65">
        <v>137</v>
      </c>
      <c r="HJ190" s="65">
        <v>67257</v>
      </c>
      <c r="HK190" s="65">
        <v>1890</v>
      </c>
      <c r="HL190" s="65">
        <v>3382</v>
      </c>
      <c r="HM190" s="65">
        <v>8098</v>
      </c>
      <c r="HN190" s="65">
        <v>-13183</v>
      </c>
      <c r="HO190" s="65">
        <v>4993</v>
      </c>
      <c r="HP190" s="65">
        <v>44126</v>
      </c>
      <c r="HQ190" s="65">
        <v>13183</v>
      </c>
      <c r="HR190" s="65">
        <v>91018</v>
      </c>
      <c r="HS190" s="65">
        <v>3117</v>
      </c>
      <c r="HT190" s="65">
        <v>35049</v>
      </c>
      <c r="HU190" s="77">
        <v>20</v>
      </c>
      <c r="HV190" s="180">
        <v>120</v>
      </c>
      <c r="HW190" s="30" t="s">
        <v>751</v>
      </c>
    </row>
    <row r="191" spans="1:231" ht="15" x14ac:dyDescent="0.25">
      <c r="A191" s="27">
        <v>607</v>
      </c>
      <c r="B191" s="27" t="s">
        <v>317</v>
      </c>
      <c r="C191" s="27">
        <v>12</v>
      </c>
      <c r="D191" s="27" t="s">
        <v>116</v>
      </c>
      <c r="E191" s="27">
        <v>2</v>
      </c>
      <c r="F191" s="27" t="s">
        <v>744</v>
      </c>
      <c r="G191" s="29" t="s">
        <v>130</v>
      </c>
      <c r="H191" s="27" t="s">
        <v>98</v>
      </c>
      <c r="I191" s="31" t="s">
        <v>116</v>
      </c>
      <c r="J191" s="69">
        <v>5501</v>
      </c>
      <c r="K191" s="69">
        <v>5470</v>
      </c>
      <c r="L191" s="36">
        <v>5411</v>
      </c>
      <c r="M191" s="36">
        <v>5346</v>
      </c>
      <c r="N191" s="36">
        <v>5224</v>
      </c>
      <c r="O191" s="36">
        <v>5154</v>
      </c>
      <c r="P191" s="36">
        <v>5048</v>
      </c>
      <c r="Q191" s="36">
        <v>5008</v>
      </c>
      <c r="R191" s="69">
        <v>4941</v>
      </c>
      <c r="S191" s="69">
        <v>4931</v>
      </c>
      <c r="T191" s="71">
        <v>4843</v>
      </c>
      <c r="U191" s="36">
        <v>8131</v>
      </c>
      <c r="V191" s="36">
        <v>7722</v>
      </c>
      <c r="W191" s="36">
        <v>3695</v>
      </c>
      <c r="X191" s="36">
        <v>111.50859524398182</v>
      </c>
      <c r="Y191" s="36">
        <v>8035</v>
      </c>
      <c r="Z191" s="36">
        <v>7712</v>
      </c>
      <c r="AA191" s="36">
        <v>4013</v>
      </c>
      <c r="AB191" s="36">
        <v>197.62081359227545</v>
      </c>
      <c r="AC191" s="36">
        <v>7554</v>
      </c>
      <c r="AD191" s="36">
        <v>8060</v>
      </c>
      <c r="AE191" s="36">
        <v>4102</v>
      </c>
      <c r="AF191" s="36">
        <v>230.24927132580859</v>
      </c>
      <c r="AG191" s="36">
        <v>8327</v>
      </c>
      <c r="AH191" s="36">
        <v>9513</v>
      </c>
      <c r="AI191" s="36">
        <v>4193</v>
      </c>
      <c r="AJ191" s="36">
        <v>281.71477682303095</v>
      </c>
      <c r="AK191" s="36">
        <v>8393</v>
      </c>
      <c r="AL191" s="36">
        <v>10186</v>
      </c>
      <c r="AM191" s="36">
        <v>4305</v>
      </c>
      <c r="AN191" s="36">
        <v>369</v>
      </c>
      <c r="AO191" s="36">
        <v>7896</v>
      </c>
      <c r="AP191" s="36">
        <v>10836</v>
      </c>
      <c r="AQ191" s="36">
        <v>4553</v>
      </c>
      <c r="AR191" s="36">
        <v>332</v>
      </c>
      <c r="AS191" s="36">
        <v>8148</v>
      </c>
      <c r="AT191" s="36">
        <v>10641</v>
      </c>
      <c r="AU191" s="36">
        <v>4645</v>
      </c>
      <c r="AV191" s="36">
        <v>366</v>
      </c>
      <c r="AW191" s="36">
        <v>8263</v>
      </c>
      <c r="AX191" s="69">
        <v>10635</v>
      </c>
      <c r="AY191" s="36">
        <v>4708</v>
      </c>
      <c r="AZ191" s="36">
        <v>362</v>
      </c>
      <c r="BA191" s="36">
        <v>8548</v>
      </c>
      <c r="BB191" s="36">
        <v>11232</v>
      </c>
      <c r="BC191" s="36">
        <v>4991</v>
      </c>
      <c r="BD191" s="36">
        <v>327</v>
      </c>
      <c r="BE191" s="70">
        <v>9517</v>
      </c>
      <c r="BF191" s="70">
        <v>11489</v>
      </c>
      <c r="BG191" s="70">
        <v>5137</v>
      </c>
      <c r="BH191" s="70">
        <v>408</v>
      </c>
      <c r="BI191" s="36">
        <v>9976</v>
      </c>
      <c r="BJ191" s="36">
        <v>12254</v>
      </c>
      <c r="BK191" s="36">
        <v>5377</v>
      </c>
      <c r="BL191" s="36">
        <v>476</v>
      </c>
      <c r="BM191" s="36">
        <v>5956.5436035608745</v>
      </c>
      <c r="BN191" s="36">
        <v>1866.7177957963111</v>
      </c>
      <c r="BO191" s="36">
        <v>307.44752957164218</v>
      </c>
      <c r="BP191" s="36">
        <v>6254.2362333977489</v>
      </c>
      <c r="BQ191" s="36">
        <v>1473.6626116557597</v>
      </c>
      <c r="BR191" s="36">
        <v>307.27934164518064</v>
      </c>
      <c r="BS191" s="36">
        <v>5629.0817107403118</v>
      </c>
      <c r="BT191" s="36">
        <v>1594.2533549286629</v>
      </c>
      <c r="BU191" s="36">
        <v>330.32108757040766</v>
      </c>
      <c r="BV191" s="36">
        <v>6923</v>
      </c>
      <c r="BW191" s="36">
        <v>1052</v>
      </c>
      <c r="BX191" s="36">
        <v>352</v>
      </c>
      <c r="BY191" s="36">
        <v>7460</v>
      </c>
      <c r="BZ191" s="36">
        <v>574</v>
      </c>
      <c r="CA191" s="36">
        <v>359</v>
      </c>
      <c r="CB191" s="36">
        <v>7196</v>
      </c>
      <c r="CC191" s="36">
        <v>347</v>
      </c>
      <c r="CD191" s="36">
        <v>353</v>
      </c>
      <c r="CE191" s="36">
        <v>7318</v>
      </c>
      <c r="CF191" s="36">
        <v>475</v>
      </c>
      <c r="CG191" s="36">
        <v>355</v>
      </c>
      <c r="CH191" s="36">
        <v>7276</v>
      </c>
      <c r="CI191" s="36">
        <v>625</v>
      </c>
      <c r="CJ191" s="70">
        <v>362</v>
      </c>
      <c r="CK191" s="70">
        <v>7404</v>
      </c>
      <c r="CL191" s="70">
        <v>776</v>
      </c>
      <c r="CM191" s="36">
        <v>368</v>
      </c>
      <c r="CN191" s="36">
        <v>8188</v>
      </c>
      <c r="CO191" s="36">
        <v>940</v>
      </c>
      <c r="CP191" s="36">
        <v>389</v>
      </c>
      <c r="CQ191" s="36">
        <v>8690</v>
      </c>
      <c r="CR191" s="36">
        <v>879</v>
      </c>
      <c r="CS191" s="36">
        <v>407</v>
      </c>
      <c r="CT191" s="36">
        <v>783.75573731064128</v>
      </c>
      <c r="CU191" s="36">
        <v>-510.45035680000001</v>
      </c>
      <c r="CV191" s="36">
        <v>720.51707696111328</v>
      </c>
      <c r="CW191" s="36">
        <v>4212</v>
      </c>
      <c r="CX191" s="36">
        <v>1160.8330684373491</v>
      </c>
      <c r="CY191" s="36">
        <v>-502.54552430000001</v>
      </c>
      <c r="CZ191" s="36">
        <v>777.53278403156548</v>
      </c>
      <c r="DA191" s="36">
        <v>4255</v>
      </c>
      <c r="DB191" s="36">
        <v>712.44405649096075</v>
      </c>
      <c r="DC191" s="36">
        <v>-486.90404710000001</v>
      </c>
      <c r="DD191" s="36">
        <v>752.97734676818482</v>
      </c>
      <c r="DE191" s="36">
        <v>3883</v>
      </c>
      <c r="DF191" s="36">
        <v>2298.2880150965484</v>
      </c>
      <c r="DG191" s="36">
        <v>-406</v>
      </c>
      <c r="DH191" s="36">
        <v>738.68137301895649</v>
      </c>
      <c r="DI191" s="36">
        <v>3576</v>
      </c>
      <c r="DJ191" s="36">
        <v>3247</v>
      </c>
      <c r="DK191" s="36">
        <v>-865</v>
      </c>
      <c r="DL191" s="36">
        <v>687</v>
      </c>
      <c r="DM191" s="36">
        <v>2082</v>
      </c>
      <c r="DN191" s="36">
        <v>2438</v>
      </c>
      <c r="DO191" s="69">
        <v>-492</v>
      </c>
      <c r="DP191" s="36">
        <v>725</v>
      </c>
      <c r="DQ191" s="36">
        <v>1878</v>
      </c>
      <c r="DR191" s="36">
        <v>1981</v>
      </c>
      <c r="DS191" s="36">
        <v>-815</v>
      </c>
      <c r="DT191" s="36">
        <v>766</v>
      </c>
      <c r="DU191" s="36">
        <v>1676</v>
      </c>
      <c r="DV191" s="36">
        <v>1212</v>
      </c>
      <c r="DW191" s="71">
        <v>-1481</v>
      </c>
      <c r="DX191" s="39">
        <v>764</v>
      </c>
      <c r="DY191" s="71">
        <v>1460</v>
      </c>
      <c r="DZ191" s="70">
        <v>1222</v>
      </c>
      <c r="EA191" s="35">
        <v>-2843</v>
      </c>
      <c r="EB191" s="35">
        <v>751</v>
      </c>
      <c r="EC191" s="38">
        <v>1298</v>
      </c>
      <c r="ED191" s="38">
        <v>1341</v>
      </c>
      <c r="EE191" s="38">
        <v>-1223</v>
      </c>
      <c r="EF191" s="38">
        <v>850</v>
      </c>
      <c r="EG191" s="73">
        <v>1182</v>
      </c>
      <c r="EH191" s="73">
        <v>2296</v>
      </c>
      <c r="EI191" s="73">
        <v>-1279</v>
      </c>
      <c r="EJ191" s="73">
        <v>906</v>
      </c>
      <c r="EK191" s="73">
        <v>1052</v>
      </c>
      <c r="EL191" s="73">
        <v>17801.178324612789</v>
      </c>
      <c r="EM191" s="73">
        <v>63.238660349528146</v>
      </c>
      <c r="EN191" s="73">
        <v>17725.325569778648</v>
      </c>
      <c r="EO191" s="73">
        <v>46.924431482761577</v>
      </c>
      <c r="EP191" s="73">
        <v>18172.369078313342</v>
      </c>
      <c r="EQ191" s="73">
        <v>-40.533290277224161</v>
      </c>
      <c r="ER191" s="73">
        <v>18876.571926407691</v>
      </c>
      <c r="ES191" s="73">
        <v>1408.2375082622318</v>
      </c>
      <c r="ET191" s="73">
        <v>19837</v>
      </c>
      <c r="EU191" s="73">
        <v>2560</v>
      </c>
      <c r="EV191" s="73">
        <v>21061</v>
      </c>
      <c r="EW191" s="73">
        <v>343</v>
      </c>
      <c r="EX191" s="73">
        <v>21729</v>
      </c>
      <c r="EY191" s="73">
        <v>700</v>
      </c>
      <c r="EZ191" s="73">
        <v>22687</v>
      </c>
      <c r="FA191" s="73">
        <v>7</v>
      </c>
      <c r="FB191" s="73">
        <v>23876</v>
      </c>
      <c r="FC191" s="73">
        <v>43</v>
      </c>
      <c r="FD191" s="73">
        <v>25158</v>
      </c>
      <c r="FE191" s="73">
        <v>110</v>
      </c>
      <c r="FF191" s="73">
        <v>25787</v>
      </c>
      <c r="FG191" s="73">
        <v>25</v>
      </c>
      <c r="FH191" s="73">
        <v>6270</v>
      </c>
      <c r="FI191" s="73">
        <v>6295</v>
      </c>
      <c r="FJ191" s="79">
        <v>4821</v>
      </c>
      <c r="FK191" s="80">
        <v>9808</v>
      </c>
      <c r="FL191" s="80">
        <v>13233</v>
      </c>
      <c r="FM191" s="80">
        <v>5575</v>
      </c>
      <c r="FN191" s="76">
        <v>337</v>
      </c>
      <c r="FO191" s="80">
        <v>8672</v>
      </c>
      <c r="FP191" s="80">
        <v>713</v>
      </c>
      <c r="FQ191" s="80">
        <v>423</v>
      </c>
      <c r="FR191" s="80">
        <v>1503</v>
      </c>
      <c r="FS191" s="81">
        <v>-2988</v>
      </c>
      <c r="FT191" s="76">
        <v>864</v>
      </c>
      <c r="FU191" s="76">
        <v>888</v>
      </c>
      <c r="FV191" s="76">
        <v>2988</v>
      </c>
      <c r="FW191" s="80">
        <v>27450</v>
      </c>
      <c r="FX191" s="80">
        <v>17</v>
      </c>
      <c r="FY191" s="73">
        <v>4804</v>
      </c>
      <c r="FZ191" s="73">
        <v>9657</v>
      </c>
      <c r="GA191" s="73">
        <v>14119</v>
      </c>
      <c r="GB191" s="73">
        <v>5975</v>
      </c>
      <c r="GC191" s="73">
        <v>276</v>
      </c>
      <c r="GD191" s="73">
        <v>8215</v>
      </c>
      <c r="GE191" s="73">
        <v>918</v>
      </c>
      <c r="GF191" s="73">
        <v>524</v>
      </c>
      <c r="GG191" s="73">
        <v>2526</v>
      </c>
      <c r="GH191" s="73">
        <v>-3785</v>
      </c>
      <c r="GI191" s="73">
        <v>855</v>
      </c>
      <c r="GJ191" s="73">
        <v>2201</v>
      </c>
      <c r="GK191" s="73">
        <v>3785</v>
      </c>
      <c r="GL191" s="73">
        <v>27501</v>
      </c>
      <c r="GM191" s="73">
        <v>43</v>
      </c>
      <c r="GN191" s="73">
        <v>6355</v>
      </c>
      <c r="GO191" s="77">
        <v>19</v>
      </c>
      <c r="GP191" s="78">
        <v>4778</v>
      </c>
      <c r="GQ191" s="73">
        <v>9832</v>
      </c>
      <c r="GR191" s="65">
        <v>14640</v>
      </c>
      <c r="GS191" s="65">
        <v>4704</v>
      </c>
      <c r="GT191" s="65">
        <v>174</v>
      </c>
      <c r="GU191" s="65">
        <v>8370</v>
      </c>
      <c r="GV191" s="65">
        <v>942</v>
      </c>
      <c r="GW191" s="65">
        <v>520</v>
      </c>
      <c r="GX191" s="65">
        <v>2394</v>
      </c>
      <c r="GY191" s="65">
        <v>-2315</v>
      </c>
      <c r="GZ191" s="65">
        <v>900</v>
      </c>
      <c r="HA191" s="65">
        <v>3373</v>
      </c>
      <c r="HB191" s="65">
        <v>2315</v>
      </c>
      <c r="HC191" s="65">
        <v>26956</v>
      </c>
      <c r="HD191" s="65">
        <v>61</v>
      </c>
      <c r="HE191" s="78">
        <v>4728</v>
      </c>
      <c r="HF191" s="73">
        <v>10171</v>
      </c>
      <c r="HG191" s="65">
        <v>15008</v>
      </c>
      <c r="HH191" s="65">
        <v>4747</v>
      </c>
      <c r="HI191" s="65">
        <v>216</v>
      </c>
      <c r="HJ191" s="65">
        <v>8918</v>
      </c>
      <c r="HK191" s="65">
        <v>605</v>
      </c>
      <c r="HL191" s="65">
        <v>648</v>
      </c>
      <c r="HM191" s="65">
        <v>2045</v>
      </c>
      <c r="HN191" s="65">
        <v>-1682</v>
      </c>
      <c r="HO191" s="65">
        <v>900</v>
      </c>
      <c r="HP191" s="65">
        <v>2910</v>
      </c>
      <c r="HQ191" s="65">
        <v>1682</v>
      </c>
      <c r="HR191" s="65">
        <v>28056</v>
      </c>
      <c r="HS191" s="65">
        <v>67</v>
      </c>
      <c r="HT191" s="65">
        <v>6483</v>
      </c>
      <c r="HU191" s="77">
        <v>19</v>
      </c>
      <c r="HV191" s="180">
        <v>340</v>
      </c>
      <c r="HW191" s="30" t="s">
        <v>761</v>
      </c>
    </row>
    <row r="192" spans="1:231" ht="15" x14ac:dyDescent="0.25">
      <c r="A192" s="27">
        <v>608</v>
      </c>
      <c r="B192" s="27" t="s">
        <v>318</v>
      </c>
      <c r="C192" s="27">
        <v>4</v>
      </c>
      <c r="D192" s="27" t="s">
        <v>120</v>
      </c>
      <c r="E192" s="27">
        <v>2</v>
      </c>
      <c r="F192" s="27" t="s">
        <v>744</v>
      </c>
      <c r="G192" s="29" t="s">
        <v>130</v>
      </c>
      <c r="H192" s="27" t="s">
        <v>98</v>
      </c>
      <c r="I192" s="31" t="s">
        <v>120</v>
      </c>
      <c r="J192" s="69">
        <v>2717</v>
      </c>
      <c r="K192" s="69">
        <v>2692</v>
      </c>
      <c r="L192" s="36">
        <v>2639</v>
      </c>
      <c r="M192" s="36">
        <v>2644</v>
      </c>
      <c r="N192" s="36">
        <v>2608</v>
      </c>
      <c r="O192" s="36">
        <v>2595</v>
      </c>
      <c r="P192" s="36">
        <v>2578</v>
      </c>
      <c r="Q192" s="36">
        <v>2528</v>
      </c>
      <c r="R192" s="69">
        <v>2515</v>
      </c>
      <c r="S192" s="69">
        <v>2536</v>
      </c>
      <c r="T192" s="71">
        <v>2512</v>
      </c>
      <c r="U192" s="36">
        <v>5064</v>
      </c>
      <c r="V192" s="36">
        <v>2969</v>
      </c>
      <c r="W192" s="36">
        <v>1041</v>
      </c>
      <c r="X192" s="36">
        <v>49.447250379684242</v>
      </c>
      <c r="Y192" s="36">
        <v>4841</v>
      </c>
      <c r="Z192" s="36">
        <v>3245</v>
      </c>
      <c r="AA192" s="36">
        <v>1026</v>
      </c>
      <c r="AB192" s="36">
        <v>110.16309183228972</v>
      </c>
      <c r="AC192" s="36">
        <v>4648</v>
      </c>
      <c r="AD192" s="36">
        <v>3619</v>
      </c>
      <c r="AE192" s="36">
        <v>953</v>
      </c>
      <c r="AF192" s="36">
        <v>52.474633055991447</v>
      </c>
      <c r="AG192" s="36">
        <v>4810</v>
      </c>
      <c r="AH192" s="36">
        <v>3902</v>
      </c>
      <c r="AI192" s="36">
        <v>1119</v>
      </c>
      <c r="AJ192" s="36">
        <v>68.957049849219516</v>
      </c>
      <c r="AK192" s="36">
        <v>5067</v>
      </c>
      <c r="AL192" s="36">
        <v>4584</v>
      </c>
      <c r="AM192" s="36">
        <v>1116</v>
      </c>
      <c r="AN192" s="36">
        <v>22</v>
      </c>
      <c r="AO192" s="36">
        <v>4507</v>
      </c>
      <c r="AP192" s="36">
        <v>4540</v>
      </c>
      <c r="AQ192" s="36">
        <v>1185</v>
      </c>
      <c r="AR192" s="36">
        <v>19</v>
      </c>
      <c r="AS192" s="36">
        <v>4755</v>
      </c>
      <c r="AT192" s="36">
        <v>4988</v>
      </c>
      <c r="AU192" s="36">
        <v>1221</v>
      </c>
      <c r="AV192" s="36">
        <v>23</v>
      </c>
      <c r="AW192" s="36">
        <v>5095</v>
      </c>
      <c r="AX192" s="69">
        <v>4905</v>
      </c>
      <c r="AY192" s="36">
        <v>1325</v>
      </c>
      <c r="AZ192" s="36">
        <v>24</v>
      </c>
      <c r="BA192" s="36">
        <v>5394</v>
      </c>
      <c r="BB192" s="36">
        <v>5214</v>
      </c>
      <c r="BC192" s="36">
        <v>1686</v>
      </c>
      <c r="BD192" s="36">
        <v>19</v>
      </c>
      <c r="BE192" s="70">
        <v>5559</v>
      </c>
      <c r="BF192" s="70">
        <v>5322</v>
      </c>
      <c r="BG192" s="70">
        <v>1574</v>
      </c>
      <c r="BH192" s="70">
        <v>30</v>
      </c>
      <c r="BI192" s="36">
        <v>6035</v>
      </c>
      <c r="BJ192" s="36">
        <v>6280</v>
      </c>
      <c r="BK192" s="36">
        <v>1656</v>
      </c>
      <c r="BL192" s="36">
        <v>0</v>
      </c>
      <c r="BM192" s="36">
        <v>4074.6888943830281</v>
      </c>
      <c r="BN192" s="36">
        <v>830.1756050140184</v>
      </c>
      <c r="BO192" s="36">
        <v>159.27396635905095</v>
      </c>
      <c r="BP192" s="36">
        <v>3943.5023117430492</v>
      </c>
      <c r="BQ192" s="36">
        <v>740.53144021003311</v>
      </c>
      <c r="BR192" s="36">
        <v>157.42389916797433</v>
      </c>
      <c r="BS192" s="36">
        <v>3711.0665973732412</v>
      </c>
      <c r="BT192" s="36">
        <v>753.48191054756933</v>
      </c>
      <c r="BU192" s="36">
        <v>183.32483984304702</v>
      </c>
      <c r="BV192" s="36">
        <v>4143</v>
      </c>
      <c r="BW192" s="36">
        <v>446</v>
      </c>
      <c r="BX192" s="36">
        <v>221</v>
      </c>
      <c r="BY192" s="36">
        <v>4484</v>
      </c>
      <c r="BZ192" s="36">
        <v>355</v>
      </c>
      <c r="CA192" s="36">
        <v>228</v>
      </c>
      <c r="CB192" s="36">
        <v>4103</v>
      </c>
      <c r="CC192" s="36">
        <v>181</v>
      </c>
      <c r="CD192" s="36">
        <v>223</v>
      </c>
      <c r="CE192" s="36">
        <v>4284</v>
      </c>
      <c r="CF192" s="36">
        <v>252</v>
      </c>
      <c r="CG192" s="36">
        <v>219</v>
      </c>
      <c r="CH192" s="36">
        <v>4467</v>
      </c>
      <c r="CI192" s="36">
        <v>372</v>
      </c>
      <c r="CJ192" s="70">
        <v>256</v>
      </c>
      <c r="CK192" s="70">
        <v>4654</v>
      </c>
      <c r="CL192" s="70">
        <v>476</v>
      </c>
      <c r="CM192" s="36">
        <v>264</v>
      </c>
      <c r="CN192" s="36">
        <v>4778</v>
      </c>
      <c r="CO192" s="36">
        <v>490</v>
      </c>
      <c r="CP192" s="36">
        <v>291</v>
      </c>
      <c r="CQ192" s="36">
        <v>5326</v>
      </c>
      <c r="CR192" s="36">
        <v>402</v>
      </c>
      <c r="CS192" s="36">
        <v>307</v>
      </c>
      <c r="CT192" s="36">
        <v>-79.384701289833203</v>
      </c>
      <c r="CU192" s="36">
        <v>-262.03678939999998</v>
      </c>
      <c r="CV192" s="36">
        <v>237.48135216365358</v>
      </c>
      <c r="CW192" s="36">
        <v>1777</v>
      </c>
      <c r="CX192" s="36">
        <v>-59.202150114451882</v>
      </c>
      <c r="CY192" s="36">
        <v>-345.45800100000008</v>
      </c>
      <c r="CZ192" s="36">
        <v>243.03155373688344</v>
      </c>
      <c r="DA192" s="36">
        <v>2134</v>
      </c>
      <c r="DB192" s="36">
        <v>70.302553260911608</v>
      </c>
      <c r="DC192" s="36">
        <v>-572.34351370000002</v>
      </c>
      <c r="DD192" s="36">
        <v>257.6639033390349</v>
      </c>
      <c r="DE192" s="36">
        <v>1934</v>
      </c>
      <c r="DF192" s="36">
        <v>-175.25181937289449</v>
      </c>
      <c r="DG192" s="36">
        <v>-1221</v>
      </c>
      <c r="DH192" s="36">
        <v>291.13330070487558</v>
      </c>
      <c r="DI192" s="36">
        <v>3210</v>
      </c>
      <c r="DJ192" s="36">
        <v>1072</v>
      </c>
      <c r="DK192" s="36">
        <v>-136</v>
      </c>
      <c r="DL192" s="36">
        <v>303</v>
      </c>
      <c r="DM192" s="36">
        <v>2708</v>
      </c>
      <c r="DN192" s="36">
        <v>211</v>
      </c>
      <c r="DO192" s="69">
        <v>-472</v>
      </c>
      <c r="DP192" s="36">
        <v>291</v>
      </c>
      <c r="DQ192" s="36">
        <v>2574</v>
      </c>
      <c r="DR192" s="36">
        <v>325</v>
      </c>
      <c r="DS192" s="36">
        <v>-657</v>
      </c>
      <c r="DT192" s="36">
        <v>299</v>
      </c>
      <c r="DU192" s="36">
        <v>3044</v>
      </c>
      <c r="DV192" s="36">
        <v>119</v>
      </c>
      <c r="DW192" s="71">
        <v>-577</v>
      </c>
      <c r="DX192" s="39">
        <v>333</v>
      </c>
      <c r="DY192" s="71">
        <v>3685</v>
      </c>
      <c r="DZ192" s="70">
        <v>582</v>
      </c>
      <c r="EA192" s="35">
        <v>-308</v>
      </c>
      <c r="EB192" s="35">
        <v>347</v>
      </c>
      <c r="EC192" s="38">
        <v>3260</v>
      </c>
      <c r="ED192" s="38">
        <v>27</v>
      </c>
      <c r="EE192" s="38">
        <v>-1459</v>
      </c>
      <c r="EF192" s="38">
        <v>353</v>
      </c>
      <c r="EG192" s="73">
        <v>4343</v>
      </c>
      <c r="EH192" s="73">
        <v>1050</v>
      </c>
      <c r="EI192" s="73">
        <v>-301</v>
      </c>
      <c r="EJ192" s="73">
        <v>336</v>
      </c>
      <c r="EK192" s="73">
        <v>4103</v>
      </c>
      <c r="EL192" s="73">
        <v>8680.515260531507</v>
      </c>
      <c r="EM192" s="73">
        <v>-268.93249441195616</v>
      </c>
      <c r="EN192" s="73">
        <v>8755.3588878068804</v>
      </c>
      <c r="EO192" s="73">
        <v>-280.03289755841587</v>
      </c>
      <c r="EP192" s="73">
        <v>8658.1462663121256</v>
      </c>
      <c r="EQ192" s="73">
        <v>-196.6116860335064</v>
      </c>
      <c r="ER192" s="73">
        <v>9474.0258975769138</v>
      </c>
      <c r="ES192" s="73">
        <v>-466.38512007777007</v>
      </c>
      <c r="ET192" s="73">
        <v>9551</v>
      </c>
      <c r="EU192" s="73">
        <v>709</v>
      </c>
      <c r="EV192" s="73">
        <v>9944</v>
      </c>
      <c r="EW192" s="73">
        <v>-80</v>
      </c>
      <c r="EX192" s="73">
        <v>10565</v>
      </c>
      <c r="EY192" s="73">
        <v>26</v>
      </c>
      <c r="EZ192" s="73">
        <v>11124</v>
      </c>
      <c r="FA192" s="73">
        <v>-214</v>
      </c>
      <c r="FB192" s="73">
        <v>11621</v>
      </c>
      <c r="FC192" s="73">
        <v>235</v>
      </c>
      <c r="FD192" s="73">
        <v>12292</v>
      </c>
      <c r="FE192" s="73">
        <v>-326</v>
      </c>
      <c r="FF192" s="73">
        <v>12704</v>
      </c>
      <c r="FG192" s="73">
        <v>714</v>
      </c>
      <c r="FH192" s="73">
        <v>-698</v>
      </c>
      <c r="FI192" s="73">
        <v>15</v>
      </c>
      <c r="FJ192" s="79">
        <v>2482</v>
      </c>
      <c r="FK192" s="80">
        <v>5976</v>
      </c>
      <c r="FL192" s="80">
        <v>6637</v>
      </c>
      <c r="FM192" s="80">
        <v>1731</v>
      </c>
      <c r="FN192" s="76">
        <v>15</v>
      </c>
      <c r="FO192" s="80">
        <v>5344</v>
      </c>
      <c r="FP192" s="80">
        <v>293</v>
      </c>
      <c r="FQ192" s="80">
        <v>339</v>
      </c>
      <c r="FR192" s="80">
        <v>1224</v>
      </c>
      <c r="FS192" s="81">
        <v>-752</v>
      </c>
      <c r="FT192" s="76">
        <v>359</v>
      </c>
      <c r="FU192" s="76">
        <v>3208</v>
      </c>
      <c r="FV192" s="76">
        <v>752</v>
      </c>
      <c r="FW192" s="80">
        <v>13044</v>
      </c>
      <c r="FX192" s="80">
        <v>865</v>
      </c>
      <c r="FY192" s="73">
        <v>2460</v>
      </c>
      <c r="FZ192" s="73">
        <v>5884</v>
      </c>
      <c r="GA192" s="73">
        <v>7283</v>
      </c>
      <c r="GB192" s="73">
        <v>1533</v>
      </c>
      <c r="GC192" s="73">
        <v>353</v>
      </c>
      <c r="GD192" s="73">
        <v>5152</v>
      </c>
      <c r="GE192" s="73">
        <v>387</v>
      </c>
      <c r="GF192" s="73">
        <v>345</v>
      </c>
      <c r="GG192" s="73">
        <v>844</v>
      </c>
      <c r="GH192" s="73">
        <v>-67</v>
      </c>
      <c r="GI192" s="73">
        <v>405</v>
      </c>
      <c r="GJ192" s="73">
        <v>2529</v>
      </c>
      <c r="GK192" s="73">
        <v>67</v>
      </c>
      <c r="GL192" s="73">
        <v>13807</v>
      </c>
      <c r="GM192" s="73">
        <v>698</v>
      </c>
      <c r="GN192" s="73">
        <v>1579</v>
      </c>
      <c r="GO192" s="77">
        <v>19.75</v>
      </c>
      <c r="GP192" s="78">
        <v>2415</v>
      </c>
      <c r="GQ192" s="73">
        <v>5939</v>
      </c>
      <c r="GR192" s="65">
        <v>7732</v>
      </c>
      <c r="GS192" s="65">
        <v>1631</v>
      </c>
      <c r="GT192" s="65">
        <v>27</v>
      </c>
      <c r="GU192" s="65">
        <v>5181</v>
      </c>
      <c r="GV192" s="65">
        <v>414</v>
      </c>
      <c r="GW192" s="65">
        <v>344</v>
      </c>
      <c r="GX192" s="65">
        <v>280</v>
      </c>
      <c r="GY192" s="65">
        <v>-527</v>
      </c>
      <c r="GZ192" s="65">
        <v>414</v>
      </c>
      <c r="HA192" s="65">
        <v>2625</v>
      </c>
      <c r="HB192" s="65">
        <v>527</v>
      </c>
      <c r="HC192" s="65">
        <v>14988</v>
      </c>
      <c r="HD192" s="65">
        <v>-134</v>
      </c>
      <c r="HE192" s="78">
        <v>2373</v>
      </c>
      <c r="HF192" s="73">
        <v>5926</v>
      </c>
      <c r="HG192" s="65">
        <v>8504</v>
      </c>
      <c r="HH192" s="65">
        <v>1619</v>
      </c>
      <c r="HI192" s="65">
        <v>20</v>
      </c>
      <c r="HJ192" s="65">
        <v>5337</v>
      </c>
      <c r="HK192" s="65">
        <v>239</v>
      </c>
      <c r="HL192" s="65">
        <v>350</v>
      </c>
      <c r="HM192" s="65">
        <v>130</v>
      </c>
      <c r="HN192" s="65">
        <v>-78</v>
      </c>
      <c r="HO192" s="65">
        <v>423</v>
      </c>
      <c r="HP192" s="65">
        <v>2936</v>
      </c>
      <c r="HQ192" s="65">
        <v>78</v>
      </c>
      <c r="HR192" s="65">
        <v>15894</v>
      </c>
      <c r="HS192" s="65">
        <v>-293</v>
      </c>
      <c r="HT192" s="65">
        <v>1238</v>
      </c>
      <c r="HU192" s="77">
        <v>19.75</v>
      </c>
      <c r="HV192" s="180">
        <v>340</v>
      </c>
      <c r="HW192" s="30" t="s">
        <v>761</v>
      </c>
    </row>
    <row r="193" spans="1:231" ht="15" x14ac:dyDescent="0.25">
      <c r="A193" s="27">
        <v>609</v>
      </c>
      <c r="B193" s="27" t="s">
        <v>319</v>
      </c>
      <c r="C193" s="27">
        <v>4</v>
      </c>
      <c r="D193" s="27" t="s">
        <v>120</v>
      </c>
      <c r="E193" s="27">
        <v>6</v>
      </c>
      <c r="F193" s="27" t="s">
        <v>102</v>
      </c>
      <c r="G193" s="29" t="s">
        <v>141</v>
      </c>
      <c r="H193" s="27" t="s">
        <v>97</v>
      </c>
      <c r="I193" s="31" t="s">
        <v>120</v>
      </c>
      <c r="J193" s="82">
        <v>85139</v>
      </c>
      <c r="K193" s="82">
        <v>84850</v>
      </c>
      <c r="L193" s="82">
        <v>84573</v>
      </c>
      <c r="M193" s="82">
        <v>84439</v>
      </c>
      <c r="N193" s="82">
        <v>84306</v>
      </c>
      <c r="O193" s="82">
        <v>84561</v>
      </c>
      <c r="P193" s="82">
        <v>84491</v>
      </c>
      <c r="Q193" s="82">
        <v>84455</v>
      </c>
      <c r="R193" s="82">
        <v>84456</v>
      </c>
      <c r="S193" s="82">
        <v>84523</v>
      </c>
      <c r="T193" s="82">
        <v>84614</v>
      </c>
      <c r="U193" s="82">
        <v>169755</v>
      </c>
      <c r="V193" s="82">
        <v>84255</v>
      </c>
      <c r="W193" s="82">
        <v>123728</v>
      </c>
      <c r="X193" s="82">
        <v>5101.644373357014</v>
      </c>
      <c r="Y193" s="82">
        <v>171790</v>
      </c>
      <c r="Z193" s="82">
        <v>92169</v>
      </c>
      <c r="AA193" s="82">
        <v>128287</v>
      </c>
      <c r="AB193" s="82">
        <v>4268.2731977402273</v>
      </c>
      <c r="AC193" s="82">
        <v>177086</v>
      </c>
      <c r="AD193" s="82">
        <v>96717</v>
      </c>
      <c r="AE193" s="82">
        <v>143524</v>
      </c>
      <c r="AF193" s="82">
        <v>2928.6563634742911</v>
      </c>
      <c r="AG193" s="82">
        <v>201133</v>
      </c>
      <c r="AH193" s="82">
        <v>103804</v>
      </c>
      <c r="AI193" s="82">
        <v>151011</v>
      </c>
      <c r="AJ193" s="82">
        <v>3362.7494016714513</v>
      </c>
      <c r="AK193" s="82">
        <v>204082</v>
      </c>
      <c r="AL193" s="82">
        <v>113285</v>
      </c>
      <c r="AM193" s="82">
        <v>151548</v>
      </c>
      <c r="AN193" s="82">
        <v>2183</v>
      </c>
      <c r="AO193" s="82">
        <v>199779</v>
      </c>
      <c r="AP193" s="82">
        <v>124750</v>
      </c>
      <c r="AQ193" s="82">
        <v>163639</v>
      </c>
      <c r="AR193" s="82">
        <v>3485</v>
      </c>
      <c r="AS193" s="82">
        <v>203350</v>
      </c>
      <c r="AT193" s="82">
        <v>128722</v>
      </c>
      <c r="AU193" s="82">
        <v>167737</v>
      </c>
      <c r="AV193" s="82">
        <v>3378</v>
      </c>
      <c r="AW193" s="82">
        <v>202756</v>
      </c>
      <c r="AX193" s="82">
        <v>134729</v>
      </c>
      <c r="AY193" s="82">
        <v>170414</v>
      </c>
      <c r="AZ193" s="82">
        <v>2983</v>
      </c>
      <c r="BA193" s="82">
        <v>215998</v>
      </c>
      <c r="BB193" s="82">
        <v>148785</v>
      </c>
      <c r="BC193" s="82">
        <v>130081</v>
      </c>
      <c r="BD193" s="82">
        <v>78405</v>
      </c>
      <c r="BE193" s="82">
        <v>226501</v>
      </c>
      <c r="BF193" s="82">
        <v>154121</v>
      </c>
      <c r="BG193" s="82">
        <v>137478</v>
      </c>
      <c r="BH193" s="82">
        <v>17502</v>
      </c>
      <c r="BI193" s="82">
        <v>247156</v>
      </c>
      <c r="BJ193" s="82">
        <v>178165</v>
      </c>
      <c r="BK193" s="82">
        <v>148792</v>
      </c>
      <c r="BL193" s="82">
        <v>4350</v>
      </c>
      <c r="BM193" s="82">
        <v>140162.26771145005</v>
      </c>
      <c r="BN193" s="82">
        <v>23635.281117709685</v>
      </c>
      <c r="BO193" s="82">
        <v>5745.4677558516778</v>
      </c>
      <c r="BP193" s="82">
        <v>140048.23629730917</v>
      </c>
      <c r="BQ193" s="82">
        <v>24508.008268118465</v>
      </c>
      <c r="BR193" s="82">
        <v>6901.0869985687204</v>
      </c>
      <c r="BS193" s="82">
        <v>136657.73588777156</v>
      </c>
      <c r="BT193" s="82">
        <v>32671.177466854366</v>
      </c>
      <c r="BU193" s="82">
        <v>7480.8307810815486</v>
      </c>
      <c r="BV193" s="82">
        <v>159380</v>
      </c>
      <c r="BW193" s="82">
        <v>33725</v>
      </c>
      <c r="BX193" s="82">
        <v>7847</v>
      </c>
      <c r="BY193" s="82">
        <v>183157</v>
      </c>
      <c r="BZ193" s="82">
        <v>12719</v>
      </c>
      <c r="CA193" s="82">
        <v>8029</v>
      </c>
      <c r="CB193" s="82">
        <v>178900</v>
      </c>
      <c r="CC193" s="82">
        <v>12524</v>
      </c>
      <c r="CD193" s="82">
        <v>8187</v>
      </c>
      <c r="CE193" s="82">
        <v>184116</v>
      </c>
      <c r="CF193" s="82">
        <v>10960</v>
      </c>
      <c r="CG193" s="82">
        <v>8102</v>
      </c>
      <c r="CH193" s="82">
        <v>181830</v>
      </c>
      <c r="CI193" s="82">
        <v>12234</v>
      </c>
      <c r="CJ193" s="82">
        <v>8525</v>
      </c>
      <c r="CK193" s="82">
        <v>193924</v>
      </c>
      <c r="CL193" s="82">
        <v>12924</v>
      </c>
      <c r="CM193" s="82">
        <v>9003</v>
      </c>
      <c r="CN193" s="82">
        <v>202012</v>
      </c>
      <c r="CO193" s="82">
        <v>14962</v>
      </c>
      <c r="CP193" s="82">
        <v>9527</v>
      </c>
      <c r="CQ193" s="82">
        <v>221214</v>
      </c>
      <c r="CR193" s="82">
        <v>15901</v>
      </c>
      <c r="CS193" s="82">
        <v>10041</v>
      </c>
      <c r="CT193" s="82">
        <v>5346.1896184320512</v>
      </c>
      <c r="CU193" s="82">
        <v>-32804.382308</v>
      </c>
      <c r="CV193" s="82">
        <v>25474.079717713383</v>
      </c>
      <c r="CW193" s="82">
        <v>88149</v>
      </c>
      <c r="CX193" s="82">
        <v>10013.740953591905</v>
      </c>
      <c r="CY193" s="82">
        <v>-28825.224156999997</v>
      </c>
      <c r="CZ193" s="82">
        <v>26604.975335240582</v>
      </c>
      <c r="DA193" s="82">
        <v>84495</v>
      </c>
      <c r="DB193" s="82">
        <v>8818.5975481564074</v>
      </c>
      <c r="DC193" s="82">
        <v>-32693.041898200001</v>
      </c>
      <c r="DD193" s="82">
        <v>23401.668087854643</v>
      </c>
      <c r="DE193" s="82">
        <v>88838</v>
      </c>
      <c r="DF193" s="82">
        <v>27289.836571791857</v>
      </c>
      <c r="DG193" s="82">
        <v>-27592</v>
      </c>
      <c r="DH193" s="82">
        <v>23856.784616859495</v>
      </c>
      <c r="DI193" s="82">
        <v>78327</v>
      </c>
      <c r="DJ193" s="82">
        <v>37900</v>
      </c>
      <c r="DK193" s="82">
        <v>-24705</v>
      </c>
      <c r="DL193" s="82">
        <v>24729</v>
      </c>
      <c r="DM193" s="82">
        <v>79477</v>
      </c>
      <c r="DN193" s="82">
        <v>33240</v>
      </c>
      <c r="DO193" s="82">
        <v>-27524</v>
      </c>
      <c r="DP193" s="82">
        <v>25114</v>
      </c>
      <c r="DQ193" s="82">
        <v>80152</v>
      </c>
      <c r="DR193" s="82">
        <v>30141</v>
      </c>
      <c r="DS193" s="82">
        <v>-36618</v>
      </c>
      <c r="DT193" s="82">
        <v>25907</v>
      </c>
      <c r="DU193" s="82">
        <v>79677</v>
      </c>
      <c r="DV193" s="82">
        <v>15399</v>
      </c>
      <c r="DW193" s="82">
        <v>-46257</v>
      </c>
      <c r="DX193" s="82">
        <v>26513</v>
      </c>
      <c r="DY193" s="82">
        <v>99025</v>
      </c>
      <c r="DZ193" s="82">
        <v>17693</v>
      </c>
      <c r="EA193" s="82">
        <v>8370</v>
      </c>
      <c r="EB193" s="82">
        <v>23970</v>
      </c>
      <c r="EC193" s="82">
        <v>125798</v>
      </c>
      <c r="ED193" s="82">
        <v>15382</v>
      </c>
      <c r="EE193" s="82">
        <v>-34666</v>
      </c>
      <c r="EF193" s="82">
        <v>25171</v>
      </c>
      <c r="EG193" s="82">
        <v>133999</v>
      </c>
      <c r="EH193" s="82">
        <v>28305</v>
      </c>
      <c r="EI193" s="82">
        <v>-46047</v>
      </c>
      <c r="EJ193" s="82">
        <v>25551</v>
      </c>
      <c r="EK193" s="82">
        <v>153505</v>
      </c>
      <c r="EL193" s="82">
        <v>357812.58146602684</v>
      </c>
      <c r="EM193" s="82">
        <v>-12950.974901315734</v>
      </c>
      <c r="EN193" s="82">
        <v>367826.99517132464</v>
      </c>
      <c r="EO193" s="82">
        <v>-16090.202548719837</v>
      </c>
      <c r="EP193" s="82">
        <v>392849.82668234175</v>
      </c>
      <c r="EQ193" s="82">
        <v>-10682.119773349948</v>
      </c>
      <c r="ER193" s="82">
        <v>411474.45309491013</v>
      </c>
      <c r="ES193" s="82">
        <v>4728.2671766124595</v>
      </c>
      <c r="ET193" s="82">
        <v>428723</v>
      </c>
      <c r="EU193" s="82">
        <v>14277</v>
      </c>
      <c r="EV193" s="82">
        <v>453186</v>
      </c>
      <c r="EW193" s="82">
        <v>11487</v>
      </c>
      <c r="EX193" s="82">
        <v>468328</v>
      </c>
      <c r="EY193" s="82">
        <v>3696</v>
      </c>
      <c r="EZ193" s="82">
        <v>491134</v>
      </c>
      <c r="FA193" s="82">
        <v>-11255</v>
      </c>
      <c r="FB193" s="82">
        <v>481546</v>
      </c>
      <c r="FC193" s="82">
        <v>68115</v>
      </c>
      <c r="FD193" s="82">
        <v>504268</v>
      </c>
      <c r="FE193" s="82">
        <v>-1113</v>
      </c>
      <c r="FF193" s="82">
        <v>546614</v>
      </c>
      <c r="FG193" s="82">
        <v>5230</v>
      </c>
      <c r="FH193" s="82">
        <v>-4135</v>
      </c>
      <c r="FI193" s="82">
        <v>1096</v>
      </c>
      <c r="FJ193" s="82">
        <v>84844</v>
      </c>
      <c r="FK193" s="82">
        <v>250366</v>
      </c>
      <c r="FL193" s="82">
        <v>190050</v>
      </c>
      <c r="FM193" s="82">
        <v>162542</v>
      </c>
      <c r="FN193" s="82">
        <v>8934</v>
      </c>
      <c r="FO193" s="82">
        <v>228561</v>
      </c>
      <c r="FP193" s="82">
        <v>11182</v>
      </c>
      <c r="FQ193" s="82">
        <v>10623</v>
      </c>
      <c r="FR193" s="82">
        <v>33216</v>
      </c>
      <c r="FS193" s="82">
        <v>-31585</v>
      </c>
      <c r="FT193" s="82">
        <v>27289</v>
      </c>
      <c r="FU193" s="82">
        <v>143510</v>
      </c>
      <c r="FV193" s="82">
        <v>31585</v>
      </c>
      <c r="FW193" s="82">
        <v>577758</v>
      </c>
      <c r="FX193" s="82">
        <v>5632</v>
      </c>
      <c r="FY193" s="82">
        <v>85026</v>
      </c>
      <c r="FZ193" s="82">
        <v>258291</v>
      </c>
      <c r="GA193" s="82">
        <v>169531</v>
      </c>
      <c r="GB193" s="82">
        <v>218484</v>
      </c>
      <c r="GC193" s="82">
        <v>10335</v>
      </c>
      <c r="GD193" s="82">
        <v>231079</v>
      </c>
      <c r="GE193" s="82">
        <v>12701</v>
      </c>
      <c r="GF193" s="82">
        <v>14511</v>
      </c>
      <c r="GG193" s="82">
        <v>30268</v>
      </c>
      <c r="GH193" s="82">
        <v>-63598</v>
      </c>
      <c r="GI193" s="82">
        <v>27503</v>
      </c>
      <c r="GJ193" s="82">
        <v>162824</v>
      </c>
      <c r="GK193" s="82">
        <v>63598</v>
      </c>
      <c r="GL193" s="82">
        <v>623432</v>
      </c>
      <c r="GM193" s="82">
        <v>5815</v>
      </c>
      <c r="GN193" s="82">
        <v>11242</v>
      </c>
      <c r="GO193" s="83">
        <v>18.75</v>
      </c>
      <c r="GP193" s="82">
        <v>85078</v>
      </c>
      <c r="GQ193" s="82">
        <v>268368</v>
      </c>
      <c r="GR193" s="82">
        <v>177731</v>
      </c>
      <c r="GS193" s="82">
        <v>220250</v>
      </c>
      <c r="GT193" s="82">
        <v>23550</v>
      </c>
      <c r="GU193" s="82">
        <v>236996</v>
      </c>
      <c r="GV193" s="82">
        <v>16793</v>
      </c>
      <c r="GW193" s="82">
        <v>14579</v>
      </c>
      <c r="GX193" s="82">
        <v>26002</v>
      </c>
      <c r="GY193" s="82">
        <v>-52665</v>
      </c>
      <c r="GZ193" s="82">
        <v>25726</v>
      </c>
      <c r="HA193" s="82">
        <v>181232</v>
      </c>
      <c r="HB193" s="82">
        <v>52665</v>
      </c>
      <c r="HC193" s="82">
        <v>646857</v>
      </c>
      <c r="HD193" s="82">
        <v>14588</v>
      </c>
      <c r="HE193" s="82">
        <v>85201</v>
      </c>
      <c r="HF193" s="82">
        <v>282093</v>
      </c>
      <c r="HG193" s="82">
        <v>146874</v>
      </c>
      <c r="HH193" s="82">
        <v>226086</v>
      </c>
      <c r="HI193" s="82">
        <v>25099</v>
      </c>
      <c r="HJ193" s="82">
        <v>252435</v>
      </c>
      <c r="HK193" s="82">
        <v>13654</v>
      </c>
      <c r="HL193" s="82">
        <v>16004</v>
      </c>
      <c r="HM193" s="82">
        <v>23964</v>
      </c>
      <c r="HN193" s="82">
        <v>-57866</v>
      </c>
      <c r="HO193" s="82">
        <v>39970</v>
      </c>
      <c r="HP193" s="82">
        <v>220001</v>
      </c>
      <c r="HQ193" s="82">
        <v>57866</v>
      </c>
      <c r="HR193" s="82">
        <v>641733</v>
      </c>
      <c r="HS193" s="82">
        <v>9758</v>
      </c>
      <c r="HT193" s="82">
        <v>53254</v>
      </c>
      <c r="HU193" s="83">
        <v>19.25</v>
      </c>
      <c r="HV193" s="180">
        <v>130</v>
      </c>
      <c r="HW193" s="30" t="s">
        <v>752</v>
      </c>
    </row>
    <row r="194" spans="1:231" ht="15" x14ac:dyDescent="0.25">
      <c r="A194" s="27">
        <v>611</v>
      </c>
      <c r="B194" s="27" t="s">
        <v>320</v>
      </c>
      <c r="C194" s="27">
        <v>1</v>
      </c>
      <c r="D194" s="27" t="s">
        <v>121</v>
      </c>
      <c r="E194" s="27">
        <v>3</v>
      </c>
      <c r="F194" s="27" t="s">
        <v>743</v>
      </c>
      <c r="G194" s="29" t="s">
        <v>130</v>
      </c>
      <c r="H194" s="27" t="s">
        <v>98</v>
      </c>
      <c r="I194" s="31" t="s">
        <v>121</v>
      </c>
      <c r="J194" s="69">
        <v>3972</v>
      </c>
      <c r="K194" s="69">
        <v>4041</v>
      </c>
      <c r="L194" s="36">
        <v>4131</v>
      </c>
      <c r="M194" s="36">
        <v>4186</v>
      </c>
      <c r="N194" s="36">
        <v>4339</v>
      </c>
      <c r="O194" s="36">
        <v>4433</v>
      </c>
      <c r="P194" s="36">
        <v>4569</v>
      </c>
      <c r="Q194" s="36">
        <v>4760</v>
      </c>
      <c r="R194" s="69">
        <v>4851</v>
      </c>
      <c r="S194" s="69">
        <v>4914</v>
      </c>
      <c r="T194" s="71">
        <v>4975</v>
      </c>
      <c r="U194" s="36">
        <v>6951</v>
      </c>
      <c r="V194" s="36">
        <v>2902</v>
      </c>
      <c r="W194" s="36">
        <v>1228</v>
      </c>
      <c r="X194" s="36">
        <v>93.68067503906164</v>
      </c>
      <c r="Y194" s="36">
        <v>7014</v>
      </c>
      <c r="Z194" s="36">
        <v>3122</v>
      </c>
      <c r="AA194" s="36">
        <v>1413</v>
      </c>
      <c r="AB194" s="36">
        <v>80.562016775063782</v>
      </c>
      <c r="AC194" s="36">
        <v>7117</v>
      </c>
      <c r="AD194" s="36">
        <v>3273</v>
      </c>
      <c r="AE194" s="36">
        <v>1287</v>
      </c>
      <c r="AF194" s="36">
        <v>156.58295953566676</v>
      </c>
      <c r="AG194" s="36">
        <v>8245</v>
      </c>
      <c r="AH194" s="36">
        <v>4400</v>
      </c>
      <c r="AI194" s="36">
        <v>1195</v>
      </c>
      <c r="AJ194" s="36">
        <v>112.6859107292124</v>
      </c>
      <c r="AK194" s="36">
        <v>9189</v>
      </c>
      <c r="AL194" s="36">
        <v>4597</v>
      </c>
      <c r="AM194" s="36">
        <v>1474</v>
      </c>
      <c r="AN194" s="36">
        <v>37</v>
      </c>
      <c r="AO194" s="36">
        <v>9280</v>
      </c>
      <c r="AP194" s="36">
        <v>4588</v>
      </c>
      <c r="AQ194" s="36">
        <v>1808</v>
      </c>
      <c r="AR194" s="36">
        <v>46</v>
      </c>
      <c r="AS194" s="36">
        <v>9635</v>
      </c>
      <c r="AT194" s="36">
        <v>4464</v>
      </c>
      <c r="AU194" s="36">
        <v>2155</v>
      </c>
      <c r="AV194" s="36">
        <v>67</v>
      </c>
      <c r="AW194" s="36">
        <v>10264</v>
      </c>
      <c r="AX194" s="69">
        <v>4646</v>
      </c>
      <c r="AY194" s="36">
        <v>2166</v>
      </c>
      <c r="AZ194" s="36">
        <v>46</v>
      </c>
      <c r="BA194" s="36">
        <v>11633</v>
      </c>
      <c r="BB194" s="36">
        <v>4963</v>
      </c>
      <c r="BC194" s="36">
        <v>1910</v>
      </c>
      <c r="BD194" s="36">
        <v>0</v>
      </c>
      <c r="BE194" s="70">
        <v>12821</v>
      </c>
      <c r="BF194" s="70">
        <v>5425</v>
      </c>
      <c r="BG194" s="70">
        <v>2448</v>
      </c>
      <c r="BH194" s="70">
        <v>73</v>
      </c>
      <c r="BI194" s="36">
        <v>14189</v>
      </c>
      <c r="BJ194" s="36">
        <v>6259</v>
      </c>
      <c r="BK194" s="36">
        <v>2262</v>
      </c>
      <c r="BL194" s="36">
        <v>4</v>
      </c>
      <c r="BM194" s="36">
        <v>6285.0146239402056</v>
      </c>
      <c r="BN194" s="36">
        <v>501.53639670822588</v>
      </c>
      <c r="BO194" s="36">
        <v>163.98322829997326</v>
      </c>
      <c r="BP194" s="36">
        <v>6447.8205367549481</v>
      </c>
      <c r="BQ194" s="36">
        <v>405.3329027722416</v>
      </c>
      <c r="BR194" s="36">
        <v>160.95584562366605</v>
      </c>
      <c r="BS194" s="36">
        <v>6441.7657714023335</v>
      </c>
      <c r="BT194" s="36">
        <v>489.59505392945863</v>
      </c>
      <c r="BU194" s="36">
        <v>186.0158466664312</v>
      </c>
      <c r="BV194" s="36">
        <v>7783</v>
      </c>
      <c r="BW194" s="36">
        <v>241</v>
      </c>
      <c r="BX194" s="36">
        <v>222</v>
      </c>
      <c r="BY194" s="36">
        <v>8748</v>
      </c>
      <c r="BZ194" s="36">
        <v>196</v>
      </c>
      <c r="CA194" s="36">
        <v>245</v>
      </c>
      <c r="CB194" s="36">
        <v>8923</v>
      </c>
      <c r="CC194" s="36">
        <v>108</v>
      </c>
      <c r="CD194" s="36">
        <v>249</v>
      </c>
      <c r="CE194" s="36">
        <v>9236</v>
      </c>
      <c r="CF194" s="36">
        <v>146</v>
      </c>
      <c r="CG194" s="36">
        <v>253</v>
      </c>
      <c r="CH194" s="36">
        <v>9822</v>
      </c>
      <c r="CI194" s="36">
        <v>169</v>
      </c>
      <c r="CJ194" s="70">
        <v>273</v>
      </c>
      <c r="CK194" s="70">
        <v>11018</v>
      </c>
      <c r="CL194" s="70">
        <v>180</v>
      </c>
      <c r="CM194" s="36">
        <v>435</v>
      </c>
      <c r="CN194" s="36">
        <v>12094</v>
      </c>
      <c r="CO194" s="36">
        <v>246</v>
      </c>
      <c r="CP194" s="36">
        <v>481</v>
      </c>
      <c r="CQ194" s="36">
        <v>13367</v>
      </c>
      <c r="CR194" s="36">
        <v>302</v>
      </c>
      <c r="CS194" s="36">
        <v>520</v>
      </c>
      <c r="CT194" s="36">
        <v>477.65371115069132</v>
      </c>
      <c r="CU194" s="36">
        <v>-258.00027920000002</v>
      </c>
      <c r="CV194" s="36">
        <v>281.71477682303095</v>
      </c>
      <c r="CW194" s="36">
        <v>1744</v>
      </c>
      <c r="CX194" s="36">
        <v>227.55826450242444</v>
      </c>
      <c r="CY194" s="36">
        <v>-914.43775619999997</v>
      </c>
      <c r="CZ194" s="36">
        <v>286.76041461687629</v>
      </c>
      <c r="DA194" s="36">
        <v>2332</v>
      </c>
      <c r="DB194" s="36">
        <v>-503.72283975222547</v>
      </c>
      <c r="DC194" s="36">
        <v>-2496.9179559999998</v>
      </c>
      <c r="DD194" s="36">
        <v>341.92605449625194</v>
      </c>
      <c r="DE194" s="36">
        <v>4381</v>
      </c>
      <c r="DF194" s="36">
        <v>620.61344864297564</v>
      </c>
      <c r="DG194" s="36">
        <v>-1458</v>
      </c>
      <c r="DH194" s="36">
        <v>470.92619409223096</v>
      </c>
      <c r="DI194" s="36">
        <v>6070</v>
      </c>
      <c r="DJ194" s="36">
        <v>1514</v>
      </c>
      <c r="DK194" s="36">
        <v>-746</v>
      </c>
      <c r="DL194" s="36">
        <v>545</v>
      </c>
      <c r="DM194" s="36">
        <v>5259</v>
      </c>
      <c r="DN194" s="36">
        <v>1536</v>
      </c>
      <c r="DO194" s="69">
        <v>-1425</v>
      </c>
      <c r="DP194" s="36">
        <v>505</v>
      </c>
      <c r="DQ194" s="36">
        <v>4920</v>
      </c>
      <c r="DR194" s="36">
        <v>657</v>
      </c>
      <c r="DS194" s="36">
        <v>-99</v>
      </c>
      <c r="DT194" s="36">
        <v>577</v>
      </c>
      <c r="DU194" s="36">
        <v>4943</v>
      </c>
      <c r="DV194" s="36">
        <v>-49</v>
      </c>
      <c r="DW194" s="71">
        <v>-1943</v>
      </c>
      <c r="DX194" s="39">
        <v>583</v>
      </c>
      <c r="DY194" s="71">
        <v>6616</v>
      </c>
      <c r="DZ194" s="70">
        <v>584</v>
      </c>
      <c r="EA194" s="35">
        <v>-3018</v>
      </c>
      <c r="EB194" s="35">
        <v>639</v>
      </c>
      <c r="EC194" s="38">
        <v>9818</v>
      </c>
      <c r="ED194" s="38">
        <v>1591</v>
      </c>
      <c r="EE194" s="38">
        <v>-5392</v>
      </c>
      <c r="EF194" s="38">
        <v>754</v>
      </c>
      <c r="EG194" s="73">
        <v>12439</v>
      </c>
      <c r="EH194" s="73">
        <v>1424</v>
      </c>
      <c r="EI194" s="73">
        <v>-2618</v>
      </c>
      <c r="EJ194" s="73">
        <v>1009</v>
      </c>
      <c r="EK194" s="73">
        <v>14098</v>
      </c>
      <c r="EL194" s="73">
        <v>10002.472362518984</v>
      </c>
      <c r="EM194" s="73">
        <v>162.97410074120418</v>
      </c>
      <c r="EN194" s="73">
        <v>10769.072931330551</v>
      </c>
      <c r="EO194" s="73">
        <v>-141.9506099335153</v>
      </c>
      <c r="EP194" s="73">
        <v>11470.248396748591</v>
      </c>
      <c r="EQ194" s="73">
        <v>-903.50554095123721</v>
      </c>
      <c r="ER194" s="73">
        <v>12228.775945090005</v>
      </c>
      <c r="ES194" s="73">
        <v>309.12940883625726</v>
      </c>
      <c r="ET194" s="73">
        <v>13538</v>
      </c>
      <c r="EU194" s="73">
        <v>1420</v>
      </c>
      <c r="EV194" s="73">
        <v>14006</v>
      </c>
      <c r="EW194" s="73">
        <v>1031</v>
      </c>
      <c r="EX194" s="73">
        <v>15511</v>
      </c>
      <c r="EY194" s="73">
        <v>80</v>
      </c>
      <c r="EZ194" s="73">
        <v>16983</v>
      </c>
      <c r="FA194" s="73">
        <v>-632</v>
      </c>
      <c r="FB194" s="73">
        <v>17698</v>
      </c>
      <c r="FC194" s="73">
        <v>-55</v>
      </c>
      <c r="FD194" s="73">
        <v>18718</v>
      </c>
      <c r="FE194" s="73">
        <v>837</v>
      </c>
      <c r="FF194" s="73">
        <v>20753</v>
      </c>
      <c r="FG194" s="73">
        <v>415</v>
      </c>
      <c r="FH194" s="73">
        <v>2306</v>
      </c>
      <c r="FI194" s="73">
        <v>2721</v>
      </c>
      <c r="FJ194" s="79">
        <v>5067</v>
      </c>
      <c r="FK194" s="80">
        <v>15022</v>
      </c>
      <c r="FL194" s="80">
        <v>6616</v>
      </c>
      <c r="FM194" s="80">
        <v>2231</v>
      </c>
      <c r="FN194" s="76">
        <v>7</v>
      </c>
      <c r="FO194" s="80">
        <v>14190</v>
      </c>
      <c r="FP194" s="80">
        <v>259</v>
      </c>
      <c r="FQ194" s="80">
        <v>573</v>
      </c>
      <c r="FR194" s="80">
        <v>2621</v>
      </c>
      <c r="FS194" s="81">
        <v>-1200</v>
      </c>
      <c r="FT194" s="76">
        <v>1342</v>
      </c>
      <c r="FU194" s="76">
        <v>12834</v>
      </c>
      <c r="FV194" s="76">
        <v>1200</v>
      </c>
      <c r="FW194" s="80">
        <v>20880</v>
      </c>
      <c r="FX194" s="80">
        <v>1279</v>
      </c>
      <c r="FY194" s="73">
        <v>5107</v>
      </c>
      <c r="FZ194" s="73">
        <v>15520</v>
      </c>
      <c r="GA194" s="73">
        <v>6500</v>
      </c>
      <c r="GB194" s="73">
        <v>2795</v>
      </c>
      <c r="GC194" s="73">
        <v>1</v>
      </c>
      <c r="GD194" s="73">
        <v>14415</v>
      </c>
      <c r="GE194" s="73">
        <v>303</v>
      </c>
      <c r="GF194" s="73">
        <v>802</v>
      </c>
      <c r="GG194" s="73">
        <v>2460</v>
      </c>
      <c r="GH194" s="73">
        <v>-1012</v>
      </c>
      <c r="GI194" s="73">
        <v>1366</v>
      </c>
      <c r="GJ194" s="73">
        <v>11623</v>
      </c>
      <c r="GK194" s="73">
        <v>1012</v>
      </c>
      <c r="GL194" s="73">
        <v>22103</v>
      </c>
      <c r="GM194" s="73">
        <v>1094</v>
      </c>
      <c r="GN194" s="73">
        <v>5049</v>
      </c>
      <c r="GO194" s="77">
        <v>19.5</v>
      </c>
      <c r="GP194" s="78">
        <v>5122</v>
      </c>
      <c r="GQ194" s="73">
        <v>16533</v>
      </c>
      <c r="GR194" s="65">
        <v>6660</v>
      </c>
      <c r="GS194" s="65">
        <v>3228</v>
      </c>
      <c r="GT194" s="65">
        <v>1</v>
      </c>
      <c r="GU194" s="65">
        <v>15300</v>
      </c>
      <c r="GV194" s="65">
        <v>348</v>
      </c>
      <c r="GW194" s="65">
        <v>885</v>
      </c>
      <c r="GX194" s="65">
        <v>2681</v>
      </c>
      <c r="GY194" s="65">
        <v>-12</v>
      </c>
      <c r="GZ194" s="65">
        <v>1362</v>
      </c>
      <c r="HA194" s="65">
        <v>10182</v>
      </c>
      <c r="HB194" s="65">
        <v>12</v>
      </c>
      <c r="HC194" s="65">
        <v>23498</v>
      </c>
      <c r="HD194" s="65">
        <v>1319</v>
      </c>
      <c r="HE194" s="78">
        <v>5137</v>
      </c>
      <c r="HF194" s="73">
        <v>16464</v>
      </c>
      <c r="HG194" s="65">
        <v>6124</v>
      </c>
      <c r="HH194" s="65">
        <v>3000</v>
      </c>
      <c r="HI194" s="65">
        <v>24</v>
      </c>
      <c r="HJ194" s="65">
        <v>15255</v>
      </c>
      <c r="HK194" s="65">
        <v>248</v>
      </c>
      <c r="HL194" s="65">
        <v>961</v>
      </c>
      <c r="HM194" s="65">
        <v>698</v>
      </c>
      <c r="HN194" s="65">
        <v>-1309</v>
      </c>
      <c r="HO194" s="65">
        <v>1365</v>
      </c>
      <c r="HP194" s="65">
        <v>9773</v>
      </c>
      <c r="HQ194" s="65">
        <v>1309</v>
      </c>
      <c r="HR194" s="65">
        <v>24769</v>
      </c>
      <c r="HS194" s="65">
        <v>-667</v>
      </c>
      <c r="HT194" s="65">
        <v>5701</v>
      </c>
      <c r="HU194" s="77">
        <v>19.5</v>
      </c>
      <c r="HV194" s="180">
        <v>330</v>
      </c>
      <c r="HW194" s="30" t="s">
        <v>760</v>
      </c>
    </row>
    <row r="195" spans="1:231" ht="15" x14ac:dyDescent="0.25">
      <c r="A195" s="27">
        <v>638</v>
      </c>
      <c r="B195" s="27" t="s">
        <v>321</v>
      </c>
      <c r="C195" s="27">
        <v>1</v>
      </c>
      <c r="D195" s="27" t="s">
        <v>121</v>
      </c>
      <c r="E195" s="27">
        <v>6</v>
      </c>
      <c r="F195" s="27" t="s">
        <v>102</v>
      </c>
      <c r="G195" s="29" t="s">
        <v>141</v>
      </c>
      <c r="H195" s="27" t="s">
        <v>97</v>
      </c>
      <c r="I195" s="31" t="s">
        <v>121</v>
      </c>
      <c r="J195" s="69">
        <v>44142</v>
      </c>
      <c r="K195" s="69">
        <v>44616</v>
      </c>
      <c r="L195" s="36">
        <v>44969</v>
      </c>
      <c r="M195" s="36">
        <v>45403</v>
      </c>
      <c r="N195" s="36">
        <v>45730</v>
      </c>
      <c r="O195" s="36">
        <v>46217</v>
      </c>
      <c r="P195" s="36">
        <v>46793</v>
      </c>
      <c r="Q195" s="36">
        <v>46982</v>
      </c>
      <c r="R195" s="69">
        <v>47404</v>
      </c>
      <c r="S195" s="69">
        <v>47832</v>
      </c>
      <c r="T195" s="71">
        <v>48227</v>
      </c>
      <c r="U195" s="36">
        <v>109886</v>
      </c>
      <c r="V195" s="36">
        <v>18308</v>
      </c>
      <c r="W195" s="36">
        <v>28074</v>
      </c>
      <c r="X195" s="36">
        <v>1581.63926044405</v>
      </c>
      <c r="Y195" s="36">
        <v>115670</v>
      </c>
      <c r="Z195" s="36">
        <v>18184</v>
      </c>
      <c r="AA195" s="36">
        <v>28627</v>
      </c>
      <c r="AB195" s="36">
        <v>2365.8995615340755</v>
      </c>
      <c r="AC195" s="36">
        <v>128172</v>
      </c>
      <c r="AD195" s="36">
        <v>18047</v>
      </c>
      <c r="AE195" s="36">
        <v>28879</v>
      </c>
      <c r="AF195" s="36">
        <v>2778.9691089235466</v>
      </c>
      <c r="AG195" s="36">
        <v>127716</v>
      </c>
      <c r="AH195" s="36">
        <v>18603</v>
      </c>
      <c r="AI195" s="36">
        <v>29047</v>
      </c>
      <c r="AJ195" s="36">
        <v>2393.3141935473018</v>
      </c>
      <c r="AK195" s="36">
        <v>136359</v>
      </c>
      <c r="AL195" s="36">
        <v>22340</v>
      </c>
      <c r="AM195" s="36">
        <v>29066</v>
      </c>
      <c r="AN195" s="36">
        <v>1665</v>
      </c>
      <c r="AO195" s="36">
        <v>131575</v>
      </c>
      <c r="AP195" s="36">
        <v>25019</v>
      </c>
      <c r="AQ195" s="36">
        <v>31833</v>
      </c>
      <c r="AR195" s="36">
        <v>1872</v>
      </c>
      <c r="AS195" s="36">
        <v>135999</v>
      </c>
      <c r="AT195" s="36">
        <v>28211</v>
      </c>
      <c r="AU195" s="36">
        <v>38144</v>
      </c>
      <c r="AV195" s="36">
        <v>2138</v>
      </c>
      <c r="AW195" s="36">
        <v>150143</v>
      </c>
      <c r="AX195" s="69">
        <v>31053</v>
      </c>
      <c r="AY195" s="36">
        <v>41557</v>
      </c>
      <c r="AZ195" s="36">
        <v>2175</v>
      </c>
      <c r="BA195" s="36">
        <v>162427</v>
      </c>
      <c r="BB195" s="36">
        <v>34796</v>
      </c>
      <c r="BC195" s="36">
        <v>45257</v>
      </c>
      <c r="BD195" s="36">
        <v>1701</v>
      </c>
      <c r="BE195" s="70">
        <v>177559</v>
      </c>
      <c r="BF195" s="70">
        <v>35264</v>
      </c>
      <c r="BG195" s="70">
        <v>48213</v>
      </c>
      <c r="BH195" s="70">
        <v>2303</v>
      </c>
      <c r="BI195" s="36">
        <v>186728</v>
      </c>
      <c r="BJ195" s="36">
        <v>37371</v>
      </c>
      <c r="BK195" s="36">
        <v>50245</v>
      </c>
      <c r="BL195" s="36">
        <v>1696</v>
      </c>
      <c r="BM195" s="36">
        <v>88031.747152998869</v>
      </c>
      <c r="BN195" s="36">
        <v>18935.774076522142</v>
      </c>
      <c r="BO195" s="36">
        <v>2871.8088443303009</v>
      </c>
      <c r="BP195" s="36">
        <v>94301.961239410448</v>
      </c>
      <c r="BQ195" s="36">
        <v>18375.371905552387</v>
      </c>
      <c r="BR195" s="36">
        <v>2942.2795855176741</v>
      </c>
      <c r="BS195" s="36">
        <v>93317.557305831244</v>
      </c>
      <c r="BT195" s="36">
        <v>31244.94385046075</v>
      </c>
      <c r="BU195" s="36">
        <v>3558.6883359991125</v>
      </c>
      <c r="BV195" s="36">
        <v>106429</v>
      </c>
      <c r="BW195" s="36">
        <v>17453</v>
      </c>
      <c r="BX195" s="36">
        <v>3787</v>
      </c>
      <c r="BY195" s="36">
        <v>116852</v>
      </c>
      <c r="BZ195" s="36">
        <v>15564</v>
      </c>
      <c r="CA195" s="36">
        <v>3943</v>
      </c>
      <c r="CB195" s="36">
        <v>118266</v>
      </c>
      <c r="CC195" s="36">
        <v>8912</v>
      </c>
      <c r="CD195" s="36">
        <v>4397</v>
      </c>
      <c r="CE195" s="36">
        <v>120597</v>
      </c>
      <c r="CF195" s="36">
        <v>11283</v>
      </c>
      <c r="CG195" s="36">
        <v>4119</v>
      </c>
      <c r="CH195" s="36">
        <v>128092</v>
      </c>
      <c r="CI195" s="36">
        <v>17216</v>
      </c>
      <c r="CJ195" s="70">
        <v>4835</v>
      </c>
      <c r="CK195" s="70">
        <v>133844</v>
      </c>
      <c r="CL195" s="70">
        <v>22964</v>
      </c>
      <c r="CM195" s="36">
        <v>5619</v>
      </c>
      <c r="CN195" s="36">
        <v>145039</v>
      </c>
      <c r="CO195" s="36">
        <v>26737</v>
      </c>
      <c r="CP195" s="36">
        <v>5783</v>
      </c>
      <c r="CQ195" s="36">
        <v>154420</v>
      </c>
      <c r="CR195" s="36">
        <v>26038</v>
      </c>
      <c r="CS195" s="36">
        <v>6270</v>
      </c>
      <c r="CT195" s="36">
        <v>12514.527232148113</v>
      </c>
      <c r="CU195" s="36">
        <v>-10046.201220000001</v>
      </c>
      <c r="CV195" s="36">
        <v>6232.03542710483</v>
      </c>
      <c r="CW195" s="36">
        <v>48833</v>
      </c>
      <c r="CX195" s="36">
        <v>12034.855265879882</v>
      </c>
      <c r="CY195" s="36">
        <v>-11424.50128</v>
      </c>
      <c r="CZ195" s="36">
        <v>6654.8598742290678</v>
      </c>
      <c r="DA195" s="36">
        <v>53363</v>
      </c>
      <c r="DB195" s="36">
        <v>17952.042894648763</v>
      </c>
      <c r="DC195" s="36">
        <v>-17350.098310000001</v>
      </c>
      <c r="DD195" s="36">
        <v>8429.4106863244706</v>
      </c>
      <c r="DE195" s="36">
        <v>52529</v>
      </c>
      <c r="DF195" s="36">
        <v>4653.2553614106255</v>
      </c>
      <c r="DG195" s="36">
        <v>-13410</v>
      </c>
      <c r="DH195" s="36">
        <v>8074.3659735642213</v>
      </c>
      <c r="DI195" s="36">
        <v>56572</v>
      </c>
      <c r="DJ195" s="36">
        <v>17118</v>
      </c>
      <c r="DK195" s="36">
        <v>-16267</v>
      </c>
      <c r="DL195" s="36">
        <v>9588</v>
      </c>
      <c r="DM195" s="36">
        <v>62891</v>
      </c>
      <c r="DN195" s="36">
        <v>10534</v>
      </c>
      <c r="DO195" s="69">
        <v>-28409</v>
      </c>
      <c r="DP195" s="36">
        <v>10221</v>
      </c>
      <c r="DQ195" s="36">
        <v>77978</v>
      </c>
      <c r="DR195" s="36">
        <v>13220</v>
      </c>
      <c r="DS195" s="36">
        <v>-24474</v>
      </c>
      <c r="DT195" s="36">
        <v>11493</v>
      </c>
      <c r="DU195" s="36">
        <v>95841</v>
      </c>
      <c r="DV195" s="36">
        <v>19226</v>
      </c>
      <c r="DW195" s="71">
        <v>-22374</v>
      </c>
      <c r="DX195" s="39">
        <v>13095</v>
      </c>
      <c r="DY195" s="71">
        <v>103825</v>
      </c>
      <c r="DZ195" s="70">
        <v>24817</v>
      </c>
      <c r="EA195" s="35">
        <v>-23419</v>
      </c>
      <c r="EB195" s="35">
        <v>13886</v>
      </c>
      <c r="EC195" s="38">
        <v>110338</v>
      </c>
      <c r="ED195" s="38">
        <v>24812</v>
      </c>
      <c r="EE195" s="38">
        <v>-25535</v>
      </c>
      <c r="EF195" s="38">
        <v>14598</v>
      </c>
      <c r="EG195" s="73">
        <v>115920</v>
      </c>
      <c r="EH195" s="73">
        <v>11818</v>
      </c>
      <c r="EI195" s="73">
        <v>-29083</v>
      </c>
      <c r="EJ195" s="73">
        <v>14892</v>
      </c>
      <c r="EK195" s="73">
        <v>130483</v>
      </c>
      <c r="EL195" s="73">
        <v>135911.48605806183</v>
      </c>
      <c r="EM195" s="73">
        <v>6053.0834733497823</v>
      </c>
      <c r="EN195" s="73">
        <v>143666.96772305502</v>
      </c>
      <c r="EO195" s="73">
        <v>5462.5756635434163</v>
      </c>
      <c r="EP195" s="73">
        <v>150050.87684775461</v>
      </c>
      <c r="EQ195" s="73">
        <v>9526.5005306329076</v>
      </c>
      <c r="ER195" s="73">
        <v>162418.23964424885</v>
      </c>
      <c r="ES195" s="73">
        <v>-3046.7242878502725</v>
      </c>
      <c r="ET195" s="73">
        <v>169845</v>
      </c>
      <c r="EU195" s="73">
        <v>8253</v>
      </c>
      <c r="EV195" s="73">
        <v>177286</v>
      </c>
      <c r="EW195" s="73">
        <v>1036</v>
      </c>
      <c r="EX195" s="73">
        <v>188477</v>
      </c>
      <c r="EY195" s="73">
        <v>1826</v>
      </c>
      <c r="EZ195" s="73">
        <v>202836</v>
      </c>
      <c r="FA195" s="73">
        <v>6561</v>
      </c>
      <c r="FB195" s="73">
        <v>216335</v>
      </c>
      <c r="FC195" s="73">
        <v>11366</v>
      </c>
      <c r="FD195" s="73">
        <v>234145</v>
      </c>
      <c r="FE195" s="73">
        <v>11139</v>
      </c>
      <c r="FF195" s="73">
        <v>259582</v>
      </c>
      <c r="FG195" s="73">
        <v>-2153</v>
      </c>
      <c r="FH195" s="73">
        <v>58532</v>
      </c>
      <c r="FI195" s="73">
        <v>56379</v>
      </c>
      <c r="FJ195" s="79">
        <v>48599</v>
      </c>
      <c r="FK195" s="80">
        <v>183878</v>
      </c>
      <c r="FL195" s="80">
        <v>41723</v>
      </c>
      <c r="FM195" s="80">
        <v>48556</v>
      </c>
      <c r="FN195" s="76">
        <v>2458</v>
      </c>
      <c r="FO195" s="80">
        <v>158743</v>
      </c>
      <c r="FP195" s="80">
        <v>18412</v>
      </c>
      <c r="FQ195" s="80">
        <v>6723</v>
      </c>
      <c r="FR195" s="80">
        <v>11420</v>
      </c>
      <c r="FS195" s="81">
        <v>-21552</v>
      </c>
      <c r="FT195" s="76">
        <v>15218</v>
      </c>
      <c r="FU195" s="76">
        <v>151860</v>
      </c>
      <c r="FV195" s="76">
        <v>21552</v>
      </c>
      <c r="FW195" s="80">
        <v>260076</v>
      </c>
      <c r="FX195" s="80">
        <v>-3951</v>
      </c>
      <c r="FY195" s="73">
        <v>48768</v>
      </c>
      <c r="FZ195" s="73">
        <v>188638</v>
      </c>
      <c r="GA195" s="73">
        <v>47509</v>
      </c>
      <c r="GB195" s="73">
        <v>57920</v>
      </c>
      <c r="GC195" s="73">
        <v>1843</v>
      </c>
      <c r="GD195" s="73">
        <v>162062</v>
      </c>
      <c r="GE195" s="73">
        <v>16171</v>
      </c>
      <c r="GF195" s="73">
        <v>10405</v>
      </c>
      <c r="GG195" s="73">
        <v>27110</v>
      </c>
      <c r="GH195" s="73">
        <v>-14129</v>
      </c>
      <c r="GI195" s="73">
        <v>16256</v>
      </c>
      <c r="GJ195" s="73">
        <v>150067</v>
      </c>
      <c r="GK195" s="73">
        <v>14129</v>
      </c>
      <c r="GL195" s="73">
        <v>265372</v>
      </c>
      <c r="GM195" s="73">
        <v>4049</v>
      </c>
      <c r="GN195" s="73">
        <v>56477</v>
      </c>
      <c r="GO195" s="77">
        <v>19.25</v>
      </c>
      <c r="GP195" s="78">
        <v>48833</v>
      </c>
      <c r="GQ195" s="73">
        <v>195063</v>
      </c>
      <c r="GR195" s="65">
        <v>49577</v>
      </c>
      <c r="GS195" s="65">
        <v>58065</v>
      </c>
      <c r="GT195" s="65">
        <v>2177</v>
      </c>
      <c r="GU195" s="65">
        <v>167174</v>
      </c>
      <c r="GV195" s="65">
        <v>16514</v>
      </c>
      <c r="GW195" s="65">
        <v>11375</v>
      </c>
      <c r="GX195" s="65">
        <v>31456</v>
      </c>
      <c r="GY195" s="65">
        <v>-12386</v>
      </c>
      <c r="GZ195" s="65">
        <v>24664</v>
      </c>
      <c r="HA195" s="65">
        <v>134588</v>
      </c>
      <c r="HB195" s="65">
        <v>12386</v>
      </c>
      <c r="HC195" s="65">
        <v>270008</v>
      </c>
      <c r="HD195" s="65">
        <v>3177</v>
      </c>
      <c r="HE195" s="78">
        <v>49028</v>
      </c>
      <c r="HF195" s="73">
        <v>193795</v>
      </c>
      <c r="HG195" s="65">
        <v>50582</v>
      </c>
      <c r="HH195" s="65">
        <v>64440</v>
      </c>
      <c r="HI195" s="65">
        <v>2314</v>
      </c>
      <c r="HJ195" s="65">
        <v>166872</v>
      </c>
      <c r="HK195" s="65">
        <v>14443</v>
      </c>
      <c r="HL195" s="65">
        <v>12480</v>
      </c>
      <c r="HM195" s="65">
        <v>17507</v>
      </c>
      <c r="HN195" s="65">
        <v>-13283</v>
      </c>
      <c r="HO195" s="65">
        <v>25050</v>
      </c>
      <c r="HP195" s="65">
        <v>130589</v>
      </c>
      <c r="HQ195" s="65">
        <v>13283</v>
      </c>
      <c r="HR195" s="65">
        <v>290866</v>
      </c>
      <c r="HS195" s="65">
        <v>-5404</v>
      </c>
      <c r="HT195" s="65">
        <v>54250</v>
      </c>
      <c r="HU195" s="77">
        <v>19.25</v>
      </c>
      <c r="HV195" s="180">
        <v>120</v>
      </c>
      <c r="HW195" s="30" t="s">
        <v>751</v>
      </c>
    </row>
    <row r="196" spans="1:231" ht="15" x14ac:dyDescent="0.25">
      <c r="A196" s="27">
        <v>614</v>
      </c>
      <c r="B196" s="27" t="s">
        <v>322</v>
      </c>
      <c r="C196" s="27">
        <v>19</v>
      </c>
      <c r="D196" s="27" t="s">
        <v>113</v>
      </c>
      <c r="E196" s="27">
        <v>2</v>
      </c>
      <c r="F196" s="27" t="s">
        <v>744</v>
      </c>
      <c r="G196" s="29" t="s">
        <v>130</v>
      </c>
      <c r="H196" s="27" t="s">
        <v>98</v>
      </c>
      <c r="I196" s="31" t="s">
        <v>113</v>
      </c>
      <c r="J196" s="71">
        <v>4938</v>
      </c>
      <c r="K196" s="71">
        <v>4792</v>
      </c>
      <c r="L196" s="71">
        <v>4602</v>
      </c>
      <c r="M196" s="71">
        <v>4526</v>
      </c>
      <c r="N196" s="71">
        <v>4458</v>
      </c>
      <c r="O196" s="71">
        <v>4393</v>
      </c>
      <c r="P196" s="71">
        <v>4319</v>
      </c>
      <c r="Q196" s="71">
        <v>4247</v>
      </c>
      <c r="R196" s="71">
        <v>4200</v>
      </c>
      <c r="S196" s="71">
        <v>4087</v>
      </c>
      <c r="T196" s="71">
        <v>4020</v>
      </c>
      <c r="U196" s="71">
        <v>8441</v>
      </c>
      <c r="V196" s="71">
        <v>7768</v>
      </c>
      <c r="W196" s="71">
        <v>4416</v>
      </c>
      <c r="X196" s="71">
        <v>843.63063913093936</v>
      </c>
      <c r="Y196" s="71">
        <v>7832</v>
      </c>
      <c r="Z196" s="71">
        <v>7458</v>
      </c>
      <c r="AA196" s="71">
        <v>5013</v>
      </c>
      <c r="AB196" s="71">
        <v>1025.6099755622943</v>
      </c>
      <c r="AC196" s="71">
        <v>7703</v>
      </c>
      <c r="AD196" s="71">
        <v>7351</v>
      </c>
      <c r="AE196" s="71">
        <v>4750</v>
      </c>
      <c r="AF196" s="71">
        <v>923.18352834723407</v>
      </c>
      <c r="AG196" s="71">
        <v>7891</v>
      </c>
      <c r="AH196" s="71">
        <v>8380</v>
      </c>
      <c r="AI196" s="71">
        <v>5397</v>
      </c>
      <c r="AJ196" s="71">
        <v>766.26419295864423</v>
      </c>
      <c r="AK196" s="71">
        <v>8196</v>
      </c>
      <c r="AL196" s="71">
        <v>9366</v>
      </c>
      <c r="AM196" s="71">
        <v>5598</v>
      </c>
      <c r="AN196" s="71">
        <v>627</v>
      </c>
      <c r="AO196" s="71">
        <v>7411</v>
      </c>
      <c r="AP196" s="71">
        <v>9125</v>
      </c>
      <c r="AQ196" s="71">
        <v>6002</v>
      </c>
      <c r="AR196" s="71">
        <v>574</v>
      </c>
      <c r="AS196" s="71">
        <v>7742</v>
      </c>
      <c r="AT196" s="71">
        <v>9545</v>
      </c>
      <c r="AU196" s="71">
        <v>7938</v>
      </c>
      <c r="AV196" s="71">
        <v>675</v>
      </c>
      <c r="AW196" s="71">
        <v>8103</v>
      </c>
      <c r="AX196" s="71">
        <v>9797</v>
      </c>
      <c r="AY196" s="71">
        <v>8024</v>
      </c>
      <c r="AZ196" s="71">
        <v>449</v>
      </c>
      <c r="BA196" s="71">
        <v>8584</v>
      </c>
      <c r="BB196" s="71">
        <v>10217</v>
      </c>
      <c r="BC196" s="71">
        <v>8395</v>
      </c>
      <c r="BD196" s="71">
        <v>183</v>
      </c>
      <c r="BE196" s="71">
        <v>8685</v>
      </c>
      <c r="BF196" s="71">
        <v>10230</v>
      </c>
      <c r="BG196" s="71">
        <v>8918</v>
      </c>
      <c r="BH196" s="71">
        <v>2753</v>
      </c>
      <c r="BI196" s="71">
        <v>9247</v>
      </c>
      <c r="BJ196" s="71">
        <v>11131</v>
      </c>
      <c r="BK196" s="71">
        <v>9144</v>
      </c>
      <c r="BL196" s="71">
        <v>275</v>
      </c>
      <c r="BM196" s="71">
        <v>6349.4305997749643</v>
      </c>
      <c r="BN196" s="71">
        <v>1770.5143018603267</v>
      </c>
      <c r="BO196" s="71">
        <v>311.82041565964141</v>
      </c>
      <c r="BP196" s="71">
        <v>5997.0768938380988</v>
      </c>
      <c r="BQ196" s="71">
        <v>1427.747307731767</v>
      </c>
      <c r="BR196" s="71">
        <v>398.77357364024266</v>
      </c>
      <c r="BS196" s="71">
        <v>5687.1065453695328</v>
      </c>
      <c r="BT196" s="71">
        <v>1620.6588593831202</v>
      </c>
      <c r="BU196" s="71">
        <v>386.32766708209084</v>
      </c>
      <c r="BV196" s="71">
        <v>6509</v>
      </c>
      <c r="BW196" s="71">
        <v>951</v>
      </c>
      <c r="BX196" s="71">
        <v>423</v>
      </c>
      <c r="BY196" s="71">
        <v>7093</v>
      </c>
      <c r="BZ196" s="71">
        <v>653</v>
      </c>
      <c r="CA196" s="71">
        <v>442</v>
      </c>
      <c r="CB196" s="71">
        <v>6612</v>
      </c>
      <c r="CC196" s="71">
        <v>361</v>
      </c>
      <c r="CD196" s="71">
        <v>438</v>
      </c>
      <c r="CE196" s="71">
        <v>6828</v>
      </c>
      <c r="CF196" s="71">
        <v>474</v>
      </c>
      <c r="CG196" s="71">
        <v>440</v>
      </c>
      <c r="CH196" s="71">
        <v>6837</v>
      </c>
      <c r="CI196" s="71">
        <v>708</v>
      </c>
      <c r="CJ196" s="71">
        <v>558</v>
      </c>
      <c r="CK196" s="71">
        <v>7077</v>
      </c>
      <c r="CL196" s="71">
        <v>925</v>
      </c>
      <c r="CM196" s="71">
        <v>582</v>
      </c>
      <c r="CN196" s="71">
        <v>7108</v>
      </c>
      <c r="CO196" s="71">
        <v>988</v>
      </c>
      <c r="CP196" s="71">
        <v>589</v>
      </c>
      <c r="CQ196" s="71">
        <v>7813</v>
      </c>
      <c r="CR196" s="71">
        <v>809</v>
      </c>
      <c r="CS196" s="71">
        <v>625</v>
      </c>
      <c r="CT196" s="71">
        <v>760.04123967956832</v>
      </c>
      <c r="CU196" s="71">
        <v>-414.07867490000001</v>
      </c>
      <c r="CV196" s="71">
        <v>699.99814993280893</v>
      </c>
      <c r="CW196" s="71">
        <v>2214</v>
      </c>
      <c r="CX196" s="71">
        <v>42.38335746830078</v>
      </c>
      <c r="CY196" s="71">
        <v>1667.415103</v>
      </c>
      <c r="CZ196" s="71">
        <v>711.60311685865304</v>
      </c>
      <c r="DA196" s="71">
        <v>2533</v>
      </c>
      <c r="DB196" s="71">
        <v>-861.963123115244</v>
      </c>
      <c r="DC196" s="71">
        <v>-676.7882161</v>
      </c>
      <c r="DD196" s="71">
        <v>734.64486278388017</v>
      </c>
      <c r="DE196" s="71">
        <v>2756</v>
      </c>
      <c r="DF196" s="71">
        <v>-252.95464139811259</v>
      </c>
      <c r="DG196" s="71">
        <v>-1469</v>
      </c>
      <c r="DH196" s="71">
        <v>754.32285017987692</v>
      </c>
      <c r="DI196" s="71">
        <v>2145</v>
      </c>
      <c r="DJ196" s="71">
        <v>1629</v>
      </c>
      <c r="DK196" s="71">
        <v>-897</v>
      </c>
      <c r="DL196" s="71">
        <v>778</v>
      </c>
      <c r="DM196" s="71">
        <v>2000</v>
      </c>
      <c r="DN196" s="71">
        <v>-174</v>
      </c>
      <c r="DO196" s="71">
        <v>-886</v>
      </c>
      <c r="DP196" s="71">
        <v>848</v>
      </c>
      <c r="DQ196" s="71">
        <v>1848</v>
      </c>
      <c r="DR196" s="71">
        <v>-303</v>
      </c>
      <c r="DS196" s="71">
        <v>-3375</v>
      </c>
      <c r="DT196" s="71">
        <v>894</v>
      </c>
      <c r="DU196" s="71">
        <v>2274</v>
      </c>
      <c r="DV196" s="71">
        <v>638</v>
      </c>
      <c r="DW196" s="71">
        <v>-1945</v>
      </c>
      <c r="DX196" s="39">
        <v>853</v>
      </c>
      <c r="DY196" s="71">
        <v>4191</v>
      </c>
      <c r="DZ196" s="70">
        <v>641</v>
      </c>
      <c r="EA196" s="35">
        <v>-1568</v>
      </c>
      <c r="EB196" s="35">
        <v>991</v>
      </c>
      <c r="EC196" s="38">
        <v>6502</v>
      </c>
      <c r="ED196" s="38">
        <v>-109</v>
      </c>
      <c r="EE196" s="38">
        <v>-919</v>
      </c>
      <c r="EF196" s="38">
        <v>910</v>
      </c>
      <c r="EG196" s="73">
        <v>6164</v>
      </c>
      <c r="EH196" s="73">
        <v>-153</v>
      </c>
      <c r="EI196" s="73">
        <v>-1529</v>
      </c>
      <c r="EJ196" s="73">
        <v>969</v>
      </c>
      <c r="EK196" s="73">
        <v>7325</v>
      </c>
      <c r="EL196" s="73">
        <v>19744.253439022625</v>
      </c>
      <c r="EM196" s="73">
        <v>150.19181833012934</v>
      </c>
      <c r="EN196" s="73">
        <v>20361.50312913637</v>
      </c>
      <c r="EO196" s="73">
        <v>70.807117040296149</v>
      </c>
      <c r="EP196" s="73">
        <v>20594.275219359104</v>
      </c>
      <c r="EQ196" s="73">
        <v>5.550201573229864</v>
      </c>
      <c r="ER196" s="73">
        <v>21615.84868468632</v>
      </c>
      <c r="ES196" s="73">
        <v>5.3820136467683533</v>
      </c>
      <c r="ET196" s="73">
        <v>21933</v>
      </c>
      <c r="EU196" s="73">
        <v>5</v>
      </c>
      <c r="EV196" s="73">
        <v>23114</v>
      </c>
      <c r="EW196" s="73">
        <v>4</v>
      </c>
      <c r="EX196" s="73">
        <v>25800</v>
      </c>
      <c r="EY196" s="73">
        <v>4</v>
      </c>
      <c r="EZ196" s="73">
        <v>25531</v>
      </c>
      <c r="FA196" s="73">
        <v>101</v>
      </c>
      <c r="FB196" s="73">
        <v>26685</v>
      </c>
      <c r="FC196" s="73">
        <v>36</v>
      </c>
      <c r="FD196" s="73">
        <v>27980</v>
      </c>
      <c r="FE196" s="73">
        <v>45</v>
      </c>
      <c r="FF196" s="73">
        <v>29560</v>
      </c>
      <c r="FG196" s="73">
        <v>37</v>
      </c>
      <c r="FH196" s="73">
        <v>187</v>
      </c>
      <c r="FI196" s="73">
        <v>38</v>
      </c>
      <c r="FJ196" s="79">
        <v>3945</v>
      </c>
      <c r="FK196" s="80">
        <v>9222</v>
      </c>
      <c r="FL196" s="80">
        <v>12182</v>
      </c>
      <c r="FM196" s="80">
        <v>8217</v>
      </c>
      <c r="FN196" s="76">
        <v>3616</v>
      </c>
      <c r="FO196" s="80">
        <v>7976</v>
      </c>
      <c r="FP196" s="80">
        <v>582</v>
      </c>
      <c r="FQ196" s="80">
        <v>664</v>
      </c>
      <c r="FR196" s="80">
        <v>-515</v>
      </c>
      <c r="FS196" s="81">
        <v>-1174</v>
      </c>
      <c r="FT196" s="76">
        <v>844</v>
      </c>
      <c r="FU196" s="76">
        <v>10911</v>
      </c>
      <c r="FV196" s="76">
        <v>1174</v>
      </c>
      <c r="FW196" s="80">
        <v>30167</v>
      </c>
      <c r="FX196" s="80">
        <v>3054</v>
      </c>
      <c r="FY196" s="73">
        <v>3874</v>
      </c>
      <c r="FZ196" s="73">
        <v>9325</v>
      </c>
      <c r="GA196" s="73">
        <v>14059</v>
      </c>
      <c r="GB196" s="73">
        <v>9281</v>
      </c>
      <c r="GC196" s="73">
        <v>200</v>
      </c>
      <c r="GD196" s="73">
        <v>7761</v>
      </c>
      <c r="GE196" s="73">
        <v>775</v>
      </c>
      <c r="GF196" s="73">
        <v>789</v>
      </c>
      <c r="GG196" s="73">
        <v>400</v>
      </c>
      <c r="GH196" s="73">
        <v>-2167</v>
      </c>
      <c r="GI196" s="73">
        <v>938</v>
      </c>
      <c r="GJ196" s="73">
        <v>11643</v>
      </c>
      <c r="GK196" s="73">
        <v>2167</v>
      </c>
      <c r="GL196" s="73">
        <v>32367</v>
      </c>
      <c r="GM196" s="73">
        <v>-405</v>
      </c>
      <c r="GN196" s="73">
        <v>2789</v>
      </c>
      <c r="GO196" s="77">
        <v>20.5</v>
      </c>
      <c r="GP196" s="78">
        <v>3818</v>
      </c>
      <c r="GQ196" s="73">
        <v>9654</v>
      </c>
      <c r="GR196" s="65">
        <v>14238</v>
      </c>
      <c r="GS196" s="65">
        <v>8432</v>
      </c>
      <c r="GT196" s="65">
        <v>164</v>
      </c>
      <c r="GU196" s="65">
        <v>8021</v>
      </c>
      <c r="GV196" s="65">
        <v>831</v>
      </c>
      <c r="GW196" s="65">
        <v>802</v>
      </c>
      <c r="GX196" s="65">
        <v>-94</v>
      </c>
      <c r="GY196" s="65">
        <v>-1600</v>
      </c>
      <c r="GZ196" s="65">
        <v>1134</v>
      </c>
      <c r="HA196" s="65">
        <v>12897</v>
      </c>
      <c r="HB196" s="65">
        <v>1600</v>
      </c>
      <c r="HC196" s="65">
        <v>32282</v>
      </c>
      <c r="HD196" s="65">
        <v>-1030</v>
      </c>
      <c r="HE196" s="78">
        <v>3738</v>
      </c>
      <c r="HF196" s="73">
        <v>9401</v>
      </c>
      <c r="HG196" s="65">
        <v>14647</v>
      </c>
      <c r="HH196" s="65">
        <v>8554</v>
      </c>
      <c r="HI196" s="65">
        <v>311</v>
      </c>
      <c r="HJ196" s="65">
        <v>8063</v>
      </c>
      <c r="HK196" s="65">
        <v>513</v>
      </c>
      <c r="HL196" s="65">
        <v>825</v>
      </c>
      <c r="HM196" s="65">
        <v>-459</v>
      </c>
      <c r="HN196" s="65">
        <v>-852</v>
      </c>
      <c r="HO196" s="65">
        <v>1082</v>
      </c>
      <c r="HP196" s="65">
        <v>12889</v>
      </c>
      <c r="HQ196" s="65">
        <v>852</v>
      </c>
      <c r="HR196" s="65">
        <v>33072</v>
      </c>
      <c r="HS196" s="65">
        <v>-1362</v>
      </c>
      <c r="HT196" s="65">
        <v>-34</v>
      </c>
      <c r="HU196" s="77">
        <v>20.5</v>
      </c>
      <c r="HV196" s="180">
        <v>340</v>
      </c>
      <c r="HW196" s="30" t="s">
        <v>761</v>
      </c>
    </row>
    <row r="197" spans="1:231" ht="15" x14ac:dyDescent="0.25">
      <c r="A197" s="27">
        <v>615</v>
      </c>
      <c r="B197" s="27" t="s">
        <v>323</v>
      </c>
      <c r="C197" s="27">
        <v>17</v>
      </c>
      <c r="D197" s="27" t="s">
        <v>117</v>
      </c>
      <c r="E197" s="27">
        <v>3</v>
      </c>
      <c r="F197" s="27" t="s">
        <v>743</v>
      </c>
      <c r="G197" s="29" t="s">
        <v>130</v>
      </c>
      <c r="H197" s="27" t="s">
        <v>98</v>
      </c>
      <c r="I197" s="31" t="s">
        <v>117</v>
      </c>
      <c r="J197" s="69">
        <v>10510</v>
      </c>
      <c r="K197" s="69">
        <v>10231</v>
      </c>
      <c r="L197" s="36">
        <v>10044</v>
      </c>
      <c r="M197" s="36">
        <v>9907</v>
      </c>
      <c r="N197" s="36">
        <v>9794</v>
      </c>
      <c r="O197" s="36">
        <v>9674</v>
      </c>
      <c r="P197" s="36">
        <v>9561</v>
      </c>
      <c r="Q197" s="36">
        <v>9380</v>
      </c>
      <c r="R197" s="69">
        <v>9217</v>
      </c>
      <c r="S197" s="69">
        <v>9142</v>
      </c>
      <c r="T197" s="71">
        <v>9031</v>
      </c>
      <c r="U197" s="36">
        <v>16230</v>
      </c>
      <c r="V197" s="36">
        <v>17106</v>
      </c>
      <c r="W197" s="36">
        <v>7049</v>
      </c>
      <c r="X197" s="36">
        <v>725.39452682849696</v>
      </c>
      <c r="Y197" s="36">
        <v>16464</v>
      </c>
      <c r="Z197" s="36">
        <v>17743</v>
      </c>
      <c r="AA197" s="36">
        <v>7604</v>
      </c>
      <c r="AB197" s="36">
        <v>1690.6250367911089</v>
      </c>
      <c r="AC197" s="36">
        <v>15807</v>
      </c>
      <c r="AD197" s="36">
        <v>18602</v>
      </c>
      <c r="AE197" s="36">
        <v>7544</v>
      </c>
      <c r="AF197" s="36">
        <v>2063.8340456092019</v>
      </c>
      <c r="AG197" s="36">
        <v>16782</v>
      </c>
      <c r="AH197" s="36">
        <v>20225</v>
      </c>
      <c r="AI197" s="36">
        <v>8162</v>
      </c>
      <c r="AJ197" s="36">
        <v>1146.7052826145823</v>
      </c>
      <c r="AK197" s="36">
        <v>17996</v>
      </c>
      <c r="AL197" s="36">
        <v>22093</v>
      </c>
      <c r="AM197" s="36">
        <v>8926</v>
      </c>
      <c r="AN197" s="36">
        <v>1060</v>
      </c>
      <c r="AO197" s="36">
        <v>16869</v>
      </c>
      <c r="AP197" s="36">
        <v>21714</v>
      </c>
      <c r="AQ197" s="36">
        <v>8906</v>
      </c>
      <c r="AR197" s="36">
        <v>935</v>
      </c>
      <c r="AS197" s="36">
        <v>17114</v>
      </c>
      <c r="AT197" s="36">
        <v>22215</v>
      </c>
      <c r="AU197" s="36">
        <v>9629</v>
      </c>
      <c r="AV197" s="36">
        <v>987</v>
      </c>
      <c r="AW197" s="36">
        <v>17697</v>
      </c>
      <c r="AX197" s="69">
        <v>22758</v>
      </c>
      <c r="AY197" s="36">
        <v>10230</v>
      </c>
      <c r="AZ197" s="36">
        <v>1127</v>
      </c>
      <c r="BA197" s="36">
        <v>18039</v>
      </c>
      <c r="BB197" s="36">
        <v>24521</v>
      </c>
      <c r="BC197" s="36">
        <v>11118</v>
      </c>
      <c r="BD197" s="36">
        <v>4636</v>
      </c>
      <c r="BE197" s="70">
        <v>19554</v>
      </c>
      <c r="BF197" s="70">
        <v>25512</v>
      </c>
      <c r="BG197" s="70">
        <v>9846</v>
      </c>
      <c r="BH197" s="70">
        <v>814</v>
      </c>
      <c r="BI197" s="36">
        <v>20620</v>
      </c>
      <c r="BJ197" s="36">
        <v>27874</v>
      </c>
      <c r="BK197" s="36">
        <v>10054</v>
      </c>
      <c r="BL197" s="36">
        <v>0</v>
      </c>
      <c r="BM197" s="36">
        <v>13098.139336969556</v>
      </c>
      <c r="BN197" s="36">
        <v>2499.6089630709771</v>
      </c>
      <c r="BO197" s="36">
        <v>617.58606596666846</v>
      </c>
      <c r="BP197" s="36">
        <v>13262.963504901836</v>
      </c>
      <c r="BQ197" s="36">
        <v>2442.0886922211403</v>
      </c>
      <c r="BR197" s="36">
        <v>744.73613837157097</v>
      </c>
      <c r="BS197" s="36">
        <v>12152.082250623556</v>
      </c>
      <c r="BT197" s="36">
        <v>2941.1022700324434</v>
      </c>
      <c r="BU197" s="36">
        <v>699.32539822696299</v>
      </c>
      <c r="BV197" s="36">
        <v>14034</v>
      </c>
      <c r="BW197" s="36">
        <v>1970</v>
      </c>
      <c r="BX197" s="36">
        <v>764</v>
      </c>
      <c r="BY197" s="36">
        <v>15211</v>
      </c>
      <c r="BZ197" s="36">
        <v>1900</v>
      </c>
      <c r="CA197" s="36">
        <v>872</v>
      </c>
      <c r="CB197" s="36">
        <v>15042</v>
      </c>
      <c r="CC197" s="36">
        <v>928</v>
      </c>
      <c r="CD197" s="36">
        <v>899</v>
      </c>
      <c r="CE197" s="36">
        <v>14755</v>
      </c>
      <c r="CF197" s="36">
        <v>1426</v>
      </c>
      <c r="CG197" s="36">
        <v>933</v>
      </c>
      <c r="CH197" s="36">
        <v>14823</v>
      </c>
      <c r="CI197" s="36">
        <v>1873</v>
      </c>
      <c r="CJ197" s="70">
        <v>1001</v>
      </c>
      <c r="CK197" s="70">
        <v>14907</v>
      </c>
      <c r="CL197" s="70">
        <v>2104</v>
      </c>
      <c r="CM197" s="36">
        <v>1028</v>
      </c>
      <c r="CN197" s="36">
        <v>15894</v>
      </c>
      <c r="CO197" s="36">
        <v>2542</v>
      </c>
      <c r="CP197" s="36">
        <v>1118</v>
      </c>
      <c r="CQ197" s="36">
        <v>16876</v>
      </c>
      <c r="CR197" s="36">
        <v>2527</v>
      </c>
      <c r="CS197" s="36">
        <v>1217</v>
      </c>
      <c r="CT197" s="36">
        <v>427.36552113869953</v>
      </c>
      <c r="CU197" s="36">
        <v>-5179.8517590000001</v>
      </c>
      <c r="CV197" s="36">
        <v>1263.2595156524094</v>
      </c>
      <c r="CW197" s="36">
        <v>4168</v>
      </c>
      <c r="CX197" s="36">
        <v>3443.4796063729768</v>
      </c>
      <c r="CY197" s="36">
        <v>8162.3282589999999</v>
      </c>
      <c r="CZ197" s="36">
        <v>1409.5830116739239</v>
      </c>
      <c r="DA197" s="36">
        <v>3562</v>
      </c>
      <c r="DB197" s="36">
        <v>1479.0446253025279</v>
      </c>
      <c r="DC197" s="36">
        <v>-3533.2919590000001</v>
      </c>
      <c r="DD197" s="36">
        <v>1491.4905318606798</v>
      </c>
      <c r="DE197" s="36">
        <v>3193</v>
      </c>
      <c r="DF197" s="36">
        <v>971.62165116814924</v>
      </c>
      <c r="DG197" s="36">
        <v>-3370</v>
      </c>
      <c r="DH197" s="36">
        <v>1472.9898599499136</v>
      </c>
      <c r="DI197" s="36">
        <v>4092</v>
      </c>
      <c r="DJ197" s="36">
        <v>3472</v>
      </c>
      <c r="DK197" s="36">
        <v>-3706</v>
      </c>
      <c r="DL197" s="36">
        <v>1694</v>
      </c>
      <c r="DM197" s="36">
        <v>5015</v>
      </c>
      <c r="DN197" s="36">
        <v>1005</v>
      </c>
      <c r="DO197" s="69">
        <v>-2632</v>
      </c>
      <c r="DP197" s="36">
        <v>4179</v>
      </c>
      <c r="DQ197" s="36">
        <v>5742</v>
      </c>
      <c r="DR197" s="36">
        <v>897</v>
      </c>
      <c r="DS197" s="36">
        <v>-2647</v>
      </c>
      <c r="DT197" s="36">
        <v>2136</v>
      </c>
      <c r="DU197" s="36">
        <v>7707</v>
      </c>
      <c r="DV197" s="36">
        <v>-78</v>
      </c>
      <c r="DW197" s="71">
        <v>-3283</v>
      </c>
      <c r="DX197" s="39">
        <v>1812</v>
      </c>
      <c r="DY197" s="71">
        <v>9469</v>
      </c>
      <c r="DZ197" s="70">
        <v>3799</v>
      </c>
      <c r="EA197" s="35">
        <v>-1602</v>
      </c>
      <c r="EB197" s="35">
        <v>2060</v>
      </c>
      <c r="EC197" s="38">
        <v>11077</v>
      </c>
      <c r="ED197" s="38">
        <v>782</v>
      </c>
      <c r="EE197" s="38">
        <v>-3947</v>
      </c>
      <c r="EF197" s="38">
        <v>2160</v>
      </c>
      <c r="EG197" s="73">
        <v>10390</v>
      </c>
      <c r="EH197" s="73">
        <v>-620</v>
      </c>
      <c r="EI197" s="73">
        <v>-3412</v>
      </c>
      <c r="EJ197" s="73">
        <v>2895</v>
      </c>
      <c r="EK197" s="73">
        <v>12755</v>
      </c>
      <c r="EL197" s="73">
        <v>38775.894633627831</v>
      </c>
      <c r="EM197" s="73">
        <v>-835.8939945137098</v>
      </c>
      <c r="EN197" s="73">
        <v>38122.989103104243</v>
      </c>
      <c r="EO197" s="73">
        <v>213.93504245904202</v>
      </c>
      <c r="EP197" s="73">
        <v>40376.034565982642</v>
      </c>
      <c r="EQ197" s="73">
        <v>570.99801033682991</v>
      </c>
      <c r="ER197" s="73">
        <v>42915.167691772076</v>
      </c>
      <c r="ES197" s="73">
        <v>775.51452891402732</v>
      </c>
      <c r="ET197" s="73">
        <v>45764</v>
      </c>
      <c r="EU197" s="73">
        <v>1092</v>
      </c>
      <c r="EV197" s="73">
        <v>46835</v>
      </c>
      <c r="EW197" s="73">
        <v>-640</v>
      </c>
      <c r="EX197" s="73">
        <v>48492</v>
      </c>
      <c r="EY197" s="73">
        <v>-1364</v>
      </c>
      <c r="EZ197" s="73">
        <v>51573</v>
      </c>
      <c r="FA197" s="73">
        <v>-1570</v>
      </c>
      <c r="FB197" s="73">
        <v>54339</v>
      </c>
      <c r="FC197" s="73">
        <v>1917</v>
      </c>
      <c r="FD197" s="73">
        <v>54437</v>
      </c>
      <c r="FE197" s="73">
        <v>-1118</v>
      </c>
      <c r="FF197" s="73">
        <v>58855</v>
      </c>
      <c r="FG197" s="73">
        <v>-2609</v>
      </c>
      <c r="FH197" s="73">
        <v>1973</v>
      </c>
      <c r="FI197" s="73">
        <v>-636</v>
      </c>
      <c r="FJ197" s="79">
        <v>8947</v>
      </c>
      <c r="FK197" s="80">
        <v>20297</v>
      </c>
      <c r="FL197" s="80">
        <v>29831</v>
      </c>
      <c r="FM197" s="80">
        <v>11669</v>
      </c>
      <c r="FN197" s="76">
        <v>2679</v>
      </c>
      <c r="FO197" s="80">
        <v>16900</v>
      </c>
      <c r="FP197" s="80">
        <v>1946</v>
      </c>
      <c r="FQ197" s="80">
        <v>1451</v>
      </c>
      <c r="FR197" s="80">
        <v>-707</v>
      </c>
      <c r="FS197" s="81">
        <v>-8345</v>
      </c>
      <c r="FT197" s="76">
        <v>2919</v>
      </c>
      <c r="FU197" s="76">
        <v>21068</v>
      </c>
      <c r="FV197" s="76">
        <v>8345</v>
      </c>
      <c r="FW197" s="80">
        <v>62024</v>
      </c>
      <c r="FX197" s="80">
        <v>-844</v>
      </c>
      <c r="FY197" s="73">
        <v>8827</v>
      </c>
      <c r="FZ197" s="73">
        <v>21358</v>
      </c>
      <c r="GA197" s="73">
        <v>35042</v>
      </c>
      <c r="GB197" s="73">
        <v>10828</v>
      </c>
      <c r="GC197" s="73">
        <v>257</v>
      </c>
      <c r="GD197" s="73">
        <v>17362</v>
      </c>
      <c r="GE197" s="73">
        <v>2542</v>
      </c>
      <c r="GF197" s="73">
        <v>1454</v>
      </c>
      <c r="GG197" s="73">
        <v>5324</v>
      </c>
      <c r="GH197" s="73">
        <v>-3981</v>
      </c>
      <c r="GI197" s="73">
        <v>2177</v>
      </c>
      <c r="GJ197" s="73">
        <v>23778</v>
      </c>
      <c r="GK197" s="73">
        <v>3981</v>
      </c>
      <c r="GL197" s="73">
        <v>61434</v>
      </c>
      <c r="GM197" s="73">
        <v>3452</v>
      </c>
      <c r="GN197" s="73">
        <v>1509</v>
      </c>
      <c r="GO197" s="77">
        <v>20</v>
      </c>
      <c r="GP197" s="78">
        <v>8695</v>
      </c>
      <c r="GQ197" s="73">
        <v>21808</v>
      </c>
      <c r="GR197" s="65">
        <v>34211</v>
      </c>
      <c r="GS197" s="65">
        <v>11032</v>
      </c>
      <c r="GT197" s="65">
        <v>81</v>
      </c>
      <c r="GU197" s="65">
        <v>17457</v>
      </c>
      <c r="GV197" s="65">
        <v>2837</v>
      </c>
      <c r="GW197" s="65">
        <v>1514</v>
      </c>
      <c r="GX197" s="65">
        <v>4054</v>
      </c>
      <c r="GY197" s="65">
        <v>-6008</v>
      </c>
      <c r="GZ197" s="65">
        <v>2743</v>
      </c>
      <c r="HA197" s="65">
        <v>23933</v>
      </c>
      <c r="HB197" s="65">
        <v>6008</v>
      </c>
      <c r="HC197" s="65">
        <v>62393</v>
      </c>
      <c r="HD197" s="65">
        <v>382</v>
      </c>
      <c r="HE197" s="78">
        <v>8620</v>
      </c>
      <c r="HF197" s="73">
        <v>21240</v>
      </c>
      <c r="HG197" s="65">
        <v>36009</v>
      </c>
      <c r="HH197" s="65">
        <v>11841</v>
      </c>
      <c r="HI197" s="65">
        <v>259</v>
      </c>
      <c r="HJ197" s="65">
        <v>17858</v>
      </c>
      <c r="HK197" s="65">
        <v>1846</v>
      </c>
      <c r="HL197" s="65">
        <v>1536</v>
      </c>
      <c r="HM197" s="65">
        <v>3371</v>
      </c>
      <c r="HN197" s="65">
        <v>-5245</v>
      </c>
      <c r="HO197" s="65">
        <v>2767</v>
      </c>
      <c r="HP197" s="65">
        <v>25354</v>
      </c>
      <c r="HQ197" s="65">
        <v>5245</v>
      </c>
      <c r="HR197" s="65">
        <v>65345</v>
      </c>
      <c r="HS197" s="65">
        <v>3184</v>
      </c>
      <c r="HT197" s="65">
        <v>5670</v>
      </c>
      <c r="HU197" s="77">
        <v>20.5</v>
      </c>
      <c r="HV197" s="180">
        <v>340</v>
      </c>
      <c r="HW197" s="30" t="s">
        <v>761</v>
      </c>
    </row>
    <row r="198" spans="1:231" ht="15" x14ac:dyDescent="0.25">
      <c r="A198" s="27">
        <v>616</v>
      </c>
      <c r="B198" s="27" t="s">
        <v>324</v>
      </c>
      <c r="C198" s="27">
        <v>1</v>
      </c>
      <c r="D198" s="27" t="s">
        <v>121</v>
      </c>
      <c r="E198" s="27">
        <v>1</v>
      </c>
      <c r="F198" s="27" t="s">
        <v>103</v>
      </c>
      <c r="G198" s="29" t="s">
        <v>130</v>
      </c>
      <c r="H198" s="27" t="s">
        <v>98</v>
      </c>
      <c r="I198" s="31" t="s">
        <v>121</v>
      </c>
      <c r="J198" s="69">
        <v>1898</v>
      </c>
      <c r="K198" s="69">
        <v>1944</v>
      </c>
      <c r="L198" s="36">
        <v>1921</v>
      </c>
      <c r="M198" s="36">
        <v>1936</v>
      </c>
      <c r="N198" s="36">
        <v>1949</v>
      </c>
      <c r="O198" s="36">
        <v>1979</v>
      </c>
      <c r="P198" s="36">
        <v>1992</v>
      </c>
      <c r="Q198" s="36">
        <v>2024</v>
      </c>
      <c r="R198" s="69">
        <v>2018</v>
      </c>
      <c r="S198" s="69">
        <v>2022</v>
      </c>
      <c r="T198" s="71">
        <v>2025</v>
      </c>
      <c r="U198" s="36">
        <v>3268</v>
      </c>
      <c r="V198" s="36">
        <v>1437</v>
      </c>
      <c r="W198" s="36">
        <v>1002</v>
      </c>
      <c r="X198" s="36">
        <v>112.6859107292124</v>
      </c>
      <c r="Y198" s="36">
        <v>3198</v>
      </c>
      <c r="Z198" s="36">
        <v>1428</v>
      </c>
      <c r="AA198" s="36">
        <v>1051</v>
      </c>
      <c r="AB198" s="36">
        <v>98.053561127060931</v>
      </c>
      <c r="AC198" s="36">
        <v>3288</v>
      </c>
      <c r="AD198" s="36">
        <v>1420</v>
      </c>
      <c r="AE198" s="36">
        <v>1425</v>
      </c>
      <c r="AF198" s="36">
        <v>111.67678317044333</v>
      </c>
      <c r="AG198" s="36">
        <v>3572</v>
      </c>
      <c r="AH198" s="36">
        <v>1810</v>
      </c>
      <c r="AI198" s="36">
        <v>1867</v>
      </c>
      <c r="AJ198" s="36">
        <v>66.266043025835344</v>
      </c>
      <c r="AK198" s="36">
        <v>3718</v>
      </c>
      <c r="AL198" s="36">
        <v>1885</v>
      </c>
      <c r="AM198" s="36">
        <v>2261</v>
      </c>
      <c r="AN198" s="36">
        <v>30</v>
      </c>
      <c r="AO198" s="36">
        <v>3774</v>
      </c>
      <c r="AP198" s="36">
        <v>1999</v>
      </c>
      <c r="AQ198" s="36">
        <v>2475</v>
      </c>
      <c r="AR198" s="36">
        <v>33</v>
      </c>
      <c r="AS198" s="36">
        <v>3884</v>
      </c>
      <c r="AT198" s="36">
        <v>1984</v>
      </c>
      <c r="AU198" s="36">
        <v>3428</v>
      </c>
      <c r="AV198" s="36">
        <v>107</v>
      </c>
      <c r="AW198" s="36">
        <v>4111</v>
      </c>
      <c r="AX198" s="69">
        <v>2037</v>
      </c>
      <c r="AY198" s="36">
        <v>3469</v>
      </c>
      <c r="AZ198" s="36">
        <v>112</v>
      </c>
      <c r="BA198" s="36">
        <v>4307</v>
      </c>
      <c r="BB198" s="36">
        <v>1954</v>
      </c>
      <c r="BC198" s="36">
        <v>3414</v>
      </c>
      <c r="BD198" s="36">
        <v>154</v>
      </c>
      <c r="BE198" s="70">
        <v>4646</v>
      </c>
      <c r="BF198" s="70">
        <v>2110</v>
      </c>
      <c r="BG198" s="70">
        <v>3045</v>
      </c>
      <c r="BH198" s="70">
        <v>307</v>
      </c>
      <c r="BI198" s="36">
        <v>5230</v>
      </c>
      <c r="BJ198" s="36">
        <v>2377</v>
      </c>
      <c r="BK198" s="36">
        <v>1188</v>
      </c>
      <c r="BL198" s="36">
        <v>1592</v>
      </c>
      <c r="BM198" s="36">
        <v>2368.4223804309981</v>
      </c>
      <c r="BN198" s="36">
        <v>794.85614045710111</v>
      </c>
      <c r="BO198" s="36">
        <v>101.75369550921417</v>
      </c>
      <c r="BP198" s="36">
        <v>2475.3899016605192</v>
      </c>
      <c r="BQ198" s="36">
        <v>618.42700559897605</v>
      </c>
      <c r="BR198" s="36">
        <v>103.7719506267523</v>
      </c>
      <c r="BS198" s="36">
        <v>2558.1383614795827</v>
      </c>
      <c r="BT198" s="36">
        <v>631.54566386297392</v>
      </c>
      <c r="BU198" s="36">
        <v>98.72631283290697</v>
      </c>
      <c r="BV198" s="36">
        <v>3038</v>
      </c>
      <c r="BW198" s="36">
        <v>423</v>
      </c>
      <c r="BX198" s="36">
        <v>111</v>
      </c>
      <c r="BY198" s="36">
        <v>3341</v>
      </c>
      <c r="BZ198" s="36">
        <v>262</v>
      </c>
      <c r="CA198" s="36">
        <v>115</v>
      </c>
      <c r="CB198" s="36">
        <v>3519</v>
      </c>
      <c r="CC198" s="36">
        <v>139</v>
      </c>
      <c r="CD198" s="36">
        <v>116</v>
      </c>
      <c r="CE198" s="36">
        <v>3544</v>
      </c>
      <c r="CF198" s="36">
        <v>224</v>
      </c>
      <c r="CG198" s="36">
        <v>116</v>
      </c>
      <c r="CH198" s="36">
        <v>3730</v>
      </c>
      <c r="CI198" s="36">
        <v>265</v>
      </c>
      <c r="CJ198" s="70">
        <v>116</v>
      </c>
      <c r="CK198" s="70">
        <v>3941</v>
      </c>
      <c r="CL198" s="70">
        <v>246</v>
      </c>
      <c r="CM198" s="36">
        <v>120</v>
      </c>
      <c r="CN198" s="36">
        <v>4227</v>
      </c>
      <c r="CO198" s="36">
        <v>292</v>
      </c>
      <c r="CP198" s="36">
        <v>127</v>
      </c>
      <c r="CQ198" s="36">
        <v>4738</v>
      </c>
      <c r="CR198" s="36">
        <v>303</v>
      </c>
      <c r="CS198" s="36">
        <v>189</v>
      </c>
      <c r="CT198" s="36">
        <v>415.76055421285525</v>
      </c>
      <c r="CU198" s="36">
        <v>-321.57531540000002</v>
      </c>
      <c r="CV198" s="36">
        <v>207.37571332704309</v>
      </c>
      <c r="CW198" s="36">
        <v>442</v>
      </c>
      <c r="CX198" s="36">
        <v>193.41611543073768</v>
      </c>
      <c r="CY198" s="36">
        <v>-737.1676817</v>
      </c>
      <c r="CZ198" s="36">
        <v>226.54913694365536</v>
      </c>
      <c r="DA198" s="36">
        <v>266</v>
      </c>
      <c r="DB198" s="36">
        <v>-59.538525967374902</v>
      </c>
      <c r="DC198" s="36">
        <v>-2237.9085490000002</v>
      </c>
      <c r="DD198" s="36">
        <v>232.77209022273126</v>
      </c>
      <c r="DE198" s="36">
        <v>1218</v>
      </c>
      <c r="DF198" s="36">
        <v>24.219061410457588</v>
      </c>
      <c r="DG198" s="36">
        <v>-776</v>
      </c>
      <c r="DH198" s="36">
        <v>207.03933747412009</v>
      </c>
      <c r="DI198" s="36">
        <v>1750</v>
      </c>
      <c r="DJ198" s="36">
        <v>777</v>
      </c>
      <c r="DK198" s="36">
        <v>-162</v>
      </c>
      <c r="DL198" s="36">
        <v>293</v>
      </c>
      <c r="DM198" s="36">
        <v>1678</v>
      </c>
      <c r="DN198" s="36">
        <v>805</v>
      </c>
      <c r="DO198" s="69">
        <v>-120</v>
      </c>
      <c r="DP198" s="36">
        <v>341</v>
      </c>
      <c r="DQ198" s="36">
        <v>1299</v>
      </c>
      <c r="DR198" s="36">
        <v>450</v>
      </c>
      <c r="DS198" s="36">
        <v>-214</v>
      </c>
      <c r="DT198" s="36">
        <v>321</v>
      </c>
      <c r="DU198" s="36">
        <v>929</v>
      </c>
      <c r="DV198" s="36">
        <v>260</v>
      </c>
      <c r="DW198" s="71">
        <v>-410</v>
      </c>
      <c r="DX198" s="39">
        <v>286</v>
      </c>
      <c r="DY198" s="71">
        <v>1455</v>
      </c>
      <c r="DZ198" s="70">
        <v>168</v>
      </c>
      <c r="EA198" s="35">
        <v>-1031</v>
      </c>
      <c r="EB198" s="35">
        <v>326</v>
      </c>
      <c r="EC198" s="38">
        <v>5297</v>
      </c>
      <c r="ED198" s="38">
        <v>9</v>
      </c>
      <c r="EE198" s="38">
        <v>-580</v>
      </c>
      <c r="EF198" s="38">
        <v>339</v>
      </c>
      <c r="EG198" s="73">
        <v>4987</v>
      </c>
      <c r="EH198" s="73">
        <v>201</v>
      </c>
      <c r="EI198" s="73">
        <v>-1357</v>
      </c>
      <c r="EJ198" s="73">
        <v>327</v>
      </c>
      <c r="EK198" s="73">
        <v>3382</v>
      </c>
      <c r="EL198" s="73">
        <v>5068.3431639176351</v>
      </c>
      <c r="EM198" s="73">
        <v>312.49316736548747</v>
      </c>
      <c r="EN198" s="73">
        <v>5252.6771313194513</v>
      </c>
      <c r="EO198" s="73">
        <v>-9.9230876612291503</v>
      </c>
      <c r="EP198" s="73">
        <v>5922.737830342111</v>
      </c>
      <c r="EQ198" s="73">
        <v>-290.62873692549107</v>
      </c>
      <c r="ER198" s="73">
        <v>6851.3033723361132</v>
      </c>
      <c r="ES198" s="73">
        <v>-164.65598000581929</v>
      </c>
      <c r="ET198" s="73">
        <v>7008</v>
      </c>
      <c r="EU198" s="73">
        <v>556</v>
      </c>
      <c r="EV198" s="73">
        <v>7414</v>
      </c>
      <c r="EW198" s="73">
        <v>536</v>
      </c>
      <c r="EX198" s="73">
        <v>8908</v>
      </c>
      <c r="EY198" s="73">
        <v>134</v>
      </c>
      <c r="EZ198" s="73">
        <v>9433</v>
      </c>
      <c r="FA198" s="73">
        <v>-26</v>
      </c>
      <c r="FB198" s="73">
        <v>9587</v>
      </c>
      <c r="FC198" s="73">
        <v>-158</v>
      </c>
      <c r="FD198" s="73">
        <v>9851</v>
      </c>
      <c r="FE198" s="73">
        <v>-330</v>
      </c>
      <c r="FF198" s="73">
        <v>8575</v>
      </c>
      <c r="FG198" s="73">
        <v>1353</v>
      </c>
      <c r="FH198" s="73">
        <v>1209</v>
      </c>
      <c r="FI198" s="73">
        <v>2562</v>
      </c>
      <c r="FJ198" s="79">
        <v>2004</v>
      </c>
      <c r="FK198" s="80">
        <v>5324</v>
      </c>
      <c r="FL198" s="80">
        <v>2668</v>
      </c>
      <c r="FM198" s="80">
        <v>1229</v>
      </c>
      <c r="FN198" s="76">
        <v>109</v>
      </c>
      <c r="FO198" s="80">
        <v>4878</v>
      </c>
      <c r="FP198" s="80">
        <v>246</v>
      </c>
      <c r="FQ198" s="80">
        <v>200</v>
      </c>
      <c r="FR198" s="80">
        <v>324</v>
      </c>
      <c r="FS198" s="81">
        <v>-468</v>
      </c>
      <c r="FT198" s="76">
        <v>493</v>
      </c>
      <c r="FU198" s="76">
        <v>3392</v>
      </c>
      <c r="FV198" s="76">
        <v>468</v>
      </c>
      <c r="FW198" s="80">
        <v>8880</v>
      </c>
      <c r="FX198" s="80">
        <v>-169</v>
      </c>
      <c r="FY198" s="73">
        <v>2024</v>
      </c>
      <c r="FZ198" s="73">
        <v>5340</v>
      </c>
      <c r="GA198" s="73">
        <v>3759</v>
      </c>
      <c r="GB198" s="73">
        <v>1427</v>
      </c>
      <c r="GC198" s="73">
        <v>268</v>
      </c>
      <c r="GD198" s="73">
        <v>4677</v>
      </c>
      <c r="GE198" s="73">
        <v>393</v>
      </c>
      <c r="GF198" s="73">
        <v>270</v>
      </c>
      <c r="GG198" s="73">
        <v>532</v>
      </c>
      <c r="GH198" s="73">
        <v>-728</v>
      </c>
      <c r="GI198" s="73">
        <v>492</v>
      </c>
      <c r="GJ198" s="73">
        <v>3437</v>
      </c>
      <c r="GK198" s="73">
        <v>728</v>
      </c>
      <c r="GL198" s="73">
        <v>10032</v>
      </c>
      <c r="GM198" s="73">
        <v>177</v>
      </c>
      <c r="GN198" s="73">
        <v>2569</v>
      </c>
      <c r="GO198" s="77">
        <v>19.5</v>
      </c>
      <c r="GP198" s="78">
        <v>2016</v>
      </c>
      <c r="GQ198" s="73">
        <v>5857</v>
      </c>
      <c r="GR198" s="65">
        <v>3964</v>
      </c>
      <c r="GS198" s="65">
        <v>1434</v>
      </c>
      <c r="GT198" s="65">
        <v>138</v>
      </c>
      <c r="GU198" s="65">
        <v>5064</v>
      </c>
      <c r="GV198" s="65">
        <v>513</v>
      </c>
      <c r="GW198" s="65">
        <v>280</v>
      </c>
      <c r="GX198" s="65">
        <v>421</v>
      </c>
      <c r="GY198" s="65">
        <v>-985</v>
      </c>
      <c r="GZ198" s="65">
        <v>493</v>
      </c>
      <c r="HA198" s="65">
        <v>3960</v>
      </c>
      <c r="HB198" s="65">
        <v>985</v>
      </c>
      <c r="HC198" s="65">
        <v>10870</v>
      </c>
      <c r="HD198" s="65">
        <v>-72</v>
      </c>
      <c r="HE198" s="78">
        <v>2047</v>
      </c>
      <c r="HF198" s="73">
        <v>5863</v>
      </c>
      <c r="HG198" s="65">
        <v>3748</v>
      </c>
      <c r="HH198" s="65">
        <v>1545</v>
      </c>
      <c r="HI198" s="65">
        <v>130</v>
      </c>
      <c r="HJ198" s="65">
        <v>5272</v>
      </c>
      <c r="HK198" s="65">
        <v>281</v>
      </c>
      <c r="HL198" s="65">
        <v>310</v>
      </c>
      <c r="HM198" s="65">
        <v>-185</v>
      </c>
      <c r="HN198" s="65">
        <v>-831</v>
      </c>
      <c r="HO198" s="65">
        <v>547</v>
      </c>
      <c r="HP198" s="65">
        <v>4769</v>
      </c>
      <c r="HQ198" s="65">
        <v>831</v>
      </c>
      <c r="HR198" s="65">
        <v>11361</v>
      </c>
      <c r="HS198" s="65">
        <v>-732</v>
      </c>
      <c r="HT198" s="65">
        <v>1764</v>
      </c>
      <c r="HU198" s="77">
        <v>19.5</v>
      </c>
      <c r="HV198" s="180">
        <v>340</v>
      </c>
      <c r="HW198" s="30" t="s">
        <v>761</v>
      </c>
    </row>
    <row r="199" spans="1:231" ht="15" x14ac:dyDescent="0.25">
      <c r="A199" s="27">
        <v>619</v>
      </c>
      <c r="B199" s="27" t="s">
        <v>325</v>
      </c>
      <c r="C199" s="27">
        <v>6</v>
      </c>
      <c r="D199" s="27" t="s">
        <v>114</v>
      </c>
      <c r="E199" s="27">
        <v>2</v>
      </c>
      <c r="F199" s="27" t="s">
        <v>744</v>
      </c>
      <c r="G199" s="29" t="s">
        <v>130</v>
      </c>
      <c r="H199" s="27" t="s">
        <v>98</v>
      </c>
      <c r="I199" s="31" t="s">
        <v>114</v>
      </c>
      <c r="J199" s="69">
        <v>3809</v>
      </c>
      <c r="K199" s="69">
        <v>3770</v>
      </c>
      <c r="L199" s="36">
        <v>3743</v>
      </c>
      <c r="M199" s="36">
        <v>3655</v>
      </c>
      <c r="N199" s="36">
        <v>3615</v>
      </c>
      <c r="O199" s="36">
        <v>3552</v>
      </c>
      <c r="P199" s="36">
        <v>3523</v>
      </c>
      <c r="Q199" s="36">
        <v>3450</v>
      </c>
      <c r="R199" s="69">
        <v>3423</v>
      </c>
      <c r="S199" s="69">
        <v>3405</v>
      </c>
      <c r="T199" s="71">
        <v>3373</v>
      </c>
      <c r="U199" s="36">
        <v>6304</v>
      </c>
      <c r="V199" s="36">
        <v>4003</v>
      </c>
      <c r="W199" s="36">
        <v>1988</v>
      </c>
      <c r="X199" s="36">
        <v>215.28054587073413</v>
      </c>
      <c r="Y199" s="36">
        <v>6610</v>
      </c>
      <c r="Z199" s="36">
        <v>4544</v>
      </c>
      <c r="AA199" s="36">
        <v>2990</v>
      </c>
      <c r="AB199" s="36">
        <v>281.37840097010798</v>
      </c>
      <c r="AC199" s="36">
        <v>6143</v>
      </c>
      <c r="AD199" s="36">
        <v>5018</v>
      </c>
      <c r="AE199" s="36">
        <v>3285</v>
      </c>
      <c r="AF199" s="36">
        <v>188.03410178396933</v>
      </c>
      <c r="AG199" s="36">
        <v>6585</v>
      </c>
      <c r="AH199" s="36">
        <v>5963</v>
      </c>
      <c r="AI199" s="36">
        <v>3363</v>
      </c>
      <c r="AJ199" s="36">
        <v>203.67557894488985</v>
      </c>
      <c r="AK199" s="36">
        <v>6542</v>
      </c>
      <c r="AL199" s="36">
        <v>6357</v>
      </c>
      <c r="AM199" s="36">
        <v>3826</v>
      </c>
      <c r="AN199" s="36">
        <v>128</v>
      </c>
      <c r="AO199" s="36">
        <v>6132</v>
      </c>
      <c r="AP199" s="36">
        <v>7202</v>
      </c>
      <c r="AQ199" s="36">
        <v>4295</v>
      </c>
      <c r="AR199" s="36">
        <v>289</v>
      </c>
      <c r="AS199" s="36">
        <v>6302</v>
      </c>
      <c r="AT199" s="36">
        <v>7276</v>
      </c>
      <c r="AU199" s="36">
        <v>3650</v>
      </c>
      <c r="AV199" s="36">
        <v>75</v>
      </c>
      <c r="AW199" s="36">
        <v>6421</v>
      </c>
      <c r="AX199" s="69">
        <v>7438</v>
      </c>
      <c r="AY199" s="36">
        <v>3425</v>
      </c>
      <c r="AZ199" s="36">
        <v>74</v>
      </c>
      <c r="BA199" s="36">
        <v>6847</v>
      </c>
      <c r="BB199" s="36">
        <v>7677</v>
      </c>
      <c r="BC199" s="36">
        <v>3476</v>
      </c>
      <c r="BD199" s="36">
        <v>95</v>
      </c>
      <c r="BE199" s="70">
        <v>7089</v>
      </c>
      <c r="BF199" s="70">
        <v>7831</v>
      </c>
      <c r="BG199" s="70">
        <v>2252</v>
      </c>
      <c r="BH199" s="70">
        <v>118</v>
      </c>
      <c r="BI199" s="36">
        <v>7804</v>
      </c>
      <c r="BJ199" s="36">
        <v>8522</v>
      </c>
      <c r="BK199" s="36">
        <v>2267</v>
      </c>
      <c r="BL199" s="36">
        <v>104</v>
      </c>
      <c r="BM199" s="36">
        <v>4529.637235461415</v>
      </c>
      <c r="BN199" s="36">
        <v>1556.5792594012846</v>
      </c>
      <c r="BO199" s="36">
        <v>217.97155269411829</v>
      </c>
      <c r="BP199" s="36">
        <v>5064.9794053884043</v>
      </c>
      <c r="BQ199" s="36">
        <v>1320.9479744287075</v>
      </c>
      <c r="BR199" s="36">
        <v>223.68994219380966</v>
      </c>
      <c r="BS199" s="36">
        <v>4626.849856956168</v>
      </c>
      <c r="BT199" s="36">
        <v>1295.0470337536349</v>
      </c>
      <c r="BU199" s="36">
        <v>220.83074744396399</v>
      </c>
      <c r="BV199" s="36">
        <v>5569</v>
      </c>
      <c r="BW199" s="36">
        <v>782</v>
      </c>
      <c r="BX199" s="36">
        <v>234</v>
      </c>
      <c r="BY199" s="36">
        <v>5858</v>
      </c>
      <c r="BZ199" s="36">
        <v>445</v>
      </c>
      <c r="CA199" s="36">
        <v>239</v>
      </c>
      <c r="CB199" s="36">
        <v>5625</v>
      </c>
      <c r="CC199" s="36">
        <v>266</v>
      </c>
      <c r="CD199" s="36">
        <v>241</v>
      </c>
      <c r="CE199" s="36">
        <v>5701</v>
      </c>
      <c r="CF199" s="36">
        <v>358</v>
      </c>
      <c r="CG199" s="36">
        <v>243</v>
      </c>
      <c r="CH199" s="36">
        <v>5650</v>
      </c>
      <c r="CI199" s="36">
        <v>521</v>
      </c>
      <c r="CJ199" s="70">
        <v>250</v>
      </c>
      <c r="CK199" s="70">
        <v>5979</v>
      </c>
      <c r="CL199" s="70">
        <v>606</v>
      </c>
      <c r="CM199" s="36">
        <v>262</v>
      </c>
      <c r="CN199" s="36">
        <v>6223</v>
      </c>
      <c r="CO199" s="36">
        <v>597</v>
      </c>
      <c r="CP199" s="36">
        <v>269</v>
      </c>
      <c r="CQ199" s="36">
        <v>7023</v>
      </c>
      <c r="CR199" s="36">
        <v>481</v>
      </c>
      <c r="CS199" s="36">
        <v>300</v>
      </c>
      <c r="CT199" s="36">
        <v>145.65074431566856</v>
      </c>
      <c r="CU199" s="36">
        <v>-277.34189070000002</v>
      </c>
      <c r="CV199" s="36">
        <v>413.91048702177864</v>
      </c>
      <c r="CW199" s="36">
        <v>2011</v>
      </c>
      <c r="CX199" s="36">
        <v>570.99801033682991</v>
      </c>
      <c r="CY199" s="36">
        <v>-604.46740769999997</v>
      </c>
      <c r="CZ199" s="36">
        <v>398.94176156670414</v>
      </c>
      <c r="DA199" s="36">
        <v>1655</v>
      </c>
      <c r="DB199" s="36">
        <v>471.09438201869233</v>
      </c>
      <c r="DC199" s="36">
        <v>-300.0472608</v>
      </c>
      <c r="DD199" s="36">
        <v>380.94565343532247</v>
      </c>
      <c r="DE199" s="36">
        <v>1434</v>
      </c>
      <c r="DF199" s="36">
        <v>1205.571056876111</v>
      </c>
      <c r="DG199" s="36">
        <v>-747</v>
      </c>
      <c r="DH199" s="36">
        <v>376.40457942086169</v>
      </c>
      <c r="DI199" s="36">
        <v>1213</v>
      </c>
      <c r="DJ199" s="36">
        <v>1422</v>
      </c>
      <c r="DK199" s="36">
        <v>-769</v>
      </c>
      <c r="DL199" s="36">
        <v>361</v>
      </c>
      <c r="DM199" s="36">
        <v>949</v>
      </c>
      <c r="DN199" s="36">
        <v>1393</v>
      </c>
      <c r="DO199" s="69">
        <v>-1402</v>
      </c>
      <c r="DP199" s="36">
        <v>350</v>
      </c>
      <c r="DQ199" s="36">
        <v>742</v>
      </c>
      <c r="DR199" s="36">
        <v>518</v>
      </c>
      <c r="DS199" s="36">
        <v>-1525</v>
      </c>
      <c r="DT199" s="36">
        <v>408</v>
      </c>
      <c r="DU199" s="36">
        <v>537</v>
      </c>
      <c r="DV199" s="36">
        <v>646</v>
      </c>
      <c r="DW199" s="71">
        <v>-539</v>
      </c>
      <c r="DX199" s="39">
        <v>435</v>
      </c>
      <c r="DY199" s="71">
        <v>334</v>
      </c>
      <c r="DZ199" s="70">
        <v>180</v>
      </c>
      <c r="EA199" s="35">
        <v>-1356</v>
      </c>
      <c r="EB199" s="35">
        <v>456</v>
      </c>
      <c r="EC199" s="38">
        <v>728</v>
      </c>
      <c r="ED199" s="38">
        <v>257</v>
      </c>
      <c r="EE199" s="38">
        <v>-513</v>
      </c>
      <c r="EF199" s="38">
        <v>506</v>
      </c>
      <c r="EG199" s="73">
        <v>1040</v>
      </c>
      <c r="EH199" s="73">
        <v>167</v>
      </c>
      <c r="EI199" s="73">
        <v>-742</v>
      </c>
      <c r="EJ199" s="73">
        <v>523</v>
      </c>
      <c r="EK199" s="73">
        <v>1313</v>
      </c>
      <c r="EL199" s="73">
        <v>11692.256459677785</v>
      </c>
      <c r="EM199" s="73">
        <v>-233.61302985503883</v>
      </c>
      <c r="EN199" s="73">
        <v>13205.947797831384</v>
      </c>
      <c r="EO199" s="73">
        <v>184.67034325473912</v>
      </c>
      <c r="EP199" s="73">
        <v>13494.726467565799</v>
      </c>
      <c r="EQ199" s="73">
        <v>247.74081567780576</v>
      </c>
      <c r="ER199" s="73">
        <v>14187.997100440147</v>
      </c>
      <c r="ES199" s="73">
        <v>829.16647745524938</v>
      </c>
      <c r="ET199" s="73">
        <v>15374</v>
      </c>
      <c r="EU199" s="73">
        <v>1061</v>
      </c>
      <c r="EV199" s="73">
        <v>16307</v>
      </c>
      <c r="EW199" s="73">
        <v>1236</v>
      </c>
      <c r="EX199" s="73">
        <v>16769</v>
      </c>
      <c r="EY199" s="73">
        <v>23</v>
      </c>
      <c r="EZ199" s="73">
        <v>16701</v>
      </c>
      <c r="FA199" s="73">
        <v>225</v>
      </c>
      <c r="FB199" s="73">
        <v>17915</v>
      </c>
      <c r="FC199" s="73">
        <v>-262</v>
      </c>
      <c r="FD199" s="73">
        <v>17005</v>
      </c>
      <c r="FE199" s="73">
        <v>-235</v>
      </c>
      <c r="FF199" s="73">
        <v>18509</v>
      </c>
      <c r="FG199" s="73">
        <v>-342</v>
      </c>
      <c r="FH199" s="73">
        <v>3305</v>
      </c>
      <c r="FI199" s="73">
        <v>2962</v>
      </c>
      <c r="FJ199" s="79">
        <v>3333</v>
      </c>
      <c r="FK199" s="80">
        <v>7540</v>
      </c>
      <c r="FL199" s="80">
        <v>9313</v>
      </c>
      <c r="FM199" s="80">
        <v>2729</v>
      </c>
      <c r="FN199" s="76">
        <v>46</v>
      </c>
      <c r="FO199" s="80">
        <v>6910</v>
      </c>
      <c r="FP199" s="80">
        <v>350</v>
      </c>
      <c r="FQ199" s="80">
        <v>280</v>
      </c>
      <c r="FR199" s="80">
        <v>315</v>
      </c>
      <c r="FS199" s="81">
        <v>-1289</v>
      </c>
      <c r="FT199" s="76">
        <v>561</v>
      </c>
      <c r="FU199" s="76">
        <v>2738</v>
      </c>
      <c r="FV199" s="76">
        <v>1289</v>
      </c>
      <c r="FW199" s="80">
        <v>19229</v>
      </c>
      <c r="FX199" s="80">
        <v>-220</v>
      </c>
      <c r="FY199" s="73">
        <v>3281</v>
      </c>
      <c r="FZ199" s="73">
        <v>7688</v>
      </c>
      <c r="GA199" s="73">
        <v>10219</v>
      </c>
      <c r="GB199" s="73">
        <v>3109</v>
      </c>
      <c r="GC199" s="73">
        <v>38</v>
      </c>
      <c r="GD199" s="73">
        <v>6856</v>
      </c>
      <c r="GE199" s="73">
        <v>460</v>
      </c>
      <c r="GF199" s="73">
        <v>372</v>
      </c>
      <c r="GG199" s="73">
        <v>1431</v>
      </c>
      <c r="GH199" s="73">
        <v>-397</v>
      </c>
      <c r="GI199" s="73">
        <v>595</v>
      </c>
      <c r="GJ199" s="73">
        <v>2656</v>
      </c>
      <c r="GK199" s="73">
        <v>397</v>
      </c>
      <c r="GL199" s="73">
        <v>19619</v>
      </c>
      <c r="GM199" s="73">
        <v>351</v>
      </c>
      <c r="GN199" s="73">
        <v>3094</v>
      </c>
      <c r="GO199" s="77">
        <v>19.5</v>
      </c>
      <c r="GP199" s="78">
        <v>3236</v>
      </c>
      <c r="GQ199" s="73">
        <v>7682</v>
      </c>
      <c r="GR199" s="65">
        <v>10102</v>
      </c>
      <c r="GS199" s="65">
        <v>3062</v>
      </c>
      <c r="GT199" s="65">
        <v>152</v>
      </c>
      <c r="GU199" s="65">
        <v>6771</v>
      </c>
      <c r="GV199" s="65">
        <v>534</v>
      </c>
      <c r="GW199" s="65">
        <v>377</v>
      </c>
      <c r="GX199" s="65">
        <v>158</v>
      </c>
      <c r="GY199" s="65">
        <v>-160</v>
      </c>
      <c r="GZ199" s="65">
        <v>591</v>
      </c>
      <c r="HA199" s="65">
        <v>2182</v>
      </c>
      <c r="HB199" s="65">
        <v>160</v>
      </c>
      <c r="HC199" s="65">
        <v>20701</v>
      </c>
      <c r="HD199" s="65">
        <v>-310</v>
      </c>
      <c r="HE199" s="78">
        <v>3203</v>
      </c>
      <c r="HF199" s="73">
        <v>7611</v>
      </c>
      <c r="HG199" s="65">
        <v>10376</v>
      </c>
      <c r="HH199" s="65">
        <v>3436</v>
      </c>
      <c r="HI199" s="65">
        <v>35</v>
      </c>
      <c r="HJ199" s="65">
        <v>6855</v>
      </c>
      <c r="HK199" s="65">
        <v>362</v>
      </c>
      <c r="HL199" s="65">
        <v>394</v>
      </c>
      <c r="HM199" s="65">
        <v>-81</v>
      </c>
      <c r="HN199" s="65">
        <v>-443</v>
      </c>
      <c r="HO199" s="65">
        <v>557</v>
      </c>
      <c r="HP199" s="65">
        <v>1709</v>
      </c>
      <c r="HQ199" s="65">
        <v>443</v>
      </c>
      <c r="HR199" s="65">
        <v>21503</v>
      </c>
      <c r="HS199" s="65">
        <v>-624</v>
      </c>
      <c r="HT199" s="65">
        <v>2160</v>
      </c>
      <c r="HU199" s="77">
        <v>19.75</v>
      </c>
      <c r="HV199" s="180">
        <v>340</v>
      </c>
      <c r="HW199" s="30" t="s">
        <v>761</v>
      </c>
    </row>
    <row r="200" spans="1:231" ht="15" x14ac:dyDescent="0.25">
      <c r="A200" s="27">
        <v>620</v>
      </c>
      <c r="B200" s="27" t="s">
        <v>326</v>
      </c>
      <c r="C200" s="27">
        <v>18</v>
      </c>
      <c r="D200" s="27" t="s">
        <v>108</v>
      </c>
      <c r="E200" s="27">
        <v>2</v>
      </c>
      <c r="F200" s="27" t="s">
        <v>744</v>
      </c>
      <c r="G200" s="29" t="s">
        <v>130</v>
      </c>
      <c r="H200" s="27" t="s">
        <v>98</v>
      </c>
      <c r="I200" s="31" t="s">
        <v>108</v>
      </c>
      <c r="J200" s="69">
        <v>4031</v>
      </c>
      <c r="K200" s="69">
        <v>3953</v>
      </c>
      <c r="L200" s="36">
        <v>3846</v>
      </c>
      <c r="M200" s="36">
        <v>3706</v>
      </c>
      <c r="N200" s="36">
        <v>3602</v>
      </c>
      <c r="O200" s="36">
        <v>3560</v>
      </c>
      <c r="P200" s="36">
        <v>3472</v>
      </c>
      <c r="Q200" s="36">
        <v>3408</v>
      </c>
      <c r="R200" s="69">
        <v>3337</v>
      </c>
      <c r="S200" s="69">
        <v>3225</v>
      </c>
      <c r="T200" s="71">
        <v>3183</v>
      </c>
      <c r="U200" s="36">
        <v>7088</v>
      </c>
      <c r="V200" s="36">
        <v>6561</v>
      </c>
      <c r="W200" s="36">
        <v>3129</v>
      </c>
      <c r="X200" s="36">
        <v>194.25705506304524</v>
      </c>
      <c r="Y200" s="36">
        <v>6970</v>
      </c>
      <c r="Z200" s="36">
        <v>6345</v>
      </c>
      <c r="AA200" s="36">
        <v>3050</v>
      </c>
      <c r="AB200" s="36">
        <v>189.2114172691999</v>
      </c>
      <c r="AC200" s="36">
        <v>6575</v>
      </c>
      <c r="AD200" s="36">
        <v>6350</v>
      </c>
      <c r="AE200" s="36">
        <v>3074</v>
      </c>
      <c r="AF200" s="36">
        <v>195.09799469535278</v>
      </c>
      <c r="AG200" s="36">
        <v>6948</v>
      </c>
      <c r="AH200" s="36">
        <v>7440</v>
      </c>
      <c r="AI200" s="36">
        <v>3102</v>
      </c>
      <c r="AJ200" s="36">
        <v>207.20752540058157</v>
      </c>
      <c r="AK200" s="36">
        <v>7227</v>
      </c>
      <c r="AL200" s="36">
        <v>8290</v>
      </c>
      <c r="AM200" s="36">
        <v>3131</v>
      </c>
      <c r="AN200" s="36">
        <v>179</v>
      </c>
      <c r="AO200" s="36">
        <v>6594</v>
      </c>
      <c r="AP200" s="36">
        <v>8078</v>
      </c>
      <c r="AQ200" s="36">
        <v>2926</v>
      </c>
      <c r="AR200" s="36">
        <v>191</v>
      </c>
      <c r="AS200" s="36">
        <v>6919</v>
      </c>
      <c r="AT200" s="36">
        <v>8396</v>
      </c>
      <c r="AU200" s="36">
        <v>2557</v>
      </c>
      <c r="AV200" s="36">
        <v>79</v>
      </c>
      <c r="AW200" s="36">
        <v>7274</v>
      </c>
      <c r="AX200" s="69">
        <v>8529</v>
      </c>
      <c r="AY200" s="36">
        <v>2910</v>
      </c>
      <c r="AZ200" s="36">
        <v>55</v>
      </c>
      <c r="BA200" s="36">
        <v>7495</v>
      </c>
      <c r="BB200" s="36">
        <v>8687</v>
      </c>
      <c r="BC200" s="36">
        <v>3238</v>
      </c>
      <c r="BD200" s="36">
        <v>0</v>
      </c>
      <c r="BE200" s="70">
        <v>7682</v>
      </c>
      <c r="BF200" s="70">
        <v>9051</v>
      </c>
      <c r="BG200" s="70">
        <v>3004</v>
      </c>
      <c r="BH200" s="70">
        <v>109</v>
      </c>
      <c r="BI200" s="36">
        <v>7949</v>
      </c>
      <c r="BJ200" s="36">
        <v>10446</v>
      </c>
      <c r="BK200" s="36">
        <v>2993</v>
      </c>
      <c r="BL200" s="36">
        <v>38</v>
      </c>
      <c r="BM200" s="36">
        <v>5074.3979292702488</v>
      </c>
      <c r="BN200" s="36">
        <v>1747.304368008638</v>
      </c>
      <c r="BO200" s="36">
        <v>265.90511173564892</v>
      </c>
      <c r="BP200" s="36">
        <v>5267.8140447009873</v>
      </c>
      <c r="BQ200" s="36">
        <v>1448.7707985394561</v>
      </c>
      <c r="BR200" s="36">
        <v>253.62739310395864</v>
      </c>
      <c r="BS200" s="36">
        <v>4673.9424763653915</v>
      </c>
      <c r="BT200" s="36">
        <v>1639.4959071468095</v>
      </c>
      <c r="BU200" s="36">
        <v>261.70041357411117</v>
      </c>
      <c r="BV200" s="36">
        <v>5419</v>
      </c>
      <c r="BW200" s="36">
        <v>1234</v>
      </c>
      <c r="BX200" s="36">
        <v>295</v>
      </c>
      <c r="BY200" s="36">
        <v>6008</v>
      </c>
      <c r="BZ200" s="36">
        <v>875</v>
      </c>
      <c r="CA200" s="36">
        <v>344</v>
      </c>
      <c r="CB200" s="36">
        <v>5790</v>
      </c>
      <c r="CC200" s="36">
        <v>470</v>
      </c>
      <c r="CD200" s="36">
        <v>334</v>
      </c>
      <c r="CE200" s="36">
        <v>5870</v>
      </c>
      <c r="CF200" s="36">
        <v>709</v>
      </c>
      <c r="CG200" s="36">
        <v>340</v>
      </c>
      <c r="CH200" s="36">
        <v>5866</v>
      </c>
      <c r="CI200" s="36">
        <v>995</v>
      </c>
      <c r="CJ200" s="70">
        <v>413</v>
      </c>
      <c r="CK200" s="70">
        <v>5864</v>
      </c>
      <c r="CL200" s="70">
        <v>1206</v>
      </c>
      <c r="CM200" s="36">
        <v>425</v>
      </c>
      <c r="CN200" s="36">
        <v>5931</v>
      </c>
      <c r="CO200" s="36">
        <v>1322</v>
      </c>
      <c r="CP200" s="36">
        <v>429</v>
      </c>
      <c r="CQ200" s="36">
        <v>6175</v>
      </c>
      <c r="CR200" s="36">
        <v>1182</v>
      </c>
      <c r="CS200" s="36">
        <v>592</v>
      </c>
      <c r="CT200" s="36">
        <v>783.25117353125688</v>
      </c>
      <c r="CU200" s="36">
        <v>-1002.0636659999999</v>
      </c>
      <c r="CV200" s="36">
        <v>975.82634932968699</v>
      </c>
      <c r="CW200" s="36">
        <v>161</v>
      </c>
      <c r="CX200" s="36">
        <v>546.27438514698781</v>
      </c>
      <c r="CY200" s="36">
        <v>-1657.9965790000001</v>
      </c>
      <c r="CZ200" s="36">
        <v>952.28003962507546</v>
      </c>
      <c r="DA200" s="36">
        <v>105</v>
      </c>
      <c r="DB200" s="36">
        <v>-715.30325124080639</v>
      </c>
      <c r="DC200" s="36">
        <v>-2511.2139299999999</v>
      </c>
      <c r="DD200" s="36">
        <v>890.05050683431637</v>
      </c>
      <c r="DE200" s="36">
        <v>2247</v>
      </c>
      <c r="DF200" s="36">
        <v>205.69383406242798</v>
      </c>
      <c r="DG200" s="36">
        <v>-1070</v>
      </c>
      <c r="DH200" s="36">
        <v>875.41815723216496</v>
      </c>
      <c r="DI200" s="36">
        <v>4440</v>
      </c>
      <c r="DJ200" s="36">
        <v>1460</v>
      </c>
      <c r="DK200" s="36">
        <v>-706</v>
      </c>
      <c r="DL200" s="36">
        <v>1142</v>
      </c>
      <c r="DM200" s="36">
        <v>5361</v>
      </c>
      <c r="DN200" s="36">
        <v>761</v>
      </c>
      <c r="DO200" s="69">
        <v>-1456</v>
      </c>
      <c r="DP200" s="36">
        <v>1324</v>
      </c>
      <c r="DQ200" s="36">
        <v>3941</v>
      </c>
      <c r="DR200" s="36">
        <v>-388</v>
      </c>
      <c r="DS200" s="36">
        <v>-3766</v>
      </c>
      <c r="DT200" s="36">
        <v>1231</v>
      </c>
      <c r="DU200" s="36">
        <v>8466</v>
      </c>
      <c r="DV200" s="36">
        <v>689</v>
      </c>
      <c r="DW200" s="71">
        <v>-2092</v>
      </c>
      <c r="DX200" s="39">
        <v>980</v>
      </c>
      <c r="DY200" s="71">
        <v>9850</v>
      </c>
      <c r="DZ200" s="70">
        <v>1231</v>
      </c>
      <c r="EA200" s="35">
        <v>-845</v>
      </c>
      <c r="EB200" s="35">
        <v>1128</v>
      </c>
      <c r="EC200" s="38">
        <v>8857</v>
      </c>
      <c r="ED200" s="38">
        <v>1522</v>
      </c>
      <c r="EE200" s="38">
        <v>-566</v>
      </c>
      <c r="EF200" s="38">
        <v>1118</v>
      </c>
      <c r="EG200" s="73">
        <v>7748</v>
      </c>
      <c r="EH200" s="73">
        <v>1440</v>
      </c>
      <c r="EI200" s="73">
        <v>-618</v>
      </c>
      <c r="EJ200" s="73">
        <v>1050</v>
      </c>
      <c r="EK200" s="73">
        <v>6922</v>
      </c>
      <c r="EL200" s="73">
        <v>15556.037694278079</v>
      </c>
      <c r="EM200" s="73">
        <v>8.9139601024600843</v>
      </c>
      <c r="EN200" s="73">
        <v>15374.899297479031</v>
      </c>
      <c r="EO200" s="73">
        <v>-686.87949166881106</v>
      </c>
      <c r="EP200" s="73">
        <v>16201.374768110896</v>
      </c>
      <c r="EQ200" s="73">
        <v>-929.57466955277141</v>
      </c>
      <c r="ER200" s="73">
        <v>16655.986733336362</v>
      </c>
      <c r="ES200" s="73">
        <v>-699.15721030050133</v>
      </c>
      <c r="ET200" s="73">
        <v>17174</v>
      </c>
      <c r="EU200" s="73">
        <v>318</v>
      </c>
      <c r="EV200" s="73">
        <v>16789</v>
      </c>
      <c r="EW200" s="73">
        <v>-563</v>
      </c>
      <c r="EX200" s="73">
        <v>17793</v>
      </c>
      <c r="EY200" s="73">
        <v>-1694</v>
      </c>
      <c r="EZ200" s="73">
        <v>17805</v>
      </c>
      <c r="FA200" s="73">
        <v>-318</v>
      </c>
      <c r="FB200" s="73">
        <v>17945</v>
      </c>
      <c r="FC200" s="73">
        <v>161</v>
      </c>
      <c r="FD200" s="73">
        <v>17977</v>
      </c>
      <c r="FE200" s="73">
        <v>476</v>
      </c>
      <c r="FF200" s="73">
        <v>19709</v>
      </c>
      <c r="FG200" s="73">
        <v>462</v>
      </c>
      <c r="FH200" s="73">
        <v>-2947</v>
      </c>
      <c r="FI200" s="73">
        <v>-2484</v>
      </c>
      <c r="FJ200" s="79">
        <v>3123</v>
      </c>
      <c r="FK200" s="80">
        <v>8199</v>
      </c>
      <c r="FL200" s="80">
        <v>11158</v>
      </c>
      <c r="FM200" s="80">
        <v>3064</v>
      </c>
      <c r="FN200" s="76">
        <v>35</v>
      </c>
      <c r="FO200" s="80">
        <v>6594</v>
      </c>
      <c r="FP200" s="80">
        <v>1002</v>
      </c>
      <c r="FQ200" s="80">
        <v>603</v>
      </c>
      <c r="FR200" s="80">
        <v>2547</v>
      </c>
      <c r="FS200" s="81">
        <v>-708</v>
      </c>
      <c r="FT200" s="76">
        <v>1080</v>
      </c>
      <c r="FU200" s="76">
        <v>5695</v>
      </c>
      <c r="FV200" s="76">
        <v>708</v>
      </c>
      <c r="FW200" s="80">
        <v>19720</v>
      </c>
      <c r="FX200" s="80">
        <v>1539</v>
      </c>
      <c r="FY200" s="73">
        <v>3063</v>
      </c>
      <c r="FZ200" s="73">
        <v>8109</v>
      </c>
      <c r="GA200" s="73">
        <v>12863</v>
      </c>
      <c r="GB200" s="73">
        <v>3433</v>
      </c>
      <c r="GC200" s="73">
        <v>26</v>
      </c>
      <c r="GD200" s="73">
        <v>6131</v>
      </c>
      <c r="GE200" s="73">
        <v>1362</v>
      </c>
      <c r="GF200" s="73">
        <v>616</v>
      </c>
      <c r="GG200" s="73">
        <v>3355</v>
      </c>
      <c r="GH200" s="73">
        <v>16</v>
      </c>
      <c r="GI200" s="73">
        <v>1034</v>
      </c>
      <c r="GJ200" s="73">
        <v>4069</v>
      </c>
      <c r="GK200" s="73">
        <v>-16</v>
      </c>
      <c r="GL200" s="73">
        <v>21012</v>
      </c>
      <c r="GM200" s="73">
        <v>2393</v>
      </c>
      <c r="GN200" s="73">
        <v>1447</v>
      </c>
      <c r="GO200" s="77">
        <v>20.25</v>
      </c>
      <c r="GP200" s="78">
        <v>2997</v>
      </c>
      <c r="GQ200" s="73">
        <v>8092</v>
      </c>
      <c r="GR200" s="65">
        <v>12809</v>
      </c>
      <c r="GS200" s="65">
        <v>3150</v>
      </c>
      <c r="GT200" s="65">
        <v>0</v>
      </c>
      <c r="GU200" s="65">
        <v>6140</v>
      </c>
      <c r="GV200" s="65">
        <v>1345</v>
      </c>
      <c r="GW200" s="65">
        <v>607</v>
      </c>
      <c r="GX200" s="65">
        <v>880</v>
      </c>
      <c r="GY200" s="65">
        <v>-778</v>
      </c>
      <c r="GZ200" s="65">
        <v>977</v>
      </c>
      <c r="HA200" s="65">
        <v>2977</v>
      </c>
      <c r="HB200" s="65">
        <v>778</v>
      </c>
      <c r="HC200" s="65">
        <v>22508</v>
      </c>
      <c r="HD200" s="65">
        <v>-25</v>
      </c>
      <c r="HE200" s="78">
        <v>2931</v>
      </c>
      <c r="HF200" s="73">
        <v>7436</v>
      </c>
      <c r="HG200" s="65">
        <v>13180</v>
      </c>
      <c r="HH200" s="65">
        <v>3257</v>
      </c>
      <c r="HI200" s="65">
        <v>19</v>
      </c>
      <c r="HJ200" s="65">
        <v>6048</v>
      </c>
      <c r="HK200" s="65">
        <v>766</v>
      </c>
      <c r="HL200" s="65">
        <v>622</v>
      </c>
      <c r="HM200" s="65">
        <v>864</v>
      </c>
      <c r="HN200" s="65">
        <v>191</v>
      </c>
      <c r="HO200" s="65">
        <v>826</v>
      </c>
      <c r="HP200" s="65">
        <v>2154</v>
      </c>
      <c r="HQ200" s="65">
        <v>-191</v>
      </c>
      <c r="HR200" s="65">
        <v>23008</v>
      </c>
      <c r="HS200" s="65">
        <v>110</v>
      </c>
      <c r="HT200" s="65">
        <v>1532</v>
      </c>
      <c r="HU200" s="77">
        <v>20</v>
      </c>
      <c r="HV200" s="180">
        <v>340</v>
      </c>
      <c r="HW200" s="30" t="s">
        <v>761</v>
      </c>
    </row>
    <row r="201" spans="1:231" ht="15" x14ac:dyDescent="0.25">
      <c r="A201" s="27">
        <v>623</v>
      </c>
      <c r="B201" s="27" t="s">
        <v>327</v>
      </c>
      <c r="C201" s="27">
        <v>10</v>
      </c>
      <c r="D201" s="27" t="s">
        <v>107</v>
      </c>
      <c r="E201" s="27">
        <v>2</v>
      </c>
      <c r="F201" s="27" t="s">
        <v>744</v>
      </c>
      <c r="G201" s="29" t="s">
        <v>130</v>
      </c>
      <c r="H201" s="27" t="s">
        <v>98</v>
      </c>
      <c r="I201" s="31" t="s">
        <v>107</v>
      </c>
      <c r="J201" s="69">
        <v>3144</v>
      </c>
      <c r="K201" s="69">
        <v>3070</v>
      </c>
      <c r="L201" s="36">
        <v>3041</v>
      </c>
      <c r="M201" s="36">
        <v>3014</v>
      </c>
      <c r="N201" s="36">
        <v>2931</v>
      </c>
      <c r="O201" s="36">
        <v>2867</v>
      </c>
      <c r="P201" s="36">
        <v>2864</v>
      </c>
      <c r="Q201" s="36">
        <v>2807</v>
      </c>
      <c r="R201" s="69">
        <v>2758</v>
      </c>
      <c r="S201" s="69">
        <v>2723</v>
      </c>
      <c r="T201" s="71">
        <v>2645</v>
      </c>
      <c r="U201" s="36">
        <v>6788</v>
      </c>
      <c r="V201" s="36">
        <v>4232</v>
      </c>
      <c r="W201" s="36">
        <v>2136</v>
      </c>
      <c r="X201" s="36">
        <v>237.14497631073056</v>
      </c>
      <c r="Y201" s="36">
        <v>6140</v>
      </c>
      <c r="Z201" s="36">
        <v>3977</v>
      </c>
      <c r="AA201" s="36">
        <v>2240</v>
      </c>
      <c r="AB201" s="36">
        <v>323.76175843840872</v>
      </c>
      <c r="AC201" s="36">
        <v>6523</v>
      </c>
      <c r="AD201" s="36">
        <v>4234</v>
      </c>
      <c r="AE201" s="36">
        <v>2008</v>
      </c>
      <c r="AF201" s="36">
        <v>231.09021095811616</v>
      </c>
      <c r="AG201" s="36">
        <v>6535</v>
      </c>
      <c r="AH201" s="36">
        <v>4134</v>
      </c>
      <c r="AI201" s="36">
        <v>2413</v>
      </c>
      <c r="AJ201" s="36">
        <v>177.10188656397111</v>
      </c>
      <c r="AK201" s="36">
        <v>5695</v>
      </c>
      <c r="AL201" s="36">
        <v>4407</v>
      </c>
      <c r="AM201" s="36">
        <v>2349</v>
      </c>
      <c r="AN201" s="36">
        <v>91</v>
      </c>
      <c r="AO201" s="36">
        <v>5819</v>
      </c>
      <c r="AP201" s="36">
        <v>6135</v>
      </c>
      <c r="AQ201" s="36">
        <v>1959</v>
      </c>
      <c r="AR201" s="36">
        <v>74</v>
      </c>
      <c r="AS201" s="36">
        <v>5982</v>
      </c>
      <c r="AT201" s="36">
        <v>6289</v>
      </c>
      <c r="AU201" s="36">
        <v>2435</v>
      </c>
      <c r="AV201" s="36">
        <v>81</v>
      </c>
      <c r="AW201" s="36">
        <v>6292</v>
      </c>
      <c r="AX201" s="69">
        <v>6310</v>
      </c>
      <c r="AY201" s="36">
        <v>2491</v>
      </c>
      <c r="AZ201" s="36">
        <v>66</v>
      </c>
      <c r="BA201" s="36">
        <v>7002</v>
      </c>
      <c r="BB201" s="36">
        <v>6488</v>
      </c>
      <c r="BC201" s="36">
        <v>3932</v>
      </c>
      <c r="BD201" s="36">
        <v>52</v>
      </c>
      <c r="BE201" s="70">
        <v>7068</v>
      </c>
      <c r="BF201" s="70">
        <v>6570</v>
      </c>
      <c r="BG201" s="70">
        <v>3420</v>
      </c>
      <c r="BH201" s="70">
        <v>73</v>
      </c>
      <c r="BI201" s="36">
        <v>8061</v>
      </c>
      <c r="BJ201" s="36">
        <v>6942</v>
      </c>
      <c r="BK201" s="36">
        <v>3107</v>
      </c>
      <c r="BL201" s="36">
        <v>78</v>
      </c>
      <c r="BM201" s="36">
        <v>3720.8214971080088</v>
      </c>
      <c r="BN201" s="36">
        <v>2636.3457472841856</v>
      </c>
      <c r="BO201" s="36">
        <v>430.89746759439117</v>
      </c>
      <c r="BP201" s="36">
        <v>3711.2347852997023</v>
      </c>
      <c r="BQ201" s="36">
        <v>1998.5771301421355</v>
      </c>
      <c r="BR201" s="36">
        <v>430.56109174146826</v>
      </c>
      <c r="BS201" s="36">
        <v>3356.3582604659141</v>
      </c>
      <c r="BT201" s="36">
        <v>2666.7877619737187</v>
      </c>
      <c r="BU201" s="36">
        <v>499.6863295171492</v>
      </c>
      <c r="BV201" s="36">
        <v>4212</v>
      </c>
      <c r="BW201" s="36">
        <v>1724</v>
      </c>
      <c r="BX201" s="36">
        <v>599</v>
      </c>
      <c r="BY201" s="36">
        <v>4517</v>
      </c>
      <c r="BZ201" s="36">
        <v>553</v>
      </c>
      <c r="CA201" s="36">
        <v>625</v>
      </c>
      <c r="CB201" s="36">
        <v>4695</v>
      </c>
      <c r="CC201" s="36">
        <v>435</v>
      </c>
      <c r="CD201" s="36">
        <v>689</v>
      </c>
      <c r="CE201" s="36">
        <v>4657</v>
      </c>
      <c r="CF201" s="36">
        <v>622</v>
      </c>
      <c r="CG201" s="36">
        <v>703</v>
      </c>
      <c r="CH201" s="36">
        <v>4665</v>
      </c>
      <c r="CI201" s="36">
        <v>874</v>
      </c>
      <c r="CJ201" s="70">
        <v>753</v>
      </c>
      <c r="CK201" s="70">
        <v>5000</v>
      </c>
      <c r="CL201" s="70">
        <v>1164</v>
      </c>
      <c r="CM201" s="36">
        <v>838</v>
      </c>
      <c r="CN201" s="36">
        <v>4834</v>
      </c>
      <c r="CO201" s="36">
        <v>1369</v>
      </c>
      <c r="CP201" s="36">
        <v>865</v>
      </c>
      <c r="CQ201" s="36">
        <v>5780</v>
      </c>
      <c r="CR201" s="36">
        <v>1297</v>
      </c>
      <c r="CS201" s="36">
        <v>984</v>
      </c>
      <c r="CT201" s="36">
        <v>1009.8003104749122</v>
      </c>
      <c r="CU201" s="36">
        <v>-555.69290899999999</v>
      </c>
      <c r="CV201" s="36">
        <v>812.68406066202124</v>
      </c>
      <c r="CW201" s="36">
        <v>388</v>
      </c>
      <c r="CX201" s="36">
        <v>-16.482416793228079</v>
      </c>
      <c r="CY201" s="36">
        <v>-790.31506640000009</v>
      </c>
      <c r="CZ201" s="36">
        <v>555.5247211023709</v>
      </c>
      <c r="DA201" s="36">
        <v>265</v>
      </c>
      <c r="DB201" s="36">
        <v>-36.16040418922487</v>
      </c>
      <c r="DC201" s="36">
        <v>-195.77074640000001</v>
      </c>
      <c r="DD201" s="36">
        <v>453.43464974023374</v>
      </c>
      <c r="DE201" s="36">
        <v>189</v>
      </c>
      <c r="DF201" s="36">
        <v>-530.96928383899035</v>
      </c>
      <c r="DG201" s="36">
        <v>-282</v>
      </c>
      <c r="DH201" s="36">
        <v>444.35250171131224</v>
      </c>
      <c r="DI201" s="36">
        <v>157</v>
      </c>
      <c r="DJ201" s="36">
        <v>-1183</v>
      </c>
      <c r="DK201" s="36">
        <v>-413</v>
      </c>
      <c r="DL201" s="36">
        <v>437</v>
      </c>
      <c r="DM201" s="36">
        <v>949</v>
      </c>
      <c r="DN201" s="36">
        <v>372</v>
      </c>
      <c r="DO201" s="69">
        <v>-811</v>
      </c>
      <c r="DP201" s="36">
        <v>464</v>
      </c>
      <c r="DQ201" s="36">
        <v>1729</v>
      </c>
      <c r="DR201" s="36">
        <v>-147</v>
      </c>
      <c r="DS201" s="36">
        <v>-1074</v>
      </c>
      <c r="DT201" s="36">
        <v>489</v>
      </c>
      <c r="DU201" s="36">
        <v>3187</v>
      </c>
      <c r="DV201" s="36">
        <v>-1082</v>
      </c>
      <c r="DW201" s="71">
        <v>-335</v>
      </c>
      <c r="DX201" s="39">
        <v>507</v>
      </c>
      <c r="DY201" s="71">
        <v>4319</v>
      </c>
      <c r="DZ201" s="70">
        <v>1513</v>
      </c>
      <c r="EA201" s="35">
        <v>1378</v>
      </c>
      <c r="EB201" s="35">
        <v>499</v>
      </c>
      <c r="EC201" s="38">
        <v>2739</v>
      </c>
      <c r="ED201" s="38">
        <v>531</v>
      </c>
      <c r="EE201" s="38">
        <v>15</v>
      </c>
      <c r="EF201" s="38">
        <v>530</v>
      </c>
      <c r="EG201" s="73">
        <v>2775</v>
      </c>
      <c r="EH201" s="73">
        <v>218</v>
      </c>
      <c r="EI201" s="73">
        <v>-500</v>
      </c>
      <c r="EJ201" s="73">
        <v>548</v>
      </c>
      <c r="EK201" s="73">
        <v>3028</v>
      </c>
      <c r="EL201" s="73">
        <v>11758.858878556544</v>
      </c>
      <c r="EM201" s="73">
        <v>4.0365102350762649</v>
      </c>
      <c r="EN201" s="73">
        <v>12198.838494179856</v>
      </c>
      <c r="EO201" s="73">
        <v>-500.35908122299531</v>
      </c>
      <c r="EP201" s="73">
        <v>12452.129511430892</v>
      </c>
      <c r="EQ201" s="73">
        <v>-489.59505392945863</v>
      </c>
      <c r="ER201" s="73">
        <v>13195.351958464309</v>
      </c>
      <c r="ES201" s="73">
        <v>-530.96928383899035</v>
      </c>
      <c r="ET201" s="73">
        <v>13667</v>
      </c>
      <c r="EU201" s="73">
        <v>-1333</v>
      </c>
      <c r="EV201" s="73">
        <v>13555</v>
      </c>
      <c r="EW201" s="73">
        <v>58</v>
      </c>
      <c r="EX201" s="73">
        <v>14871</v>
      </c>
      <c r="EY201" s="73">
        <v>-565</v>
      </c>
      <c r="EZ201" s="73">
        <v>16133</v>
      </c>
      <c r="FA201" s="73">
        <v>-1589</v>
      </c>
      <c r="FB201" s="73">
        <v>15867</v>
      </c>
      <c r="FC201" s="73">
        <v>947</v>
      </c>
      <c r="FD201" s="73">
        <v>16487</v>
      </c>
      <c r="FE201" s="73">
        <v>1</v>
      </c>
      <c r="FF201" s="73">
        <v>17860</v>
      </c>
      <c r="FG201" s="73">
        <v>-330</v>
      </c>
      <c r="FH201" s="73">
        <v>-2096</v>
      </c>
      <c r="FI201" s="73">
        <v>-2426</v>
      </c>
      <c r="FJ201" s="79">
        <v>2549</v>
      </c>
      <c r="FK201" s="80">
        <v>7817</v>
      </c>
      <c r="FL201" s="80">
        <v>6985</v>
      </c>
      <c r="FM201" s="80">
        <v>3452</v>
      </c>
      <c r="FN201" s="76">
        <v>55</v>
      </c>
      <c r="FO201" s="80">
        <v>5667</v>
      </c>
      <c r="FP201" s="80">
        <v>1084</v>
      </c>
      <c r="FQ201" s="80">
        <v>1066</v>
      </c>
      <c r="FR201" s="80">
        <v>461</v>
      </c>
      <c r="FS201" s="81">
        <v>479</v>
      </c>
      <c r="FT201" s="76">
        <v>561</v>
      </c>
      <c r="FU201" s="76">
        <v>3099</v>
      </c>
      <c r="FV201" s="76">
        <v>-479</v>
      </c>
      <c r="FW201" s="80">
        <v>17767</v>
      </c>
      <c r="FX201" s="80">
        <v>-100</v>
      </c>
      <c r="FY201" s="73">
        <v>2477</v>
      </c>
      <c r="FZ201" s="73">
        <v>8232</v>
      </c>
      <c r="GA201" s="73">
        <v>8059</v>
      </c>
      <c r="GB201" s="73">
        <v>3209</v>
      </c>
      <c r="GC201" s="73">
        <v>43</v>
      </c>
      <c r="GD201" s="73">
        <v>5555</v>
      </c>
      <c r="GE201" s="73">
        <v>1358</v>
      </c>
      <c r="GF201" s="73">
        <v>1319</v>
      </c>
      <c r="GG201" s="73">
        <v>1579</v>
      </c>
      <c r="GH201" s="73">
        <v>184</v>
      </c>
      <c r="GI201" s="73">
        <v>543</v>
      </c>
      <c r="GJ201" s="73">
        <v>2023</v>
      </c>
      <c r="GK201" s="73">
        <v>-184</v>
      </c>
      <c r="GL201" s="73">
        <v>17914</v>
      </c>
      <c r="GM201" s="73">
        <v>1036</v>
      </c>
      <c r="GN201" s="73">
        <v>-1490</v>
      </c>
      <c r="GO201" s="77">
        <v>21</v>
      </c>
      <c r="GP201" s="78">
        <v>2419</v>
      </c>
      <c r="GQ201" s="73">
        <v>8237</v>
      </c>
      <c r="GR201" s="65">
        <v>7622</v>
      </c>
      <c r="GS201" s="65">
        <v>3156</v>
      </c>
      <c r="GT201" s="65">
        <v>49</v>
      </c>
      <c r="GU201" s="65">
        <v>5559</v>
      </c>
      <c r="GV201" s="65">
        <v>1333</v>
      </c>
      <c r="GW201" s="65">
        <v>1345</v>
      </c>
      <c r="GX201" s="65">
        <v>389</v>
      </c>
      <c r="GY201" s="65">
        <v>-1475</v>
      </c>
      <c r="GZ201" s="65">
        <v>540</v>
      </c>
      <c r="HA201" s="65">
        <v>3129</v>
      </c>
      <c r="HB201" s="65">
        <v>1475</v>
      </c>
      <c r="HC201" s="65">
        <v>18622</v>
      </c>
      <c r="HD201" s="65">
        <v>-151</v>
      </c>
      <c r="HE201" s="78">
        <v>2374</v>
      </c>
      <c r="HF201" s="73">
        <v>7886</v>
      </c>
      <c r="HG201" s="65">
        <v>8455</v>
      </c>
      <c r="HH201" s="65">
        <v>2966</v>
      </c>
      <c r="HI201" s="65">
        <v>381</v>
      </c>
      <c r="HJ201" s="65">
        <v>5672</v>
      </c>
      <c r="HK201" s="65">
        <v>830</v>
      </c>
      <c r="HL201" s="65">
        <v>1384</v>
      </c>
      <c r="HM201" s="65">
        <v>624</v>
      </c>
      <c r="HN201" s="65">
        <v>-913</v>
      </c>
      <c r="HO201" s="65">
        <v>580</v>
      </c>
      <c r="HP201" s="65">
        <v>3538</v>
      </c>
      <c r="HQ201" s="65">
        <v>913</v>
      </c>
      <c r="HR201" s="65">
        <v>18682</v>
      </c>
      <c r="HS201" s="65">
        <v>341</v>
      </c>
      <c r="HT201" s="65">
        <v>-1300</v>
      </c>
      <c r="HU201" s="77">
        <v>21</v>
      </c>
      <c r="HV201" s="180">
        <v>330</v>
      </c>
      <c r="HW201" s="30" t="s">
        <v>760</v>
      </c>
    </row>
    <row r="202" spans="1:231" ht="15" x14ac:dyDescent="0.25">
      <c r="A202" s="27">
        <v>624</v>
      </c>
      <c r="B202" s="27" t="s">
        <v>328</v>
      </c>
      <c r="C202" s="27">
        <v>8</v>
      </c>
      <c r="D202" s="27" t="s">
        <v>112</v>
      </c>
      <c r="E202" s="27">
        <v>3</v>
      </c>
      <c r="F202" s="27" t="s">
        <v>743</v>
      </c>
      <c r="G202" s="29" t="s">
        <v>130</v>
      </c>
      <c r="H202" s="27" t="s">
        <v>98</v>
      </c>
      <c r="I202" s="31" t="s">
        <v>112</v>
      </c>
      <c r="J202" s="69">
        <v>5339</v>
      </c>
      <c r="K202" s="69">
        <v>5277</v>
      </c>
      <c r="L202" s="36">
        <v>5253</v>
      </c>
      <c r="M202" s="36">
        <v>5209</v>
      </c>
      <c r="N202" s="36">
        <v>5222</v>
      </c>
      <c r="O202" s="36">
        <v>5209</v>
      </c>
      <c r="P202" s="36">
        <v>5167</v>
      </c>
      <c r="Q202" s="36">
        <v>5138</v>
      </c>
      <c r="R202" s="69">
        <v>5141</v>
      </c>
      <c r="S202" s="69">
        <v>5140</v>
      </c>
      <c r="T202" s="71">
        <v>5123</v>
      </c>
      <c r="U202" s="36">
        <v>10311</v>
      </c>
      <c r="V202" s="36">
        <v>3480</v>
      </c>
      <c r="W202" s="36">
        <v>1514</v>
      </c>
      <c r="X202" s="36">
        <v>118.23611230244227</v>
      </c>
      <c r="Y202" s="36">
        <v>10899</v>
      </c>
      <c r="Z202" s="36">
        <v>3501</v>
      </c>
      <c r="AA202" s="36">
        <v>1401</v>
      </c>
      <c r="AB202" s="36">
        <v>186.85678629873874</v>
      </c>
      <c r="AC202" s="36">
        <v>10483</v>
      </c>
      <c r="AD202" s="36">
        <v>3461</v>
      </c>
      <c r="AE202" s="36">
        <v>1446</v>
      </c>
      <c r="AF202" s="36">
        <v>20.518927028304347</v>
      </c>
      <c r="AG202" s="36">
        <v>11470</v>
      </c>
      <c r="AH202" s="36">
        <v>4648</v>
      </c>
      <c r="AI202" s="36">
        <v>1380</v>
      </c>
      <c r="AJ202" s="36">
        <v>104.27651440613684</v>
      </c>
      <c r="AK202" s="36">
        <v>12357</v>
      </c>
      <c r="AL202" s="36">
        <v>4815</v>
      </c>
      <c r="AM202" s="36">
        <v>1526</v>
      </c>
      <c r="AN202" s="36">
        <v>118</v>
      </c>
      <c r="AO202" s="36">
        <v>12148</v>
      </c>
      <c r="AP202" s="36">
        <v>4718</v>
      </c>
      <c r="AQ202" s="36">
        <v>1697</v>
      </c>
      <c r="AR202" s="36">
        <v>2656</v>
      </c>
      <c r="AS202" s="36">
        <v>12425</v>
      </c>
      <c r="AT202" s="36">
        <v>4665</v>
      </c>
      <c r="AU202" s="36">
        <v>2068</v>
      </c>
      <c r="AV202" s="36">
        <v>77</v>
      </c>
      <c r="AW202" s="36">
        <v>12598</v>
      </c>
      <c r="AX202" s="69">
        <v>4721</v>
      </c>
      <c r="AY202" s="36">
        <v>2562</v>
      </c>
      <c r="AZ202" s="36">
        <v>67</v>
      </c>
      <c r="BA202" s="36">
        <v>14031</v>
      </c>
      <c r="BB202" s="36">
        <v>4872</v>
      </c>
      <c r="BC202" s="36">
        <v>2330</v>
      </c>
      <c r="BD202" s="36">
        <v>41</v>
      </c>
      <c r="BE202" s="70">
        <v>14821</v>
      </c>
      <c r="BF202" s="70">
        <v>4986</v>
      </c>
      <c r="BG202" s="70">
        <v>2749</v>
      </c>
      <c r="BH202" s="70">
        <v>154</v>
      </c>
      <c r="BI202" s="36">
        <v>15771</v>
      </c>
      <c r="BJ202" s="36">
        <v>5937</v>
      </c>
      <c r="BK202" s="36">
        <v>2489</v>
      </c>
      <c r="BL202" s="36">
        <v>27</v>
      </c>
      <c r="BM202" s="36">
        <v>9074.9159480837498</v>
      </c>
      <c r="BN202" s="36">
        <v>897.2825876721613</v>
      </c>
      <c r="BO202" s="36">
        <v>339.23504767286772</v>
      </c>
      <c r="BP202" s="36">
        <v>9639.5228172150437</v>
      </c>
      <c r="BQ202" s="36">
        <v>737.16768168080273</v>
      </c>
      <c r="BR202" s="36">
        <v>522.72807544237617</v>
      </c>
      <c r="BS202" s="36">
        <v>9002.7633276317629</v>
      </c>
      <c r="BT202" s="36">
        <v>939.1613813610777</v>
      </c>
      <c r="BU202" s="36">
        <v>540.8923715002195</v>
      </c>
      <c r="BV202" s="36">
        <v>10320</v>
      </c>
      <c r="BW202" s="36">
        <v>584</v>
      </c>
      <c r="BX202" s="36">
        <v>566</v>
      </c>
      <c r="BY202" s="36">
        <v>11370</v>
      </c>
      <c r="BZ202" s="36">
        <v>418</v>
      </c>
      <c r="CA202" s="36">
        <v>569</v>
      </c>
      <c r="CB202" s="36">
        <v>11338</v>
      </c>
      <c r="CC202" s="36">
        <v>233</v>
      </c>
      <c r="CD202" s="36">
        <v>577</v>
      </c>
      <c r="CE202" s="36">
        <v>11510</v>
      </c>
      <c r="CF202" s="36">
        <v>334</v>
      </c>
      <c r="CG202" s="36">
        <v>581</v>
      </c>
      <c r="CH202" s="36">
        <v>11479</v>
      </c>
      <c r="CI202" s="36">
        <v>514</v>
      </c>
      <c r="CJ202" s="70">
        <v>605</v>
      </c>
      <c r="CK202" s="70">
        <v>12681</v>
      </c>
      <c r="CL202" s="70">
        <v>567</v>
      </c>
      <c r="CM202" s="36">
        <v>783</v>
      </c>
      <c r="CN202" s="36">
        <v>13452</v>
      </c>
      <c r="CO202" s="36">
        <v>567</v>
      </c>
      <c r="CP202" s="36">
        <v>802</v>
      </c>
      <c r="CQ202" s="36">
        <v>14356</v>
      </c>
      <c r="CR202" s="36">
        <v>568</v>
      </c>
      <c r="CS202" s="36">
        <v>847</v>
      </c>
      <c r="CT202" s="36">
        <v>149.18269077136031</v>
      </c>
      <c r="CU202" s="36">
        <v>-480.17653000000001</v>
      </c>
      <c r="CV202" s="36">
        <v>614.55868329036127</v>
      </c>
      <c r="CW202" s="36">
        <v>5327</v>
      </c>
      <c r="CX202" s="36">
        <v>947.23440183123012</v>
      </c>
      <c r="CY202" s="36">
        <v>-232.26752640000001</v>
      </c>
      <c r="CZ202" s="36">
        <v>613.38136780513071</v>
      </c>
      <c r="DA202" s="36">
        <v>4841</v>
      </c>
      <c r="DB202" s="36">
        <v>-421.31075578608511</v>
      </c>
      <c r="DC202" s="36">
        <v>-415.59236629999998</v>
      </c>
      <c r="DD202" s="36">
        <v>640.62781189189548</v>
      </c>
      <c r="DE202" s="36">
        <v>5285</v>
      </c>
      <c r="DF202" s="36">
        <v>1230.6310579188762</v>
      </c>
      <c r="DG202" s="36">
        <v>2070</v>
      </c>
      <c r="DH202" s="36">
        <v>683.17935728665782</v>
      </c>
      <c r="DI202" s="36">
        <v>4428</v>
      </c>
      <c r="DJ202" s="36">
        <v>2684</v>
      </c>
      <c r="DK202" s="36">
        <v>-916</v>
      </c>
      <c r="DL202" s="36">
        <v>678</v>
      </c>
      <c r="DM202" s="36">
        <v>3293</v>
      </c>
      <c r="DN202" s="36">
        <v>1061</v>
      </c>
      <c r="DO202" s="69">
        <v>866</v>
      </c>
      <c r="DP202" s="36">
        <v>654</v>
      </c>
      <c r="DQ202" s="36">
        <v>2196</v>
      </c>
      <c r="DR202" s="36">
        <v>241</v>
      </c>
      <c r="DS202" s="36">
        <v>-1623</v>
      </c>
      <c r="DT202" s="36">
        <v>588</v>
      </c>
      <c r="DU202" s="36">
        <v>3161</v>
      </c>
      <c r="DV202" s="36">
        <v>-5</v>
      </c>
      <c r="DW202" s="71">
        <v>-1276</v>
      </c>
      <c r="DX202" s="39">
        <v>1505</v>
      </c>
      <c r="DY202" s="71">
        <v>5575</v>
      </c>
      <c r="DZ202" s="70">
        <v>461</v>
      </c>
      <c r="EA202" s="35">
        <v>-4567</v>
      </c>
      <c r="EB202" s="35">
        <v>1580</v>
      </c>
      <c r="EC202" s="38">
        <v>9714</v>
      </c>
      <c r="ED202" s="38">
        <v>759</v>
      </c>
      <c r="EE202" s="38">
        <v>-1272</v>
      </c>
      <c r="EF202" s="38">
        <v>584</v>
      </c>
      <c r="EG202" s="73">
        <v>10505</v>
      </c>
      <c r="EH202" s="73">
        <v>534</v>
      </c>
      <c r="EI202" s="73">
        <v>-600</v>
      </c>
      <c r="EJ202" s="73">
        <v>839</v>
      </c>
      <c r="EK202" s="73">
        <v>9182</v>
      </c>
      <c r="EL202" s="73">
        <v>14128.963138252157</v>
      </c>
      <c r="EM202" s="73">
        <v>-423.16082297716173</v>
      </c>
      <c r="EN202" s="73">
        <v>13996.599240126949</v>
      </c>
      <c r="EO202" s="73">
        <v>381.78659306763001</v>
      </c>
      <c r="EP202" s="73">
        <v>14741.167190572058</v>
      </c>
      <c r="EQ202" s="73">
        <v>-1028.8055461650629</v>
      </c>
      <c r="ER202" s="73">
        <v>15224.202915369515</v>
      </c>
      <c r="ES202" s="73">
        <v>618.59519352543759</v>
      </c>
      <c r="ET202" s="73">
        <v>15971</v>
      </c>
      <c r="EU202" s="73">
        <v>2091</v>
      </c>
      <c r="EV202" s="73">
        <v>17532</v>
      </c>
      <c r="EW202" s="73">
        <v>2928</v>
      </c>
      <c r="EX202" s="73">
        <v>18894</v>
      </c>
      <c r="EY202" s="73">
        <v>-347</v>
      </c>
      <c r="EZ202" s="73">
        <v>19800</v>
      </c>
      <c r="FA202" s="73">
        <v>-1510</v>
      </c>
      <c r="FB202" s="73">
        <v>20581</v>
      </c>
      <c r="FC202" s="73">
        <v>-1135</v>
      </c>
      <c r="FD202" s="73">
        <v>21496</v>
      </c>
      <c r="FE202" s="73">
        <v>175</v>
      </c>
      <c r="FF202" s="73">
        <v>23259</v>
      </c>
      <c r="FG202" s="73">
        <v>-305</v>
      </c>
      <c r="FH202" s="73">
        <v>565</v>
      </c>
      <c r="FI202" s="73">
        <v>260</v>
      </c>
      <c r="FJ202" s="79">
        <v>5146</v>
      </c>
      <c r="FK202" s="80">
        <v>16463</v>
      </c>
      <c r="FL202" s="80">
        <v>6530</v>
      </c>
      <c r="FM202" s="80">
        <v>2539</v>
      </c>
      <c r="FN202" s="76">
        <v>22</v>
      </c>
      <c r="FO202" s="80">
        <v>14974</v>
      </c>
      <c r="FP202" s="80">
        <v>471</v>
      </c>
      <c r="FQ202" s="80">
        <v>1018</v>
      </c>
      <c r="FR202" s="80">
        <v>1346</v>
      </c>
      <c r="FS202" s="81">
        <v>-648</v>
      </c>
      <c r="FT202" s="76">
        <v>900</v>
      </c>
      <c r="FU202" s="76">
        <v>9859</v>
      </c>
      <c r="FV202" s="76">
        <v>648</v>
      </c>
      <c r="FW202" s="80">
        <v>23937</v>
      </c>
      <c r="FX202" s="80">
        <v>446</v>
      </c>
      <c r="FY202" s="73">
        <v>5355</v>
      </c>
      <c r="FZ202" s="73">
        <v>17061</v>
      </c>
      <c r="GA202" s="73">
        <v>7528</v>
      </c>
      <c r="GB202" s="73">
        <v>3095</v>
      </c>
      <c r="GC202" s="73">
        <v>14</v>
      </c>
      <c r="GD202" s="73">
        <v>14887</v>
      </c>
      <c r="GE202" s="73">
        <v>567</v>
      </c>
      <c r="GF202" s="73">
        <v>1607</v>
      </c>
      <c r="GG202" s="73">
        <v>2526</v>
      </c>
      <c r="GH202" s="73">
        <v>-1530</v>
      </c>
      <c r="GI202" s="73">
        <v>948</v>
      </c>
      <c r="GJ202" s="73">
        <v>9472</v>
      </c>
      <c r="GK202" s="73">
        <v>1530</v>
      </c>
      <c r="GL202" s="73">
        <v>24952</v>
      </c>
      <c r="GM202" s="73">
        <v>1556</v>
      </c>
      <c r="GN202" s="73">
        <v>2262</v>
      </c>
      <c r="GO202" s="77">
        <v>19.75</v>
      </c>
      <c r="GP202" s="78">
        <v>5372</v>
      </c>
      <c r="GQ202" s="73">
        <v>17627</v>
      </c>
      <c r="GR202" s="65">
        <v>8234</v>
      </c>
      <c r="GS202" s="65">
        <v>2699</v>
      </c>
      <c r="GT202" s="65">
        <v>17</v>
      </c>
      <c r="GU202" s="65">
        <v>15452</v>
      </c>
      <c r="GV202" s="65">
        <v>587</v>
      </c>
      <c r="GW202" s="65">
        <v>1588</v>
      </c>
      <c r="GX202" s="65">
        <v>1091</v>
      </c>
      <c r="GY202" s="65">
        <v>-4060</v>
      </c>
      <c r="GZ202" s="65">
        <v>926</v>
      </c>
      <c r="HA202" s="65">
        <v>12303</v>
      </c>
      <c r="HB202" s="65">
        <v>4060</v>
      </c>
      <c r="HC202" s="65">
        <v>27222</v>
      </c>
      <c r="HD202" s="65">
        <v>170</v>
      </c>
      <c r="HE202" s="78">
        <v>5377</v>
      </c>
      <c r="HF202" s="73">
        <v>18281</v>
      </c>
      <c r="HG202" s="65">
        <v>8932</v>
      </c>
      <c r="HH202" s="65">
        <v>3642</v>
      </c>
      <c r="HI202" s="65">
        <v>12</v>
      </c>
      <c r="HJ202" s="65">
        <v>16255</v>
      </c>
      <c r="HK202" s="65">
        <v>387</v>
      </c>
      <c r="HL202" s="65">
        <v>1639</v>
      </c>
      <c r="HM202" s="65">
        <v>1645</v>
      </c>
      <c r="HN202" s="65">
        <v>-1312</v>
      </c>
      <c r="HO202" s="65">
        <v>1082</v>
      </c>
      <c r="HP202" s="65">
        <v>13393</v>
      </c>
      <c r="HQ202" s="65">
        <v>1312</v>
      </c>
      <c r="HR202" s="65">
        <v>29036</v>
      </c>
      <c r="HS202" s="65">
        <v>563</v>
      </c>
      <c r="HT202" s="65">
        <v>2995</v>
      </c>
      <c r="HU202" s="77">
        <v>19.75</v>
      </c>
      <c r="HV202" s="180">
        <v>340</v>
      </c>
      <c r="HW202" s="30" t="s">
        <v>761</v>
      </c>
    </row>
    <row r="203" spans="1:231" ht="15" x14ac:dyDescent="0.25">
      <c r="A203" s="32">
        <v>625</v>
      </c>
      <c r="B203" s="32" t="s">
        <v>329</v>
      </c>
      <c r="C203" s="32">
        <v>17</v>
      </c>
      <c r="D203" s="32" t="s">
        <v>117</v>
      </c>
      <c r="E203" s="27">
        <v>2</v>
      </c>
      <c r="F203" s="27" t="s">
        <v>744</v>
      </c>
      <c r="G203" s="43" t="s">
        <v>130</v>
      </c>
      <c r="H203" s="32" t="s">
        <v>98</v>
      </c>
      <c r="I203" s="33" t="s">
        <v>117</v>
      </c>
      <c r="J203" s="69">
        <v>3702</v>
      </c>
      <c r="K203" s="69">
        <v>3672</v>
      </c>
      <c r="L203" s="36">
        <v>3617</v>
      </c>
      <c r="M203" s="36">
        <v>3564</v>
      </c>
      <c r="N203" s="36">
        <v>3578</v>
      </c>
      <c r="O203" s="36">
        <v>3554</v>
      </c>
      <c r="P203" s="36">
        <v>3502</v>
      </c>
      <c r="Q203" s="36">
        <v>3478</v>
      </c>
      <c r="R203" s="69">
        <v>3430</v>
      </c>
      <c r="S203" s="69">
        <v>3400</v>
      </c>
      <c r="T203" s="71">
        <v>3353</v>
      </c>
      <c r="U203" s="36">
        <v>6031</v>
      </c>
      <c r="V203" s="36">
        <v>4552</v>
      </c>
      <c r="W203" s="36">
        <v>1887</v>
      </c>
      <c r="X203" s="36">
        <v>156.07839575628225</v>
      </c>
      <c r="Y203" s="36">
        <v>6112</v>
      </c>
      <c r="Z203" s="36">
        <v>4858</v>
      </c>
      <c r="AA203" s="36">
        <v>1984</v>
      </c>
      <c r="AB203" s="36">
        <v>426.35639357993045</v>
      </c>
      <c r="AC203" s="36">
        <v>5981</v>
      </c>
      <c r="AD203" s="36">
        <v>4968</v>
      </c>
      <c r="AE203" s="36">
        <v>2124</v>
      </c>
      <c r="AF203" s="36">
        <v>301.72914007195078</v>
      </c>
      <c r="AG203" s="36">
        <v>6736</v>
      </c>
      <c r="AH203" s="36">
        <v>5502</v>
      </c>
      <c r="AI203" s="36">
        <v>2309</v>
      </c>
      <c r="AJ203" s="36">
        <v>402.4737080223959</v>
      </c>
      <c r="AK203" s="36">
        <v>7069</v>
      </c>
      <c r="AL203" s="36">
        <v>5766</v>
      </c>
      <c r="AM203" s="36">
        <v>2354</v>
      </c>
      <c r="AN203" s="36">
        <v>241</v>
      </c>
      <c r="AO203" s="36">
        <v>6460</v>
      </c>
      <c r="AP203" s="36">
        <v>5716</v>
      </c>
      <c r="AQ203" s="36">
        <v>2373</v>
      </c>
      <c r="AR203" s="36">
        <v>563</v>
      </c>
      <c r="AS203" s="36">
        <v>6826</v>
      </c>
      <c r="AT203" s="36">
        <v>6018</v>
      </c>
      <c r="AU203" s="36">
        <v>1697</v>
      </c>
      <c r="AV203" s="36">
        <v>345</v>
      </c>
      <c r="AW203" s="36">
        <v>7012</v>
      </c>
      <c r="AX203" s="69">
        <v>6445</v>
      </c>
      <c r="AY203" s="36">
        <v>1725</v>
      </c>
      <c r="AZ203" s="36">
        <v>471</v>
      </c>
      <c r="BA203" s="36">
        <v>7569</v>
      </c>
      <c r="BB203" s="36">
        <v>6544</v>
      </c>
      <c r="BC203" s="36">
        <v>2028</v>
      </c>
      <c r="BD203" s="36">
        <v>493</v>
      </c>
      <c r="BE203" s="70">
        <v>8251</v>
      </c>
      <c r="BF203" s="70">
        <v>6664</v>
      </c>
      <c r="BG203" s="70">
        <v>1901</v>
      </c>
      <c r="BH203" s="70">
        <v>693</v>
      </c>
      <c r="BI203" s="36">
        <v>8793</v>
      </c>
      <c r="BJ203" s="36">
        <v>7042</v>
      </c>
      <c r="BK203" s="36">
        <v>2128</v>
      </c>
      <c r="BL203" s="36">
        <v>0</v>
      </c>
      <c r="BM203" s="36">
        <v>5344.8441150203589</v>
      </c>
      <c r="BN203" s="36">
        <v>556.3656607346785</v>
      </c>
      <c r="BO203" s="36">
        <v>129.5047033753635</v>
      </c>
      <c r="BP203" s="36">
        <v>5497.7269401738722</v>
      </c>
      <c r="BQ203" s="36">
        <v>480.8492817534601</v>
      </c>
      <c r="BR203" s="36">
        <v>133.20483775751674</v>
      </c>
      <c r="BS203" s="36">
        <v>5205.4163239837662</v>
      </c>
      <c r="BT203" s="36">
        <v>611.02673683466958</v>
      </c>
      <c r="BU203" s="36">
        <v>164.65598000581929</v>
      </c>
      <c r="BV203" s="36">
        <v>6031</v>
      </c>
      <c r="BW203" s="36">
        <v>524</v>
      </c>
      <c r="BX203" s="36">
        <v>181</v>
      </c>
      <c r="BY203" s="36">
        <v>6489</v>
      </c>
      <c r="BZ203" s="36">
        <v>395</v>
      </c>
      <c r="CA203" s="36">
        <v>185</v>
      </c>
      <c r="CB203" s="36">
        <v>6061</v>
      </c>
      <c r="CC203" s="36">
        <v>214</v>
      </c>
      <c r="CD203" s="36">
        <v>185</v>
      </c>
      <c r="CE203" s="36">
        <v>6387</v>
      </c>
      <c r="CF203" s="36">
        <v>264</v>
      </c>
      <c r="CG203" s="36">
        <v>175</v>
      </c>
      <c r="CH203" s="36">
        <v>6468</v>
      </c>
      <c r="CI203" s="36">
        <v>307</v>
      </c>
      <c r="CJ203" s="70">
        <v>237</v>
      </c>
      <c r="CK203" s="70">
        <v>6985</v>
      </c>
      <c r="CL203" s="70">
        <v>247</v>
      </c>
      <c r="CM203" s="36">
        <v>337</v>
      </c>
      <c r="CN203" s="36">
        <v>7625</v>
      </c>
      <c r="CO203" s="36">
        <v>373</v>
      </c>
      <c r="CP203" s="36">
        <v>253</v>
      </c>
      <c r="CQ203" s="36">
        <v>8169</v>
      </c>
      <c r="CR203" s="36">
        <v>355</v>
      </c>
      <c r="CS203" s="36">
        <v>269</v>
      </c>
      <c r="CT203" s="36">
        <v>298.02900568979754</v>
      </c>
      <c r="CU203" s="36">
        <v>-566.79331219999995</v>
      </c>
      <c r="CV203" s="36">
        <v>334.18940987902243</v>
      </c>
      <c r="CW203" s="36">
        <v>4053</v>
      </c>
      <c r="CX203" s="36">
        <v>879.28647954077962</v>
      </c>
      <c r="CY203" s="36">
        <v>5312.8884090000001</v>
      </c>
      <c r="CZ203" s="36">
        <v>376.90914320024621</v>
      </c>
      <c r="DA203" s="36">
        <v>3673</v>
      </c>
      <c r="DB203" s="36">
        <v>171.04712121135671</v>
      </c>
      <c r="DC203" s="36">
        <v>-1022.582593</v>
      </c>
      <c r="DD203" s="36">
        <v>359.41759884824904</v>
      </c>
      <c r="DE203" s="36">
        <v>4333</v>
      </c>
      <c r="DF203" s="36">
        <v>561.74767438144681</v>
      </c>
      <c r="DG203" s="36">
        <v>-994</v>
      </c>
      <c r="DH203" s="36">
        <v>417.9469972568549</v>
      </c>
      <c r="DI203" s="36">
        <v>4744</v>
      </c>
      <c r="DJ203" s="36">
        <v>801</v>
      </c>
      <c r="DK203" s="36">
        <v>-1002</v>
      </c>
      <c r="DL203" s="36">
        <v>511</v>
      </c>
      <c r="DM203" s="36">
        <v>5273</v>
      </c>
      <c r="DN203" s="36">
        <v>-102</v>
      </c>
      <c r="DO203" s="69">
        <v>-512</v>
      </c>
      <c r="DP203" s="36">
        <v>584</v>
      </c>
      <c r="DQ203" s="36">
        <v>6666</v>
      </c>
      <c r="DR203" s="36">
        <v>40</v>
      </c>
      <c r="DS203" s="36">
        <v>-849</v>
      </c>
      <c r="DT203" s="36">
        <v>584</v>
      </c>
      <c r="DU203" s="36">
        <v>7784</v>
      </c>
      <c r="DV203" s="36">
        <v>317</v>
      </c>
      <c r="DW203" s="71">
        <v>-175</v>
      </c>
      <c r="DX203" s="39">
        <v>466</v>
      </c>
      <c r="DY203" s="71">
        <v>7940</v>
      </c>
      <c r="DZ203" s="70">
        <v>912</v>
      </c>
      <c r="EA203" s="35">
        <v>-228</v>
      </c>
      <c r="EB203" s="35">
        <v>444</v>
      </c>
      <c r="EC203" s="38">
        <v>7980</v>
      </c>
      <c r="ED203" s="38">
        <v>793</v>
      </c>
      <c r="EE203" s="38">
        <v>-589</v>
      </c>
      <c r="EF203" s="38">
        <v>443</v>
      </c>
      <c r="EG203" s="73">
        <v>7962</v>
      </c>
      <c r="EH203" s="73">
        <v>114</v>
      </c>
      <c r="EI203" s="73">
        <v>-774</v>
      </c>
      <c r="EJ203" s="73">
        <v>434</v>
      </c>
      <c r="EK203" s="73">
        <v>7580</v>
      </c>
      <c r="EL203" s="73">
        <v>11588.820884903957</v>
      </c>
      <c r="EM203" s="73">
        <v>-35.151276630455804</v>
      </c>
      <c r="EN203" s="73">
        <v>11791.319148363615</v>
      </c>
      <c r="EO203" s="73">
        <v>6801.856121956429</v>
      </c>
      <c r="EP203" s="73">
        <v>12182.356077386628</v>
      </c>
      <c r="EQ203" s="73">
        <v>-188.37047763689236</v>
      </c>
      <c r="ER203" s="73">
        <v>13343.693709603362</v>
      </c>
      <c r="ES203" s="73">
        <v>143.80067712459194</v>
      </c>
      <c r="ET203" s="73">
        <v>14066</v>
      </c>
      <c r="EU203" s="73">
        <v>290</v>
      </c>
      <c r="EV203" s="73">
        <v>15002</v>
      </c>
      <c r="EW203" s="73">
        <v>-686</v>
      </c>
      <c r="EX203" s="73">
        <v>14672</v>
      </c>
      <c r="EY203" s="73">
        <v>-544</v>
      </c>
      <c r="EZ203" s="73">
        <v>15085</v>
      </c>
      <c r="FA203" s="73">
        <v>-149</v>
      </c>
      <c r="FB203" s="73">
        <v>15595</v>
      </c>
      <c r="FC203" s="73">
        <v>468</v>
      </c>
      <c r="FD203" s="73">
        <v>16040</v>
      </c>
      <c r="FE203" s="73">
        <v>350</v>
      </c>
      <c r="FF203" s="73">
        <v>16642</v>
      </c>
      <c r="FG203" s="73">
        <v>-320</v>
      </c>
      <c r="FH203" s="73">
        <v>6596</v>
      </c>
      <c r="FI203" s="73">
        <v>6276</v>
      </c>
      <c r="FJ203" s="79">
        <v>3373</v>
      </c>
      <c r="FK203" s="80">
        <v>8550</v>
      </c>
      <c r="FL203" s="80">
        <v>7423</v>
      </c>
      <c r="FM203" s="80">
        <v>2035</v>
      </c>
      <c r="FN203" s="76">
        <v>305</v>
      </c>
      <c r="FO203" s="80">
        <v>8006</v>
      </c>
      <c r="FP203" s="80">
        <v>264</v>
      </c>
      <c r="FQ203" s="80">
        <v>280</v>
      </c>
      <c r="FR203" s="80">
        <v>930</v>
      </c>
      <c r="FS203" s="81">
        <v>-2494</v>
      </c>
      <c r="FT203" s="76">
        <v>420</v>
      </c>
      <c r="FU203" s="76">
        <v>8550</v>
      </c>
      <c r="FV203" s="76">
        <v>2494</v>
      </c>
      <c r="FW203" s="80">
        <v>17383</v>
      </c>
      <c r="FX203" s="80">
        <v>510</v>
      </c>
      <c r="FY203" s="73">
        <v>3393</v>
      </c>
      <c r="FZ203" s="73">
        <v>8399</v>
      </c>
      <c r="GA203" s="73">
        <v>8030</v>
      </c>
      <c r="GB203" s="73">
        <v>2256</v>
      </c>
      <c r="GC203" s="73">
        <v>348</v>
      </c>
      <c r="GD203" s="73">
        <v>7715</v>
      </c>
      <c r="GE203" s="73">
        <v>369</v>
      </c>
      <c r="GF203" s="73">
        <v>315</v>
      </c>
      <c r="GG203" s="73">
        <v>1170</v>
      </c>
      <c r="GH203" s="73">
        <v>-939</v>
      </c>
      <c r="GI203" s="73">
        <v>483</v>
      </c>
      <c r="GJ203" s="73">
        <v>8849</v>
      </c>
      <c r="GK203" s="73">
        <v>939</v>
      </c>
      <c r="GL203" s="73">
        <v>17773</v>
      </c>
      <c r="GM203" s="73">
        <v>687</v>
      </c>
      <c r="GN203" s="73">
        <v>7473</v>
      </c>
      <c r="GO203" s="77">
        <v>19.75</v>
      </c>
      <c r="GP203" s="78">
        <v>3361</v>
      </c>
      <c r="GQ203" s="73">
        <v>9028</v>
      </c>
      <c r="GR203" s="65">
        <v>8636</v>
      </c>
      <c r="GS203" s="65">
        <v>2107</v>
      </c>
      <c r="GT203" s="65">
        <v>22</v>
      </c>
      <c r="GU203" s="65">
        <v>8219</v>
      </c>
      <c r="GV203" s="65">
        <v>435</v>
      </c>
      <c r="GW203" s="65">
        <v>374</v>
      </c>
      <c r="GX203" s="65">
        <v>893</v>
      </c>
      <c r="GY203" s="65">
        <v>-627</v>
      </c>
      <c r="GZ203" s="65">
        <v>549</v>
      </c>
      <c r="HA203" s="65">
        <v>9049</v>
      </c>
      <c r="HB203" s="65">
        <v>627</v>
      </c>
      <c r="HC203" s="65">
        <v>18832</v>
      </c>
      <c r="HD203" s="65">
        <v>344</v>
      </c>
      <c r="HE203" s="78">
        <v>3311</v>
      </c>
      <c r="HF203" s="73">
        <v>9128</v>
      </c>
      <c r="HG203" s="65">
        <v>8897</v>
      </c>
      <c r="HH203" s="65">
        <v>2482</v>
      </c>
      <c r="HI203" s="65">
        <v>271</v>
      </c>
      <c r="HJ203" s="65">
        <v>8444</v>
      </c>
      <c r="HK203" s="65">
        <v>293</v>
      </c>
      <c r="HL203" s="65">
        <v>391</v>
      </c>
      <c r="HM203" s="65">
        <v>760</v>
      </c>
      <c r="HN203" s="65">
        <v>-1767</v>
      </c>
      <c r="HO203" s="65">
        <v>600</v>
      </c>
      <c r="HP203" s="65">
        <v>10848</v>
      </c>
      <c r="HQ203" s="65">
        <v>1767</v>
      </c>
      <c r="HR203" s="65">
        <v>20014</v>
      </c>
      <c r="HS203" s="65">
        <v>160</v>
      </c>
      <c r="HT203" s="65">
        <v>7977</v>
      </c>
      <c r="HU203" s="77">
        <v>19.75</v>
      </c>
      <c r="HV203" s="180">
        <v>330</v>
      </c>
      <c r="HW203" s="30" t="s">
        <v>760</v>
      </c>
    </row>
    <row r="204" spans="1:231" ht="15" x14ac:dyDescent="0.25">
      <c r="A204" s="27">
        <v>626</v>
      </c>
      <c r="B204" s="27" t="s">
        <v>330</v>
      </c>
      <c r="C204" s="27">
        <v>17</v>
      </c>
      <c r="D204" s="27" t="s">
        <v>117</v>
      </c>
      <c r="E204" s="27">
        <v>3</v>
      </c>
      <c r="F204" s="27" t="s">
        <v>743</v>
      </c>
      <c r="G204" s="29" t="s">
        <v>130</v>
      </c>
      <c r="H204" s="27" t="s">
        <v>98</v>
      </c>
      <c r="I204" s="31" t="s">
        <v>117</v>
      </c>
      <c r="J204" s="69">
        <v>7058</v>
      </c>
      <c r="K204" s="69">
        <v>6860</v>
      </c>
      <c r="L204" s="36">
        <v>6734</v>
      </c>
      <c r="M204" s="36">
        <v>6600</v>
      </c>
      <c r="N204" s="36">
        <v>6445</v>
      </c>
      <c r="O204" s="36">
        <v>6321</v>
      </c>
      <c r="P204" s="36">
        <v>6285</v>
      </c>
      <c r="Q204" s="36">
        <v>6271</v>
      </c>
      <c r="R204" s="69">
        <v>6244</v>
      </c>
      <c r="S204" s="69">
        <v>6124</v>
      </c>
      <c r="T204" s="71">
        <v>6081</v>
      </c>
      <c r="U204" s="36">
        <v>12457</v>
      </c>
      <c r="V204" s="36">
        <v>8960</v>
      </c>
      <c r="W204" s="36">
        <v>5997</v>
      </c>
      <c r="X204" s="36">
        <v>558.21572792575512</v>
      </c>
      <c r="Y204" s="36">
        <v>11716</v>
      </c>
      <c r="Z204" s="36">
        <v>9263</v>
      </c>
      <c r="AA204" s="36">
        <v>6207</v>
      </c>
      <c r="AB204" s="36">
        <v>1144.8552154235056</v>
      </c>
      <c r="AC204" s="36">
        <v>11458</v>
      </c>
      <c r="AD204" s="36">
        <v>9655</v>
      </c>
      <c r="AE204" s="36">
        <v>6102</v>
      </c>
      <c r="AF204" s="36">
        <v>540.38780772083499</v>
      </c>
      <c r="AG204" s="36">
        <v>14026</v>
      </c>
      <c r="AH204" s="36">
        <v>11495</v>
      </c>
      <c r="AI204" s="36">
        <v>6389</v>
      </c>
      <c r="AJ204" s="36">
        <v>385.15035159686028</v>
      </c>
      <c r="AK204" s="36">
        <v>13205</v>
      </c>
      <c r="AL204" s="36">
        <v>11302</v>
      </c>
      <c r="AM204" s="36">
        <v>6543</v>
      </c>
      <c r="AN204" s="36">
        <v>161</v>
      </c>
      <c r="AO204" s="36">
        <v>12486</v>
      </c>
      <c r="AP204" s="36">
        <v>12017</v>
      </c>
      <c r="AQ204" s="36">
        <v>6199</v>
      </c>
      <c r="AR204" s="36">
        <v>634</v>
      </c>
      <c r="AS204" s="36">
        <v>12552</v>
      </c>
      <c r="AT204" s="36">
        <v>12230</v>
      </c>
      <c r="AU204" s="36">
        <v>7209</v>
      </c>
      <c r="AV204" s="36">
        <v>737</v>
      </c>
      <c r="AW204" s="36">
        <v>13149</v>
      </c>
      <c r="AX204" s="69">
        <v>12598</v>
      </c>
      <c r="AY204" s="36">
        <v>7318</v>
      </c>
      <c r="AZ204" s="36">
        <v>772</v>
      </c>
      <c r="BA204" s="36">
        <v>13895</v>
      </c>
      <c r="BB204" s="36">
        <v>12954</v>
      </c>
      <c r="BC204" s="36">
        <v>7469</v>
      </c>
      <c r="BD204" s="36">
        <v>622</v>
      </c>
      <c r="BE204" s="70">
        <v>16067</v>
      </c>
      <c r="BF204" s="70">
        <v>14345</v>
      </c>
      <c r="BG204" s="70">
        <v>7592</v>
      </c>
      <c r="BH204" s="70">
        <v>315</v>
      </c>
      <c r="BI204" s="36">
        <v>17927</v>
      </c>
      <c r="BJ204" s="36">
        <v>15810</v>
      </c>
      <c r="BK204" s="36">
        <v>8123</v>
      </c>
      <c r="BL204" s="36">
        <v>0</v>
      </c>
      <c r="BM204" s="36">
        <v>9936.5426953460719</v>
      </c>
      <c r="BN204" s="36">
        <v>2110.926665018425</v>
      </c>
      <c r="BO204" s="36">
        <v>409.20122508085632</v>
      </c>
      <c r="BP204" s="36">
        <v>9557.6152970282874</v>
      </c>
      <c r="BQ204" s="36">
        <v>1745.9588645969459</v>
      </c>
      <c r="BR204" s="36">
        <v>412.06041983070202</v>
      </c>
      <c r="BS204" s="36">
        <v>9063.310981157907</v>
      </c>
      <c r="BT204" s="36">
        <v>1998.0725663627511</v>
      </c>
      <c r="BU204" s="36">
        <v>396.41894266978147</v>
      </c>
      <c r="BV204" s="36">
        <v>10860</v>
      </c>
      <c r="BW204" s="36">
        <v>2642</v>
      </c>
      <c r="BX204" s="36">
        <v>524</v>
      </c>
      <c r="BY204" s="36">
        <v>11899</v>
      </c>
      <c r="BZ204" s="36">
        <v>756</v>
      </c>
      <c r="CA204" s="36">
        <v>550</v>
      </c>
      <c r="CB204" s="36">
        <v>11152</v>
      </c>
      <c r="CC204" s="36">
        <v>797</v>
      </c>
      <c r="CD204" s="36">
        <v>537</v>
      </c>
      <c r="CE204" s="36">
        <v>11293</v>
      </c>
      <c r="CF204" s="36">
        <v>746</v>
      </c>
      <c r="CG204" s="36">
        <v>513</v>
      </c>
      <c r="CH204" s="36">
        <v>11642</v>
      </c>
      <c r="CI204" s="36">
        <v>872</v>
      </c>
      <c r="CJ204" s="70">
        <v>635</v>
      </c>
      <c r="CK204" s="70">
        <v>11743</v>
      </c>
      <c r="CL204" s="70">
        <v>1496</v>
      </c>
      <c r="CM204" s="36">
        <v>656</v>
      </c>
      <c r="CN204" s="36">
        <v>12756</v>
      </c>
      <c r="CO204" s="36">
        <v>2604</v>
      </c>
      <c r="CP204" s="36">
        <v>707</v>
      </c>
      <c r="CQ204" s="36">
        <v>13091</v>
      </c>
      <c r="CR204" s="36">
        <v>4123</v>
      </c>
      <c r="CS204" s="36">
        <v>713</v>
      </c>
      <c r="CT204" s="36">
        <v>869.86795565893499</v>
      </c>
      <c r="CU204" s="36">
        <v>-1224.9126679999999</v>
      </c>
      <c r="CV204" s="36">
        <v>872.72715040878086</v>
      </c>
      <c r="CW204" s="36">
        <v>6431</v>
      </c>
      <c r="CX204" s="36">
        <v>113.35866243505843</v>
      </c>
      <c r="CY204" s="36">
        <v>10427.98782</v>
      </c>
      <c r="CZ204" s="36">
        <v>891.73238609893144</v>
      </c>
      <c r="DA204" s="36">
        <v>2292</v>
      </c>
      <c r="DB204" s="36">
        <v>-1263.2595156524094</v>
      </c>
      <c r="DC204" s="36">
        <v>-2359.5084200000001</v>
      </c>
      <c r="DD204" s="36">
        <v>1176.4745455982697</v>
      </c>
      <c r="DE204" s="36">
        <v>4280</v>
      </c>
      <c r="DF204" s="36">
        <v>2380.86828698915</v>
      </c>
      <c r="DG204" s="36">
        <v>-2211</v>
      </c>
      <c r="DH204" s="36">
        <v>1177.8200490099616</v>
      </c>
      <c r="DI204" s="36">
        <v>5062</v>
      </c>
      <c r="DJ204" s="36">
        <v>822</v>
      </c>
      <c r="DK204" s="36">
        <v>-1517</v>
      </c>
      <c r="DL204" s="36">
        <v>963</v>
      </c>
      <c r="DM204" s="36">
        <v>3323</v>
      </c>
      <c r="DN204" s="36">
        <v>905</v>
      </c>
      <c r="DO204" s="69">
        <v>-2523</v>
      </c>
      <c r="DP204" s="36">
        <v>1004</v>
      </c>
      <c r="DQ204" s="36">
        <v>2920</v>
      </c>
      <c r="DR204" s="36">
        <v>-320</v>
      </c>
      <c r="DS204" s="36">
        <v>-3591</v>
      </c>
      <c r="DT204" s="36">
        <v>1051</v>
      </c>
      <c r="DU204" s="36">
        <v>7186</v>
      </c>
      <c r="DV204" s="36">
        <v>632</v>
      </c>
      <c r="DW204" s="71">
        <v>-878</v>
      </c>
      <c r="DX204" s="39">
        <v>1201</v>
      </c>
      <c r="DY204" s="71">
        <v>7797</v>
      </c>
      <c r="DZ204" s="70">
        <v>-165</v>
      </c>
      <c r="EA204" s="35">
        <v>-1102</v>
      </c>
      <c r="EB204" s="35">
        <v>1168</v>
      </c>
      <c r="EC204" s="38">
        <v>9508</v>
      </c>
      <c r="ED204" s="38">
        <v>2542</v>
      </c>
      <c r="EE204" s="38">
        <v>-982</v>
      </c>
      <c r="EF204" s="38">
        <v>1217</v>
      </c>
      <c r="EG204" s="73">
        <v>8301</v>
      </c>
      <c r="EH204" s="73">
        <v>3856</v>
      </c>
      <c r="EI204" s="73">
        <v>-1564</v>
      </c>
      <c r="EJ204" s="73">
        <v>1250</v>
      </c>
      <c r="EK204" s="73">
        <v>5283</v>
      </c>
      <c r="EL204" s="73">
        <v>25529.245357592758</v>
      </c>
      <c r="EM204" s="73">
        <v>174.24269181412544</v>
      </c>
      <c r="EN204" s="73">
        <v>26730.275340454409</v>
      </c>
      <c r="EO204" s="73">
        <v>5290.3512268468294</v>
      </c>
      <c r="EP204" s="73">
        <v>27689.114709211484</v>
      </c>
      <c r="EQ204" s="73">
        <v>-2374.9817095629974</v>
      </c>
      <c r="ER204" s="73">
        <v>28266.33567282739</v>
      </c>
      <c r="ES204" s="73">
        <v>1790.8650409621694</v>
      </c>
      <c r="ET204" s="73">
        <v>29555</v>
      </c>
      <c r="EU204" s="73">
        <v>117</v>
      </c>
      <c r="EV204" s="73">
        <v>30218</v>
      </c>
      <c r="EW204" s="73">
        <v>18</v>
      </c>
      <c r="EX204" s="73">
        <v>32851</v>
      </c>
      <c r="EY204" s="73">
        <v>-1227</v>
      </c>
      <c r="EZ204" s="73">
        <v>32978</v>
      </c>
      <c r="FA204" s="73">
        <v>-385</v>
      </c>
      <c r="FB204" s="73">
        <v>34914</v>
      </c>
      <c r="FC204" s="73">
        <v>-1150</v>
      </c>
      <c r="FD204" s="73">
        <v>35333</v>
      </c>
      <c r="FE204" s="73">
        <v>1509</v>
      </c>
      <c r="FF204" s="73">
        <v>37063</v>
      </c>
      <c r="FG204" s="73">
        <v>1040</v>
      </c>
      <c r="FH204" s="73">
        <v>-204</v>
      </c>
      <c r="FI204" s="73">
        <v>836</v>
      </c>
      <c r="FJ204" s="79">
        <v>6001</v>
      </c>
      <c r="FK204" s="80">
        <v>18452</v>
      </c>
      <c r="FL204" s="80">
        <v>16348</v>
      </c>
      <c r="FM204" s="80">
        <v>8499</v>
      </c>
      <c r="FN204" s="76">
        <v>334</v>
      </c>
      <c r="FO204" s="80">
        <v>13673</v>
      </c>
      <c r="FP204" s="80">
        <v>4027</v>
      </c>
      <c r="FQ204" s="80">
        <v>752</v>
      </c>
      <c r="FR204" s="80">
        <v>4582</v>
      </c>
      <c r="FS204" s="81">
        <v>-1115</v>
      </c>
      <c r="FT204" s="76">
        <v>1286</v>
      </c>
      <c r="FU204" s="76">
        <v>5596</v>
      </c>
      <c r="FV204" s="76">
        <v>1115</v>
      </c>
      <c r="FW204" s="80">
        <v>38919</v>
      </c>
      <c r="FX204" s="80">
        <v>1380</v>
      </c>
      <c r="FY204" s="73">
        <v>5946</v>
      </c>
      <c r="FZ204" s="73">
        <v>18374</v>
      </c>
      <c r="GA204" s="73">
        <v>16389</v>
      </c>
      <c r="GB204" s="73">
        <v>7816</v>
      </c>
      <c r="GC204" s="73">
        <v>390</v>
      </c>
      <c r="GD204" s="73">
        <v>13501</v>
      </c>
      <c r="GE204" s="73">
        <v>3989</v>
      </c>
      <c r="GF204" s="73">
        <v>884</v>
      </c>
      <c r="GG204" s="73">
        <v>4728</v>
      </c>
      <c r="GH204" s="73">
        <v>-1889</v>
      </c>
      <c r="GI204" s="73">
        <v>1185</v>
      </c>
      <c r="GJ204" s="73">
        <v>4129</v>
      </c>
      <c r="GK204" s="73">
        <v>1889</v>
      </c>
      <c r="GL204" s="73">
        <v>38083</v>
      </c>
      <c r="GM204" s="73">
        <v>3153</v>
      </c>
      <c r="GN204" s="73">
        <v>5369</v>
      </c>
      <c r="GO204" s="77">
        <v>19.75</v>
      </c>
      <c r="GP204" s="78">
        <v>5887</v>
      </c>
      <c r="GQ204" s="73">
        <v>18136</v>
      </c>
      <c r="GR204" s="65">
        <v>15986</v>
      </c>
      <c r="GS204" s="65">
        <v>5403</v>
      </c>
      <c r="GT204" s="65">
        <v>544</v>
      </c>
      <c r="GU204" s="65">
        <v>13588</v>
      </c>
      <c r="GV204" s="65">
        <v>3666</v>
      </c>
      <c r="GW204" s="65">
        <v>882</v>
      </c>
      <c r="GX204" s="65">
        <v>2186</v>
      </c>
      <c r="GY204" s="65">
        <v>-1091</v>
      </c>
      <c r="GZ204" s="65">
        <v>1170</v>
      </c>
      <c r="HA204" s="65">
        <v>3010</v>
      </c>
      <c r="HB204" s="65">
        <v>1091</v>
      </c>
      <c r="HC204" s="65">
        <v>37795</v>
      </c>
      <c r="HD204" s="65">
        <v>27</v>
      </c>
      <c r="HE204" s="78">
        <v>5849</v>
      </c>
      <c r="HF204" s="73">
        <v>18343</v>
      </c>
      <c r="HG204" s="65">
        <v>16858</v>
      </c>
      <c r="HH204" s="65">
        <v>5966</v>
      </c>
      <c r="HI204" s="65">
        <v>483</v>
      </c>
      <c r="HJ204" s="65">
        <v>13997</v>
      </c>
      <c r="HK204" s="65">
        <v>3513</v>
      </c>
      <c r="HL204" s="65">
        <v>833</v>
      </c>
      <c r="HM204" s="65">
        <v>639</v>
      </c>
      <c r="HN204" s="65">
        <v>-1541</v>
      </c>
      <c r="HO204" s="65">
        <v>1146</v>
      </c>
      <c r="HP204" s="65">
        <v>2136</v>
      </c>
      <c r="HQ204" s="65">
        <v>1541</v>
      </c>
      <c r="HR204" s="65">
        <v>40961</v>
      </c>
      <c r="HS204" s="65">
        <v>43</v>
      </c>
      <c r="HT204" s="65">
        <v>5439</v>
      </c>
      <c r="HU204" s="77">
        <v>19.75</v>
      </c>
      <c r="HV204" s="180">
        <v>340</v>
      </c>
      <c r="HW204" s="30" t="s">
        <v>761</v>
      </c>
    </row>
    <row r="205" spans="1:231" ht="15" x14ac:dyDescent="0.25">
      <c r="A205" s="27">
        <v>630</v>
      </c>
      <c r="B205" s="27" t="s">
        <v>331</v>
      </c>
      <c r="C205" s="27">
        <v>17</v>
      </c>
      <c r="D205" s="27" t="s">
        <v>117</v>
      </c>
      <c r="E205" s="32">
        <v>1</v>
      </c>
      <c r="F205" s="32" t="s">
        <v>103</v>
      </c>
      <c r="G205" s="29" t="s">
        <v>130</v>
      </c>
      <c r="H205" s="27" t="s">
        <v>98</v>
      </c>
      <c r="I205" s="31" t="s">
        <v>117</v>
      </c>
      <c r="J205" s="69">
        <v>1960</v>
      </c>
      <c r="K205" s="69">
        <v>1958</v>
      </c>
      <c r="L205" s="36">
        <v>1911</v>
      </c>
      <c r="M205" s="36">
        <v>1889</v>
      </c>
      <c r="N205" s="36">
        <v>1861</v>
      </c>
      <c r="O205" s="36">
        <v>1845</v>
      </c>
      <c r="P205" s="36">
        <v>1820</v>
      </c>
      <c r="Q205" s="36">
        <v>1834</v>
      </c>
      <c r="R205" s="69">
        <v>1799</v>
      </c>
      <c r="S205" s="69">
        <v>1763</v>
      </c>
      <c r="T205" s="71">
        <v>1701</v>
      </c>
      <c r="U205" s="36">
        <v>3422</v>
      </c>
      <c r="V205" s="36">
        <v>2910</v>
      </c>
      <c r="W205" s="36">
        <v>872</v>
      </c>
      <c r="X205" s="36">
        <v>67.27517058460441</v>
      </c>
      <c r="Y205" s="36">
        <v>3324</v>
      </c>
      <c r="Z205" s="36">
        <v>2831</v>
      </c>
      <c r="AA205" s="36">
        <v>837</v>
      </c>
      <c r="AB205" s="36">
        <v>86.448594201216665</v>
      </c>
      <c r="AC205" s="36">
        <v>3447</v>
      </c>
      <c r="AD205" s="36">
        <v>3202</v>
      </c>
      <c r="AE205" s="36">
        <v>662</v>
      </c>
      <c r="AF205" s="36">
        <v>43.056109174146826</v>
      </c>
      <c r="AG205" s="36">
        <v>3471</v>
      </c>
      <c r="AH205" s="36">
        <v>3217</v>
      </c>
      <c r="AI205" s="36">
        <v>711</v>
      </c>
      <c r="AJ205" s="36">
        <v>36.328592115686384</v>
      </c>
      <c r="AK205" s="36">
        <v>3705</v>
      </c>
      <c r="AL205" s="36">
        <v>3889</v>
      </c>
      <c r="AM205" s="36">
        <v>747</v>
      </c>
      <c r="AN205" s="36">
        <v>25</v>
      </c>
      <c r="AO205" s="36">
        <v>3227</v>
      </c>
      <c r="AP205" s="36">
        <v>3893</v>
      </c>
      <c r="AQ205" s="36">
        <v>825</v>
      </c>
      <c r="AR205" s="36">
        <v>19</v>
      </c>
      <c r="AS205" s="36">
        <v>3611</v>
      </c>
      <c r="AT205" s="36">
        <v>4405</v>
      </c>
      <c r="AU205" s="36">
        <v>958</v>
      </c>
      <c r="AV205" s="36">
        <v>34</v>
      </c>
      <c r="AW205" s="36">
        <v>3593</v>
      </c>
      <c r="AX205" s="69">
        <v>4130</v>
      </c>
      <c r="AY205" s="36">
        <v>1160</v>
      </c>
      <c r="AZ205" s="36">
        <v>7</v>
      </c>
      <c r="BA205" s="36">
        <v>3910</v>
      </c>
      <c r="BB205" s="36">
        <v>4352</v>
      </c>
      <c r="BC205" s="36">
        <v>1272</v>
      </c>
      <c r="BD205" s="36">
        <v>1</v>
      </c>
      <c r="BE205" s="70">
        <v>4230</v>
      </c>
      <c r="BF205" s="70">
        <v>4566</v>
      </c>
      <c r="BG205" s="70">
        <v>1265</v>
      </c>
      <c r="BH205" s="70">
        <v>13</v>
      </c>
      <c r="BI205" s="36">
        <v>4334</v>
      </c>
      <c r="BJ205" s="36">
        <v>4846</v>
      </c>
      <c r="BK205" s="36">
        <v>1460</v>
      </c>
      <c r="BL205" s="36">
        <v>3</v>
      </c>
      <c r="BM205" s="36">
        <v>2578.6572885078872</v>
      </c>
      <c r="BN205" s="36">
        <v>756.8456690767996</v>
      </c>
      <c r="BO205" s="36">
        <v>86.953157980601205</v>
      </c>
      <c r="BP205" s="36">
        <v>2517.1005074229743</v>
      </c>
      <c r="BQ205" s="36">
        <v>720.01251318172876</v>
      </c>
      <c r="BR205" s="36">
        <v>87.121345907062718</v>
      </c>
      <c r="BS205" s="36">
        <v>2571.9297714494269</v>
      </c>
      <c r="BT205" s="36">
        <v>740.53144021003311</v>
      </c>
      <c r="BU205" s="36">
        <v>134.38215324274731</v>
      </c>
      <c r="BV205" s="36">
        <v>2821</v>
      </c>
      <c r="BW205" s="36">
        <v>507</v>
      </c>
      <c r="BX205" s="36">
        <v>143</v>
      </c>
      <c r="BY205" s="36">
        <v>3156</v>
      </c>
      <c r="BZ205" s="36">
        <v>406</v>
      </c>
      <c r="CA205" s="36">
        <v>143</v>
      </c>
      <c r="CB205" s="36">
        <v>2846</v>
      </c>
      <c r="CC205" s="36">
        <v>215</v>
      </c>
      <c r="CD205" s="36">
        <v>166</v>
      </c>
      <c r="CE205" s="36">
        <v>3163</v>
      </c>
      <c r="CF205" s="36">
        <v>283</v>
      </c>
      <c r="CG205" s="36">
        <v>165</v>
      </c>
      <c r="CH205" s="36">
        <v>3039</v>
      </c>
      <c r="CI205" s="36">
        <v>368</v>
      </c>
      <c r="CJ205" s="70">
        <v>186</v>
      </c>
      <c r="CK205" s="70">
        <v>3259</v>
      </c>
      <c r="CL205" s="70">
        <v>465</v>
      </c>
      <c r="CM205" s="36">
        <v>186</v>
      </c>
      <c r="CN205" s="36">
        <v>3443</v>
      </c>
      <c r="CO205" s="36">
        <v>584</v>
      </c>
      <c r="CP205" s="36">
        <v>203</v>
      </c>
      <c r="CQ205" s="36">
        <v>3501</v>
      </c>
      <c r="CR205" s="36">
        <v>616</v>
      </c>
      <c r="CS205" s="36">
        <v>217</v>
      </c>
      <c r="CT205" s="36">
        <v>122.94537424336455</v>
      </c>
      <c r="CU205" s="36">
        <v>-299.87907289999998</v>
      </c>
      <c r="CV205" s="36">
        <v>140.77329444828473</v>
      </c>
      <c r="CW205" s="36">
        <v>444</v>
      </c>
      <c r="CX205" s="36">
        <v>-318.21155686517886</v>
      </c>
      <c r="CY205" s="36">
        <v>-435.77491750000002</v>
      </c>
      <c r="CZ205" s="36">
        <v>162.63772488828116</v>
      </c>
      <c r="DA205" s="36">
        <v>356</v>
      </c>
      <c r="DB205" s="36">
        <v>79.216513363371689</v>
      </c>
      <c r="DC205" s="36">
        <v>-522.55988750000006</v>
      </c>
      <c r="DD205" s="36">
        <v>182.48390021073948</v>
      </c>
      <c r="DE205" s="36">
        <v>530</v>
      </c>
      <c r="DF205" s="36">
        <v>-221.16712329688701</v>
      </c>
      <c r="DG205" s="36">
        <v>-687</v>
      </c>
      <c r="DH205" s="36">
        <v>206.70296162119706</v>
      </c>
      <c r="DI205" s="36">
        <v>1060</v>
      </c>
      <c r="DJ205" s="36">
        <v>699</v>
      </c>
      <c r="DK205" s="36">
        <v>-528</v>
      </c>
      <c r="DL205" s="36">
        <v>256</v>
      </c>
      <c r="DM205" s="36">
        <v>1463</v>
      </c>
      <c r="DN205" s="36">
        <v>-264</v>
      </c>
      <c r="DO205" s="69">
        <v>-1072</v>
      </c>
      <c r="DP205" s="36">
        <v>251</v>
      </c>
      <c r="DQ205" s="36">
        <v>1893</v>
      </c>
      <c r="DR205" s="36">
        <v>371</v>
      </c>
      <c r="DS205" s="36">
        <v>-991</v>
      </c>
      <c r="DT205" s="36">
        <v>304</v>
      </c>
      <c r="DU205" s="36">
        <v>2459</v>
      </c>
      <c r="DV205" s="36">
        <v>132</v>
      </c>
      <c r="DW205" s="71">
        <v>-913</v>
      </c>
      <c r="DX205" s="39">
        <v>331</v>
      </c>
      <c r="DY205" s="71">
        <v>2850</v>
      </c>
      <c r="DZ205" s="70">
        <v>252</v>
      </c>
      <c r="EA205" s="35">
        <v>-816</v>
      </c>
      <c r="EB205" s="35">
        <v>381</v>
      </c>
      <c r="EC205" s="38">
        <v>3321</v>
      </c>
      <c r="ED205" s="38">
        <v>547</v>
      </c>
      <c r="EE205" s="38">
        <v>-776</v>
      </c>
      <c r="EF205" s="38">
        <v>410</v>
      </c>
      <c r="EG205" s="73">
        <v>3618</v>
      </c>
      <c r="EH205" s="73">
        <v>625</v>
      </c>
      <c r="EI205" s="73">
        <v>-260</v>
      </c>
      <c r="EJ205" s="73">
        <v>396</v>
      </c>
      <c r="EK205" s="73">
        <v>3162</v>
      </c>
      <c r="EL205" s="73">
        <v>6774.10511409028</v>
      </c>
      <c r="EM205" s="73">
        <v>77.534634098756584</v>
      </c>
      <c r="EN205" s="73">
        <v>7065.9111665010014</v>
      </c>
      <c r="EO205" s="73">
        <v>-481.5220334593061</v>
      </c>
      <c r="EP205" s="73">
        <v>6931.6972011847156</v>
      </c>
      <c r="EQ205" s="73">
        <v>-90.148728583369916</v>
      </c>
      <c r="ER205" s="73">
        <v>7277.6597659160443</v>
      </c>
      <c r="ES205" s="73">
        <v>-414.75142665408617</v>
      </c>
      <c r="ET205" s="73">
        <v>7620</v>
      </c>
      <c r="EU205" s="73">
        <v>456</v>
      </c>
      <c r="EV205" s="73">
        <v>8188</v>
      </c>
      <c r="EW205" s="73">
        <v>-566</v>
      </c>
      <c r="EX205" s="73">
        <v>8567</v>
      </c>
      <c r="EY205" s="73">
        <v>128</v>
      </c>
      <c r="EZ205" s="73">
        <v>8690</v>
      </c>
      <c r="FA205" s="73">
        <v>-142</v>
      </c>
      <c r="FB205" s="73">
        <v>9190</v>
      </c>
      <c r="FC205" s="73">
        <v>917</v>
      </c>
      <c r="FD205" s="73">
        <v>9378</v>
      </c>
      <c r="FE205" s="73">
        <v>174</v>
      </c>
      <c r="FF205" s="73">
        <v>9872</v>
      </c>
      <c r="FG205" s="73">
        <v>266</v>
      </c>
      <c r="FH205" s="73">
        <v>136</v>
      </c>
      <c r="FI205" s="73">
        <v>402</v>
      </c>
      <c r="FJ205" s="79">
        <v>1648</v>
      </c>
      <c r="FK205" s="80">
        <v>4279</v>
      </c>
      <c r="FL205" s="80">
        <v>5157</v>
      </c>
      <c r="FM205" s="80">
        <v>1349</v>
      </c>
      <c r="FN205" s="76">
        <v>4</v>
      </c>
      <c r="FO205" s="80">
        <v>3576</v>
      </c>
      <c r="FP205" s="80">
        <v>475</v>
      </c>
      <c r="FQ205" s="80">
        <v>228</v>
      </c>
      <c r="FR205" s="80">
        <v>1014</v>
      </c>
      <c r="FS205" s="81">
        <v>-380</v>
      </c>
      <c r="FT205" s="76">
        <v>383</v>
      </c>
      <c r="FU205" s="76">
        <v>2705</v>
      </c>
      <c r="FV205" s="76">
        <v>380</v>
      </c>
      <c r="FW205" s="80">
        <v>9687</v>
      </c>
      <c r="FX205" s="80">
        <v>668</v>
      </c>
      <c r="FY205" s="73">
        <v>1633</v>
      </c>
      <c r="FZ205" s="73">
        <v>4219</v>
      </c>
      <c r="GA205" s="73">
        <v>5354</v>
      </c>
      <c r="GB205" s="73">
        <v>1517</v>
      </c>
      <c r="GC205" s="73">
        <v>6</v>
      </c>
      <c r="GD205" s="73">
        <v>3452</v>
      </c>
      <c r="GE205" s="73">
        <v>506</v>
      </c>
      <c r="GF205" s="73">
        <v>261</v>
      </c>
      <c r="GG205" s="73">
        <v>1398</v>
      </c>
      <c r="GH205" s="73">
        <v>-1025</v>
      </c>
      <c r="GI205" s="73">
        <v>396</v>
      </c>
      <c r="GJ205" s="73">
        <v>3349</v>
      </c>
      <c r="GK205" s="73">
        <v>1025</v>
      </c>
      <c r="GL205" s="73">
        <v>9637</v>
      </c>
      <c r="GM205" s="73">
        <v>539</v>
      </c>
      <c r="GN205" s="73">
        <v>1610</v>
      </c>
      <c r="GO205" s="77">
        <v>19.75</v>
      </c>
      <c r="GP205" s="78">
        <v>1584</v>
      </c>
      <c r="GQ205" s="73">
        <v>4341</v>
      </c>
      <c r="GR205" s="65">
        <v>5304</v>
      </c>
      <c r="GS205" s="65">
        <v>1528</v>
      </c>
      <c r="GT205" s="65">
        <v>2</v>
      </c>
      <c r="GU205" s="65">
        <v>3636</v>
      </c>
      <c r="GV205" s="65">
        <v>446</v>
      </c>
      <c r="GW205" s="65">
        <v>259</v>
      </c>
      <c r="GX205" s="65">
        <v>685</v>
      </c>
      <c r="GY205" s="65">
        <v>-1582</v>
      </c>
      <c r="GZ205" s="65">
        <v>439</v>
      </c>
      <c r="HA205" s="65">
        <v>4447</v>
      </c>
      <c r="HB205" s="65">
        <v>1582</v>
      </c>
      <c r="HC205" s="65">
        <v>10430</v>
      </c>
      <c r="HD205" s="65">
        <v>275</v>
      </c>
      <c r="HE205" s="78">
        <v>1566</v>
      </c>
      <c r="HF205" s="73">
        <v>3958</v>
      </c>
      <c r="HG205" s="65">
        <v>5548</v>
      </c>
      <c r="HH205" s="65">
        <v>1760</v>
      </c>
      <c r="HI205" s="65">
        <v>1</v>
      </c>
      <c r="HJ205" s="65">
        <v>3423</v>
      </c>
      <c r="HK205" s="65">
        <v>269</v>
      </c>
      <c r="HL205" s="65">
        <v>266</v>
      </c>
      <c r="HM205" s="65">
        <v>586</v>
      </c>
      <c r="HN205" s="65">
        <v>-1606</v>
      </c>
      <c r="HO205" s="65">
        <v>443</v>
      </c>
      <c r="HP205" s="65">
        <v>5715</v>
      </c>
      <c r="HQ205" s="65">
        <v>1606</v>
      </c>
      <c r="HR205" s="65">
        <v>10607</v>
      </c>
      <c r="HS205" s="65">
        <v>173</v>
      </c>
      <c r="HT205" s="65">
        <v>2057</v>
      </c>
      <c r="HU205" s="77">
        <v>19.75</v>
      </c>
      <c r="HV205" s="180">
        <v>330</v>
      </c>
      <c r="HW205" s="30" t="s">
        <v>760</v>
      </c>
    </row>
    <row r="206" spans="1:231" ht="15" x14ac:dyDescent="0.25">
      <c r="A206" s="27">
        <v>631</v>
      </c>
      <c r="B206" s="27" t="s">
        <v>332</v>
      </c>
      <c r="C206" s="27">
        <v>2</v>
      </c>
      <c r="D206" s="27" t="s">
        <v>122</v>
      </c>
      <c r="E206" s="27">
        <v>2</v>
      </c>
      <c r="F206" s="27" t="s">
        <v>744</v>
      </c>
      <c r="G206" s="29" t="s">
        <v>130</v>
      </c>
      <c r="H206" s="27" t="s">
        <v>98</v>
      </c>
      <c r="I206" s="31" t="s">
        <v>122</v>
      </c>
      <c r="J206" s="69">
        <v>2328</v>
      </c>
      <c r="K206" s="69">
        <v>2320</v>
      </c>
      <c r="L206" s="36">
        <v>2311</v>
      </c>
      <c r="M206" s="36">
        <v>2267</v>
      </c>
      <c r="N206" s="36">
        <v>2290</v>
      </c>
      <c r="O206" s="36">
        <v>2276</v>
      </c>
      <c r="P206" s="36">
        <v>2251</v>
      </c>
      <c r="Q206" s="36">
        <v>2218</v>
      </c>
      <c r="R206" s="69">
        <v>2223</v>
      </c>
      <c r="S206" s="69">
        <v>2215</v>
      </c>
      <c r="T206" s="71">
        <v>2236</v>
      </c>
      <c r="U206" s="36">
        <v>4787</v>
      </c>
      <c r="V206" s="36">
        <v>721</v>
      </c>
      <c r="W206" s="36">
        <v>578</v>
      </c>
      <c r="X206" s="36">
        <v>153.21920100643655</v>
      </c>
      <c r="Y206" s="36">
        <v>4867</v>
      </c>
      <c r="Z206" s="36">
        <v>669</v>
      </c>
      <c r="AA206" s="36">
        <v>644</v>
      </c>
      <c r="AB206" s="36">
        <v>215.61692172365713</v>
      </c>
      <c r="AC206" s="36">
        <v>4686</v>
      </c>
      <c r="AD206" s="36">
        <v>852</v>
      </c>
      <c r="AE206" s="36">
        <v>569</v>
      </c>
      <c r="AF206" s="36">
        <v>96.539869788907325</v>
      </c>
      <c r="AG206" s="36">
        <v>4966</v>
      </c>
      <c r="AH206" s="36">
        <v>1105</v>
      </c>
      <c r="AI206" s="36">
        <v>651</v>
      </c>
      <c r="AJ206" s="36">
        <v>89.980540656908403</v>
      </c>
      <c r="AK206" s="36">
        <v>5516</v>
      </c>
      <c r="AL206" s="36">
        <v>1350</v>
      </c>
      <c r="AM206" s="36">
        <v>603</v>
      </c>
      <c r="AN206" s="36">
        <v>78</v>
      </c>
      <c r="AO206" s="36">
        <v>5223</v>
      </c>
      <c r="AP206" s="36">
        <v>1200</v>
      </c>
      <c r="AQ206" s="36">
        <v>643</v>
      </c>
      <c r="AR206" s="36">
        <v>141</v>
      </c>
      <c r="AS206" s="36">
        <v>5040</v>
      </c>
      <c r="AT206" s="36">
        <v>1543</v>
      </c>
      <c r="AU206" s="36">
        <v>682</v>
      </c>
      <c r="AV206" s="36">
        <v>40</v>
      </c>
      <c r="AW206" s="36">
        <v>5366</v>
      </c>
      <c r="AX206" s="69">
        <v>1744</v>
      </c>
      <c r="AY206" s="36">
        <v>738</v>
      </c>
      <c r="AZ206" s="36">
        <v>36</v>
      </c>
      <c r="BA206" s="36">
        <v>5600</v>
      </c>
      <c r="BB206" s="36">
        <v>1667</v>
      </c>
      <c r="BC206" s="36">
        <v>854</v>
      </c>
      <c r="BD206" s="36">
        <v>4</v>
      </c>
      <c r="BE206" s="70">
        <v>6335</v>
      </c>
      <c r="BF206" s="70">
        <v>1611</v>
      </c>
      <c r="BG206" s="70">
        <v>826</v>
      </c>
      <c r="BH206" s="70">
        <v>55</v>
      </c>
      <c r="BI206" s="36">
        <v>6799</v>
      </c>
      <c r="BJ206" s="36">
        <v>1745</v>
      </c>
      <c r="BK206" s="36">
        <v>974</v>
      </c>
      <c r="BL206" s="36">
        <v>58</v>
      </c>
      <c r="BM206" s="36">
        <v>3792.1331779276893</v>
      </c>
      <c r="BN206" s="36">
        <v>935.79762283184732</v>
      </c>
      <c r="BO206" s="36">
        <v>55.502015732298631</v>
      </c>
      <c r="BP206" s="36">
        <v>3908.3510351125933</v>
      </c>
      <c r="BQ206" s="36">
        <v>854.56285435093753</v>
      </c>
      <c r="BR206" s="36">
        <v>100.57638002398359</v>
      </c>
      <c r="BS206" s="36">
        <v>3622.4315601280246</v>
      </c>
      <c r="BT206" s="36">
        <v>880.12741917308722</v>
      </c>
      <c r="BU206" s="36">
        <v>179.96108131381681</v>
      </c>
      <c r="BV206" s="36">
        <v>4201</v>
      </c>
      <c r="BW206" s="36">
        <v>555</v>
      </c>
      <c r="BX206" s="36">
        <v>206</v>
      </c>
      <c r="BY206" s="36">
        <v>4800</v>
      </c>
      <c r="BZ206" s="36">
        <v>502</v>
      </c>
      <c r="CA206" s="36">
        <v>210</v>
      </c>
      <c r="CB206" s="36">
        <v>4736</v>
      </c>
      <c r="CC206" s="36">
        <v>244</v>
      </c>
      <c r="CD206" s="36">
        <v>240</v>
      </c>
      <c r="CE206" s="36">
        <v>4489</v>
      </c>
      <c r="CF206" s="36">
        <v>313</v>
      </c>
      <c r="CG206" s="36">
        <v>238</v>
      </c>
      <c r="CH206" s="36">
        <v>4763</v>
      </c>
      <c r="CI206" s="36">
        <v>358</v>
      </c>
      <c r="CJ206" s="70">
        <v>245</v>
      </c>
      <c r="CK206" s="70">
        <v>4924</v>
      </c>
      <c r="CL206" s="70">
        <v>372</v>
      </c>
      <c r="CM206" s="36">
        <v>304</v>
      </c>
      <c r="CN206" s="36">
        <v>5648</v>
      </c>
      <c r="CO206" s="36">
        <v>369</v>
      </c>
      <c r="CP206" s="36">
        <v>318</v>
      </c>
      <c r="CQ206" s="36">
        <v>6187</v>
      </c>
      <c r="CR206" s="36">
        <v>281</v>
      </c>
      <c r="CS206" s="36">
        <v>331</v>
      </c>
      <c r="CT206" s="36">
        <v>240.00417106057623</v>
      </c>
      <c r="CU206" s="36">
        <v>-347.98081980000001</v>
      </c>
      <c r="CV206" s="36">
        <v>342.09424242271342</v>
      </c>
      <c r="CW206" s="36">
        <v>915</v>
      </c>
      <c r="CX206" s="36">
        <v>-199.97544456273661</v>
      </c>
      <c r="CY206" s="36">
        <v>-458.48028749999997</v>
      </c>
      <c r="CZ206" s="36">
        <v>343.94430961379004</v>
      </c>
      <c r="DA206" s="36">
        <v>417</v>
      </c>
      <c r="DB206" s="36">
        <v>-477.99008700361435</v>
      </c>
      <c r="DC206" s="36">
        <v>3.531946456</v>
      </c>
      <c r="DD206" s="36">
        <v>326.95732904117745</v>
      </c>
      <c r="DE206" s="36">
        <v>622</v>
      </c>
      <c r="DF206" s="36">
        <v>-66.938794731681384</v>
      </c>
      <c r="DG206" s="36">
        <v>-143</v>
      </c>
      <c r="DH206" s="36">
        <v>333.01209439379181</v>
      </c>
      <c r="DI206" s="36">
        <v>551</v>
      </c>
      <c r="DJ206" s="36">
        <v>789</v>
      </c>
      <c r="DK206" s="36">
        <v>-128</v>
      </c>
      <c r="DL206" s="36">
        <v>257</v>
      </c>
      <c r="DM206" s="36">
        <v>338</v>
      </c>
      <c r="DN206" s="36">
        <v>-107</v>
      </c>
      <c r="DO206" s="69">
        <v>-357</v>
      </c>
      <c r="DP206" s="36">
        <v>210</v>
      </c>
      <c r="DQ206" s="36">
        <v>320</v>
      </c>
      <c r="DR206" s="36">
        <v>-337</v>
      </c>
      <c r="DS206" s="36">
        <v>-152</v>
      </c>
      <c r="DT206" s="36">
        <v>204</v>
      </c>
      <c r="DU206" s="36">
        <v>506</v>
      </c>
      <c r="DV206" s="36">
        <v>-147</v>
      </c>
      <c r="DW206" s="71">
        <v>-370</v>
      </c>
      <c r="DX206" s="39">
        <v>198</v>
      </c>
      <c r="DY206" s="71">
        <v>1043</v>
      </c>
      <c r="DZ206" s="70">
        <v>101</v>
      </c>
      <c r="EA206" s="35">
        <v>-122</v>
      </c>
      <c r="EB206" s="35">
        <v>210</v>
      </c>
      <c r="EC206" s="38">
        <v>1120</v>
      </c>
      <c r="ED206" s="38">
        <v>706</v>
      </c>
      <c r="EE206" s="38">
        <v>-216</v>
      </c>
      <c r="EF206" s="38">
        <v>218</v>
      </c>
      <c r="EG206" s="73">
        <v>870</v>
      </c>
      <c r="EH206" s="73">
        <v>946</v>
      </c>
      <c r="EI206" s="73">
        <v>-358</v>
      </c>
      <c r="EJ206" s="73">
        <v>248</v>
      </c>
      <c r="EK206" s="73">
        <v>551</v>
      </c>
      <c r="EL206" s="73">
        <v>5538.428418377558</v>
      </c>
      <c r="EM206" s="73">
        <v>33.469397365840692</v>
      </c>
      <c r="EN206" s="73">
        <v>6189.4838817100672</v>
      </c>
      <c r="EO206" s="73">
        <v>-51.633693423683887</v>
      </c>
      <c r="EP206" s="73">
        <v>6248.8542197509805</v>
      </c>
      <c r="EQ206" s="73">
        <v>-760.20942760602986</v>
      </c>
      <c r="ER206" s="73">
        <v>6399.3824139340331</v>
      </c>
      <c r="ES206" s="73">
        <v>-337.55316840825265</v>
      </c>
      <c r="ET206" s="73">
        <v>6722</v>
      </c>
      <c r="EU206" s="73">
        <v>484</v>
      </c>
      <c r="EV206" s="73">
        <v>7193</v>
      </c>
      <c r="EW206" s="73">
        <v>-208</v>
      </c>
      <c r="EX206" s="73">
        <v>7625</v>
      </c>
      <c r="EY206" s="73">
        <v>-550</v>
      </c>
      <c r="EZ206" s="73">
        <v>8001</v>
      </c>
      <c r="FA206" s="73">
        <v>-346</v>
      </c>
      <c r="FB206" s="73">
        <v>8023</v>
      </c>
      <c r="FC206" s="73">
        <v>-109</v>
      </c>
      <c r="FD206" s="73">
        <v>8077</v>
      </c>
      <c r="FE206" s="73">
        <v>488</v>
      </c>
      <c r="FF206" s="73">
        <v>8608</v>
      </c>
      <c r="FG206" s="73">
        <v>698</v>
      </c>
      <c r="FH206" s="73">
        <v>-669</v>
      </c>
      <c r="FI206" s="73">
        <v>29</v>
      </c>
      <c r="FJ206" s="79">
        <v>2233</v>
      </c>
      <c r="FK206" s="80">
        <v>6911</v>
      </c>
      <c r="FL206" s="80">
        <v>1959</v>
      </c>
      <c r="FM206" s="80">
        <v>852</v>
      </c>
      <c r="FN206" s="76">
        <v>24</v>
      </c>
      <c r="FO206" s="80">
        <v>6365</v>
      </c>
      <c r="FP206" s="80">
        <v>205</v>
      </c>
      <c r="FQ206" s="80">
        <v>341</v>
      </c>
      <c r="FR206" s="80">
        <v>548</v>
      </c>
      <c r="FS206" s="81">
        <v>-483</v>
      </c>
      <c r="FT206" s="76">
        <v>285</v>
      </c>
      <c r="FU206" s="76">
        <v>496</v>
      </c>
      <c r="FV206" s="76">
        <v>483</v>
      </c>
      <c r="FW206" s="80">
        <v>9188</v>
      </c>
      <c r="FX206" s="80">
        <v>263</v>
      </c>
      <c r="FY206" s="73">
        <v>2236</v>
      </c>
      <c r="FZ206" s="73">
        <v>6957</v>
      </c>
      <c r="GA206" s="73">
        <v>2842</v>
      </c>
      <c r="GB206" s="73">
        <v>945</v>
      </c>
      <c r="GC206" s="73">
        <v>79</v>
      </c>
      <c r="GD206" s="73">
        <v>6258</v>
      </c>
      <c r="GE206" s="73">
        <v>352</v>
      </c>
      <c r="GF206" s="73">
        <v>347</v>
      </c>
      <c r="GG206" s="73">
        <v>885</v>
      </c>
      <c r="GH206" s="73">
        <v>-265</v>
      </c>
      <c r="GI206" s="73">
        <v>304</v>
      </c>
      <c r="GJ206" s="73">
        <v>441</v>
      </c>
      <c r="GK206" s="73">
        <v>265</v>
      </c>
      <c r="GL206" s="73">
        <v>9885</v>
      </c>
      <c r="GM206" s="73">
        <v>432</v>
      </c>
      <c r="GN206" s="73">
        <v>724</v>
      </c>
      <c r="GO206" s="77">
        <v>19.5</v>
      </c>
      <c r="GP206" s="78">
        <v>2206</v>
      </c>
      <c r="GQ206" s="73">
        <v>7201</v>
      </c>
      <c r="GR206" s="65">
        <v>2947</v>
      </c>
      <c r="GS206" s="65">
        <v>993</v>
      </c>
      <c r="GT206" s="65">
        <v>113</v>
      </c>
      <c r="GU206" s="65">
        <v>6460</v>
      </c>
      <c r="GV206" s="65">
        <v>391</v>
      </c>
      <c r="GW206" s="65">
        <v>350</v>
      </c>
      <c r="GX206" s="65">
        <v>1005</v>
      </c>
      <c r="GY206" s="65">
        <v>-322</v>
      </c>
      <c r="GZ206" s="65">
        <v>293</v>
      </c>
      <c r="HA206" s="65">
        <v>386</v>
      </c>
      <c r="HB206" s="65">
        <v>322</v>
      </c>
      <c r="HC206" s="65">
        <v>10183</v>
      </c>
      <c r="HD206" s="65">
        <v>278</v>
      </c>
      <c r="HE206" s="78">
        <v>2199</v>
      </c>
      <c r="HF206" s="73">
        <v>7186</v>
      </c>
      <c r="HG206" s="65">
        <v>2913</v>
      </c>
      <c r="HH206" s="65">
        <v>1070</v>
      </c>
      <c r="HI206" s="65">
        <v>86</v>
      </c>
      <c r="HJ206" s="65">
        <v>6645</v>
      </c>
      <c r="HK206" s="65">
        <v>182</v>
      </c>
      <c r="HL206" s="65">
        <v>359</v>
      </c>
      <c r="HM206" s="65">
        <v>374</v>
      </c>
      <c r="HN206" s="65">
        <v>-350</v>
      </c>
      <c r="HO206" s="65">
        <v>287</v>
      </c>
      <c r="HP206" s="65">
        <v>331</v>
      </c>
      <c r="HQ206" s="65">
        <v>350</v>
      </c>
      <c r="HR206" s="65">
        <v>10831</v>
      </c>
      <c r="HS206" s="65">
        <v>137</v>
      </c>
      <c r="HT206" s="65">
        <v>1140</v>
      </c>
      <c r="HU206" s="77">
        <v>19.5</v>
      </c>
      <c r="HV206" s="180">
        <v>340</v>
      </c>
      <c r="HW206" s="30" t="s">
        <v>761</v>
      </c>
    </row>
    <row r="207" spans="1:231" ht="15" x14ac:dyDescent="0.25">
      <c r="A207" s="27">
        <v>635</v>
      </c>
      <c r="B207" s="27" t="s">
        <v>333</v>
      </c>
      <c r="C207" s="27">
        <v>6</v>
      </c>
      <c r="D207" s="27" t="s">
        <v>114</v>
      </c>
      <c r="E207" s="27">
        <v>3</v>
      </c>
      <c r="F207" s="27" t="s">
        <v>743</v>
      </c>
      <c r="G207" s="29" t="s">
        <v>130</v>
      </c>
      <c r="H207" s="27" t="s">
        <v>98</v>
      </c>
      <c r="I207" s="31" t="s">
        <v>114</v>
      </c>
      <c r="J207" s="69">
        <v>6624</v>
      </c>
      <c r="K207" s="69">
        <v>6635</v>
      </c>
      <c r="L207" s="36">
        <v>6682</v>
      </c>
      <c r="M207" s="36">
        <v>6625</v>
      </c>
      <c r="N207" s="36">
        <v>6632</v>
      </c>
      <c r="O207" s="36">
        <v>6693</v>
      </c>
      <c r="P207" s="36">
        <v>6737</v>
      </c>
      <c r="Q207" s="36">
        <v>6861</v>
      </c>
      <c r="R207" s="69">
        <v>6895</v>
      </c>
      <c r="S207" s="69">
        <v>6970</v>
      </c>
      <c r="T207" s="71">
        <v>6989</v>
      </c>
      <c r="U207" s="36">
        <v>12059</v>
      </c>
      <c r="V207" s="36">
        <v>6136</v>
      </c>
      <c r="W207" s="36">
        <v>3425</v>
      </c>
      <c r="X207" s="36">
        <v>671.5743903608136</v>
      </c>
      <c r="Y207" s="36">
        <v>12049</v>
      </c>
      <c r="Z207" s="36">
        <v>6107</v>
      </c>
      <c r="AA207" s="36">
        <v>3598</v>
      </c>
      <c r="AB207" s="36">
        <v>849.68540448355361</v>
      </c>
      <c r="AC207" s="36">
        <v>11760</v>
      </c>
      <c r="AD207" s="36">
        <v>6384</v>
      </c>
      <c r="AE207" s="36">
        <v>4041</v>
      </c>
      <c r="AF207" s="36">
        <v>793.84701289833208</v>
      </c>
      <c r="AG207" s="36">
        <v>13133</v>
      </c>
      <c r="AH207" s="36">
        <v>8260</v>
      </c>
      <c r="AI207" s="36">
        <v>4210</v>
      </c>
      <c r="AJ207" s="36">
        <v>663.83774574358404</v>
      </c>
      <c r="AK207" s="36">
        <v>13181</v>
      </c>
      <c r="AL207" s="36">
        <v>8565</v>
      </c>
      <c r="AM207" s="36">
        <v>4634</v>
      </c>
      <c r="AN207" s="36">
        <v>449</v>
      </c>
      <c r="AO207" s="36">
        <v>12828</v>
      </c>
      <c r="AP207" s="36">
        <v>10184</v>
      </c>
      <c r="AQ207" s="36">
        <v>5020</v>
      </c>
      <c r="AR207" s="36">
        <v>382</v>
      </c>
      <c r="AS207" s="36">
        <v>13295</v>
      </c>
      <c r="AT207" s="36">
        <v>10088</v>
      </c>
      <c r="AU207" s="36">
        <v>5495</v>
      </c>
      <c r="AV207" s="36">
        <v>385</v>
      </c>
      <c r="AW207" s="36">
        <v>13562</v>
      </c>
      <c r="AX207" s="69">
        <v>10564</v>
      </c>
      <c r="AY207" s="36">
        <v>5551</v>
      </c>
      <c r="AZ207" s="36">
        <v>773</v>
      </c>
      <c r="BA207" s="36">
        <v>15392</v>
      </c>
      <c r="BB207" s="36">
        <v>10755</v>
      </c>
      <c r="BC207" s="36">
        <v>6126</v>
      </c>
      <c r="BD207" s="36">
        <v>195</v>
      </c>
      <c r="BE207" s="70">
        <v>15953</v>
      </c>
      <c r="BF207" s="70">
        <v>10986</v>
      </c>
      <c r="BG207" s="70">
        <v>7644</v>
      </c>
      <c r="BH207" s="70">
        <v>358</v>
      </c>
      <c r="BI207" s="36">
        <v>17525</v>
      </c>
      <c r="BJ207" s="36">
        <v>12515</v>
      </c>
      <c r="BK207" s="36">
        <v>7676</v>
      </c>
      <c r="BL207" s="36">
        <v>128</v>
      </c>
      <c r="BM207" s="36">
        <v>8744.5948605133435</v>
      </c>
      <c r="BN207" s="36">
        <v>2700.2571593395596</v>
      </c>
      <c r="BO207" s="36">
        <v>614.05411951097676</v>
      </c>
      <c r="BP207" s="36">
        <v>9086.0163512302097</v>
      </c>
      <c r="BQ207" s="36">
        <v>2187.956735337797</v>
      </c>
      <c r="BR207" s="36">
        <v>775.00996513464281</v>
      </c>
      <c r="BS207" s="36">
        <v>8725.253248970268</v>
      </c>
      <c r="BT207" s="36">
        <v>2226.9763342768674</v>
      </c>
      <c r="BU207" s="36">
        <v>807.97479872109898</v>
      </c>
      <c r="BV207" s="36">
        <v>10702</v>
      </c>
      <c r="BW207" s="36">
        <v>1639</v>
      </c>
      <c r="BX207" s="36">
        <v>792</v>
      </c>
      <c r="BY207" s="36">
        <v>11445</v>
      </c>
      <c r="BZ207" s="36">
        <v>826</v>
      </c>
      <c r="CA207" s="36">
        <v>910</v>
      </c>
      <c r="CB207" s="36">
        <v>11384</v>
      </c>
      <c r="CC207" s="36">
        <v>540</v>
      </c>
      <c r="CD207" s="36">
        <v>904</v>
      </c>
      <c r="CE207" s="36">
        <v>11639</v>
      </c>
      <c r="CF207" s="36">
        <v>662</v>
      </c>
      <c r="CG207" s="36">
        <v>994</v>
      </c>
      <c r="CH207" s="36">
        <v>11705</v>
      </c>
      <c r="CI207" s="36">
        <v>832</v>
      </c>
      <c r="CJ207" s="70">
        <v>1025</v>
      </c>
      <c r="CK207" s="70">
        <v>13430</v>
      </c>
      <c r="CL207" s="70">
        <v>921</v>
      </c>
      <c r="CM207" s="36">
        <v>1041</v>
      </c>
      <c r="CN207" s="36">
        <v>13814</v>
      </c>
      <c r="CO207" s="36">
        <v>1078</v>
      </c>
      <c r="CP207" s="36">
        <v>1061</v>
      </c>
      <c r="CQ207" s="36">
        <v>15272</v>
      </c>
      <c r="CR207" s="36">
        <v>1035</v>
      </c>
      <c r="CS207" s="36">
        <v>1218</v>
      </c>
      <c r="CT207" s="36">
        <v>1067.4887692512102</v>
      </c>
      <c r="CU207" s="36">
        <v>-3103.2354313000001</v>
      </c>
      <c r="CV207" s="36">
        <v>1156.1238064964268</v>
      </c>
      <c r="CW207" s="36">
        <v>3828</v>
      </c>
      <c r="CX207" s="36">
        <v>808.31117457402195</v>
      </c>
      <c r="CY207" s="36">
        <v>434.09303819999997</v>
      </c>
      <c r="CZ207" s="36">
        <v>1082.9620584856696</v>
      </c>
      <c r="DA207" s="36">
        <v>4423</v>
      </c>
      <c r="DB207" s="36">
        <v>-504.90015523745615</v>
      </c>
      <c r="DC207" s="36">
        <v>-1256.3638103999999</v>
      </c>
      <c r="DD207" s="36">
        <v>1040.7468889438301</v>
      </c>
      <c r="DE207" s="36">
        <v>4240</v>
      </c>
      <c r="DF207" s="36">
        <v>1673.8062441449579</v>
      </c>
      <c r="DG207" s="36">
        <v>-3221</v>
      </c>
      <c r="DH207" s="36">
        <v>1023.7599083712178</v>
      </c>
      <c r="DI207" s="36">
        <v>4901</v>
      </c>
      <c r="DJ207" s="36">
        <v>1762</v>
      </c>
      <c r="DK207" s="36">
        <v>-2435</v>
      </c>
      <c r="DL207" s="36">
        <v>1273</v>
      </c>
      <c r="DM207" s="36">
        <v>5467</v>
      </c>
      <c r="DN207" s="36">
        <v>2748</v>
      </c>
      <c r="DO207" s="69">
        <v>-1598</v>
      </c>
      <c r="DP207" s="36">
        <v>1510</v>
      </c>
      <c r="DQ207" s="36">
        <v>5490</v>
      </c>
      <c r="DR207" s="36">
        <v>1239</v>
      </c>
      <c r="DS207" s="36">
        <v>-1888</v>
      </c>
      <c r="DT207" s="36">
        <v>1582</v>
      </c>
      <c r="DU207" s="36">
        <v>5353</v>
      </c>
      <c r="DV207" s="36">
        <v>847</v>
      </c>
      <c r="DW207" s="71">
        <v>-1518</v>
      </c>
      <c r="DX207" s="39">
        <v>1552</v>
      </c>
      <c r="DY207" s="71">
        <v>4712</v>
      </c>
      <c r="DZ207" s="70">
        <v>560</v>
      </c>
      <c r="EA207" s="35">
        <v>-2840</v>
      </c>
      <c r="EB207" s="35">
        <v>1685</v>
      </c>
      <c r="EC207" s="38">
        <v>5092</v>
      </c>
      <c r="ED207" s="38">
        <v>1688</v>
      </c>
      <c r="EE207" s="38">
        <v>-1813</v>
      </c>
      <c r="EF207" s="38">
        <v>848</v>
      </c>
      <c r="EG207" s="73">
        <v>5629</v>
      </c>
      <c r="EH207" s="73">
        <v>2530</v>
      </c>
      <c r="EI207" s="73">
        <v>-2348</v>
      </c>
      <c r="EJ207" s="73">
        <v>828</v>
      </c>
      <c r="EK207" s="73">
        <v>5569</v>
      </c>
      <c r="EL207" s="73">
        <v>20092.570634724416</v>
      </c>
      <c r="EM207" s="73">
        <v>200.81638419504415</v>
      </c>
      <c r="EN207" s="73">
        <v>20638.845019871405</v>
      </c>
      <c r="EO207" s="73">
        <v>147.66899943320669</v>
      </c>
      <c r="EP207" s="73">
        <v>22260.681194739755</v>
      </c>
      <c r="EQ207" s="73">
        <v>-1147.0416584675052</v>
      </c>
      <c r="ER207" s="73">
        <v>23281.918284214051</v>
      </c>
      <c r="ES207" s="73">
        <v>983.39480602045501</v>
      </c>
      <c r="ET207" s="73">
        <v>24856</v>
      </c>
      <c r="EU207" s="73">
        <v>794</v>
      </c>
      <c r="EV207" s="73">
        <v>25481</v>
      </c>
      <c r="EW207" s="73">
        <v>1036</v>
      </c>
      <c r="EX207" s="73">
        <v>27882</v>
      </c>
      <c r="EY207" s="73">
        <v>-85</v>
      </c>
      <c r="EZ207" s="73">
        <v>29042</v>
      </c>
      <c r="FA207" s="73">
        <v>-168</v>
      </c>
      <c r="FB207" s="73">
        <v>31841</v>
      </c>
      <c r="FC207" s="73">
        <v>-908</v>
      </c>
      <c r="FD207" s="73">
        <v>33029</v>
      </c>
      <c r="FE207" s="73">
        <v>3</v>
      </c>
      <c r="FF207" s="73">
        <v>35283</v>
      </c>
      <c r="FG207" s="73">
        <v>346</v>
      </c>
      <c r="FH207" s="73">
        <v>2607</v>
      </c>
      <c r="FI207" s="73">
        <v>2953</v>
      </c>
      <c r="FJ207" s="79">
        <v>7012</v>
      </c>
      <c r="FK207" s="80">
        <v>18239</v>
      </c>
      <c r="FL207" s="80">
        <v>13852</v>
      </c>
      <c r="FM207" s="80">
        <v>7556</v>
      </c>
      <c r="FN207" s="76">
        <v>98</v>
      </c>
      <c r="FO207" s="80">
        <v>16135</v>
      </c>
      <c r="FP207" s="80">
        <v>823</v>
      </c>
      <c r="FQ207" s="80">
        <v>1281</v>
      </c>
      <c r="FR207" s="80">
        <v>3851</v>
      </c>
      <c r="FS207" s="81">
        <v>-379</v>
      </c>
      <c r="FT207" s="76">
        <v>862</v>
      </c>
      <c r="FU207" s="76">
        <v>4821</v>
      </c>
      <c r="FV207" s="76">
        <v>379</v>
      </c>
      <c r="FW207" s="80">
        <v>35894</v>
      </c>
      <c r="FX207" s="80">
        <v>3113</v>
      </c>
      <c r="FY207" s="73">
        <v>6950</v>
      </c>
      <c r="FZ207" s="73">
        <v>19075</v>
      </c>
      <c r="GA207" s="73">
        <v>14689</v>
      </c>
      <c r="GB207" s="73">
        <v>5734</v>
      </c>
      <c r="GC207" s="73">
        <v>2442</v>
      </c>
      <c r="GD207" s="73">
        <v>16582</v>
      </c>
      <c r="GE207" s="73">
        <v>1051</v>
      </c>
      <c r="GF207" s="73">
        <v>1442</v>
      </c>
      <c r="GG207" s="73">
        <v>5232</v>
      </c>
      <c r="GH207" s="73">
        <v>-2733</v>
      </c>
      <c r="GI207" s="73">
        <v>909</v>
      </c>
      <c r="GJ207" s="73">
        <v>3971</v>
      </c>
      <c r="GK207" s="73">
        <v>2733</v>
      </c>
      <c r="GL207" s="73">
        <v>36708</v>
      </c>
      <c r="GM207" s="73">
        <v>2205</v>
      </c>
      <c r="GN207" s="73">
        <v>8270</v>
      </c>
      <c r="GO207" s="77">
        <v>19.5</v>
      </c>
      <c r="GP207" s="78">
        <v>6882</v>
      </c>
      <c r="GQ207" s="73">
        <v>19555</v>
      </c>
      <c r="GR207" s="65">
        <v>15103</v>
      </c>
      <c r="GS207" s="65">
        <v>5434</v>
      </c>
      <c r="GT207" s="65">
        <v>151</v>
      </c>
      <c r="GU207" s="65">
        <v>16800</v>
      </c>
      <c r="GV207" s="65">
        <v>1171</v>
      </c>
      <c r="GW207" s="65">
        <v>1584</v>
      </c>
      <c r="GX207" s="65">
        <v>1197</v>
      </c>
      <c r="GY207" s="65">
        <v>-945</v>
      </c>
      <c r="GZ207" s="65">
        <v>966</v>
      </c>
      <c r="HA207" s="65">
        <v>4629</v>
      </c>
      <c r="HB207" s="65">
        <v>945</v>
      </c>
      <c r="HC207" s="65">
        <v>39046</v>
      </c>
      <c r="HD207" s="65">
        <v>356</v>
      </c>
      <c r="HE207" s="78">
        <v>6838</v>
      </c>
      <c r="HF207" s="73">
        <v>19779</v>
      </c>
      <c r="HG207" s="65">
        <v>16091</v>
      </c>
      <c r="HH207" s="65">
        <v>5965</v>
      </c>
      <c r="HI207" s="65">
        <v>105</v>
      </c>
      <c r="HJ207" s="65">
        <v>17255</v>
      </c>
      <c r="HK207" s="65">
        <v>836</v>
      </c>
      <c r="HL207" s="65">
        <v>1688</v>
      </c>
      <c r="HM207" s="65">
        <v>725</v>
      </c>
      <c r="HN207" s="65">
        <v>-4752</v>
      </c>
      <c r="HO207" s="65">
        <v>987</v>
      </c>
      <c r="HP207" s="65">
        <v>3934</v>
      </c>
      <c r="HQ207" s="65">
        <v>4752</v>
      </c>
      <c r="HR207" s="65">
        <v>41214</v>
      </c>
      <c r="HS207" s="65">
        <v>34</v>
      </c>
      <c r="HT207" s="65">
        <v>9167</v>
      </c>
      <c r="HU207" s="77">
        <v>20</v>
      </c>
      <c r="HV207" s="180">
        <v>330</v>
      </c>
      <c r="HW207" s="30" t="s">
        <v>760</v>
      </c>
    </row>
    <row r="208" spans="1:231" ht="15" x14ac:dyDescent="0.25">
      <c r="A208" s="27">
        <v>636</v>
      </c>
      <c r="B208" s="27" t="s">
        <v>334</v>
      </c>
      <c r="C208" s="27">
        <v>2</v>
      </c>
      <c r="D208" s="27" t="s">
        <v>122</v>
      </c>
      <c r="E208" s="27">
        <v>3</v>
      </c>
      <c r="F208" s="27" t="s">
        <v>743</v>
      </c>
      <c r="G208" s="29" t="s">
        <v>130</v>
      </c>
      <c r="H208" s="27" t="s">
        <v>98</v>
      </c>
      <c r="I208" s="31" t="s">
        <v>122</v>
      </c>
      <c r="J208" s="69">
        <v>8376</v>
      </c>
      <c r="K208" s="69">
        <v>8365</v>
      </c>
      <c r="L208" s="36">
        <v>8332</v>
      </c>
      <c r="M208" s="36">
        <v>8303</v>
      </c>
      <c r="N208" s="36">
        <v>8304</v>
      </c>
      <c r="O208" s="36">
        <v>8340</v>
      </c>
      <c r="P208" s="36">
        <v>8339</v>
      </c>
      <c r="Q208" s="36">
        <v>8371</v>
      </c>
      <c r="R208" s="69">
        <v>8351</v>
      </c>
      <c r="S208" s="69">
        <v>8405</v>
      </c>
      <c r="T208" s="71">
        <v>8397</v>
      </c>
      <c r="U208" s="36">
        <v>14128</v>
      </c>
      <c r="V208" s="36">
        <v>8558</v>
      </c>
      <c r="W208" s="36">
        <v>4539</v>
      </c>
      <c r="X208" s="36">
        <v>695.12070006542513</v>
      </c>
      <c r="Y208" s="36">
        <v>13974</v>
      </c>
      <c r="Z208" s="36">
        <v>9499</v>
      </c>
      <c r="AA208" s="36">
        <v>4765</v>
      </c>
      <c r="AB208" s="36">
        <v>702.35278090327006</v>
      </c>
      <c r="AC208" s="36">
        <v>14418</v>
      </c>
      <c r="AD208" s="36">
        <v>10061</v>
      </c>
      <c r="AE208" s="36">
        <v>5030</v>
      </c>
      <c r="AF208" s="36">
        <v>610.35398512882352</v>
      </c>
      <c r="AG208" s="36">
        <v>15494</v>
      </c>
      <c r="AH208" s="36">
        <v>11543</v>
      </c>
      <c r="AI208" s="36">
        <v>5464</v>
      </c>
      <c r="AJ208" s="36">
        <v>669.38794731681389</v>
      </c>
      <c r="AK208" s="36">
        <v>15894</v>
      </c>
      <c r="AL208" s="36">
        <v>12572</v>
      </c>
      <c r="AM208" s="36">
        <v>5650</v>
      </c>
      <c r="AN208" s="36">
        <v>422</v>
      </c>
      <c r="AO208" s="36">
        <v>15006</v>
      </c>
      <c r="AP208" s="36">
        <v>13493</v>
      </c>
      <c r="AQ208" s="36">
        <v>5999</v>
      </c>
      <c r="AR208" s="36">
        <v>420</v>
      </c>
      <c r="AS208" s="36">
        <v>15921</v>
      </c>
      <c r="AT208" s="36">
        <v>14094</v>
      </c>
      <c r="AU208" s="36">
        <v>6502</v>
      </c>
      <c r="AV208" s="36">
        <v>354</v>
      </c>
      <c r="AW208" s="36">
        <v>16384</v>
      </c>
      <c r="AX208" s="69">
        <v>14768</v>
      </c>
      <c r="AY208" s="36">
        <v>7952</v>
      </c>
      <c r="AZ208" s="36">
        <v>289</v>
      </c>
      <c r="BA208" s="36">
        <v>17488</v>
      </c>
      <c r="BB208" s="36">
        <v>15540</v>
      </c>
      <c r="BC208" s="36">
        <v>8517</v>
      </c>
      <c r="BD208" s="36">
        <v>274</v>
      </c>
      <c r="BE208" s="70">
        <v>18731</v>
      </c>
      <c r="BF208" s="70">
        <v>15978</v>
      </c>
      <c r="BG208" s="70">
        <v>8846</v>
      </c>
      <c r="BH208" s="70">
        <v>439</v>
      </c>
      <c r="BI208" s="36">
        <v>20996</v>
      </c>
      <c r="BJ208" s="36">
        <v>16901</v>
      </c>
      <c r="BK208" s="36">
        <v>8738</v>
      </c>
      <c r="BL208" s="36">
        <v>287</v>
      </c>
      <c r="BM208" s="36">
        <v>10836.684477768078</v>
      </c>
      <c r="BN208" s="36">
        <v>2999.9680442939725</v>
      </c>
      <c r="BO208" s="36">
        <v>278.35101829380073</v>
      </c>
      <c r="BP208" s="36">
        <v>11137.572678207722</v>
      </c>
      <c r="BQ208" s="36">
        <v>2526.5190313048188</v>
      </c>
      <c r="BR208" s="36">
        <v>301.89732799841227</v>
      </c>
      <c r="BS208" s="36">
        <v>11263.881810980316</v>
      </c>
      <c r="BT208" s="36">
        <v>2651.3144727392601</v>
      </c>
      <c r="BU208" s="36">
        <v>494.80887964976546</v>
      </c>
      <c r="BV208" s="36">
        <v>13226</v>
      </c>
      <c r="BW208" s="36">
        <v>1726</v>
      </c>
      <c r="BX208" s="36">
        <v>537</v>
      </c>
      <c r="BY208" s="36">
        <v>14164</v>
      </c>
      <c r="BZ208" s="36">
        <v>1175</v>
      </c>
      <c r="CA208" s="36">
        <v>548</v>
      </c>
      <c r="CB208" s="36">
        <v>13703</v>
      </c>
      <c r="CC208" s="36">
        <v>712</v>
      </c>
      <c r="CD208" s="36">
        <v>591</v>
      </c>
      <c r="CE208" s="36">
        <v>14485</v>
      </c>
      <c r="CF208" s="36">
        <v>842</v>
      </c>
      <c r="CG208" s="36">
        <v>594</v>
      </c>
      <c r="CH208" s="36">
        <v>14658</v>
      </c>
      <c r="CI208" s="36">
        <v>1078</v>
      </c>
      <c r="CJ208" s="70">
        <v>648</v>
      </c>
      <c r="CK208" s="70">
        <v>15560</v>
      </c>
      <c r="CL208" s="70">
        <v>1226</v>
      </c>
      <c r="CM208" s="36">
        <v>702</v>
      </c>
      <c r="CN208" s="36">
        <v>16687</v>
      </c>
      <c r="CO208" s="36">
        <v>1312</v>
      </c>
      <c r="CP208" s="36">
        <v>732</v>
      </c>
      <c r="CQ208" s="36">
        <v>18974</v>
      </c>
      <c r="CR208" s="36">
        <v>1261</v>
      </c>
      <c r="CS208" s="36">
        <v>761</v>
      </c>
      <c r="CT208" s="36">
        <v>543.75156625006514</v>
      </c>
      <c r="CU208" s="36">
        <v>-2183.415661</v>
      </c>
      <c r="CV208" s="36">
        <v>1055.3792385459817</v>
      </c>
      <c r="CW208" s="36">
        <v>2269</v>
      </c>
      <c r="CX208" s="36">
        <v>734.47667485741874</v>
      </c>
      <c r="CY208" s="36">
        <v>-1306.3156248</v>
      </c>
      <c r="CZ208" s="36">
        <v>1106.8447440432042</v>
      </c>
      <c r="DA208" s="36">
        <v>1115</v>
      </c>
      <c r="DB208" s="36">
        <v>620.61344864297575</v>
      </c>
      <c r="DC208" s="36">
        <v>-1076.7391052</v>
      </c>
      <c r="DD208" s="36">
        <v>1130.8956175272001</v>
      </c>
      <c r="DE208" s="36">
        <v>1006</v>
      </c>
      <c r="DF208" s="36">
        <v>939.49775721400056</v>
      </c>
      <c r="DG208" s="36">
        <v>-2188</v>
      </c>
      <c r="DH208" s="36">
        <v>1136.7821949533529</v>
      </c>
      <c r="DI208" s="36">
        <v>2015</v>
      </c>
      <c r="DJ208" s="36">
        <v>2698</v>
      </c>
      <c r="DK208" s="36">
        <v>-2867</v>
      </c>
      <c r="DL208" s="36">
        <v>1263</v>
      </c>
      <c r="DM208" s="36">
        <v>2139</v>
      </c>
      <c r="DN208" s="36">
        <v>800</v>
      </c>
      <c r="DO208" s="69">
        <v>-2342</v>
      </c>
      <c r="DP208" s="36">
        <v>1397</v>
      </c>
      <c r="DQ208" s="36">
        <v>2316</v>
      </c>
      <c r="DR208" s="36">
        <v>154</v>
      </c>
      <c r="DS208" s="36">
        <v>-2877</v>
      </c>
      <c r="DT208" s="36">
        <v>1446</v>
      </c>
      <c r="DU208" s="36">
        <v>2328</v>
      </c>
      <c r="DV208" s="36">
        <v>1207</v>
      </c>
      <c r="DW208" s="71">
        <v>-2324</v>
      </c>
      <c r="DX208" s="39">
        <v>1583</v>
      </c>
      <c r="DY208" s="71">
        <v>2615</v>
      </c>
      <c r="DZ208" s="70">
        <v>541</v>
      </c>
      <c r="EA208" s="35">
        <v>-3179</v>
      </c>
      <c r="EB208" s="35">
        <v>1528</v>
      </c>
      <c r="EC208" s="38">
        <v>3730</v>
      </c>
      <c r="ED208" s="38">
        <v>1408</v>
      </c>
      <c r="EE208" s="38">
        <v>-2537</v>
      </c>
      <c r="EF208" s="38">
        <v>1641</v>
      </c>
      <c r="EG208" s="73">
        <v>4668</v>
      </c>
      <c r="EH208" s="73">
        <v>637</v>
      </c>
      <c r="EI208" s="73">
        <v>-2294</v>
      </c>
      <c r="EJ208" s="73">
        <v>1609</v>
      </c>
      <c r="EK208" s="73">
        <v>5856</v>
      </c>
      <c r="EL208" s="73">
        <v>25962.833832010539</v>
      </c>
      <c r="EM208" s="73">
        <v>-209.5621563710427</v>
      </c>
      <c r="EN208" s="73">
        <v>26865.834809182386</v>
      </c>
      <c r="EO208" s="73">
        <v>-480.17653004761399</v>
      </c>
      <c r="EP208" s="73">
        <v>28098.988685998189</v>
      </c>
      <c r="EQ208" s="73">
        <v>-205.8620219888895</v>
      </c>
      <c r="ER208" s="73">
        <v>30723.561278430068</v>
      </c>
      <c r="ES208" s="73">
        <v>-19.677987395996809</v>
      </c>
      <c r="ET208" s="73">
        <v>31759</v>
      </c>
      <c r="EU208" s="73">
        <v>1568</v>
      </c>
      <c r="EV208" s="73">
        <v>33899</v>
      </c>
      <c r="EW208" s="73">
        <v>-379</v>
      </c>
      <c r="EX208" s="73">
        <v>36567</v>
      </c>
      <c r="EY208" s="73">
        <v>-260</v>
      </c>
      <c r="EZ208" s="73">
        <v>38106</v>
      </c>
      <c r="FA208" s="73">
        <v>-618</v>
      </c>
      <c r="FB208" s="73">
        <v>41180</v>
      </c>
      <c r="FC208" s="73">
        <v>-595</v>
      </c>
      <c r="FD208" s="73">
        <v>42343</v>
      </c>
      <c r="FE208" s="73">
        <v>243</v>
      </c>
      <c r="FF208" s="73">
        <v>46084</v>
      </c>
      <c r="FG208" s="73">
        <v>-693</v>
      </c>
      <c r="FH208" s="73">
        <v>3711</v>
      </c>
      <c r="FI208" s="73">
        <v>3018</v>
      </c>
      <c r="FJ208" s="79">
        <v>8459</v>
      </c>
      <c r="FK208" s="80">
        <v>20808</v>
      </c>
      <c r="FL208" s="80">
        <v>17846</v>
      </c>
      <c r="FM208" s="80">
        <v>9599</v>
      </c>
      <c r="FN208" s="76">
        <v>147</v>
      </c>
      <c r="FO208" s="80">
        <v>18988</v>
      </c>
      <c r="FP208" s="80">
        <v>1011</v>
      </c>
      <c r="FQ208" s="80">
        <v>809</v>
      </c>
      <c r="FR208" s="80">
        <v>1694</v>
      </c>
      <c r="FS208" s="81">
        <v>-1623</v>
      </c>
      <c r="FT208" s="76">
        <v>1740</v>
      </c>
      <c r="FU208" s="76">
        <v>6166</v>
      </c>
      <c r="FV208" s="76">
        <v>1623</v>
      </c>
      <c r="FW208" s="80">
        <v>46563</v>
      </c>
      <c r="FX208" s="80">
        <v>22</v>
      </c>
      <c r="FY208" s="73">
        <v>8494</v>
      </c>
      <c r="FZ208" s="73">
        <v>21539</v>
      </c>
      <c r="GA208" s="73">
        <v>18686</v>
      </c>
      <c r="GB208" s="73">
        <v>9390</v>
      </c>
      <c r="GC208" s="73">
        <v>106</v>
      </c>
      <c r="GD208" s="73">
        <v>19173</v>
      </c>
      <c r="GE208" s="73">
        <v>1322</v>
      </c>
      <c r="GF208" s="73">
        <v>1044</v>
      </c>
      <c r="GG208" s="73">
        <v>2117</v>
      </c>
      <c r="GH208" s="73">
        <v>-2929</v>
      </c>
      <c r="GI208" s="73">
        <v>1726</v>
      </c>
      <c r="GJ208" s="73">
        <v>6491</v>
      </c>
      <c r="GK208" s="73">
        <v>2929</v>
      </c>
      <c r="GL208" s="73">
        <v>47536</v>
      </c>
      <c r="GM208" s="73">
        <v>455</v>
      </c>
      <c r="GN208" s="73">
        <v>3495</v>
      </c>
      <c r="GO208" s="77">
        <v>19.5</v>
      </c>
      <c r="GP208" s="78">
        <v>8474</v>
      </c>
      <c r="GQ208" s="73">
        <v>22565</v>
      </c>
      <c r="GR208" s="65">
        <v>19761</v>
      </c>
      <c r="GS208" s="65">
        <v>10902</v>
      </c>
      <c r="GT208" s="65">
        <v>117</v>
      </c>
      <c r="GU208" s="65">
        <v>19912</v>
      </c>
      <c r="GV208" s="65">
        <v>1568</v>
      </c>
      <c r="GW208" s="65">
        <v>1085</v>
      </c>
      <c r="GX208" s="65">
        <v>2288</v>
      </c>
      <c r="GY208" s="65">
        <v>-3027</v>
      </c>
      <c r="GZ208" s="65">
        <v>1848</v>
      </c>
      <c r="HA208" s="65">
        <v>7761</v>
      </c>
      <c r="HB208" s="65">
        <v>3027</v>
      </c>
      <c r="HC208" s="65">
        <v>50951</v>
      </c>
      <c r="HD208" s="65">
        <v>501</v>
      </c>
      <c r="HE208" s="78">
        <v>8569</v>
      </c>
      <c r="HF208" s="73">
        <v>22891</v>
      </c>
      <c r="HG208" s="65">
        <v>20717</v>
      </c>
      <c r="HH208" s="65">
        <v>10065</v>
      </c>
      <c r="HI208" s="65">
        <v>94</v>
      </c>
      <c r="HJ208" s="65">
        <v>20679</v>
      </c>
      <c r="HK208" s="65">
        <v>1027</v>
      </c>
      <c r="HL208" s="65">
        <v>1185</v>
      </c>
      <c r="HM208" s="65">
        <v>11</v>
      </c>
      <c r="HN208" s="65">
        <v>-2074</v>
      </c>
      <c r="HO208" s="65">
        <v>1969</v>
      </c>
      <c r="HP208" s="65">
        <v>7891</v>
      </c>
      <c r="HQ208" s="65">
        <v>2074</v>
      </c>
      <c r="HR208" s="65">
        <v>53611</v>
      </c>
      <c r="HS208" s="65">
        <v>-1829</v>
      </c>
      <c r="HT208" s="65">
        <v>2167</v>
      </c>
      <c r="HU208" s="77">
        <v>20</v>
      </c>
      <c r="HV208" s="180">
        <v>330</v>
      </c>
      <c r="HW208" s="30" t="s">
        <v>760</v>
      </c>
    </row>
    <row r="209" spans="1:231" ht="15" x14ac:dyDescent="0.25">
      <c r="A209" s="27">
        <v>678</v>
      </c>
      <c r="B209" s="27" t="s">
        <v>335</v>
      </c>
      <c r="C209" s="27">
        <v>17</v>
      </c>
      <c r="D209" s="27" t="s">
        <v>117</v>
      </c>
      <c r="E209" s="27">
        <v>5</v>
      </c>
      <c r="F209" s="27" t="s">
        <v>101</v>
      </c>
      <c r="G209" s="29" t="s">
        <v>141</v>
      </c>
      <c r="H209" s="27" t="s">
        <v>97</v>
      </c>
      <c r="I209" s="31" t="s">
        <v>117</v>
      </c>
      <c r="J209" s="82">
        <v>27177</v>
      </c>
      <c r="K209" s="82">
        <v>26909</v>
      </c>
      <c r="L209" s="82">
        <v>26766</v>
      </c>
      <c r="M209" s="82">
        <v>26540</v>
      </c>
      <c r="N209" s="82">
        <v>26276</v>
      </c>
      <c r="O209" s="82">
        <v>26018</v>
      </c>
      <c r="P209" s="82">
        <v>25907</v>
      </c>
      <c r="Q209" s="82">
        <v>25746</v>
      </c>
      <c r="R209" s="82">
        <v>25671</v>
      </c>
      <c r="S209" s="82">
        <v>25678</v>
      </c>
      <c r="T209" s="82">
        <v>25809</v>
      </c>
      <c r="U209" s="82">
        <v>59464</v>
      </c>
      <c r="V209" s="82">
        <v>19256</v>
      </c>
      <c r="W209" s="82">
        <v>24178</v>
      </c>
      <c r="X209" s="82">
        <v>1168.5697130545784</v>
      </c>
      <c r="Y209" s="82">
        <v>59894</v>
      </c>
      <c r="Z209" s="82">
        <v>18013</v>
      </c>
      <c r="AA209" s="82">
        <v>22639</v>
      </c>
      <c r="AB209" s="82">
        <v>2073.2525694910464</v>
      </c>
      <c r="AC209" s="82">
        <v>57618</v>
      </c>
      <c r="AD209" s="82">
        <v>18645</v>
      </c>
      <c r="AE209" s="82">
        <v>19049</v>
      </c>
      <c r="AF209" s="82">
        <v>1451.7981812157632</v>
      </c>
      <c r="AG209" s="82">
        <v>64300</v>
      </c>
      <c r="AH209" s="82">
        <v>21950</v>
      </c>
      <c r="AI209" s="82">
        <v>17478</v>
      </c>
      <c r="AJ209" s="82">
        <v>1892.7869243978448</v>
      </c>
      <c r="AK209" s="82">
        <v>64317</v>
      </c>
      <c r="AL209" s="82">
        <v>23111</v>
      </c>
      <c r="AM209" s="82">
        <v>19068</v>
      </c>
      <c r="AN209" s="82">
        <v>2095</v>
      </c>
      <c r="AO209" s="82">
        <v>63289</v>
      </c>
      <c r="AP209" s="82">
        <v>24758</v>
      </c>
      <c r="AQ209" s="82">
        <v>17885</v>
      </c>
      <c r="AR209" s="82">
        <v>9063</v>
      </c>
      <c r="AS209" s="82">
        <v>62679</v>
      </c>
      <c r="AT209" s="82">
        <v>24274</v>
      </c>
      <c r="AU209" s="82">
        <v>17269</v>
      </c>
      <c r="AV209" s="82">
        <v>3956</v>
      </c>
      <c r="AW209" s="82">
        <v>65411</v>
      </c>
      <c r="AX209" s="82">
        <v>25302</v>
      </c>
      <c r="AY209" s="82">
        <v>17771</v>
      </c>
      <c r="AZ209" s="82">
        <v>4673</v>
      </c>
      <c r="BA209" s="82">
        <v>73176</v>
      </c>
      <c r="BB209" s="82">
        <v>26632</v>
      </c>
      <c r="BC209" s="82">
        <v>18246</v>
      </c>
      <c r="BD209" s="82">
        <v>11691</v>
      </c>
      <c r="BE209" s="82">
        <v>89580</v>
      </c>
      <c r="BF209" s="82">
        <v>28104</v>
      </c>
      <c r="BG209" s="82">
        <v>18074</v>
      </c>
      <c r="BH209" s="82">
        <v>4290</v>
      </c>
      <c r="BI209" s="82">
        <v>94388</v>
      </c>
      <c r="BJ209" s="82">
        <v>29557</v>
      </c>
      <c r="BK209" s="82">
        <v>20744</v>
      </c>
      <c r="BL209" s="82">
        <v>0</v>
      </c>
      <c r="BM209" s="82">
        <v>52198.132104888711</v>
      </c>
      <c r="BN209" s="82">
        <v>5733.8627889258341</v>
      </c>
      <c r="BO209" s="82">
        <v>1524.6235533735976</v>
      </c>
      <c r="BP209" s="82">
        <v>51155.366960827349</v>
      </c>
      <c r="BQ209" s="82">
        <v>7079.1980126914614</v>
      </c>
      <c r="BR209" s="82">
        <v>1650.5963102932694</v>
      </c>
      <c r="BS209" s="82">
        <v>49141.821105230141</v>
      </c>
      <c r="BT209" s="82">
        <v>6838.0165261456541</v>
      </c>
      <c r="BU209" s="82">
        <v>1638.3185916615789</v>
      </c>
      <c r="BV209" s="82">
        <v>55787</v>
      </c>
      <c r="BW209" s="82">
        <v>6867</v>
      </c>
      <c r="BX209" s="82">
        <v>1648</v>
      </c>
      <c r="BY209" s="82">
        <v>59921</v>
      </c>
      <c r="BZ209" s="82">
        <v>2673</v>
      </c>
      <c r="CA209" s="82">
        <v>1723</v>
      </c>
      <c r="CB209" s="82">
        <v>58879</v>
      </c>
      <c r="CC209" s="82">
        <v>2601</v>
      </c>
      <c r="CD209" s="82">
        <v>1809</v>
      </c>
      <c r="CE209" s="82">
        <v>58442</v>
      </c>
      <c r="CF209" s="82">
        <v>2255</v>
      </c>
      <c r="CG209" s="82">
        <v>1982</v>
      </c>
      <c r="CH209" s="82">
        <v>59899</v>
      </c>
      <c r="CI209" s="82">
        <v>3401</v>
      </c>
      <c r="CJ209" s="82">
        <v>2111</v>
      </c>
      <c r="CK209" s="82">
        <v>63086</v>
      </c>
      <c r="CL209" s="82">
        <v>7869</v>
      </c>
      <c r="CM209" s="82">
        <v>2221</v>
      </c>
      <c r="CN209" s="82">
        <v>71638</v>
      </c>
      <c r="CO209" s="82">
        <v>15606</v>
      </c>
      <c r="CP209" s="82">
        <v>2336</v>
      </c>
      <c r="CQ209" s="82">
        <v>74206</v>
      </c>
      <c r="CR209" s="82">
        <v>17678</v>
      </c>
      <c r="CS209" s="82">
        <v>2504</v>
      </c>
      <c r="CT209" s="82">
        <v>1126.0181676598163</v>
      </c>
      <c r="CU209" s="82">
        <v>-3626.2998828</v>
      </c>
      <c r="CV209" s="82">
        <v>5084.4892048579395</v>
      </c>
      <c r="CW209" s="82">
        <v>38701</v>
      </c>
      <c r="CX209" s="82">
        <v>2214.8668035716382</v>
      </c>
      <c r="CY209" s="82">
        <v>7473.0941368999993</v>
      </c>
      <c r="CZ209" s="82">
        <v>5363.1765990046633</v>
      </c>
      <c r="DA209" s="82">
        <v>41612</v>
      </c>
      <c r="DB209" s="82">
        <v>-3531.4418919123473</v>
      </c>
      <c r="DC209" s="82">
        <v>3602.0808214999997</v>
      </c>
      <c r="DD209" s="82">
        <v>5198.856994851767</v>
      </c>
      <c r="DE209" s="82">
        <v>52093</v>
      </c>
      <c r="DF209" s="82">
        <v>749.61358823895478</v>
      </c>
      <c r="DG209" s="82">
        <v>-11535</v>
      </c>
      <c r="DH209" s="82">
        <v>4756.6909361844555</v>
      </c>
      <c r="DI209" s="82">
        <v>66568</v>
      </c>
      <c r="DJ209" s="82">
        <v>2697</v>
      </c>
      <c r="DK209" s="82">
        <v>-3810</v>
      </c>
      <c r="DL209" s="82">
        <v>4760</v>
      </c>
      <c r="DM209" s="82">
        <v>67171</v>
      </c>
      <c r="DN209" s="82">
        <v>-66</v>
      </c>
      <c r="DO209" s="82">
        <v>-9306</v>
      </c>
      <c r="DP209" s="82">
        <v>4746</v>
      </c>
      <c r="DQ209" s="82">
        <v>75876</v>
      </c>
      <c r="DR209" s="82">
        <v>-4240</v>
      </c>
      <c r="DS209" s="82">
        <v>-6201</v>
      </c>
      <c r="DT209" s="82">
        <v>5766</v>
      </c>
      <c r="DU209" s="82">
        <v>87766</v>
      </c>
      <c r="DV209" s="82">
        <v>-3388</v>
      </c>
      <c r="DW209" s="82">
        <v>-4296</v>
      </c>
      <c r="DX209" s="82">
        <v>5167</v>
      </c>
      <c r="DY209" s="82">
        <v>98422</v>
      </c>
      <c r="DZ209" s="82">
        <v>1117</v>
      </c>
      <c r="EA209" s="82">
        <v>7246</v>
      </c>
      <c r="EB209" s="82">
        <v>4783</v>
      </c>
      <c r="EC209" s="82">
        <v>97966</v>
      </c>
      <c r="ED209" s="82">
        <v>13329</v>
      </c>
      <c r="EE209" s="82">
        <v>-6112</v>
      </c>
      <c r="EF209" s="82">
        <v>4478</v>
      </c>
      <c r="EG209" s="82">
        <v>82621</v>
      </c>
      <c r="EH209" s="82">
        <v>6848</v>
      </c>
      <c r="EI209" s="82">
        <v>-24536</v>
      </c>
      <c r="EJ209" s="82">
        <v>4423</v>
      </c>
      <c r="EK209" s="82">
        <v>97250</v>
      </c>
      <c r="EL209" s="82">
        <v>96586.121468684243</v>
      </c>
      <c r="EM209" s="82">
        <v>-3875.3862015261375</v>
      </c>
      <c r="EN209" s="82">
        <v>94486.127018885818</v>
      </c>
      <c r="EO209" s="82">
        <v>2550.7380927152763</v>
      </c>
      <c r="EP209" s="82">
        <v>93514.337179791197</v>
      </c>
      <c r="EQ209" s="82">
        <v>8886.0409066674729</v>
      </c>
      <c r="ER209" s="82">
        <v>78006.73760833405</v>
      </c>
      <c r="ES209" s="82">
        <v>-3481.6582656797395</v>
      </c>
      <c r="ET209" s="82">
        <v>81790</v>
      </c>
      <c r="EU209" s="82">
        <v>-3360</v>
      </c>
      <c r="EV209" s="82">
        <v>105482</v>
      </c>
      <c r="EW209" s="82">
        <v>2986</v>
      </c>
      <c r="EX209" s="82">
        <v>107860</v>
      </c>
      <c r="EY209" s="82">
        <v>-7367</v>
      </c>
      <c r="EZ209" s="82">
        <v>112857</v>
      </c>
      <c r="FA209" s="82">
        <v>-7908</v>
      </c>
      <c r="FB209" s="82">
        <v>115718</v>
      </c>
      <c r="FC209" s="82">
        <v>10352</v>
      </c>
      <c r="FD209" s="82">
        <v>121962</v>
      </c>
      <c r="FE209" s="82">
        <v>8583</v>
      </c>
      <c r="FF209" s="82">
        <v>133963</v>
      </c>
      <c r="FG209" s="82">
        <v>2545</v>
      </c>
      <c r="FH209" s="82">
        <v>9237</v>
      </c>
      <c r="FI209" s="82">
        <v>11781</v>
      </c>
      <c r="FJ209" s="82">
        <v>25674</v>
      </c>
      <c r="FK209" s="82">
        <v>87361</v>
      </c>
      <c r="FL209" s="82">
        <v>29399</v>
      </c>
      <c r="FM209" s="82">
        <v>20155</v>
      </c>
      <c r="FN209" s="82">
        <v>1471</v>
      </c>
      <c r="FO209" s="82">
        <v>72830</v>
      </c>
      <c r="FP209" s="82">
        <v>11908</v>
      </c>
      <c r="FQ209" s="82">
        <v>2623</v>
      </c>
      <c r="FR209" s="82">
        <v>-2830</v>
      </c>
      <c r="FS209" s="82">
        <v>-16195</v>
      </c>
      <c r="FT209" s="82">
        <v>4711</v>
      </c>
      <c r="FU209" s="82">
        <v>117710</v>
      </c>
      <c r="FV209" s="82">
        <v>16195</v>
      </c>
      <c r="FW209" s="82">
        <v>139114</v>
      </c>
      <c r="FX209" s="82">
        <v>-7428</v>
      </c>
      <c r="FY209" s="82">
        <v>25656</v>
      </c>
      <c r="FZ209" s="82">
        <v>91029</v>
      </c>
      <c r="GA209" s="82">
        <v>35671</v>
      </c>
      <c r="GB209" s="82">
        <v>23001</v>
      </c>
      <c r="GC209" s="82">
        <v>1456</v>
      </c>
      <c r="GD209" s="82">
        <v>71782</v>
      </c>
      <c r="GE209" s="82">
        <v>15803</v>
      </c>
      <c r="GF209" s="82">
        <v>3444</v>
      </c>
      <c r="GG209" s="82">
        <v>8280</v>
      </c>
      <c r="GH209" s="82">
        <v>-6654</v>
      </c>
      <c r="GI209" s="82">
        <v>5398</v>
      </c>
      <c r="GJ209" s="82">
        <v>117021</v>
      </c>
      <c r="GK209" s="82">
        <v>6654</v>
      </c>
      <c r="GL209" s="82">
        <v>141391</v>
      </c>
      <c r="GM209" s="82">
        <v>2989</v>
      </c>
      <c r="GN209" s="82">
        <v>7342</v>
      </c>
      <c r="GO209" s="83">
        <v>20</v>
      </c>
      <c r="GP209" s="82">
        <v>25652</v>
      </c>
      <c r="GQ209" s="82">
        <v>93347</v>
      </c>
      <c r="GR209" s="82">
        <v>36479</v>
      </c>
      <c r="GS209" s="82">
        <v>20684</v>
      </c>
      <c r="GT209" s="82">
        <v>0</v>
      </c>
      <c r="GU209" s="82">
        <v>75946</v>
      </c>
      <c r="GV209" s="82">
        <v>13741</v>
      </c>
      <c r="GW209" s="82">
        <v>3660</v>
      </c>
      <c r="GX209" s="82">
        <v>4097</v>
      </c>
      <c r="GY209" s="82">
        <v>-6288</v>
      </c>
      <c r="GZ209" s="82">
        <v>5715</v>
      </c>
      <c r="HA209" s="82">
        <v>123195</v>
      </c>
      <c r="HB209" s="82">
        <v>6288</v>
      </c>
      <c r="HC209" s="82">
        <v>143434</v>
      </c>
      <c r="HD209" s="82">
        <v>-1516</v>
      </c>
      <c r="HE209" s="82">
        <v>25659</v>
      </c>
      <c r="HF209" s="82">
        <v>82360</v>
      </c>
      <c r="HG209" s="82">
        <v>38230</v>
      </c>
      <c r="HH209" s="82">
        <v>22874</v>
      </c>
      <c r="HI209" s="82">
        <v>1980</v>
      </c>
      <c r="HJ209" s="82">
        <v>75937</v>
      </c>
      <c r="HK209" s="82">
        <v>2563</v>
      </c>
      <c r="HL209" s="82">
        <v>3860</v>
      </c>
      <c r="HM209" s="82">
        <v>-6381</v>
      </c>
      <c r="HN209" s="82">
        <v>-6980</v>
      </c>
      <c r="HO209" s="82">
        <v>5826</v>
      </c>
      <c r="HP209" s="82">
        <v>137551</v>
      </c>
      <c r="HQ209" s="82">
        <v>6980</v>
      </c>
      <c r="HR209" s="82">
        <v>150491</v>
      </c>
      <c r="HS209" s="82">
        <v>-12111</v>
      </c>
      <c r="HT209" s="82">
        <v>-6201</v>
      </c>
      <c r="HU209" s="83">
        <v>20</v>
      </c>
      <c r="HV209" s="180">
        <v>130</v>
      </c>
      <c r="HW209" s="30" t="s">
        <v>752</v>
      </c>
    </row>
    <row r="210" spans="1:231" ht="15" x14ac:dyDescent="0.25">
      <c r="A210" s="27">
        <v>710</v>
      </c>
      <c r="B210" s="27" t="s">
        <v>524</v>
      </c>
      <c r="C210" s="27">
        <v>1</v>
      </c>
      <c r="D210" s="27" t="s">
        <v>121</v>
      </c>
      <c r="E210" s="27">
        <v>5</v>
      </c>
      <c r="F210" s="27" t="s">
        <v>101</v>
      </c>
      <c r="G210" s="29" t="s">
        <v>132</v>
      </c>
      <c r="H210" s="27" t="s">
        <v>99</v>
      </c>
      <c r="I210" s="27" t="s">
        <v>121</v>
      </c>
      <c r="J210" s="69">
        <v>28332</v>
      </c>
      <c r="K210" s="69">
        <v>28364</v>
      </c>
      <c r="L210" s="36">
        <v>28436</v>
      </c>
      <c r="M210" s="36">
        <v>28480</v>
      </c>
      <c r="N210" s="36">
        <v>28488</v>
      </c>
      <c r="O210" s="36">
        <v>28482</v>
      </c>
      <c r="P210" s="36">
        <v>28418</v>
      </c>
      <c r="Q210" s="36">
        <v>28396</v>
      </c>
      <c r="R210" s="69">
        <v>28531</v>
      </c>
      <c r="S210" s="69">
        <v>28731</v>
      </c>
      <c r="T210" s="71">
        <v>28834</v>
      </c>
      <c r="U210" s="36">
        <v>62595</v>
      </c>
      <c r="V210" s="36">
        <v>22733</v>
      </c>
      <c r="W210" s="36">
        <v>25102</v>
      </c>
      <c r="X210" s="36">
        <v>1264.1004552847171</v>
      </c>
      <c r="Y210" s="36">
        <v>65600</v>
      </c>
      <c r="Z210" s="36">
        <v>20849</v>
      </c>
      <c r="AA210" s="36">
        <v>23589</v>
      </c>
      <c r="AB210" s="36">
        <v>1715.0122861280279</v>
      </c>
      <c r="AC210" s="36">
        <v>71276</v>
      </c>
      <c r="AD210" s="36">
        <v>22680</v>
      </c>
      <c r="AE210" s="36">
        <v>24135</v>
      </c>
      <c r="AF210" s="36">
        <v>1837.2849086655465</v>
      </c>
      <c r="AG210" s="36">
        <v>69241</v>
      </c>
      <c r="AH210" s="36">
        <v>23958</v>
      </c>
      <c r="AI210" s="36">
        <v>23895</v>
      </c>
      <c r="AJ210" s="36">
        <v>903.67372887769875</v>
      </c>
      <c r="AK210" s="36">
        <v>76773</v>
      </c>
      <c r="AL210" s="36">
        <v>30128</v>
      </c>
      <c r="AM210" s="36">
        <v>26864</v>
      </c>
      <c r="AN210" s="36">
        <v>679</v>
      </c>
      <c r="AO210" s="36">
        <v>72873</v>
      </c>
      <c r="AP210" s="36">
        <v>29339</v>
      </c>
      <c r="AQ210" s="36">
        <v>28884</v>
      </c>
      <c r="AR210" s="36">
        <v>648</v>
      </c>
      <c r="AS210" s="36">
        <v>73514</v>
      </c>
      <c r="AT210" s="36">
        <v>30480</v>
      </c>
      <c r="AU210" s="36">
        <v>28029</v>
      </c>
      <c r="AV210" s="36">
        <v>642</v>
      </c>
      <c r="AW210" s="36">
        <v>76872</v>
      </c>
      <c r="AX210" s="69">
        <v>33554</v>
      </c>
      <c r="AY210" s="36">
        <v>30388</v>
      </c>
      <c r="AZ210" s="36">
        <v>528</v>
      </c>
      <c r="BA210" s="36">
        <v>80896</v>
      </c>
      <c r="BB210" s="36">
        <v>34254</v>
      </c>
      <c r="BC210" s="36">
        <v>32289</v>
      </c>
      <c r="BD210" s="36">
        <v>335</v>
      </c>
      <c r="BE210" s="70">
        <v>85287</v>
      </c>
      <c r="BF210" s="70">
        <v>36901</v>
      </c>
      <c r="BG210" s="70">
        <v>33422</v>
      </c>
      <c r="BH210" s="70">
        <v>1681</v>
      </c>
      <c r="BI210" s="36">
        <v>94848</v>
      </c>
      <c r="BJ210" s="36">
        <v>42097</v>
      </c>
      <c r="BK210" s="36">
        <v>38586</v>
      </c>
      <c r="BL210" s="36">
        <v>1189</v>
      </c>
      <c r="BM210" s="36">
        <v>51895.057461405078</v>
      </c>
      <c r="BN210" s="36">
        <v>8085.8027525636044</v>
      </c>
      <c r="BO210" s="36">
        <v>2613.8085651383426</v>
      </c>
      <c r="BP210" s="36">
        <v>54091.759968918865</v>
      </c>
      <c r="BQ210" s="36">
        <v>8858.2898988013239</v>
      </c>
      <c r="BR210" s="36">
        <v>2649.6325934746446</v>
      </c>
      <c r="BS210" s="36">
        <v>53310.863426358075</v>
      </c>
      <c r="BT210" s="36">
        <v>14724.516585852367</v>
      </c>
      <c r="BU210" s="36">
        <v>3239.9722153545486</v>
      </c>
      <c r="BV210" s="36">
        <v>60854</v>
      </c>
      <c r="BW210" s="36">
        <v>4906</v>
      </c>
      <c r="BX210" s="36">
        <v>3481</v>
      </c>
      <c r="BY210" s="36">
        <v>66076</v>
      </c>
      <c r="BZ210" s="36">
        <v>7159</v>
      </c>
      <c r="CA210" s="36">
        <v>3538</v>
      </c>
      <c r="CB210" s="36">
        <v>65779</v>
      </c>
      <c r="CC210" s="36">
        <v>3517</v>
      </c>
      <c r="CD210" s="36">
        <v>3577</v>
      </c>
      <c r="CE210" s="36">
        <v>66373</v>
      </c>
      <c r="CF210" s="36">
        <v>3511</v>
      </c>
      <c r="CG210" s="36">
        <v>3630</v>
      </c>
      <c r="CH210" s="36">
        <v>69673</v>
      </c>
      <c r="CI210" s="36">
        <v>3367</v>
      </c>
      <c r="CJ210" s="70">
        <v>3832</v>
      </c>
      <c r="CK210" s="70">
        <v>73736</v>
      </c>
      <c r="CL210" s="70">
        <v>3163</v>
      </c>
      <c r="CM210" s="36">
        <v>3997</v>
      </c>
      <c r="CN210" s="36">
        <v>77418</v>
      </c>
      <c r="CO210" s="36">
        <v>3718</v>
      </c>
      <c r="CP210" s="36">
        <v>4151</v>
      </c>
      <c r="CQ210" s="36">
        <v>85590</v>
      </c>
      <c r="CR210" s="36">
        <v>3919</v>
      </c>
      <c r="CS210" s="36">
        <v>5339</v>
      </c>
      <c r="CT210" s="36">
        <v>-417.77880933039296</v>
      </c>
      <c r="CU210" s="36">
        <v>-6232.3718026000006</v>
      </c>
      <c r="CV210" s="36">
        <v>4075.866209868258</v>
      </c>
      <c r="CW210" s="36">
        <v>36080</v>
      </c>
      <c r="CX210" s="36">
        <v>4210.9211148168524</v>
      </c>
      <c r="CY210" s="36">
        <v>-6213.0301909999998</v>
      </c>
      <c r="CZ210" s="36">
        <v>4134.0592324239406</v>
      </c>
      <c r="DA210" s="36">
        <v>36095</v>
      </c>
      <c r="DB210" s="36">
        <v>5358.2991491372804</v>
      </c>
      <c r="DC210" s="36">
        <v>-8216.8211469999987</v>
      </c>
      <c r="DD210" s="36">
        <v>4995.8541676127243</v>
      </c>
      <c r="DE210" s="36">
        <v>40745</v>
      </c>
      <c r="DF210" s="36">
        <v>-1701.7254399375684</v>
      </c>
      <c r="DG210" s="36">
        <v>-5694</v>
      </c>
      <c r="DH210" s="36">
        <v>4598.7624732370959</v>
      </c>
      <c r="DI210" s="36">
        <v>36011</v>
      </c>
      <c r="DJ210" s="36">
        <v>13242</v>
      </c>
      <c r="DK210" s="36">
        <v>-4837</v>
      </c>
      <c r="DL210" s="36">
        <v>4692</v>
      </c>
      <c r="DM210" s="36">
        <v>39265</v>
      </c>
      <c r="DN210" s="36">
        <v>5679</v>
      </c>
      <c r="DO210" s="69">
        <v>-5270</v>
      </c>
      <c r="DP210" s="36">
        <v>4741</v>
      </c>
      <c r="DQ210" s="36">
        <v>37724</v>
      </c>
      <c r="DR210" s="36">
        <v>302</v>
      </c>
      <c r="DS210" s="36">
        <v>-2775</v>
      </c>
      <c r="DT210" s="36">
        <v>4812</v>
      </c>
      <c r="DU210" s="36">
        <v>41411</v>
      </c>
      <c r="DV210" s="36">
        <v>-533</v>
      </c>
      <c r="DW210" s="71">
        <v>-4961</v>
      </c>
      <c r="DX210" s="39">
        <v>4691</v>
      </c>
      <c r="DY210" s="71">
        <v>47229</v>
      </c>
      <c r="DZ210" s="70">
        <v>2476</v>
      </c>
      <c r="EA210" s="35">
        <v>-13546</v>
      </c>
      <c r="EB210" s="35">
        <v>4537</v>
      </c>
      <c r="EC210" s="38">
        <v>55682</v>
      </c>
      <c r="ED210" s="38">
        <v>2109</v>
      </c>
      <c r="EE210" s="38">
        <v>-14093</v>
      </c>
      <c r="EF210" s="38">
        <v>4851</v>
      </c>
      <c r="EG210" s="73">
        <v>63309</v>
      </c>
      <c r="EH210" s="73">
        <v>1294</v>
      </c>
      <c r="EI210" s="73">
        <v>-20433</v>
      </c>
      <c r="EJ210" s="73">
        <v>5271</v>
      </c>
      <c r="EK210" s="73">
        <v>81323</v>
      </c>
      <c r="EL210" s="73">
        <v>105353.08532341696</v>
      </c>
      <c r="EM210" s="73">
        <v>-2864.4085755659944</v>
      </c>
      <c r="EN210" s="73">
        <v>101625.36812132403</v>
      </c>
      <c r="EO210" s="73">
        <v>113.69503828798145</v>
      </c>
      <c r="EP210" s="73">
        <v>108144.8367147516</v>
      </c>
      <c r="EQ210" s="73">
        <v>394.4006875522432</v>
      </c>
      <c r="ER210" s="73">
        <v>113098.30752489601</v>
      </c>
      <c r="ES210" s="73">
        <v>-6268.5322071469782</v>
      </c>
      <c r="ET210" s="73">
        <v>119420</v>
      </c>
      <c r="EU210" s="73">
        <v>8582</v>
      </c>
      <c r="EV210" s="73">
        <v>124784</v>
      </c>
      <c r="EW210" s="73">
        <v>1133</v>
      </c>
      <c r="EX210" s="73">
        <v>131077</v>
      </c>
      <c r="EY210" s="73">
        <v>-4478</v>
      </c>
      <c r="EZ210" s="73">
        <v>140754</v>
      </c>
      <c r="FA210" s="73">
        <v>-5192</v>
      </c>
      <c r="FB210" s="73">
        <v>143705</v>
      </c>
      <c r="FC210" s="73">
        <v>-2061</v>
      </c>
      <c r="FD210" s="73">
        <v>151547</v>
      </c>
      <c r="FE210" s="73">
        <v>-1510</v>
      </c>
      <c r="FF210" s="73">
        <v>171539</v>
      </c>
      <c r="FG210" s="73">
        <v>-4689</v>
      </c>
      <c r="FH210" s="73">
        <v>-19517</v>
      </c>
      <c r="FI210" s="73">
        <v>-24206</v>
      </c>
      <c r="FJ210" s="79">
        <v>28944</v>
      </c>
      <c r="FK210" s="80">
        <v>93811</v>
      </c>
      <c r="FL210" s="80">
        <v>46356</v>
      </c>
      <c r="FM210" s="80">
        <v>39549</v>
      </c>
      <c r="FN210" s="76">
        <v>895</v>
      </c>
      <c r="FO210" s="80">
        <v>85135</v>
      </c>
      <c r="FP210" s="80">
        <v>2807</v>
      </c>
      <c r="FQ210" s="80">
        <v>5869</v>
      </c>
      <c r="FR210" s="80">
        <v>3498</v>
      </c>
      <c r="FS210" s="81">
        <v>-9267</v>
      </c>
      <c r="FT210" s="76">
        <v>5750</v>
      </c>
      <c r="FU210" s="76">
        <v>86201</v>
      </c>
      <c r="FV210" s="76">
        <v>9267</v>
      </c>
      <c r="FW210" s="80">
        <v>173733</v>
      </c>
      <c r="FX210" s="80">
        <v>-1608</v>
      </c>
      <c r="FY210" s="73">
        <v>29065</v>
      </c>
      <c r="FZ210" s="73">
        <v>100179</v>
      </c>
      <c r="GA210" s="73">
        <v>47491</v>
      </c>
      <c r="GB210" s="73">
        <v>45381</v>
      </c>
      <c r="GC210" s="73">
        <v>453</v>
      </c>
      <c r="GD210" s="73">
        <v>88706</v>
      </c>
      <c r="GE210" s="73">
        <v>3672</v>
      </c>
      <c r="GF210" s="73">
        <v>7801</v>
      </c>
      <c r="GG210" s="73">
        <v>14368</v>
      </c>
      <c r="GH210" s="73">
        <v>-5662</v>
      </c>
      <c r="GI210" s="73">
        <v>6536</v>
      </c>
      <c r="GJ210" s="73">
        <v>82222</v>
      </c>
      <c r="GK210" s="73">
        <v>5662</v>
      </c>
      <c r="GL210" s="73">
        <v>176441</v>
      </c>
      <c r="GM210" s="73">
        <v>7961</v>
      </c>
      <c r="GN210" s="73">
        <v>-17853</v>
      </c>
      <c r="GO210" s="77">
        <v>21</v>
      </c>
      <c r="GP210" s="78">
        <v>28959</v>
      </c>
      <c r="GQ210" s="73">
        <v>103282</v>
      </c>
      <c r="GR210" s="65">
        <v>48926</v>
      </c>
      <c r="GS210" s="65">
        <v>43151</v>
      </c>
      <c r="GT210" s="65">
        <v>440</v>
      </c>
      <c r="GU210" s="65">
        <v>90597</v>
      </c>
      <c r="GV210" s="65">
        <v>4430</v>
      </c>
      <c r="GW210" s="65">
        <v>8255</v>
      </c>
      <c r="GX210" s="65">
        <v>6684</v>
      </c>
      <c r="GY210" s="65">
        <v>-10906</v>
      </c>
      <c r="GZ210" s="65">
        <v>6669</v>
      </c>
      <c r="HA210" s="65">
        <v>84025</v>
      </c>
      <c r="HB210" s="65">
        <v>10906</v>
      </c>
      <c r="HC210" s="65">
        <v>186589</v>
      </c>
      <c r="HD210" s="65">
        <v>15</v>
      </c>
      <c r="HE210" s="78">
        <v>28829</v>
      </c>
      <c r="HF210" s="73">
        <v>103633</v>
      </c>
      <c r="HG210" s="65">
        <v>52929</v>
      </c>
      <c r="HH210" s="65">
        <v>43690</v>
      </c>
      <c r="HI210" s="65">
        <v>393</v>
      </c>
      <c r="HJ210" s="65">
        <v>91878</v>
      </c>
      <c r="HK210" s="65">
        <v>3013</v>
      </c>
      <c r="HL210" s="65">
        <v>8742</v>
      </c>
      <c r="HM210" s="65">
        <v>-386</v>
      </c>
      <c r="HN210" s="65">
        <v>-12504</v>
      </c>
      <c r="HO210" s="65">
        <v>6930</v>
      </c>
      <c r="HP210" s="65">
        <v>101063</v>
      </c>
      <c r="HQ210" s="65">
        <v>12504</v>
      </c>
      <c r="HR210" s="65">
        <v>198705</v>
      </c>
      <c r="HS210" s="65">
        <v>-7316</v>
      </c>
      <c r="HT210" s="65">
        <v>-25154</v>
      </c>
      <c r="HU210" s="77">
        <v>21</v>
      </c>
      <c r="HV210" s="180">
        <v>230</v>
      </c>
      <c r="HW210" s="30" t="s">
        <v>756</v>
      </c>
    </row>
    <row r="211" spans="1:231" ht="15" x14ac:dyDescent="0.25">
      <c r="A211" s="32">
        <v>680</v>
      </c>
      <c r="B211" s="32" t="s">
        <v>336</v>
      </c>
      <c r="C211" s="32">
        <v>2</v>
      </c>
      <c r="D211" s="32" t="s">
        <v>122</v>
      </c>
      <c r="E211" s="27">
        <v>5</v>
      </c>
      <c r="F211" s="27" t="s">
        <v>101</v>
      </c>
      <c r="G211" s="43" t="s">
        <v>141</v>
      </c>
      <c r="H211" s="32" t="s">
        <v>97</v>
      </c>
      <c r="I211" s="33" t="s">
        <v>122</v>
      </c>
      <c r="J211" s="69">
        <v>22945</v>
      </c>
      <c r="K211" s="69">
        <v>23122</v>
      </c>
      <c r="L211" s="36">
        <v>23149</v>
      </c>
      <c r="M211" s="36">
        <v>23216</v>
      </c>
      <c r="N211" s="36">
        <v>23322</v>
      </c>
      <c r="O211" s="36">
        <v>23430</v>
      </c>
      <c r="P211" s="36">
        <v>23594</v>
      </c>
      <c r="Q211" s="36">
        <v>23799</v>
      </c>
      <c r="R211" s="69">
        <v>23967</v>
      </c>
      <c r="S211" s="69">
        <v>24077</v>
      </c>
      <c r="T211" s="71">
        <v>24147</v>
      </c>
      <c r="U211" s="36">
        <v>51021</v>
      </c>
      <c r="V211" s="36">
        <v>8063</v>
      </c>
      <c r="W211" s="36">
        <v>20604</v>
      </c>
      <c r="X211" s="36">
        <v>1325.65723636963</v>
      </c>
      <c r="Y211" s="36">
        <v>55268</v>
      </c>
      <c r="Z211" s="36">
        <v>7948</v>
      </c>
      <c r="AA211" s="36">
        <v>19322</v>
      </c>
      <c r="AB211" s="36">
        <v>1577.6027502089737</v>
      </c>
      <c r="AC211" s="36">
        <v>53085</v>
      </c>
      <c r="AD211" s="36">
        <v>8233</v>
      </c>
      <c r="AE211" s="36">
        <v>20042</v>
      </c>
      <c r="AF211" s="36">
        <v>1326.1618001490144</v>
      </c>
      <c r="AG211" s="36">
        <v>59023</v>
      </c>
      <c r="AH211" s="36">
        <v>9684</v>
      </c>
      <c r="AI211" s="36">
        <v>21819</v>
      </c>
      <c r="AJ211" s="36">
        <v>1399.3235481597717</v>
      </c>
      <c r="AK211" s="36">
        <v>63734</v>
      </c>
      <c r="AL211" s="36">
        <v>11040</v>
      </c>
      <c r="AM211" s="36">
        <v>23017</v>
      </c>
      <c r="AN211" s="36">
        <v>802</v>
      </c>
      <c r="AO211" s="36">
        <v>59884</v>
      </c>
      <c r="AP211" s="36">
        <v>12491</v>
      </c>
      <c r="AQ211" s="36">
        <v>23283</v>
      </c>
      <c r="AR211" s="36">
        <v>527</v>
      </c>
      <c r="AS211" s="36">
        <v>61152</v>
      </c>
      <c r="AT211" s="36">
        <v>14934</v>
      </c>
      <c r="AU211" s="36">
        <v>25281</v>
      </c>
      <c r="AV211" s="36">
        <v>508</v>
      </c>
      <c r="AW211" s="36">
        <v>62914</v>
      </c>
      <c r="AX211" s="69">
        <v>14848</v>
      </c>
      <c r="AY211" s="36">
        <v>23394</v>
      </c>
      <c r="AZ211" s="36">
        <v>443</v>
      </c>
      <c r="BA211" s="36">
        <v>66339</v>
      </c>
      <c r="BB211" s="36">
        <v>15009</v>
      </c>
      <c r="BC211" s="36">
        <v>29905</v>
      </c>
      <c r="BD211" s="36">
        <v>438</v>
      </c>
      <c r="BE211" s="70">
        <v>72469</v>
      </c>
      <c r="BF211" s="70">
        <v>15879</v>
      </c>
      <c r="BG211" s="70">
        <v>30089</v>
      </c>
      <c r="BH211" s="70">
        <v>640</v>
      </c>
      <c r="BI211" s="36">
        <v>76452</v>
      </c>
      <c r="BJ211" s="36">
        <v>17587</v>
      </c>
      <c r="BK211" s="36">
        <v>33659</v>
      </c>
      <c r="BL211" s="36">
        <v>504</v>
      </c>
      <c r="BM211" s="36">
        <v>42112.238530844821</v>
      </c>
      <c r="BN211" s="36">
        <v>7406.6599055120223</v>
      </c>
      <c r="BO211" s="36">
        <v>1479.8855649348354</v>
      </c>
      <c r="BP211" s="36">
        <v>45235.151949382162</v>
      </c>
      <c r="BQ211" s="36">
        <v>8487.603708880155</v>
      </c>
      <c r="BR211" s="36">
        <v>1523.2780499619055</v>
      </c>
      <c r="BS211" s="36">
        <v>43428.81361918553</v>
      </c>
      <c r="BT211" s="36">
        <v>7956.634425041163</v>
      </c>
      <c r="BU211" s="36">
        <v>1678.8518819388028</v>
      </c>
      <c r="BV211" s="36">
        <v>50260</v>
      </c>
      <c r="BW211" s="36">
        <v>6868</v>
      </c>
      <c r="BX211" s="36">
        <v>1870</v>
      </c>
      <c r="BY211" s="36">
        <v>55120</v>
      </c>
      <c r="BZ211" s="36">
        <v>6174</v>
      </c>
      <c r="CA211" s="36">
        <v>2416</v>
      </c>
      <c r="CB211" s="36">
        <v>54159</v>
      </c>
      <c r="CC211" s="36">
        <v>3123</v>
      </c>
      <c r="CD211" s="36">
        <v>2579</v>
      </c>
      <c r="CE211" s="36">
        <v>54795</v>
      </c>
      <c r="CF211" s="36">
        <v>3635</v>
      </c>
      <c r="CG211" s="36">
        <v>2702</v>
      </c>
      <c r="CH211" s="36">
        <v>56378</v>
      </c>
      <c r="CI211" s="36">
        <v>3734</v>
      </c>
      <c r="CJ211" s="70">
        <v>2781</v>
      </c>
      <c r="CK211" s="70">
        <v>59292</v>
      </c>
      <c r="CL211" s="70">
        <v>4211</v>
      </c>
      <c r="CM211" s="36">
        <v>2816</v>
      </c>
      <c r="CN211" s="36">
        <v>64457</v>
      </c>
      <c r="CO211" s="36">
        <v>5062</v>
      </c>
      <c r="CP211" s="36">
        <v>2929</v>
      </c>
      <c r="CQ211" s="36">
        <v>68174</v>
      </c>
      <c r="CR211" s="36">
        <v>5083</v>
      </c>
      <c r="CS211" s="36">
        <v>3176</v>
      </c>
      <c r="CT211" s="36">
        <v>4395.5914580715908</v>
      </c>
      <c r="CU211" s="36">
        <v>-7054.3062</v>
      </c>
      <c r="CV211" s="36">
        <v>6715.0711519022898</v>
      </c>
      <c r="CW211" s="36">
        <v>11880</v>
      </c>
      <c r="CX211" s="36">
        <v>7239.6492945357422</v>
      </c>
      <c r="CY211" s="36">
        <v>-7203.4888899999996</v>
      </c>
      <c r="CZ211" s="36">
        <v>6341.5257672312737</v>
      </c>
      <c r="DA211" s="36">
        <v>13529</v>
      </c>
      <c r="DB211" s="36">
        <v>3047.0606637031951</v>
      </c>
      <c r="DC211" s="36">
        <v>-8827.8478840000007</v>
      </c>
      <c r="DD211" s="36">
        <v>7012.2592179597787</v>
      </c>
      <c r="DE211" s="36">
        <v>15161</v>
      </c>
      <c r="DF211" s="36">
        <v>7727.3942812741243</v>
      </c>
      <c r="DG211" s="36">
        <v>-13074</v>
      </c>
      <c r="DH211" s="36">
        <v>7286.0691622391196</v>
      </c>
      <c r="DI211" s="36">
        <v>20639</v>
      </c>
      <c r="DJ211" s="36">
        <v>15375</v>
      </c>
      <c r="DK211" s="36">
        <v>-9302</v>
      </c>
      <c r="DL211" s="36">
        <v>7241</v>
      </c>
      <c r="DM211" s="36">
        <v>16561</v>
      </c>
      <c r="DN211" s="36">
        <v>8617</v>
      </c>
      <c r="DO211" s="69">
        <v>-18955</v>
      </c>
      <c r="DP211" s="36">
        <v>7795</v>
      </c>
      <c r="DQ211" s="36">
        <v>20350</v>
      </c>
      <c r="DR211" s="36">
        <v>7029</v>
      </c>
      <c r="DS211" s="36">
        <v>-12439</v>
      </c>
      <c r="DT211" s="36">
        <v>8323</v>
      </c>
      <c r="DU211" s="36">
        <v>27483</v>
      </c>
      <c r="DV211" s="36">
        <v>6667</v>
      </c>
      <c r="DW211" s="71">
        <v>-5725</v>
      </c>
      <c r="DX211" s="39">
        <v>8293</v>
      </c>
      <c r="DY211" s="71">
        <v>23381</v>
      </c>
      <c r="DZ211" s="70">
        <v>10121</v>
      </c>
      <c r="EA211" s="35">
        <v>-7448</v>
      </c>
      <c r="EB211" s="35">
        <v>8393</v>
      </c>
      <c r="EC211" s="38">
        <v>25014</v>
      </c>
      <c r="ED211" s="38">
        <v>9946</v>
      </c>
      <c r="EE211" s="38">
        <v>-9141</v>
      </c>
      <c r="EF211" s="38">
        <v>8748</v>
      </c>
      <c r="EG211" s="73">
        <v>29150</v>
      </c>
      <c r="EH211" s="73">
        <v>8064</v>
      </c>
      <c r="EI211" s="73">
        <v>-14444</v>
      </c>
      <c r="EJ211" s="73">
        <v>9151</v>
      </c>
      <c r="EK211" s="73">
        <v>34228</v>
      </c>
      <c r="EL211" s="73">
        <v>72893.151892198264</v>
      </c>
      <c r="EM211" s="73">
        <v>0.50456377938453312</v>
      </c>
      <c r="EN211" s="73">
        <v>73042.670958822549</v>
      </c>
      <c r="EO211" s="73">
        <v>660.64217514081531</v>
      </c>
      <c r="EP211" s="73">
        <v>75378.801257372936</v>
      </c>
      <c r="EQ211" s="73">
        <v>-4660.823818101394</v>
      </c>
      <c r="ER211" s="73">
        <v>79484.436730224901</v>
      </c>
      <c r="ES211" s="73">
        <v>234.28578156088486</v>
      </c>
      <c r="ET211" s="73">
        <v>82393</v>
      </c>
      <c r="EU211" s="73">
        <v>7523</v>
      </c>
      <c r="EV211" s="73">
        <v>87037</v>
      </c>
      <c r="EW211" s="73">
        <v>923</v>
      </c>
      <c r="EX211" s="73">
        <v>94311</v>
      </c>
      <c r="EY211" s="73">
        <v>-1022</v>
      </c>
      <c r="EZ211" s="73">
        <v>95506</v>
      </c>
      <c r="FA211" s="73">
        <v>-1482</v>
      </c>
      <c r="FB211" s="73">
        <v>100944</v>
      </c>
      <c r="FC211" s="73">
        <v>1867</v>
      </c>
      <c r="FD211" s="73">
        <v>108037</v>
      </c>
      <c r="FE211" s="73">
        <v>1331</v>
      </c>
      <c r="FF211" s="73">
        <v>119119</v>
      </c>
      <c r="FG211" s="73">
        <v>-954</v>
      </c>
      <c r="FH211" s="73">
        <v>14779</v>
      </c>
      <c r="FI211" s="73">
        <v>13825</v>
      </c>
      <c r="FJ211" s="79">
        <v>24191</v>
      </c>
      <c r="FK211" s="80">
        <v>76997</v>
      </c>
      <c r="FL211" s="80">
        <v>19686</v>
      </c>
      <c r="FM211" s="80">
        <v>46541</v>
      </c>
      <c r="FN211" s="76">
        <v>260</v>
      </c>
      <c r="FO211" s="80">
        <v>70075</v>
      </c>
      <c r="FP211" s="80">
        <v>3454</v>
      </c>
      <c r="FQ211" s="80">
        <v>3468</v>
      </c>
      <c r="FR211" s="80">
        <v>9314</v>
      </c>
      <c r="FS211" s="81">
        <v>-15705</v>
      </c>
      <c r="FT211" s="76">
        <v>13903</v>
      </c>
      <c r="FU211" s="76">
        <v>39443</v>
      </c>
      <c r="FV211" s="76">
        <v>15705</v>
      </c>
      <c r="FW211" s="80">
        <v>133353</v>
      </c>
      <c r="FX211" s="80">
        <v>-2179</v>
      </c>
      <c r="FY211" s="73">
        <v>24427</v>
      </c>
      <c r="FZ211" s="73">
        <v>80261</v>
      </c>
      <c r="GA211" s="73">
        <v>22442</v>
      </c>
      <c r="GB211" s="73">
        <v>47301</v>
      </c>
      <c r="GC211" s="73">
        <v>164</v>
      </c>
      <c r="GD211" s="73">
        <v>69982</v>
      </c>
      <c r="GE211" s="73">
        <v>4664</v>
      </c>
      <c r="GF211" s="73">
        <v>5615</v>
      </c>
      <c r="GG211" s="73">
        <v>8264</v>
      </c>
      <c r="GH211" s="73">
        <v>-8187</v>
      </c>
      <c r="GI211" s="73">
        <v>9173</v>
      </c>
      <c r="GJ211" s="73">
        <v>41051</v>
      </c>
      <c r="GK211" s="73">
        <v>8187</v>
      </c>
      <c r="GL211" s="73">
        <v>141596</v>
      </c>
      <c r="GM211" s="73">
        <v>-891</v>
      </c>
      <c r="GN211" s="73">
        <v>10755</v>
      </c>
      <c r="GO211" s="77">
        <v>17.5</v>
      </c>
      <c r="GP211" s="78">
        <v>24559</v>
      </c>
      <c r="GQ211" s="73">
        <v>82742</v>
      </c>
      <c r="GR211" s="65">
        <v>24569</v>
      </c>
      <c r="GS211" s="65">
        <v>51068</v>
      </c>
      <c r="GT211" s="65">
        <v>646</v>
      </c>
      <c r="GU211" s="65">
        <v>70347</v>
      </c>
      <c r="GV211" s="65">
        <v>6664</v>
      </c>
      <c r="GW211" s="65">
        <v>5731</v>
      </c>
      <c r="GX211" s="65">
        <v>9434</v>
      </c>
      <c r="GY211" s="65">
        <v>-5896</v>
      </c>
      <c r="GZ211" s="65">
        <v>9139</v>
      </c>
      <c r="HA211" s="65">
        <v>41771</v>
      </c>
      <c r="HB211" s="65">
        <v>5896</v>
      </c>
      <c r="HC211" s="65">
        <v>148951</v>
      </c>
      <c r="HD211" s="65">
        <v>309</v>
      </c>
      <c r="HE211" s="78">
        <v>24562</v>
      </c>
      <c r="HF211" s="73">
        <v>82645</v>
      </c>
      <c r="HG211" s="65">
        <v>26268</v>
      </c>
      <c r="HH211" s="65">
        <v>45166</v>
      </c>
      <c r="HI211" s="65">
        <v>45</v>
      </c>
      <c r="HJ211" s="65">
        <v>72204</v>
      </c>
      <c r="HK211" s="65">
        <v>4655</v>
      </c>
      <c r="HL211" s="65">
        <v>5786</v>
      </c>
      <c r="HM211" s="65">
        <v>-3300</v>
      </c>
      <c r="HN211" s="65">
        <v>-13897</v>
      </c>
      <c r="HO211" s="65">
        <v>9282</v>
      </c>
      <c r="HP211" s="65">
        <v>59186</v>
      </c>
      <c r="HQ211" s="65">
        <v>13897</v>
      </c>
      <c r="HR211" s="65">
        <v>156987</v>
      </c>
      <c r="HS211" s="65">
        <v>-12568</v>
      </c>
      <c r="HT211" s="65">
        <v>-1505</v>
      </c>
      <c r="HU211" s="77">
        <v>18</v>
      </c>
      <c r="HV211" s="180">
        <v>130</v>
      </c>
      <c r="HW211" s="30" t="s">
        <v>752</v>
      </c>
    </row>
    <row r="212" spans="1:231" ht="15" x14ac:dyDescent="0.25">
      <c r="A212" s="27">
        <v>681</v>
      </c>
      <c r="B212" s="27" t="s">
        <v>337</v>
      </c>
      <c r="C212" s="27">
        <v>10</v>
      </c>
      <c r="D212" s="27" t="s">
        <v>107</v>
      </c>
      <c r="E212" s="27">
        <v>2</v>
      </c>
      <c r="F212" s="27" t="s">
        <v>744</v>
      </c>
      <c r="G212" s="29" t="s">
        <v>130</v>
      </c>
      <c r="H212" s="27" t="s">
        <v>98</v>
      </c>
      <c r="I212" s="31" t="s">
        <v>107</v>
      </c>
      <c r="J212" s="69">
        <v>4745</v>
      </c>
      <c r="K212" s="69">
        <v>4647</v>
      </c>
      <c r="L212" s="36">
        <v>4587</v>
      </c>
      <c r="M212" s="36">
        <v>4534</v>
      </c>
      <c r="N212" s="36">
        <v>4514</v>
      </c>
      <c r="O212" s="36">
        <v>4435</v>
      </c>
      <c r="P212" s="36">
        <v>4409</v>
      </c>
      <c r="Q212" s="36">
        <v>4371</v>
      </c>
      <c r="R212" s="69">
        <v>4321</v>
      </c>
      <c r="S212" s="69">
        <v>4261</v>
      </c>
      <c r="T212" s="71">
        <v>4145</v>
      </c>
      <c r="U212" s="36">
        <v>8418</v>
      </c>
      <c r="V212" s="36">
        <v>5118</v>
      </c>
      <c r="W212" s="36">
        <v>3916</v>
      </c>
      <c r="X212" s="36">
        <v>129.33651544890199</v>
      </c>
      <c r="Y212" s="36">
        <v>8586</v>
      </c>
      <c r="Z212" s="36">
        <v>5422</v>
      </c>
      <c r="AA212" s="36">
        <v>4108</v>
      </c>
      <c r="AB212" s="36">
        <v>125.13181728736421</v>
      </c>
      <c r="AC212" s="36">
        <v>8088</v>
      </c>
      <c r="AD212" s="36">
        <v>5574</v>
      </c>
      <c r="AE212" s="36">
        <v>4207</v>
      </c>
      <c r="AF212" s="36">
        <v>155.91020782982076</v>
      </c>
      <c r="AG212" s="36">
        <v>8342</v>
      </c>
      <c r="AH212" s="36">
        <v>6945</v>
      </c>
      <c r="AI212" s="36">
        <v>4062</v>
      </c>
      <c r="AJ212" s="36">
        <v>213.262290753196</v>
      </c>
      <c r="AK212" s="36">
        <v>8557</v>
      </c>
      <c r="AL212" s="36">
        <v>7620</v>
      </c>
      <c r="AM212" s="36">
        <v>4536</v>
      </c>
      <c r="AN212" s="36">
        <v>217</v>
      </c>
      <c r="AO212" s="36">
        <v>8001</v>
      </c>
      <c r="AP212" s="36">
        <v>8414</v>
      </c>
      <c r="AQ212" s="36">
        <v>4829</v>
      </c>
      <c r="AR212" s="36">
        <v>189</v>
      </c>
      <c r="AS212" s="36">
        <v>8094</v>
      </c>
      <c r="AT212" s="36">
        <v>8313</v>
      </c>
      <c r="AU212" s="36">
        <v>5731</v>
      </c>
      <c r="AV212" s="36">
        <v>214</v>
      </c>
      <c r="AW212" s="36">
        <v>8715</v>
      </c>
      <c r="AX212" s="69">
        <v>8541</v>
      </c>
      <c r="AY212" s="36">
        <v>5929</v>
      </c>
      <c r="AZ212" s="36">
        <v>224</v>
      </c>
      <c r="BA212" s="36">
        <v>8822</v>
      </c>
      <c r="BB212" s="36">
        <v>9187</v>
      </c>
      <c r="BC212" s="36">
        <v>6140</v>
      </c>
      <c r="BD212" s="36">
        <v>216</v>
      </c>
      <c r="BE212" s="70">
        <v>9726</v>
      </c>
      <c r="BF212" s="70">
        <v>10054</v>
      </c>
      <c r="BG212" s="70">
        <v>6886</v>
      </c>
      <c r="BH212" s="70">
        <v>543</v>
      </c>
      <c r="BI212" s="36">
        <v>10374</v>
      </c>
      <c r="BJ212" s="36">
        <v>11189</v>
      </c>
      <c r="BK212" s="36">
        <v>12593</v>
      </c>
      <c r="BL212" s="36">
        <v>184</v>
      </c>
      <c r="BM212" s="36">
        <v>5898.6869568581151</v>
      </c>
      <c r="BN212" s="36">
        <v>2230.3400928060978</v>
      </c>
      <c r="BO212" s="36">
        <v>288.77866973441445</v>
      </c>
      <c r="BP212" s="36">
        <v>6306.8790543802024</v>
      </c>
      <c r="BQ212" s="36">
        <v>1863.3540372670807</v>
      </c>
      <c r="BR212" s="36">
        <v>416.09693006577828</v>
      </c>
      <c r="BS212" s="36">
        <v>5668.2694976058447</v>
      </c>
      <c r="BT212" s="36">
        <v>1987.6449149221373</v>
      </c>
      <c r="BU212" s="36">
        <v>431.90659515316031</v>
      </c>
      <c r="BV212" s="36">
        <v>6608</v>
      </c>
      <c r="BW212" s="36">
        <v>1284</v>
      </c>
      <c r="BX212" s="36">
        <v>450</v>
      </c>
      <c r="BY212" s="36">
        <v>7303</v>
      </c>
      <c r="BZ212" s="36">
        <v>793</v>
      </c>
      <c r="CA212" s="36">
        <v>461</v>
      </c>
      <c r="CB212" s="36">
        <v>7014</v>
      </c>
      <c r="CC212" s="36">
        <v>464</v>
      </c>
      <c r="CD212" s="36">
        <v>523</v>
      </c>
      <c r="CE212" s="36">
        <v>6961</v>
      </c>
      <c r="CF212" s="36">
        <v>622</v>
      </c>
      <c r="CG212" s="36">
        <v>511</v>
      </c>
      <c r="CH212" s="36">
        <v>7364</v>
      </c>
      <c r="CI212" s="36">
        <v>810</v>
      </c>
      <c r="CJ212" s="70">
        <v>541</v>
      </c>
      <c r="CK212" s="70">
        <v>7394</v>
      </c>
      <c r="CL212" s="70">
        <v>879</v>
      </c>
      <c r="CM212" s="36">
        <v>549</v>
      </c>
      <c r="CN212" s="36">
        <v>8141</v>
      </c>
      <c r="CO212" s="36">
        <v>987</v>
      </c>
      <c r="CP212" s="36">
        <v>598</v>
      </c>
      <c r="CQ212" s="36">
        <v>8636</v>
      </c>
      <c r="CR212" s="36">
        <v>1110</v>
      </c>
      <c r="CS212" s="36">
        <v>628</v>
      </c>
      <c r="CT212" s="36">
        <v>143.80067712459194</v>
      </c>
      <c r="CU212" s="36">
        <v>-357.39934369999997</v>
      </c>
      <c r="CV212" s="36">
        <v>650.71908747958616</v>
      </c>
      <c r="CW212" s="36">
        <v>3143</v>
      </c>
      <c r="CX212" s="36">
        <v>408.19209752208729</v>
      </c>
      <c r="CY212" s="36">
        <v>-124.1226897</v>
      </c>
      <c r="CZ212" s="36">
        <v>623.30445546635985</v>
      </c>
      <c r="DA212" s="36">
        <v>3251</v>
      </c>
      <c r="DB212" s="36">
        <v>-521.71894788360726</v>
      </c>
      <c r="DC212" s="36">
        <v>-1431.952006</v>
      </c>
      <c r="DD212" s="36">
        <v>766.09600503218269</v>
      </c>
      <c r="DE212" s="36">
        <v>4076</v>
      </c>
      <c r="DF212" s="36">
        <v>-289.28323351379896</v>
      </c>
      <c r="DG212" s="36">
        <v>-539</v>
      </c>
      <c r="DH212" s="36">
        <v>745.24070215095526</v>
      </c>
      <c r="DI212" s="36">
        <v>4879</v>
      </c>
      <c r="DJ212" s="36">
        <v>879</v>
      </c>
      <c r="DK212" s="36">
        <v>-112</v>
      </c>
      <c r="DL212" s="36">
        <v>756</v>
      </c>
      <c r="DM212" s="36">
        <v>5060</v>
      </c>
      <c r="DN212" s="36">
        <v>1163</v>
      </c>
      <c r="DO212" s="69">
        <v>-1257</v>
      </c>
      <c r="DP212" s="36">
        <v>690</v>
      </c>
      <c r="DQ212" s="36">
        <v>4723</v>
      </c>
      <c r="DR212" s="36">
        <v>530</v>
      </c>
      <c r="DS212" s="36">
        <v>-1506</v>
      </c>
      <c r="DT212" s="36">
        <v>690</v>
      </c>
      <c r="DU212" s="36">
        <v>5780</v>
      </c>
      <c r="DV212" s="36">
        <v>-253</v>
      </c>
      <c r="DW212" s="71">
        <v>-439</v>
      </c>
      <c r="DX212" s="39">
        <v>709</v>
      </c>
      <c r="DY212" s="71">
        <v>6420</v>
      </c>
      <c r="DZ212" s="70">
        <v>392</v>
      </c>
      <c r="EA212" s="35">
        <v>-249</v>
      </c>
      <c r="EB212" s="35">
        <v>721</v>
      </c>
      <c r="EC212" s="38">
        <v>6778</v>
      </c>
      <c r="ED212" s="38">
        <v>1668</v>
      </c>
      <c r="EE212" s="38">
        <v>-661</v>
      </c>
      <c r="EF212" s="38">
        <v>794</v>
      </c>
      <c r="EG212" s="73">
        <v>5257</v>
      </c>
      <c r="EH212" s="73">
        <v>1679</v>
      </c>
      <c r="EI212" s="73">
        <v>-1180</v>
      </c>
      <c r="EJ212" s="73">
        <v>835</v>
      </c>
      <c r="EK212" s="73">
        <v>4536</v>
      </c>
      <c r="EL212" s="73">
        <v>16513.026995844077</v>
      </c>
      <c r="EM212" s="73">
        <v>-630.5365363042049</v>
      </c>
      <c r="EN212" s="73">
        <v>16903.054797308319</v>
      </c>
      <c r="EO212" s="73">
        <v>-215.11235794427262</v>
      </c>
      <c r="EP212" s="73">
        <v>17599.85737663836</v>
      </c>
      <c r="EQ212" s="73">
        <v>-1287.8149529157899</v>
      </c>
      <c r="ER212" s="73">
        <v>18731.93030965079</v>
      </c>
      <c r="ES212" s="73">
        <v>-1034.5239356647544</v>
      </c>
      <c r="ET212" s="73">
        <v>19786</v>
      </c>
      <c r="EU212" s="73">
        <v>127</v>
      </c>
      <c r="EV212" s="73">
        <v>20093</v>
      </c>
      <c r="EW212" s="73">
        <v>473</v>
      </c>
      <c r="EX212" s="73">
        <v>21639</v>
      </c>
      <c r="EY212" s="73">
        <v>395</v>
      </c>
      <c r="EZ212" s="73">
        <v>23479</v>
      </c>
      <c r="FA212" s="73">
        <v>-962</v>
      </c>
      <c r="FB212" s="73">
        <v>23770</v>
      </c>
      <c r="FC212" s="73">
        <v>-329</v>
      </c>
      <c r="FD212" s="73">
        <v>24997</v>
      </c>
      <c r="FE212" s="73">
        <v>773</v>
      </c>
      <c r="FF212" s="73">
        <v>32467</v>
      </c>
      <c r="FG212" s="73">
        <v>844</v>
      </c>
      <c r="FH212" s="73">
        <v>-2094</v>
      </c>
      <c r="FI212" s="73">
        <v>-1875</v>
      </c>
      <c r="FJ212" s="79">
        <v>4076</v>
      </c>
      <c r="FK212" s="80">
        <v>10027</v>
      </c>
      <c r="FL212" s="80">
        <v>11938</v>
      </c>
      <c r="FM212" s="80">
        <v>14091</v>
      </c>
      <c r="FN212" s="76">
        <v>252</v>
      </c>
      <c r="FO212" s="80">
        <v>8454</v>
      </c>
      <c r="FP212" s="80">
        <v>906</v>
      </c>
      <c r="FQ212" s="80">
        <v>667</v>
      </c>
      <c r="FR212" s="80">
        <v>2737</v>
      </c>
      <c r="FS212" s="81">
        <v>-938</v>
      </c>
      <c r="FT212" s="76">
        <v>842</v>
      </c>
      <c r="FU212" s="76">
        <v>4738</v>
      </c>
      <c r="FV212" s="76">
        <v>938</v>
      </c>
      <c r="FW212" s="80">
        <v>33401</v>
      </c>
      <c r="FX212" s="80">
        <v>1789</v>
      </c>
      <c r="FY212" s="73">
        <v>3996</v>
      </c>
      <c r="FZ212" s="73">
        <v>9999</v>
      </c>
      <c r="GA212" s="73">
        <v>12158</v>
      </c>
      <c r="GB212" s="73">
        <v>14209</v>
      </c>
      <c r="GC212" s="73">
        <v>216</v>
      </c>
      <c r="GD212" s="73">
        <v>8256</v>
      </c>
      <c r="GE212" s="73">
        <v>981</v>
      </c>
      <c r="GF212" s="73">
        <v>762</v>
      </c>
      <c r="GG212" s="73">
        <v>1830</v>
      </c>
      <c r="GH212" s="73">
        <v>-2995</v>
      </c>
      <c r="GI212" s="73">
        <v>855</v>
      </c>
      <c r="GJ212" s="73">
        <v>6500</v>
      </c>
      <c r="GK212" s="73">
        <v>2995</v>
      </c>
      <c r="GL212" s="73">
        <v>34627</v>
      </c>
      <c r="GM212" s="73">
        <v>975</v>
      </c>
      <c r="GN212" s="73">
        <v>890</v>
      </c>
      <c r="GO212" s="77">
        <v>19.5</v>
      </c>
      <c r="GP212" s="78">
        <v>3949</v>
      </c>
      <c r="GQ212" s="73">
        <v>9981</v>
      </c>
      <c r="GR212" s="65">
        <v>12085</v>
      </c>
      <c r="GS212" s="65">
        <v>14815</v>
      </c>
      <c r="GT212" s="65">
        <v>1196</v>
      </c>
      <c r="GU212" s="65">
        <v>8124</v>
      </c>
      <c r="GV212" s="65">
        <v>985</v>
      </c>
      <c r="GW212" s="65">
        <v>872</v>
      </c>
      <c r="GX212" s="65">
        <v>-259</v>
      </c>
      <c r="GY212" s="65">
        <v>-717</v>
      </c>
      <c r="GZ212" s="65">
        <v>899</v>
      </c>
      <c r="HA212" s="65">
        <v>6764</v>
      </c>
      <c r="HB212" s="65">
        <v>717</v>
      </c>
      <c r="HC212" s="65">
        <v>37210</v>
      </c>
      <c r="HD212" s="65">
        <v>-863</v>
      </c>
      <c r="HE212" s="78">
        <v>3921</v>
      </c>
      <c r="HF212" s="73">
        <v>10392</v>
      </c>
      <c r="HG212" s="65">
        <v>12862</v>
      </c>
      <c r="HH212" s="65">
        <v>15427</v>
      </c>
      <c r="HI212" s="65">
        <v>209</v>
      </c>
      <c r="HJ212" s="65">
        <v>8836</v>
      </c>
      <c r="HK212" s="65">
        <v>691</v>
      </c>
      <c r="HL212" s="65">
        <v>865</v>
      </c>
      <c r="HM212" s="65">
        <v>-177</v>
      </c>
      <c r="HN212" s="65">
        <v>-1086</v>
      </c>
      <c r="HO212" s="65">
        <v>907</v>
      </c>
      <c r="HP212" s="65">
        <v>6902</v>
      </c>
      <c r="HQ212" s="65">
        <v>1086</v>
      </c>
      <c r="HR212" s="65">
        <v>38878</v>
      </c>
      <c r="HS212" s="65">
        <v>-1084</v>
      </c>
      <c r="HT212" s="65">
        <v>-1057</v>
      </c>
      <c r="HU212" s="77">
        <v>20</v>
      </c>
      <c r="HV212" s="180">
        <v>340</v>
      </c>
      <c r="HW212" s="30" t="s">
        <v>761</v>
      </c>
    </row>
    <row r="213" spans="1:231" ht="15" x14ac:dyDescent="0.25">
      <c r="A213" s="27">
        <v>683</v>
      </c>
      <c r="B213" s="27" t="s">
        <v>338</v>
      </c>
      <c r="C213" s="27">
        <v>19</v>
      </c>
      <c r="D213" s="27" t="s">
        <v>113</v>
      </c>
      <c r="E213" s="27">
        <v>2</v>
      </c>
      <c r="F213" s="27" t="s">
        <v>744</v>
      </c>
      <c r="G213" s="29" t="s">
        <v>130</v>
      </c>
      <c r="H213" s="27" t="s">
        <v>98</v>
      </c>
      <c r="I213" s="27" t="s">
        <v>113</v>
      </c>
      <c r="J213" s="69">
        <v>5322</v>
      </c>
      <c r="K213" s="69">
        <v>5204</v>
      </c>
      <c r="L213" s="36">
        <v>5052</v>
      </c>
      <c r="M213" s="36">
        <v>4922</v>
      </c>
      <c r="N213" s="36">
        <v>4903</v>
      </c>
      <c r="O213" s="36">
        <v>4885</v>
      </c>
      <c r="P213" s="36">
        <v>4871</v>
      </c>
      <c r="Q213" s="36">
        <v>4715</v>
      </c>
      <c r="R213" s="69">
        <v>4632</v>
      </c>
      <c r="S213" s="69">
        <v>4512</v>
      </c>
      <c r="T213" s="71">
        <v>4428</v>
      </c>
      <c r="U213" s="36">
        <v>7813</v>
      </c>
      <c r="V213" s="36">
        <v>10811</v>
      </c>
      <c r="W213" s="36">
        <v>3813</v>
      </c>
      <c r="X213" s="36">
        <v>392.21424450824372</v>
      </c>
      <c r="Y213" s="36">
        <v>7437</v>
      </c>
      <c r="Z213" s="36">
        <v>10406</v>
      </c>
      <c r="AA213" s="36">
        <v>4100</v>
      </c>
      <c r="AB213" s="36">
        <v>681.83385387496571</v>
      </c>
      <c r="AC213" s="36">
        <v>7036</v>
      </c>
      <c r="AD213" s="36">
        <v>10859</v>
      </c>
      <c r="AE213" s="36">
        <v>4258</v>
      </c>
      <c r="AF213" s="36">
        <v>585.12579615959692</v>
      </c>
      <c r="AG213" s="36">
        <v>7383</v>
      </c>
      <c r="AH213" s="36">
        <v>11633</v>
      </c>
      <c r="AI213" s="36">
        <v>4455</v>
      </c>
      <c r="AJ213" s="36">
        <v>431.90659515316031</v>
      </c>
      <c r="AK213" s="36">
        <v>7940</v>
      </c>
      <c r="AL213" s="36">
        <v>12657</v>
      </c>
      <c r="AM213" s="36">
        <v>4579</v>
      </c>
      <c r="AN213" s="36">
        <v>322</v>
      </c>
      <c r="AO213" s="36">
        <v>7843</v>
      </c>
      <c r="AP213" s="36">
        <v>12861</v>
      </c>
      <c r="AQ213" s="36">
        <v>4793</v>
      </c>
      <c r="AR213" s="36">
        <v>706</v>
      </c>
      <c r="AS213" s="36">
        <v>7845</v>
      </c>
      <c r="AT213" s="36">
        <v>12920</v>
      </c>
      <c r="AU213" s="36">
        <v>3480</v>
      </c>
      <c r="AV213" s="36">
        <v>454</v>
      </c>
      <c r="AW213" s="36">
        <v>7979</v>
      </c>
      <c r="AX213" s="69">
        <v>13143</v>
      </c>
      <c r="AY213" s="36">
        <v>3661</v>
      </c>
      <c r="AZ213" s="36">
        <v>293</v>
      </c>
      <c r="BA213" s="36">
        <v>7978</v>
      </c>
      <c r="BB213" s="36">
        <v>14395</v>
      </c>
      <c r="BC213" s="36">
        <v>3391</v>
      </c>
      <c r="BD213" s="36">
        <v>185</v>
      </c>
      <c r="BE213" s="70">
        <v>8764</v>
      </c>
      <c r="BF213" s="70">
        <v>15618</v>
      </c>
      <c r="BG213" s="70">
        <v>3653</v>
      </c>
      <c r="BH213" s="70">
        <v>483</v>
      </c>
      <c r="BI213" s="36">
        <v>8775</v>
      </c>
      <c r="BJ213" s="36">
        <v>17488</v>
      </c>
      <c r="BK213" s="36">
        <v>3667</v>
      </c>
      <c r="BL213" s="36">
        <v>52</v>
      </c>
      <c r="BM213" s="36">
        <v>6298.1332822042023</v>
      </c>
      <c r="BN213" s="36">
        <v>1221.380721963493</v>
      </c>
      <c r="BO213" s="36">
        <v>293.65611960179825</v>
      </c>
      <c r="BP213" s="36">
        <v>6167.2830754171482</v>
      </c>
      <c r="BQ213" s="36">
        <v>986.9267524761467</v>
      </c>
      <c r="BR213" s="36">
        <v>282.72390438180003</v>
      </c>
      <c r="BS213" s="36">
        <v>5728.3125873526042</v>
      </c>
      <c r="BT213" s="36">
        <v>1036.2058149293694</v>
      </c>
      <c r="BU213" s="36">
        <v>271.79168916180186</v>
      </c>
      <c r="BV213" s="36">
        <v>6552</v>
      </c>
      <c r="BW213" s="36">
        <v>462</v>
      </c>
      <c r="BX213" s="36">
        <v>370</v>
      </c>
      <c r="BY213" s="36">
        <v>7113</v>
      </c>
      <c r="BZ213" s="36">
        <v>445</v>
      </c>
      <c r="CA213" s="36">
        <v>382</v>
      </c>
      <c r="CB213" s="36">
        <v>7041</v>
      </c>
      <c r="CC213" s="36">
        <v>423</v>
      </c>
      <c r="CD213" s="36">
        <v>379</v>
      </c>
      <c r="CE213" s="36">
        <v>7095</v>
      </c>
      <c r="CF213" s="36">
        <v>379</v>
      </c>
      <c r="CG213" s="36">
        <v>371</v>
      </c>
      <c r="CH213" s="36">
        <v>7110</v>
      </c>
      <c r="CI213" s="36">
        <v>481</v>
      </c>
      <c r="CJ213" s="70">
        <v>388</v>
      </c>
      <c r="CK213" s="70">
        <v>7075</v>
      </c>
      <c r="CL213" s="70">
        <v>515</v>
      </c>
      <c r="CM213" s="36">
        <v>388</v>
      </c>
      <c r="CN213" s="36">
        <v>7730</v>
      </c>
      <c r="CO213" s="36">
        <v>638</v>
      </c>
      <c r="CP213" s="36">
        <v>396</v>
      </c>
      <c r="CQ213" s="36">
        <v>7727</v>
      </c>
      <c r="CR213" s="36">
        <v>609</v>
      </c>
      <c r="CS213" s="36">
        <v>439</v>
      </c>
      <c r="CT213" s="36">
        <v>1320.4434106493231</v>
      </c>
      <c r="CU213" s="36">
        <v>-973.97628210000005</v>
      </c>
      <c r="CV213" s="36">
        <v>631.04110008358941</v>
      </c>
      <c r="CW213" s="36">
        <v>1088</v>
      </c>
      <c r="CX213" s="36">
        <v>654.75559771466249</v>
      </c>
      <c r="CY213" s="36">
        <v>1332.2165660000001</v>
      </c>
      <c r="CZ213" s="36">
        <v>690.57962605096429</v>
      </c>
      <c r="DA213" s="36">
        <v>845</v>
      </c>
      <c r="DB213" s="36">
        <v>-558.04753999929358</v>
      </c>
      <c r="DC213" s="36">
        <v>-1272.1734759999999</v>
      </c>
      <c r="DD213" s="36">
        <v>767.60969637033634</v>
      </c>
      <c r="DE213" s="36">
        <v>600</v>
      </c>
      <c r="DF213" s="36">
        <v>188.5386655633539</v>
      </c>
      <c r="DG213" s="36">
        <v>-1634</v>
      </c>
      <c r="DH213" s="36">
        <v>800.23815410386942</v>
      </c>
      <c r="DI213" s="36">
        <v>852</v>
      </c>
      <c r="DJ213" s="36">
        <v>1725</v>
      </c>
      <c r="DK213" s="36">
        <v>-1340</v>
      </c>
      <c r="DL213" s="36">
        <v>810</v>
      </c>
      <c r="DM213" s="36">
        <v>1075</v>
      </c>
      <c r="DN213" s="36">
        <v>1548</v>
      </c>
      <c r="DO213" s="69">
        <v>-1801</v>
      </c>
      <c r="DP213" s="36">
        <v>847</v>
      </c>
      <c r="DQ213" s="36">
        <v>943</v>
      </c>
      <c r="DR213" s="36">
        <v>-91</v>
      </c>
      <c r="DS213" s="36">
        <v>-1645</v>
      </c>
      <c r="DT213" s="36">
        <v>844</v>
      </c>
      <c r="DU213" s="36">
        <v>1807</v>
      </c>
      <c r="DV213" s="36">
        <v>422</v>
      </c>
      <c r="DW213" s="71">
        <v>-817</v>
      </c>
      <c r="DX213" s="39">
        <v>955</v>
      </c>
      <c r="DY213" s="71">
        <v>2069</v>
      </c>
      <c r="DZ213" s="70">
        <v>338</v>
      </c>
      <c r="EA213" s="35">
        <v>-931</v>
      </c>
      <c r="EB213" s="35">
        <v>1062</v>
      </c>
      <c r="EC213" s="38">
        <v>1795</v>
      </c>
      <c r="ED213" s="38">
        <v>1221</v>
      </c>
      <c r="EE213" s="38">
        <v>-1641</v>
      </c>
      <c r="EF213" s="38">
        <v>940</v>
      </c>
      <c r="EG213" s="73">
        <v>2036</v>
      </c>
      <c r="EH213" s="73">
        <v>1500</v>
      </c>
      <c r="EI213" s="73">
        <v>-2016</v>
      </c>
      <c r="EJ213" s="73">
        <v>1084</v>
      </c>
      <c r="EK213" s="73">
        <v>2522</v>
      </c>
      <c r="EL213" s="73">
        <v>20303.982858286534</v>
      </c>
      <c r="EM213" s="73">
        <v>207.71208917996611</v>
      </c>
      <c r="EN213" s="73">
        <v>21080.001950979946</v>
      </c>
      <c r="EO213" s="73">
        <v>492.45424867930427</v>
      </c>
      <c r="EP213" s="73">
        <v>21832.97929774813</v>
      </c>
      <c r="EQ213" s="73">
        <v>-1090.1941393235145</v>
      </c>
      <c r="ER213" s="73">
        <v>22614.716779941235</v>
      </c>
      <c r="ES213" s="73">
        <v>-249.9272587218054</v>
      </c>
      <c r="ET213" s="73">
        <v>23400</v>
      </c>
      <c r="EU213" s="73">
        <v>976</v>
      </c>
      <c r="EV213" s="73">
        <v>24281</v>
      </c>
      <c r="EW213" s="73">
        <v>764</v>
      </c>
      <c r="EX213" s="73">
        <v>24629</v>
      </c>
      <c r="EY213" s="73">
        <v>-852</v>
      </c>
      <c r="EZ213" s="73">
        <v>24537</v>
      </c>
      <c r="FA213" s="73">
        <v>-384</v>
      </c>
      <c r="FB213" s="73">
        <v>25611</v>
      </c>
      <c r="FC213" s="73">
        <v>-648</v>
      </c>
      <c r="FD213" s="73">
        <v>26989</v>
      </c>
      <c r="FE213" s="73">
        <v>305</v>
      </c>
      <c r="FF213" s="73">
        <v>28466</v>
      </c>
      <c r="FG213" s="73">
        <v>512</v>
      </c>
      <c r="FH213" s="73">
        <v>3183</v>
      </c>
      <c r="FI213" s="73">
        <v>3696</v>
      </c>
      <c r="FJ213" s="79">
        <v>4407</v>
      </c>
      <c r="FK213" s="80">
        <v>8964</v>
      </c>
      <c r="FL213" s="80">
        <v>18563</v>
      </c>
      <c r="FM213" s="80">
        <v>3456</v>
      </c>
      <c r="FN213" s="76">
        <v>92</v>
      </c>
      <c r="FO213" s="80">
        <v>8072</v>
      </c>
      <c r="FP213" s="80">
        <v>430</v>
      </c>
      <c r="FQ213" s="80">
        <v>462</v>
      </c>
      <c r="FR213" s="80">
        <v>2144</v>
      </c>
      <c r="FS213" s="81">
        <v>-1314</v>
      </c>
      <c r="FT213" s="76">
        <v>1049</v>
      </c>
      <c r="FU213" s="76">
        <v>2459</v>
      </c>
      <c r="FV213" s="76">
        <v>1314</v>
      </c>
      <c r="FW213" s="80">
        <v>28931</v>
      </c>
      <c r="FX213" s="80">
        <v>1191</v>
      </c>
      <c r="FY213" s="73">
        <v>4337</v>
      </c>
      <c r="FZ213" s="73">
        <v>9074</v>
      </c>
      <c r="GA213" s="73">
        <v>20536</v>
      </c>
      <c r="GB213" s="73">
        <v>3871</v>
      </c>
      <c r="GC213" s="73">
        <v>80</v>
      </c>
      <c r="GD213" s="73">
        <v>7997</v>
      </c>
      <c r="GE213" s="73">
        <v>593</v>
      </c>
      <c r="GF213" s="73">
        <v>484</v>
      </c>
      <c r="GG213" s="73">
        <v>3363</v>
      </c>
      <c r="GH213" s="73">
        <v>-1140</v>
      </c>
      <c r="GI213" s="73">
        <v>1151</v>
      </c>
      <c r="GJ213" s="73">
        <v>2009</v>
      </c>
      <c r="GK213" s="73">
        <v>1140</v>
      </c>
      <c r="GL213" s="73">
        <v>30198</v>
      </c>
      <c r="GM213" s="73">
        <v>2308</v>
      </c>
      <c r="GN213" s="73">
        <v>7195</v>
      </c>
      <c r="GO213" s="77">
        <v>19.25</v>
      </c>
      <c r="GP213" s="78">
        <v>4262</v>
      </c>
      <c r="GQ213" s="73">
        <v>8766</v>
      </c>
      <c r="GR213" s="65">
        <v>20855</v>
      </c>
      <c r="GS213" s="65">
        <v>4383</v>
      </c>
      <c r="GT213" s="65">
        <v>44</v>
      </c>
      <c r="GU213" s="65">
        <v>7592</v>
      </c>
      <c r="GV213" s="65">
        <v>676</v>
      </c>
      <c r="GW213" s="65">
        <v>498</v>
      </c>
      <c r="GX213" s="65">
        <v>3103</v>
      </c>
      <c r="GY213" s="65">
        <v>-2861</v>
      </c>
      <c r="GZ213" s="65">
        <v>1234</v>
      </c>
      <c r="HA213" s="65">
        <v>1615</v>
      </c>
      <c r="HB213" s="65">
        <v>2861</v>
      </c>
      <c r="HC213" s="65">
        <v>30843</v>
      </c>
      <c r="HD213" s="65">
        <v>1965</v>
      </c>
      <c r="HE213" s="78">
        <v>4227</v>
      </c>
      <c r="HF213" s="73">
        <v>9283</v>
      </c>
      <c r="HG213" s="65">
        <v>21761</v>
      </c>
      <c r="HH213" s="65">
        <v>4617</v>
      </c>
      <c r="HI213" s="65">
        <v>217</v>
      </c>
      <c r="HJ213" s="65">
        <v>8270</v>
      </c>
      <c r="HK213" s="65">
        <v>428</v>
      </c>
      <c r="HL213" s="65">
        <v>585</v>
      </c>
      <c r="HM213" s="65">
        <v>2872</v>
      </c>
      <c r="HN213" s="65">
        <v>-2632</v>
      </c>
      <c r="HO213" s="65">
        <v>1268</v>
      </c>
      <c r="HP213" s="65">
        <v>1274</v>
      </c>
      <c r="HQ213" s="65">
        <v>2632</v>
      </c>
      <c r="HR213" s="65">
        <v>33006</v>
      </c>
      <c r="HS213" s="65">
        <v>1700</v>
      </c>
      <c r="HT213" s="65">
        <v>10860</v>
      </c>
      <c r="HU213" s="77">
        <v>19.25</v>
      </c>
      <c r="HV213" s="180">
        <v>340</v>
      </c>
      <c r="HW213" s="30" t="s">
        <v>761</v>
      </c>
    </row>
    <row r="214" spans="1:231" ht="15" x14ac:dyDescent="0.25">
      <c r="A214" s="27">
        <v>684</v>
      </c>
      <c r="B214" s="27" t="s">
        <v>339</v>
      </c>
      <c r="C214" s="27">
        <v>4</v>
      </c>
      <c r="D214" s="27" t="s">
        <v>120</v>
      </c>
      <c r="E214" s="27">
        <v>5</v>
      </c>
      <c r="F214" s="27" t="s">
        <v>101</v>
      </c>
      <c r="G214" s="29" t="s">
        <v>141</v>
      </c>
      <c r="H214" s="27" t="s">
        <v>97</v>
      </c>
      <c r="I214" s="31" t="s">
        <v>120</v>
      </c>
      <c r="J214" s="69">
        <v>41483</v>
      </c>
      <c r="K214" s="69">
        <v>41257</v>
      </c>
      <c r="L214" s="36">
        <v>41001</v>
      </c>
      <c r="M214" s="36">
        <v>40827</v>
      </c>
      <c r="N214" s="36">
        <v>40828</v>
      </c>
      <c r="O214" s="36">
        <v>40623</v>
      </c>
      <c r="P214" s="36">
        <v>40453</v>
      </c>
      <c r="Q214" s="36">
        <v>40381</v>
      </c>
      <c r="R214" s="69">
        <v>40292</v>
      </c>
      <c r="S214" s="69">
        <v>40053</v>
      </c>
      <c r="T214" s="71">
        <v>39747</v>
      </c>
      <c r="U214" s="36">
        <v>87228</v>
      </c>
      <c r="V214" s="36">
        <v>27029</v>
      </c>
      <c r="W214" s="36">
        <v>32802</v>
      </c>
      <c r="X214" s="36">
        <v>3265.7049681031599</v>
      </c>
      <c r="Y214" s="36">
        <v>95041</v>
      </c>
      <c r="Z214" s="36">
        <v>26270</v>
      </c>
      <c r="AA214" s="36">
        <v>35891</v>
      </c>
      <c r="AB214" s="36">
        <v>3843.5986834249115</v>
      </c>
      <c r="AC214" s="36">
        <v>100398</v>
      </c>
      <c r="AD214" s="36">
        <v>26773</v>
      </c>
      <c r="AE214" s="36">
        <v>37368</v>
      </c>
      <c r="AF214" s="36">
        <v>3230.8900673256267</v>
      </c>
      <c r="AG214" s="36">
        <v>114314</v>
      </c>
      <c r="AH214" s="36">
        <v>28268</v>
      </c>
      <c r="AI214" s="36">
        <v>37327</v>
      </c>
      <c r="AJ214" s="36">
        <v>3328.7754405262262</v>
      </c>
      <c r="AK214" s="36">
        <v>107530</v>
      </c>
      <c r="AL214" s="36">
        <v>30784</v>
      </c>
      <c r="AM214" s="36">
        <v>40218</v>
      </c>
      <c r="AN214" s="36">
        <v>2693</v>
      </c>
      <c r="AO214" s="36">
        <v>105514</v>
      </c>
      <c r="AP214" s="36">
        <v>31859</v>
      </c>
      <c r="AQ214" s="36">
        <v>40087</v>
      </c>
      <c r="AR214" s="36">
        <v>2371</v>
      </c>
      <c r="AS214" s="36">
        <v>104946</v>
      </c>
      <c r="AT214" s="36">
        <v>35943</v>
      </c>
      <c r="AU214" s="36">
        <v>44126</v>
      </c>
      <c r="AV214" s="36">
        <v>2463</v>
      </c>
      <c r="AW214" s="36">
        <v>110918</v>
      </c>
      <c r="AX214" s="69">
        <v>39098</v>
      </c>
      <c r="AY214" s="36">
        <v>44189</v>
      </c>
      <c r="AZ214" s="36">
        <v>2045</v>
      </c>
      <c r="BA214" s="36">
        <v>115609</v>
      </c>
      <c r="BB214" s="36">
        <v>43149</v>
      </c>
      <c r="BC214" s="36">
        <v>49590</v>
      </c>
      <c r="BD214" s="36">
        <v>3323</v>
      </c>
      <c r="BE214" s="70">
        <v>125196</v>
      </c>
      <c r="BF214" s="70">
        <v>45597</v>
      </c>
      <c r="BG214" s="70">
        <v>50865</v>
      </c>
      <c r="BH214" s="70">
        <v>6071</v>
      </c>
      <c r="BI214" s="36">
        <v>135420</v>
      </c>
      <c r="BJ214" s="36">
        <v>51309</v>
      </c>
      <c r="BK214" s="36">
        <v>55225</v>
      </c>
      <c r="BL214" s="36">
        <v>3307</v>
      </c>
      <c r="BM214" s="36">
        <v>74422.148331659861</v>
      </c>
      <c r="BN214" s="36">
        <v>11028.923277713584</v>
      </c>
      <c r="BO214" s="36">
        <v>1736.0357769357167</v>
      </c>
      <c r="BP214" s="36">
        <v>77149.315559233262</v>
      </c>
      <c r="BQ214" s="36">
        <v>14502.340334996712</v>
      </c>
      <c r="BR214" s="36">
        <v>3352.8263140102226</v>
      </c>
      <c r="BS214" s="36">
        <v>74333.513294414646</v>
      </c>
      <c r="BT214" s="36">
        <v>22571.324294914168</v>
      </c>
      <c r="BU214" s="36">
        <v>3457.4392042692821</v>
      </c>
      <c r="BV214" s="36">
        <v>81247</v>
      </c>
      <c r="BW214" s="36">
        <v>29401</v>
      </c>
      <c r="BX214" s="36">
        <v>3633</v>
      </c>
      <c r="BY214" s="36">
        <v>90323</v>
      </c>
      <c r="BZ214" s="36">
        <v>13461</v>
      </c>
      <c r="CA214" s="36">
        <v>3716</v>
      </c>
      <c r="CB214" s="36">
        <v>89086</v>
      </c>
      <c r="CC214" s="36">
        <v>12716</v>
      </c>
      <c r="CD214" s="36">
        <v>3712</v>
      </c>
      <c r="CE214" s="36">
        <v>90039</v>
      </c>
      <c r="CF214" s="36">
        <v>11273</v>
      </c>
      <c r="CG214" s="36">
        <v>3634</v>
      </c>
      <c r="CH214" s="36">
        <v>96195</v>
      </c>
      <c r="CI214" s="36">
        <v>10572</v>
      </c>
      <c r="CJ214" s="70">
        <v>4151</v>
      </c>
      <c r="CK214" s="70">
        <v>100533</v>
      </c>
      <c r="CL214" s="70">
        <v>10798</v>
      </c>
      <c r="CM214" s="36">
        <v>4278</v>
      </c>
      <c r="CN214" s="36">
        <v>108605</v>
      </c>
      <c r="CO214" s="36">
        <v>12186</v>
      </c>
      <c r="CP214" s="36">
        <v>4405</v>
      </c>
      <c r="CQ214" s="36">
        <v>117591</v>
      </c>
      <c r="CR214" s="36">
        <v>13094</v>
      </c>
      <c r="CS214" s="36">
        <v>4735</v>
      </c>
      <c r="CT214" s="36">
        <v>7370.4995013227981</v>
      </c>
      <c r="CU214" s="36">
        <v>-15438.474338100001</v>
      </c>
      <c r="CV214" s="36">
        <v>10013.740953591901</v>
      </c>
      <c r="CW214" s="36">
        <v>10583</v>
      </c>
      <c r="CX214" s="36">
        <v>16001.567511474619</v>
      </c>
      <c r="CY214" s="36">
        <v>-15069.638212079999</v>
      </c>
      <c r="CZ214" s="36">
        <v>10990.912806333285</v>
      </c>
      <c r="DA214" s="36">
        <v>8106</v>
      </c>
      <c r="DB214" s="36">
        <v>19712.465920921401</v>
      </c>
      <c r="DC214" s="36">
        <v>-13425.937607791</v>
      </c>
      <c r="DD214" s="36">
        <v>11455.952422999362</v>
      </c>
      <c r="DE214" s="36">
        <v>6106</v>
      </c>
      <c r="DF214" s="36">
        <v>24323.337924863725</v>
      </c>
      <c r="DG214" s="36">
        <v>-15699</v>
      </c>
      <c r="DH214" s="36">
        <v>12126.013122022023</v>
      </c>
      <c r="DI214" s="36">
        <v>4036</v>
      </c>
      <c r="DJ214" s="36">
        <v>23949</v>
      </c>
      <c r="DK214" s="36">
        <v>-13093</v>
      </c>
      <c r="DL214" s="36">
        <v>13194</v>
      </c>
      <c r="DM214" s="36">
        <v>2664</v>
      </c>
      <c r="DN214" s="36">
        <v>13692</v>
      </c>
      <c r="DO214" s="69">
        <v>-20547</v>
      </c>
      <c r="DP214" s="36">
        <v>12937</v>
      </c>
      <c r="DQ214" s="36">
        <v>2539</v>
      </c>
      <c r="DR214" s="36">
        <v>13471</v>
      </c>
      <c r="DS214" s="36">
        <v>-18920</v>
      </c>
      <c r="DT214" s="36">
        <v>13418</v>
      </c>
      <c r="DU214" s="36">
        <v>3205</v>
      </c>
      <c r="DV214" s="36">
        <v>15526</v>
      </c>
      <c r="DW214" s="71">
        <v>-14191</v>
      </c>
      <c r="DX214" s="39">
        <v>13667</v>
      </c>
      <c r="DY214" s="71">
        <v>4032</v>
      </c>
      <c r="DZ214" s="70">
        <v>20454</v>
      </c>
      <c r="EA214" s="35">
        <v>-15743</v>
      </c>
      <c r="EB214" s="35">
        <v>13839</v>
      </c>
      <c r="EC214" s="38">
        <v>3897</v>
      </c>
      <c r="ED214" s="38">
        <v>33396</v>
      </c>
      <c r="EE214" s="38">
        <v>-21763</v>
      </c>
      <c r="EF214" s="38">
        <v>13780</v>
      </c>
      <c r="EG214" s="73">
        <v>3261</v>
      </c>
      <c r="EH214" s="73">
        <v>30899</v>
      </c>
      <c r="EI214" s="73">
        <v>-22044</v>
      </c>
      <c r="EJ214" s="73">
        <v>15137</v>
      </c>
      <c r="EK214" s="73">
        <v>3514</v>
      </c>
      <c r="EL214" s="73">
        <v>135424.24563510282</v>
      </c>
      <c r="EM214" s="73">
        <v>-2873.8270994478389</v>
      </c>
      <c r="EN214" s="73">
        <v>138162.84964167562</v>
      </c>
      <c r="EO214" s="73">
        <v>4633.4091860881672</v>
      </c>
      <c r="EP214" s="73">
        <v>140913.56317895363</v>
      </c>
      <c r="EQ214" s="73">
        <v>8278.0415525091121</v>
      </c>
      <c r="ER214" s="73">
        <v>151478.11959170699</v>
      </c>
      <c r="ES214" s="73">
        <v>11441.320073397212</v>
      </c>
      <c r="ET214" s="73">
        <v>156901</v>
      </c>
      <c r="EU214" s="73">
        <v>10554</v>
      </c>
      <c r="EV214" s="73">
        <v>165769</v>
      </c>
      <c r="EW214" s="73">
        <v>343</v>
      </c>
      <c r="EX214" s="73">
        <v>173688</v>
      </c>
      <c r="EY214" s="73">
        <v>-96</v>
      </c>
      <c r="EZ214" s="73">
        <v>180390</v>
      </c>
      <c r="FA214" s="73">
        <v>1935</v>
      </c>
      <c r="FB214" s="73">
        <v>190241</v>
      </c>
      <c r="FC214" s="73">
        <v>7005</v>
      </c>
      <c r="FD214" s="73">
        <v>193921</v>
      </c>
      <c r="FE214" s="73">
        <v>16595</v>
      </c>
      <c r="FF214" s="73">
        <v>214225</v>
      </c>
      <c r="FG214" s="73">
        <v>15353</v>
      </c>
      <c r="FH214" s="73">
        <v>75320</v>
      </c>
      <c r="FI214" s="73">
        <v>90521</v>
      </c>
      <c r="FJ214" s="79">
        <v>39793</v>
      </c>
      <c r="FK214" s="80">
        <v>138738</v>
      </c>
      <c r="FL214" s="80">
        <v>52875</v>
      </c>
      <c r="FM214" s="80">
        <v>57605</v>
      </c>
      <c r="FN214" s="76">
        <v>1754</v>
      </c>
      <c r="FO214" s="80">
        <v>123452</v>
      </c>
      <c r="FP214" s="80">
        <v>10463</v>
      </c>
      <c r="FQ214" s="80">
        <v>4823</v>
      </c>
      <c r="FR214" s="80">
        <v>23901</v>
      </c>
      <c r="FS214" s="81">
        <v>-20170</v>
      </c>
      <c r="FT214" s="76">
        <v>18159</v>
      </c>
      <c r="FU214" s="76">
        <v>1924</v>
      </c>
      <c r="FV214" s="76">
        <v>20170</v>
      </c>
      <c r="FW214" s="80">
        <v>227071</v>
      </c>
      <c r="FX214" s="80">
        <v>5609</v>
      </c>
      <c r="FY214" s="73">
        <v>39715</v>
      </c>
      <c r="FZ214" s="73">
        <v>139969</v>
      </c>
      <c r="GA214" s="73">
        <v>43304</v>
      </c>
      <c r="GB214" s="73">
        <v>63335</v>
      </c>
      <c r="GC214" s="73">
        <v>2472</v>
      </c>
      <c r="GD214" s="73">
        <v>122893</v>
      </c>
      <c r="GE214" s="73">
        <v>11756</v>
      </c>
      <c r="GF214" s="73">
        <v>5320</v>
      </c>
      <c r="GG214" s="73">
        <v>22890</v>
      </c>
      <c r="GH214" s="73">
        <v>-18491</v>
      </c>
      <c r="GI214" s="73">
        <v>17393</v>
      </c>
      <c r="GJ214" s="73">
        <v>1303</v>
      </c>
      <c r="GK214" s="73">
        <v>18491</v>
      </c>
      <c r="GL214" s="73">
        <v>226190</v>
      </c>
      <c r="GM214" s="73">
        <v>5036</v>
      </c>
      <c r="GN214" s="73">
        <v>100345</v>
      </c>
      <c r="GO214" s="77">
        <v>18</v>
      </c>
      <c r="GP214" s="78">
        <v>39820</v>
      </c>
      <c r="GQ214" s="73">
        <v>145672</v>
      </c>
      <c r="GR214" s="65">
        <v>46498</v>
      </c>
      <c r="GS214" s="65">
        <v>67469</v>
      </c>
      <c r="GT214" s="65">
        <v>3519</v>
      </c>
      <c r="GU214" s="65">
        <v>123812</v>
      </c>
      <c r="GV214" s="65">
        <v>16411</v>
      </c>
      <c r="GW214" s="65">
        <v>5449</v>
      </c>
      <c r="GX214" s="65">
        <v>23647</v>
      </c>
      <c r="GY214" s="65">
        <v>-21069</v>
      </c>
      <c r="GZ214" s="65">
        <v>17814</v>
      </c>
      <c r="HA214" s="65">
        <v>984</v>
      </c>
      <c r="HB214" s="65">
        <v>21069</v>
      </c>
      <c r="HC214" s="65">
        <v>239511</v>
      </c>
      <c r="HD214" s="65">
        <v>5910</v>
      </c>
      <c r="HE214" s="78">
        <v>39842</v>
      </c>
      <c r="HF214" s="73">
        <v>151725</v>
      </c>
      <c r="HG214" s="65">
        <v>50401</v>
      </c>
      <c r="HH214" s="65">
        <v>68661</v>
      </c>
      <c r="HI214" s="65">
        <v>6744</v>
      </c>
      <c r="HJ214" s="65">
        <v>128824</v>
      </c>
      <c r="HK214" s="65">
        <v>17412</v>
      </c>
      <c r="HL214" s="65">
        <v>5489</v>
      </c>
      <c r="HM214" s="65">
        <v>19659</v>
      </c>
      <c r="HN214" s="65">
        <v>-18527</v>
      </c>
      <c r="HO214" s="65">
        <v>25669</v>
      </c>
      <c r="HP214" s="65">
        <v>760</v>
      </c>
      <c r="HQ214" s="65">
        <v>18527</v>
      </c>
      <c r="HR214" s="65">
        <v>253831</v>
      </c>
      <c r="HS214" s="65">
        <v>-1906</v>
      </c>
      <c r="HT214" s="65">
        <v>104352</v>
      </c>
      <c r="HU214" s="77">
        <v>18</v>
      </c>
      <c r="HV214" s="180">
        <v>130</v>
      </c>
      <c r="HW214" s="30" t="s">
        <v>752</v>
      </c>
    </row>
    <row r="215" spans="1:231" ht="15" x14ac:dyDescent="0.25">
      <c r="A215" s="27">
        <v>686</v>
      </c>
      <c r="B215" s="27" t="s">
        <v>340</v>
      </c>
      <c r="C215" s="27">
        <v>11</v>
      </c>
      <c r="D215" s="27" t="s">
        <v>118</v>
      </c>
      <c r="E215" s="27">
        <v>2</v>
      </c>
      <c r="F215" s="27" t="s">
        <v>744</v>
      </c>
      <c r="G215" s="29" t="s">
        <v>130</v>
      </c>
      <c r="H215" s="27" t="s">
        <v>98</v>
      </c>
      <c r="I215" s="31" t="s">
        <v>118</v>
      </c>
      <c r="J215" s="69">
        <v>4006</v>
      </c>
      <c r="K215" s="69">
        <v>3952</v>
      </c>
      <c r="L215" s="36">
        <v>3867</v>
      </c>
      <c r="M215" s="36">
        <v>3816</v>
      </c>
      <c r="N215" s="36">
        <v>3779</v>
      </c>
      <c r="O215" s="36">
        <v>3723</v>
      </c>
      <c r="P215" s="36">
        <v>3707</v>
      </c>
      <c r="Q215" s="36">
        <v>3678</v>
      </c>
      <c r="R215" s="69">
        <v>3603</v>
      </c>
      <c r="S215" s="69">
        <v>3592</v>
      </c>
      <c r="T215" s="71">
        <v>3538</v>
      </c>
      <c r="U215" s="36">
        <v>7355</v>
      </c>
      <c r="V215" s="36">
        <v>5154</v>
      </c>
      <c r="W215" s="36">
        <v>2471</v>
      </c>
      <c r="X215" s="36">
        <v>162.3013490353581</v>
      </c>
      <c r="Y215" s="36">
        <v>6894</v>
      </c>
      <c r="Z215" s="36">
        <v>5104</v>
      </c>
      <c r="AA215" s="36">
        <v>2379</v>
      </c>
      <c r="AB215" s="36">
        <v>237.14497631073056</v>
      </c>
      <c r="AC215" s="36">
        <v>6704</v>
      </c>
      <c r="AD215" s="36">
        <v>5636</v>
      </c>
      <c r="AE215" s="36">
        <v>2707</v>
      </c>
      <c r="AF215" s="36">
        <v>175.75638315227906</v>
      </c>
      <c r="AG215" s="36">
        <v>6934</v>
      </c>
      <c r="AH215" s="36">
        <v>6514</v>
      </c>
      <c r="AI215" s="36">
        <v>2671</v>
      </c>
      <c r="AJ215" s="36">
        <v>168.35611438797255</v>
      </c>
      <c r="AK215" s="36">
        <v>7010</v>
      </c>
      <c r="AL215" s="36">
        <v>7034</v>
      </c>
      <c r="AM215" s="36">
        <v>2912</v>
      </c>
      <c r="AN215" s="36">
        <v>145</v>
      </c>
      <c r="AO215" s="36">
        <v>6815</v>
      </c>
      <c r="AP215" s="36">
        <v>7767</v>
      </c>
      <c r="AQ215" s="36">
        <v>2907</v>
      </c>
      <c r="AR215" s="36">
        <v>149</v>
      </c>
      <c r="AS215" s="36">
        <v>6870</v>
      </c>
      <c r="AT215" s="36">
        <v>7999</v>
      </c>
      <c r="AU215" s="36">
        <v>1945</v>
      </c>
      <c r="AV215" s="36">
        <v>213</v>
      </c>
      <c r="AW215" s="36">
        <v>7329</v>
      </c>
      <c r="AX215" s="69">
        <v>8024</v>
      </c>
      <c r="AY215" s="36">
        <v>2112</v>
      </c>
      <c r="AZ215" s="36">
        <v>138</v>
      </c>
      <c r="BA215" s="36">
        <v>7646</v>
      </c>
      <c r="BB215" s="36">
        <v>8456</v>
      </c>
      <c r="BC215" s="36">
        <v>2500</v>
      </c>
      <c r="BD215" s="36">
        <v>136</v>
      </c>
      <c r="BE215" s="70">
        <v>7877</v>
      </c>
      <c r="BF215" s="70">
        <v>8733</v>
      </c>
      <c r="BG215" s="70">
        <v>2306</v>
      </c>
      <c r="BH215" s="70">
        <v>715</v>
      </c>
      <c r="BI215" s="36">
        <v>8463</v>
      </c>
      <c r="BJ215" s="36">
        <v>9789</v>
      </c>
      <c r="BK215" s="36">
        <v>2379</v>
      </c>
      <c r="BL215" s="36">
        <v>350</v>
      </c>
      <c r="BM215" s="36">
        <v>5239.5584730554529</v>
      </c>
      <c r="BN215" s="36">
        <v>1768.8324225957115</v>
      </c>
      <c r="BO215" s="36">
        <v>340.58055108455983</v>
      </c>
      <c r="BP215" s="36">
        <v>5057.2427607711752</v>
      </c>
      <c r="BQ215" s="36">
        <v>1463.4031481416075</v>
      </c>
      <c r="BR215" s="36">
        <v>367.99518309778614</v>
      </c>
      <c r="BS215" s="36">
        <v>4750.2997949789178</v>
      </c>
      <c r="BT215" s="36">
        <v>1532.5283859172885</v>
      </c>
      <c r="BU215" s="36">
        <v>415.25599043347074</v>
      </c>
      <c r="BV215" s="36">
        <v>5563</v>
      </c>
      <c r="BW215" s="36">
        <v>935</v>
      </c>
      <c r="BX215" s="36">
        <v>430</v>
      </c>
      <c r="BY215" s="36">
        <v>5998</v>
      </c>
      <c r="BZ215" s="36">
        <v>572</v>
      </c>
      <c r="CA215" s="36">
        <v>434</v>
      </c>
      <c r="CB215" s="36">
        <v>6065</v>
      </c>
      <c r="CC215" s="36">
        <v>315</v>
      </c>
      <c r="CD215" s="36">
        <v>429</v>
      </c>
      <c r="CE215" s="36">
        <v>5998</v>
      </c>
      <c r="CF215" s="36">
        <v>428</v>
      </c>
      <c r="CG215" s="36">
        <v>438</v>
      </c>
      <c r="CH215" s="36">
        <v>6212</v>
      </c>
      <c r="CI215" s="36">
        <v>591</v>
      </c>
      <c r="CJ215" s="70">
        <v>520</v>
      </c>
      <c r="CK215" s="70">
        <v>6403</v>
      </c>
      <c r="CL215" s="70">
        <v>707</v>
      </c>
      <c r="CM215" s="36">
        <v>531</v>
      </c>
      <c r="CN215" s="36">
        <v>6556</v>
      </c>
      <c r="CO215" s="36">
        <v>772</v>
      </c>
      <c r="CP215" s="36">
        <v>549</v>
      </c>
      <c r="CQ215" s="36">
        <v>7143</v>
      </c>
      <c r="CR215" s="36">
        <v>731</v>
      </c>
      <c r="CS215" s="36">
        <v>589</v>
      </c>
      <c r="CT215" s="36">
        <v>370.01343821532424</v>
      </c>
      <c r="CU215" s="36">
        <v>-849.68540449999989</v>
      </c>
      <c r="CV215" s="36">
        <v>491.9496848999197</v>
      </c>
      <c r="CW215" s="36">
        <v>2290</v>
      </c>
      <c r="CX215" s="36">
        <v>-569.48431899867637</v>
      </c>
      <c r="CY215" s="36">
        <v>1434.474825</v>
      </c>
      <c r="CZ215" s="36">
        <v>561.41129852852384</v>
      </c>
      <c r="DA215" s="36">
        <v>2999</v>
      </c>
      <c r="DB215" s="36">
        <v>-777.02822025218097</v>
      </c>
      <c r="DC215" s="36">
        <v>-441.32511899999997</v>
      </c>
      <c r="DD215" s="36">
        <v>557.71116414637061</v>
      </c>
      <c r="DE215" s="36">
        <v>3426</v>
      </c>
      <c r="DF215" s="36">
        <v>-63.238660349528146</v>
      </c>
      <c r="DG215" s="36">
        <v>-315</v>
      </c>
      <c r="DH215" s="36">
        <v>642.81425493589518</v>
      </c>
      <c r="DI215" s="36">
        <v>4984</v>
      </c>
      <c r="DJ215" s="36">
        <v>550</v>
      </c>
      <c r="DK215" s="36">
        <v>-536</v>
      </c>
      <c r="DL215" s="36">
        <v>674</v>
      </c>
      <c r="DM215" s="36">
        <v>4803</v>
      </c>
      <c r="DN215" s="36">
        <v>441</v>
      </c>
      <c r="DO215" s="69">
        <v>-1090</v>
      </c>
      <c r="DP215" s="36">
        <v>671</v>
      </c>
      <c r="DQ215" s="36">
        <v>5137</v>
      </c>
      <c r="DR215" s="36">
        <v>-54</v>
      </c>
      <c r="DS215" s="36">
        <v>-419</v>
      </c>
      <c r="DT215" s="36">
        <v>453</v>
      </c>
      <c r="DU215" s="36">
        <v>5271</v>
      </c>
      <c r="DV215" s="36">
        <v>343</v>
      </c>
      <c r="DW215" s="71">
        <v>-1376</v>
      </c>
      <c r="DX215" s="39">
        <v>405</v>
      </c>
      <c r="DY215" s="71">
        <v>6681</v>
      </c>
      <c r="DZ215" s="70">
        <v>590</v>
      </c>
      <c r="EA215" s="35">
        <v>-345</v>
      </c>
      <c r="EB215" s="35">
        <v>430</v>
      </c>
      <c r="EC215" s="38">
        <v>6573</v>
      </c>
      <c r="ED215" s="38">
        <v>233</v>
      </c>
      <c r="EE215" s="38">
        <v>-3480</v>
      </c>
      <c r="EF215" s="38">
        <v>457</v>
      </c>
      <c r="EG215" s="73">
        <v>8705</v>
      </c>
      <c r="EH215" s="73">
        <v>588</v>
      </c>
      <c r="EI215" s="73">
        <v>-856</v>
      </c>
      <c r="EJ215" s="73">
        <v>552</v>
      </c>
      <c r="EK215" s="73">
        <v>8909</v>
      </c>
      <c r="EL215" s="73">
        <v>13954.047694732186</v>
      </c>
      <c r="EM215" s="73">
        <v>-92.503359553831061</v>
      </c>
      <c r="EN215" s="73">
        <v>14406.809592766573</v>
      </c>
      <c r="EO215" s="73">
        <v>973.6399062856874</v>
      </c>
      <c r="EP215" s="73">
        <v>15122.28103193384</v>
      </c>
      <c r="EQ215" s="73">
        <v>-1334.7393843985515</v>
      </c>
      <c r="ER215" s="73">
        <v>15448.061045489789</v>
      </c>
      <c r="ES215" s="73">
        <v>-706.0529152854233</v>
      </c>
      <c r="ET215" s="73">
        <v>16335</v>
      </c>
      <c r="EU215" s="73">
        <v>371</v>
      </c>
      <c r="EV215" s="73">
        <v>17020</v>
      </c>
      <c r="EW215" s="73">
        <v>-230</v>
      </c>
      <c r="EX215" s="73">
        <v>16871</v>
      </c>
      <c r="EY215" s="73">
        <v>-507</v>
      </c>
      <c r="EZ215" s="73">
        <v>17070</v>
      </c>
      <c r="FA215" s="73">
        <v>-62</v>
      </c>
      <c r="FB215" s="73">
        <v>17989</v>
      </c>
      <c r="FC215" s="73">
        <v>-55</v>
      </c>
      <c r="FD215" s="73">
        <v>19021</v>
      </c>
      <c r="FE215" s="73">
        <v>-224</v>
      </c>
      <c r="FF215" s="73">
        <v>20099</v>
      </c>
      <c r="FG215" s="73">
        <v>36</v>
      </c>
      <c r="FH215" s="73">
        <v>-849</v>
      </c>
      <c r="FI215" s="73">
        <v>-813</v>
      </c>
      <c r="FJ215" s="79">
        <v>3520</v>
      </c>
      <c r="FK215" s="80">
        <v>8402</v>
      </c>
      <c r="FL215" s="80">
        <v>10485</v>
      </c>
      <c r="FM215" s="80">
        <v>12415</v>
      </c>
      <c r="FN215" s="76">
        <v>356</v>
      </c>
      <c r="FO215" s="80">
        <v>7201</v>
      </c>
      <c r="FP215" s="80">
        <v>577</v>
      </c>
      <c r="FQ215" s="80">
        <v>624</v>
      </c>
      <c r="FR215" s="80">
        <v>909</v>
      </c>
      <c r="FS215" s="81">
        <v>-665</v>
      </c>
      <c r="FT215" s="76">
        <v>599</v>
      </c>
      <c r="FU215" s="76">
        <v>8750</v>
      </c>
      <c r="FV215" s="76">
        <v>665</v>
      </c>
      <c r="FW215" s="80">
        <v>30529</v>
      </c>
      <c r="FX215" s="80">
        <v>310</v>
      </c>
      <c r="FY215" s="73">
        <v>3475</v>
      </c>
      <c r="FZ215" s="73">
        <v>8684</v>
      </c>
      <c r="GA215" s="73">
        <v>11089</v>
      </c>
      <c r="GB215" s="73">
        <v>2479</v>
      </c>
      <c r="GC215" s="73">
        <v>273</v>
      </c>
      <c r="GD215" s="73">
        <v>7329</v>
      </c>
      <c r="GE215" s="73">
        <v>735</v>
      </c>
      <c r="GF215" s="73">
        <v>620</v>
      </c>
      <c r="GG215" s="73">
        <v>1242</v>
      </c>
      <c r="GH215" s="73">
        <v>-656</v>
      </c>
      <c r="GI215" s="73">
        <v>624</v>
      </c>
      <c r="GJ215" s="73">
        <v>7863</v>
      </c>
      <c r="GK215" s="73">
        <v>656</v>
      </c>
      <c r="GL215" s="73">
        <v>21149</v>
      </c>
      <c r="GM215" s="73">
        <v>609</v>
      </c>
      <c r="GN215" s="73">
        <v>107</v>
      </c>
      <c r="GO215" s="77">
        <v>20.5</v>
      </c>
      <c r="GP215" s="78">
        <v>3481</v>
      </c>
      <c r="GQ215" s="73">
        <v>8695</v>
      </c>
      <c r="GR215" s="65">
        <v>11135</v>
      </c>
      <c r="GS215" s="65">
        <v>2752</v>
      </c>
      <c r="GT215" s="65">
        <v>226</v>
      </c>
      <c r="GU215" s="65">
        <v>7275</v>
      </c>
      <c r="GV215" s="65">
        <v>784</v>
      </c>
      <c r="GW215" s="65">
        <v>636</v>
      </c>
      <c r="GX215" s="65">
        <v>815</v>
      </c>
      <c r="GY215" s="65">
        <v>-376</v>
      </c>
      <c r="GZ215" s="65">
        <v>629</v>
      </c>
      <c r="HA215" s="65">
        <v>6611</v>
      </c>
      <c r="HB215" s="65">
        <v>376</v>
      </c>
      <c r="HC215" s="65">
        <v>21837</v>
      </c>
      <c r="HD215" s="65">
        <v>169</v>
      </c>
      <c r="HE215" s="78">
        <v>3444</v>
      </c>
      <c r="HF215" s="73">
        <v>8930</v>
      </c>
      <c r="HG215" s="65">
        <v>12090</v>
      </c>
      <c r="HH215" s="65">
        <v>2547</v>
      </c>
      <c r="HI215" s="65">
        <v>261</v>
      </c>
      <c r="HJ215" s="65">
        <v>7749</v>
      </c>
      <c r="HK215" s="65">
        <v>476</v>
      </c>
      <c r="HL215" s="65">
        <v>705</v>
      </c>
      <c r="HM215" s="65">
        <v>201</v>
      </c>
      <c r="HN215" s="65">
        <v>-1044</v>
      </c>
      <c r="HO215" s="65">
        <v>633</v>
      </c>
      <c r="HP215" s="65">
        <v>6985</v>
      </c>
      <c r="HQ215" s="65">
        <v>1044</v>
      </c>
      <c r="HR215" s="65">
        <v>23519</v>
      </c>
      <c r="HS215" s="65">
        <v>-432</v>
      </c>
      <c r="HT215" s="65">
        <v>-156</v>
      </c>
      <c r="HU215" s="77">
        <v>20.5</v>
      </c>
      <c r="HV215" s="180">
        <v>340</v>
      </c>
      <c r="HW215" s="30" t="s">
        <v>761</v>
      </c>
    </row>
    <row r="216" spans="1:231" ht="15" x14ac:dyDescent="0.25">
      <c r="A216" s="27">
        <v>687</v>
      </c>
      <c r="B216" s="27" t="s">
        <v>341</v>
      </c>
      <c r="C216" s="27">
        <v>11</v>
      </c>
      <c r="D216" s="27" t="s">
        <v>118</v>
      </c>
      <c r="E216" s="27">
        <v>1</v>
      </c>
      <c r="F216" s="27" t="s">
        <v>103</v>
      </c>
      <c r="G216" s="29" t="s">
        <v>130</v>
      </c>
      <c r="H216" s="27" t="s">
        <v>98</v>
      </c>
      <c r="I216" s="31" t="s">
        <v>118</v>
      </c>
      <c r="J216" s="69">
        <v>2558</v>
      </c>
      <c r="K216" s="69">
        <v>2469</v>
      </c>
      <c r="L216" s="36">
        <v>2377</v>
      </c>
      <c r="M216" s="36">
        <v>2301</v>
      </c>
      <c r="N216" s="36">
        <v>2240</v>
      </c>
      <c r="O216" s="36">
        <v>2182</v>
      </c>
      <c r="P216" s="36">
        <v>2137</v>
      </c>
      <c r="Q216" s="36">
        <v>2090</v>
      </c>
      <c r="R216" s="69">
        <v>2061</v>
      </c>
      <c r="S216" s="69">
        <v>1988</v>
      </c>
      <c r="T216" s="71">
        <v>1949</v>
      </c>
      <c r="U216" s="36">
        <v>4839</v>
      </c>
      <c r="V216" s="36">
        <v>4366</v>
      </c>
      <c r="W216" s="36">
        <v>2098</v>
      </c>
      <c r="X216" s="36">
        <v>124.79544143444119</v>
      </c>
      <c r="Y216" s="36">
        <v>4316</v>
      </c>
      <c r="Z216" s="36">
        <v>4228</v>
      </c>
      <c r="AA216" s="36">
        <v>2168</v>
      </c>
      <c r="AB216" s="36">
        <v>147.83718735966821</v>
      </c>
      <c r="AC216" s="36">
        <v>4268</v>
      </c>
      <c r="AD216" s="36">
        <v>4186</v>
      </c>
      <c r="AE216" s="36">
        <v>2096</v>
      </c>
      <c r="AF216" s="36">
        <v>148.1735632125912</v>
      </c>
      <c r="AG216" s="36">
        <v>4176</v>
      </c>
      <c r="AH216" s="36">
        <v>4415</v>
      </c>
      <c r="AI216" s="36">
        <v>2176</v>
      </c>
      <c r="AJ216" s="36">
        <v>96.539869788907325</v>
      </c>
      <c r="AK216" s="36">
        <v>3659</v>
      </c>
      <c r="AL216" s="36">
        <v>4772</v>
      </c>
      <c r="AM216" s="36">
        <v>2014</v>
      </c>
      <c r="AN216" s="36">
        <v>81</v>
      </c>
      <c r="AO216" s="36">
        <v>3686</v>
      </c>
      <c r="AP216" s="36">
        <v>5968</v>
      </c>
      <c r="AQ216" s="36">
        <v>2070</v>
      </c>
      <c r="AR216" s="36">
        <v>87</v>
      </c>
      <c r="AS216" s="36">
        <v>3685</v>
      </c>
      <c r="AT216" s="36">
        <v>5382</v>
      </c>
      <c r="AU216" s="36">
        <v>1798</v>
      </c>
      <c r="AV216" s="36">
        <v>210</v>
      </c>
      <c r="AW216" s="36">
        <v>3824</v>
      </c>
      <c r="AX216" s="69">
        <v>5362</v>
      </c>
      <c r="AY216" s="36">
        <v>1754</v>
      </c>
      <c r="AZ216" s="36">
        <v>120</v>
      </c>
      <c r="BA216" s="36">
        <v>3858</v>
      </c>
      <c r="BB216" s="36">
        <v>5911</v>
      </c>
      <c r="BC216" s="36">
        <v>1824</v>
      </c>
      <c r="BD216" s="36">
        <v>200</v>
      </c>
      <c r="BE216" s="70">
        <v>4456</v>
      </c>
      <c r="BF216" s="70">
        <v>6034</v>
      </c>
      <c r="BG216" s="70">
        <v>2184</v>
      </c>
      <c r="BH216" s="70">
        <v>114</v>
      </c>
      <c r="BI216" s="36">
        <v>5139</v>
      </c>
      <c r="BJ216" s="36">
        <v>7278</v>
      </c>
      <c r="BK216" s="36">
        <v>2101</v>
      </c>
      <c r="BL216" s="36">
        <v>334</v>
      </c>
      <c r="BM216" s="36">
        <v>2951.0253576936725</v>
      </c>
      <c r="BN216" s="36">
        <v>1755.0410126258678</v>
      </c>
      <c r="BO216" s="36">
        <v>132.7002739781322</v>
      </c>
      <c r="BP216" s="36">
        <v>3006.6955613524328</v>
      </c>
      <c r="BQ216" s="36">
        <v>1170.9243440250398</v>
      </c>
      <c r="BR216" s="36">
        <v>137.91409969843903</v>
      </c>
      <c r="BS216" s="36">
        <v>2555.1109788032754</v>
      </c>
      <c r="BT216" s="36">
        <v>1582.6483880028188</v>
      </c>
      <c r="BU216" s="36">
        <v>130.34564300767104</v>
      </c>
      <c r="BV216" s="36">
        <v>3051</v>
      </c>
      <c r="BW216" s="36">
        <v>986</v>
      </c>
      <c r="BX216" s="36">
        <v>139</v>
      </c>
      <c r="BY216" s="36">
        <v>3152</v>
      </c>
      <c r="BZ216" s="36">
        <v>350</v>
      </c>
      <c r="CA216" s="36">
        <v>157</v>
      </c>
      <c r="CB216" s="36">
        <v>3268</v>
      </c>
      <c r="CC216" s="36">
        <v>241</v>
      </c>
      <c r="CD216" s="36">
        <v>177</v>
      </c>
      <c r="CE216" s="36">
        <v>3170</v>
      </c>
      <c r="CF216" s="36">
        <v>341</v>
      </c>
      <c r="CG216" s="36">
        <v>174</v>
      </c>
      <c r="CH216" s="36">
        <v>3150</v>
      </c>
      <c r="CI216" s="36">
        <v>489</v>
      </c>
      <c r="CJ216" s="70">
        <v>185</v>
      </c>
      <c r="CK216" s="70">
        <v>3119</v>
      </c>
      <c r="CL216" s="70">
        <v>551</v>
      </c>
      <c r="CM216" s="36">
        <v>188</v>
      </c>
      <c r="CN216" s="36">
        <v>3395</v>
      </c>
      <c r="CO216" s="36">
        <v>873</v>
      </c>
      <c r="CP216" s="36">
        <v>188</v>
      </c>
      <c r="CQ216" s="36">
        <v>3745</v>
      </c>
      <c r="CR216" s="36">
        <v>1169</v>
      </c>
      <c r="CS216" s="36">
        <v>225</v>
      </c>
      <c r="CT216" s="36">
        <v>577.22096361590582</v>
      </c>
      <c r="CU216" s="36">
        <v>-432.9157227</v>
      </c>
      <c r="CV216" s="36">
        <v>362.94954530394079</v>
      </c>
      <c r="CW216" s="36">
        <v>3437</v>
      </c>
      <c r="CX216" s="36">
        <v>109.99490390582821</v>
      </c>
      <c r="CY216" s="36">
        <v>1749.8271870000001</v>
      </c>
      <c r="CZ216" s="36">
        <v>400.79182875778076</v>
      </c>
      <c r="DA216" s="36">
        <v>3014</v>
      </c>
      <c r="DB216" s="36">
        <v>-128.15919996367143</v>
      </c>
      <c r="DC216" s="36">
        <v>-784.42848900000001</v>
      </c>
      <c r="DD216" s="36">
        <v>395.91437889039696</v>
      </c>
      <c r="DE216" s="36">
        <v>3913</v>
      </c>
      <c r="DF216" s="36">
        <v>-216.96242513534924</v>
      </c>
      <c r="DG216" s="36">
        <v>15</v>
      </c>
      <c r="DH216" s="36">
        <v>382.45934477347606</v>
      </c>
      <c r="DI216" s="36">
        <v>3412</v>
      </c>
      <c r="DJ216" s="36">
        <v>-455</v>
      </c>
      <c r="DK216" s="36">
        <v>-79</v>
      </c>
      <c r="DL216" s="36">
        <v>366</v>
      </c>
      <c r="DM216" s="36">
        <v>2949</v>
      </c>
      <c r="DN216" s="36">
        <v>749</v>
      </c>
      <c r="DO216" s="69">
        <v>-1143</v>
      </c>
      <c r="DP216" s="36">
        <v>401</v>
      </c>
      <c r="DQ216" s="36">
        <v>3986</v>
      </c>
      <c r="DR216" s="36">
        <v>133</v>
      </c>
      <c r="DS216" s="36">
        <v>-556</v>
      </c>
      <c r="DT216" s="36">
        <v>389</v>
      </c>
      <c r="DU216" s="36">
        <v>4458</v>
      </c>
      <c r="DV216" s="36">
        <v>-194</v>
      </c>
      <c r="DW216" s="71">
        <v>-570</v>
      </c>
      <c r="DX216" s="39">
        <v>415</v>
      </c>
      <c r="DY216" s="71">
        <v>5357</v>
      </c>
      <c r="DZ216" s="70">
        <v>-49</v>
      </c>
      <c r="EA216" s="35">
        <v>-228</v>
      </c>
      <c r="EB216" s="35">
        <v>468</v>
      </c>
      <c r="EC216" s="38">
        <v>4798</v>
      </c>
      <c r="ED216" s="38">
        <v>216</v>
      </c>
      <c r="EE216" s="38">
        <v>80</v>
      </c>
      <c r="EF216" s="38">
        <v>440</v>
      </c>
      <c r="EG216" s="73">
        <v>4964</v>
      </c>
      <c r="EH216" s="73">
        <v>2078</v>
      </c>
      <c r="EI216" s="73">
        <v>-1122</v>
      </c>
      <c r="EJ216" s="73">
        <v>417</v>
      </c>
      <c r="EK216" s="73">
        <v>4007</v>
      </c>
      <c r="EL216" s="73">
        <v>10223.807673742333</v>
      </c>
      <c r="EM216" s="73">
        <v>160.45128184428151</v>
      </c>
      <c r="EN216" s="73">
        <v>10154.346060113729</v>
      </c>
      <c r="EO216" s="73">
        <v>1862.1767217818501</v>
      </c>
      <c r="EP216" s="73">
        <v>10095.312097925738</v>
      </c>
      <c r="EQ216" s="73">
        <v>-535.51035785345107</v>
      </c>
      <c r="ER216" s="73">
        <v>10321.020295237086</v>
      </c>
      <c r="ES216" s="73">
        <v>-573.01626545436807</v>
      </c>
      <c r="ET216" s="73">
        <v>10721</v>
      </c>
      <c r="EU216" s="73">
        <v>-763</v>
      </c>
      <c r="EV216" s="73">
        <v>11043</v>
      </c>
      <c r="EW216" s="73">
        <v>340</v>
      </c>
      <c r="EX216" s="73">
        <v>10787</v>
      </c>
      <c r="EY216" s="73">
        <v>-170</v>
      </c>
      <c r="EZ216" s="73">
        <v>11278</v>
      </c>
      <c r="FA216" s="73">
        <v>-609</v>
      </c>
      <c r="FB216" s="73">
        <v>11690</v>
      </c>
      <c r="FC216" s="73">
        <v>-517</v>
      </c>
      <c r="FD216" s="73">
        <v>12388</v>
      </c>
      <c r="FE216" s="73">
        <v>-224</v>
      </c>
      <c r="FF216" s="73">
        <v>12590</v>
      </c>
      <c r="FG216" s="73">
        <v>1719</v>
      </c>
      <c r="FH216" s="73">
        <v>-1118</v>
      </c>
      <c r="FI216" s="73">
        <v>602</v>
      </c>
      <c r="FJ216" s="79">
        <v>1918</v>
      </c>
      <c r="FK216" s="80">
        <v>5072</v>
      </c>
      <c r="FL216" s="80">
        <v>7204</v>
      </c>
      <c r="FM216" s="80">
        <v>2143</v>
      </c>
      <c r="FN216" s="76">
        <v>301</v>
      </c>
      <c r="FO216" s="80">
        <v>3820</v>
      </c>
      <c r="FP216" s="80">
        <v>1018</v>
      </c>
      <c r="FQ216" s="80">
        <v>234</v>
      </c>
      <c r="FR216" s="80">
        <v>1421</v>
      </c>
      <c r="FS216" s="81">
        <v>-1567</v>
      </c>
      <c r="FT216" s="76">
        <v>451</v>
      </c>
      <c r="FU216" s="76">
        <v>5346</v>
      </c>
      <c r="FV216" s="76">
        <v>1567</v>
      </c>
      <c r="FW216" s="80">
        <v>13144</v>
      </c>
      <c r="FX216" s="80">
        <v>970</v>
      </c>
      <c r="FY216" s="73">
        <v>1872</v>
      </c>
      <c r="FZ216" s="73">
        <v>5012</v>
      </c>
      <c r="GA216" s="73">
        <v>7723</v>
      </c>
      <c r="GB216" s="73">
        <v>2606</v>
      </c>
      <c r="GC216" s="73">
        <v>226</v>
      </c>
      <c r="GD216" s="73">
        <v>3486</v>
      </c>
      <c r="GE216" s="73">
        <v>1302</v>
      </c>
      <c r="GF216" s="73">
        <v>224</v>
      </c>
      <c r="GG216" s="73">
        <v>1953</v>
      </c>
      <c r="GH216" s="73">
        <v>-86</v>
      </c>
      <c r="GI216" s="73">
        <v>438</v>
      </c>
      <c r="GJ216" s="73">
        <v>3993</v>
      </c>
      <c r="GK216" s="73">
        <v>86</v>
      </c>
      <c r="GL216" s="73">
        <v>13492</v>
      </c>
      <c r="GM216" s="73">
        <v>1515</v>
      </c>
      <c r="GN216" s="73">
        <v>3087</v>
      </c>
      <c r="GO216" s="77">
        <v>20</v>
      </c>
      <c r="GP216" s="78">
        <v>1848</v>
      </c>
      <c r="GQ216" s="73">
        <v>4898</v>
      </c>
      <c r="GR216" s="65">
        <v>7647</v>
      </c>
      <c r="GS216" s="65">
        <v>2569</v>
      </c>
      <c r="GT216" s="65">
        <v>149</v>
      </c>
      <c r="GU216" s="65">
        <v>3408</v>
      </c>
      <c r="GV216" s="65">
        <v>1265</v>
      </c>
      <c r="GW216" s="65">
        <v>225</v>
      </c>
      <c r="GX216" s="65">
        <v>1255</v>
      </c>
      <c r="GY216" s="65">
        <v>-2197</v>
      </c>
      <c r="GZ216" s="65">
        <v>413</v>
      </c>
      <c r="HA216" s="65">
        <v>4890</v>
      </c>
      <c r="HB216" s="65">
        <v>2197</v>
      </c>
      <c r="HC216" s="65">
        <v>13917</v>
      </c>
      <c r="HD216" s="65">
        <v>842</v>
      </c>
      <c r="HE216" s="78">
        <v>1813</v>
      </c>
      <c r="HF216" s="73">
        <v>4595</v>
      </c>
      <c r="HG216" s="65">
        <v>7896</v>
      </c>
      <c r="HH216" s="65">
        <v>2567</v>
      </c>
      <c r="HI216" s="65">
        <v>217</v>
      </c>
      <c r="HJ216" s="65">
        <v>3631</v>
      </c>
      <c r="HK216" s="65">
        <v>722</v>
      </c>
      <c r="HL216" s="65">
        <v>242</v>
      </c>
      <c r="HM216" s="65">
        <v>935</v>
      </c>
      <c r="HN216" s="65">
        <v>-2358</v>
      </c>
      <c r="HO216" s="65">
        <v>558</v>
      </c>
      <c r="HP216" s="65">
        <v>4777</v>
      </c>
      <c r="HQ216" s="65">
        <v>2358</v>
      </c>
      <c r="HR216" s="65">
        <v>14239</v>
      </c>
      <c r="HS216" s="65">
        <v>377</v>
      </c>
      <c r="HT216" s="65">
        <v>4102</v>
      </c>
      <c r="HU216" s="77">
        <v>20</v>
      </c>
      <c r="HV216" s="180">
        <v>340</v>
      </c>
      <c r="HW216" s="30" t="s">
        <v>761</v>
      </c>
    </row>
    <row r="217" spans="1:231" ht="15" x14ac:dyDescent="0.25">
      <c r="A217" s="27">
        <v>689</v>
      </c>
      <c r="B217" s="27" t="s">
        <v>342</v>
      </c>
      <c r="C217" s="27">
        <v>9</v>
      </c>
      <c r="D217" s="27" t="s">
        <v>105</v>
      </c>
      <c r="E217" s="27">
        <v>2</v>
      </c>
      <c r="F217" s="27" t="s">
        <v>744</v>
      </c>
      <c r="G217" s="29" t="s">
        <v>130</v>
      </c>
      <c r="H217" s="27" t="s">
        <v>98</v>
      </c>
      <c r="I217" s="31" t="s">
        <v>105</v>
      </c>
      <c r="J217" s="69">
        <v>4823</v>
      </c>
      <c r="K217" s="69">
        <v>4693</v>
      </c>
      <c r="L217" s="36">
        <v>4619</v>
      </c>
      <c r="M217" s="36">
        <v>4556</v>
      </c>
      <c r="N217" s="36">
        <v>4496</v>
      </c>
      <c r="O217" s="36">
        <v>4422</v>
      </c>
      <c r="P217" s="36">
        <v>4336</v>
      </c>
      <c r="Q217" s="36">
        <v>4273</v>
      </c>
      <c r="R217" s="69">
        <v>4221</v>
      </c>
      <c r="S217" s="69">
        <v>4176</v>
      </c>
      <c r="T217" s="71">
        <v>4096</v>
      </c>
      <c r="U217" s="36">
        <v>10314</v>
      </c>
      <c r="V217" s="36">
        <v>3315</v>
      </c>
      <c r="W217" s="36">
        <v>2698</v>
      </c>
      <c r="X217" s="36">
        <v>354.87652483378827</v>
      </c>
      <c r="Y217" s="36">
        <v>10850</v>
      </c>
      <c r="Z217" s="36">
        <v>3333</v>
      </c>
      <c r="AA217" s="36">
        <v>2929</v>
      </c>
      <c r="AB217" s="36">
        <v>389.35504975839802</v>
      </c>
      <c r="AC217" s="36">
        <v>9910</v>
      </c>
      <c r="AD217" s="36">
        <v>3419</v>
      </c>
      <c r="AE217" s="36">
        <v>3187</v>
      </c>
      <c r="AF217" s="36">
        <v>212.75772697381146</v>
      </c>
      <c r="AG217" s="36">
        <v>11353</v>
      </c>
      <c r="AH217" s="36">
        <v>3766</v>
      </c>
      <c r="AI217" s="36">
        <v>3406</v>
      </c>
      <c r="AJ217" s="36">
        <v>164.31960415289626</v>
      </c>
      <c r="AK217" s="36">
        <v>9934</v>
      </c>
      <c r="AL217" s="36">
        <v>4046</v>
      </c>
      <c r="AM217" s="36">
        <v>3667</v>
      </c>
      <c r="AN217" s="36">
        <v>118</v>
      </c>
      <c r="AO217" s="36">
        <v>10402</v>
      </c>
      <c r="AP217" s="36">
        <v>5351</v>
      </c>
      <c r="AQ217" s="36">
        <v>3414</v>
      </c>
      <c r="AR217" s="36">
        <v>74</v>
      </c>
      <c r="AS217" s="36">
        <v>10125</v>
      </c>
      <c r="AT217" s="36">
        <v>4971</v>
      </c>
      <c r="AU217" s="36">
        <v>3559</v>
      </c>
      <c r="AV217" s="36">
        <v>52</v>
      </c>
      <c r="AW217" s="36">
        <v>9941</v>
      </c>
      <c r="AX217" s="69">
        <v>5648</v>
      </c>
      <c r="AY217" s="36">
        <v>3838</v>
      </c>
      <c r="AZ217" s="36">
        <v>48</v>
      </c>
      <c r="BA217" s="36">
        <v>10060</v>
      </c>
      <c r="BB217" s="36">
        <v>6652</v>
      </c>
      <c r="BC217" s="36">
        <v>2840</v>
      </c>
      <c r="BD217" s="36">
        <v>36</v>
      </c>
      <c r="BE217" s="70">
        <v>10896</v>
      </c>
      <c r="BF217" s="70">
        <v>7236</v>
      </c>
      <c r="BG217" s="70">
        <v>3310</v>
      </c>
      <c r="BH217" s="70">
        <v>99</v>
      </c>
      <c r="BI217" s="36">
        <v>10938</v>
      </c>
      <c r="BJ217" s="36">
        <v>7763</v>
      </c>
      <c r="BK217" s="36">
        <v>3117</v>
      </c>
      <c r="BL217" s="36">
        <v>128</v>
      </c>
      <c r="BM217" s="36">
        <v>8474.4850506161565</v>
      </c>
      <c r="BN217" s="36">
        <v>1560.6157696363609</v>
      </c>
      <c r="BO217" s="36">
        <v>271.45531330887883</v>
      </c>
      <c r="BP217" s="36">
        <v>8775.3732510558002</v>
      </c>
      <c r="BQ217" s="36">
        <v>1721.7398031864884</v>
      </c>
      <c r="BR217" s="36">
        <v>346.29894058425123</v>
      </c>
      <c r="BS217" s="36">
        <v>7426.8424566874037</v>
      </c>
      <c r="BT217" s="36">
        <v>2128.5863972968837</v>
      </c>
      <c r="BU217" s="36">
        <v>347.9808198488663</v>
      </c>
      <c r="BV217" s="36">
        <v>8554</v>
      </c>
      <c r="BW217" s="36">
        <v>2433</v>
      </c>
      <c r="BX217" s="36">
        <v>358</v>
      </c>
      <c r="BY217" s="36">
        <v>9355</v>
      </c>
      <c r="BZ217" s="36">
        <v>210</v>
      </c>
      <c r="CA217" s="36">
        <v>363</v>
      </c>
      <c r="CB217" s="36">
        <v>9262</v>
      </c>
      <c r="CC217" s="36">
        <v>756</v>
      </c>
      <c r="CD217" s="36">
        <v>378</v>
      </c>
      <c r="CE217" s="36">
        <v>9261</v>
      </c>
      <c r="CF217" s="36">
        <v>506</v>
      </c>
      <c r="CG217" s="36">
        <v>358</v>
      </c>
      <c r="CH217" s="36">
        <v>8972</v>
      </c>
      <c r="CI217" s="36">
        <v>587</v>
      </c>
      <c r="CJ217" s="70">
        <v>382</v>
      </c>
      <c r="CK217" s="70">
        <v>8948</v>
      </c>
      <c r="CL217" s="70">
        <v>726</v>
      </c>
      <c r="CM217" s="36">
        <v>386</v>
      </c>
      <c r="CN217" s="36">
        <v>9652</v>
      </c>
      <c r="CO217" s="36">
        <v>826</v>
      </c>
      <c r="CP217" s="36">
        <v>418</v>
      </c>
      <c r="CQ217" s="36">
        <v>9749</v>
      </c>
      <c r="CR217" s="36">
        <v>736</v>
      </c>
      <c r="CS217" s="36">
        <v>453</v>
      </c>
      <c r="CT217" s="36">
        <v>980.70379919707079</v>
      </c>
      <c r="CU217" s="36">
        <v>-1934.8339060000001</v>
      </c>
      <c r="CV217" s="36">
        <v>581.42566177744368</v>
      </c>
      <c r="CW217" s="36">
        <v>827</v>
      </c>
      <c r="CX217" s="36">
        <v>1540.265030534518</v>
      </c>
      <c r="CY217" s="36">
        <v>-1683.2247679999998</v>
      </c>
      <c r="CZ217" s="36">
        <v>741.70875569526368</v>
      </c>
      <c r="DA217" s="36">
        <v>484</v>
      </c>
      <c r="DB217" s="36">
        <v>-130.17745508120953</v>
      </c>
      <c r="DC217" s="36">
        <v>-1111.890382</v>
      </c>
      <c r="DD217" s="36">
        <v>724.38539926972805</v>
      </c>
      <c r="DE217" s="36">
        <v>1547</v>
      </c>
      <c r="DF217" s="36">
        <v>869.86795565893499</v>
      </c>
      <c r="DG217" s="36">
        <v>-1976</v>
      </c>
      <c r="DH217" s="36">
        <v>763.0686223558755</v>
      </c>
      <c r="DI217" s="36">
        <v>2278</v>
      </c>
      <c r="DJ217" s="36">
        <v>455</v>
      </c>
      <c r="DK217" s="36">
        <v>-803</v>
      </c>
      <c r="DL217" s="36">
        <v>815</v>
      </c>
      <c r="DM217" s="36">
        <v>1464</v>
      </c>
      <c r="DN217" s="36">
        <v>1590</v>
      </c>
      <c r="DO217" s="69">
        <v>-448</v>
      </c>
      <c r="DP217" s="36">
        <v>722</v>
      </c>
      <c r="DQ217" s="36">
        <v>1066</v>
      </c>
      <c r="DR217" s="36">
        <v>322</v>
      </c>
      <c r="DS217" s="36">
        <v>-1130</v>
      </c>
      <c r="DT217" s="36">
        <v>708</v>
      </c>
      <c r="DU217" s="36">
        <v>669</v>
      </c>
      <c r="DV217" s="36">
        <v>116</v>
      </c>
      <c r="DW217" s="71">
        <v>-468</v>
      </c>
      <c r="DX217" s="39">
        <v>722</v>
      </c>
      <c r="DY217" s="71">
        <v>1081</v>
      </c>
      <c r="DZ217" s="70">
        <v>932</v>
      </c>
      <c r="EA217" s="35">
        <v>-605</v>
      </c>
      <c r="EB217" s="35">
        <v>750</v>
      </c>
      <c r="EC217" s="38">
        <v>765</v>
      </c>
      <c r="ED217" s="38">
        <v>2520</v>
      </c>
      <c r="EE217" s="38">
        <v>-861</v>
      </c>
      <c r="EF217" s="38">
        <v>770</v>
      </c>
      <c r="EG217" s="73">
        <v>414</v>
      </c>
      <c r="EH217" s="73">
        <v>1309</v>
      </c>
      <c r="EI217" s="73">
        <v>-980</v>
      </c>
      <c r="EJ217" s="73">
        <v>783</v>
      </c>
      <c r="EK217" s="73">
        <v>206</v>
      </c>
      <c r="EL217" s="73">
        <v>14853.853101301269</v>
      </c>
      <c r="EM217" s="73">
        <v>756.8456690767996</v>
      </c>
      <c r="EN217" s="73">
        <v>15177.110295960294</v>
      </c>
      <c r="EO217" s="73">
        <v>414.24686287470166</v>
      </c>
      <c r="EP217" s="73">
        <v>16064.637983897688</v>
      </c>
      <c r="EQ217" s="73">
        <v>-854.56285435093753</v>
      </c>
      <c r="ER217" s="73">
        <v>16912.809697043089</v>
      </c>
      <c r="ES217" s="73">
        <v>126.81369655197932</v>
      </c>
      <c r="ET217" s="73">
        <v>17227</v>
      </c>
      <c r="EU217" s="73">
        <v>-320</v>
      </c>
      <c r="EV217" s="73">
        <v>17596</v>
      </c>
      <c r="EW217" s="73">
        <v>908</v>
      </c>
      <c r="EX217" s="73">
        <v>18349</v>
      </c>
      <c r="EY217" s="73">
        <v>-346</v>
      </c>
      <c r="EZ217" s="73">
        <v>19324</v>
      </c>
      <c r="FA217" s="73">
        <v>-578</v>
      </c>
      <c r="FB217" s="73">
        <v>18656</v>
      </c>
      <c r="FC217" s="73">
        <v>34</v>
      </c>
      <c r="FD217" s="73">
        <v>18990</v>
      </c>
      <c r="FE217" s="73">
        <v>1778</v>
      </c>
      <c r="FF217" s="73">
        <v>20637</v>
      </c>
      <c r="FG217" s="73">
        <v>554</v>
      </c>
      <c r="FH217" s="73">
        <v>5014</v>
      </c>
      <c r="FI217" s="73">
        <v>5568</v>
      </c>
      <c r="FJ217" s="79">
        <v>4037</v>
      </c>
      <c r="FK217" s="80">
        <v>10671</v>
      </c>
      <c r="FL217" s="80">
        <v>8657</v>
      </c>
      <c r="FM217" s="80">
        <v>2861</v>
      </c>
      <c r="FN217" s="76">
        <v>19</v>
      </c>
      <c r="FO217" s="80">
        <v>9633</v>
      </c>
      <c r="FP217" s="80">
        <v>559</v>
      </c>
      <c r="FQ217" s="80">
        <v>479</v>
      </c>
      <c r="FR217" s="80">
        <v>894</v>
      </c>
      <c r="FS217" s="81">
        <v>-1477</v>
      </c>
      <c r="FT217" s="76">
        <v>824</v>
      </c>
      <c r="FU217" s="76">
        <v>0</v>
      </c>
      <c r="FV217" s="76">
        <v>1477</v>
      </c>
      <c r="FW217" s="80">
        <v>21313</v>
      </c>
      <c r="FX217" s="80">
        <v>98</v>
      </c>
      <c r="FY217" s="73">
        <v>3937</v>
      </c>
      <c r="FZ217" s="73">
        <v>11548</v>
      </c>
      <c r="GA217" s="73">
        <v>9465</v>
      </c>
      <c r="GB217" s="73">
        <v>3092</v>
      </c>
      <c r="GC217" s="73">
        <v>29</v>
      </c>
      <c r="GD217" s="73">
        <v>10375</v>
      </c>
      <c r="GE217" s="73">
        <v>690</v>
      </c>
      <c r="GF217" s="73">
        <v>483</v>
      </c>
      <c r="GG217" s="73">
        <v>2135</v>
      </c>
      <c r="GH217" s="73">
        <v>-4054</v>
      </c>
      <c r="GI217" s="73">
        <v>1026</v>
      </c>
      <c r="GJ217" s="73">
        <v>4000</v>
      </c>
      <c r="GK217" s="73">
        <v>4054</v>
      </c>
      <c r="GL217" s="73">
        <v>21999</v>
      </c>
      <c r="GM217" s="73">
        <v>287</v>
      </c>
      <c r="GN217" s="73">
        <v>5954</v>
      </c>
      <c r="GO217" s="77">
        <v>19</v>
      </c>
      <c r="GP217" s="78">
        <v>3832</v>
      </c>
      <c r="GQ217" s="73">
        <v>11186</v>
      </c>
      <c r="GR217" s="65">
        <v>9611</v>
      </c>
      <c r="GS217" s="65">
        <v>3022</v>
      </c>
      <c r="GT217" s="65">
        <v>21</v>
      </c>
      <c r="GU217" s="65">
        <v>9981</v>
      </c>
      <c r="GV217" s="65">
        <v>723</v>
      </c>
      <c r="GW217" s="65">
        <v>482</v>
      </c>
      <c r="GX217" s="65">
        <v>1583</v>
      </c>
      <c r="GY217" s="65">
        <v>-3484</v>
      </c>
      <c r="GZ217" s="65">
        <v>954</v>
      </c>
      <c r="HA217" s="65">
        <v>5197</v>
      </c>
      <c r="HB217" s="65">
        <v>3484</v>
      </c>
      <c r="HC217" s="65">
        <v>22166</v>
      </c>
      <c r="HD217" s="65">
        <v>357</v>
      </c>
      <c r="HE217" s="78">
        <v>3784</v>
      </c>
      <c r="HF217" s="73">
        <v>11458</v>
      </c>
      <c r="HG217" s="65">
        <v>11372</v>
      </c>
      <c r="HH217" s="65">
        <v>3070</v>
      </c>
      <c r="HI217" s="65">
        <v>36</v>
      </c>
      <c r="HJ217" s="65">
        <v>10530</v>
      </c>
      <c r="HK217" s="65">
        <v>453</v>
      </c>
      <c r="HL217" s="65">
        <v>475</v>
      </c>
      <c r="HM217" s="65">
        <v>2570</v>
      </c>
      <c r="HN217" s="65">
        <v>-2807</v>
      </c>
      <c r="HO217" s="65">
        <v>1154</v>
      </c>
      <c r="HP217" s="65">
        <v>4100</v>
      </c>
      <c r="HQ217" s="65">
        <v>2807</v>
      </c>
      <c r="HR217" s="65">
        <v>23266</v>
      </c>
      <c r="HS217" s="65">
        <v>194</v>
      </c>
      <c r="HT217" s="65">
        <v>6561</v>
      </c>
      <c r="HU217" s="77">
        <v>19</v>
      </c>
      <c r="HV217" s="180">
        <v>340</v>
      </c>
      <c r="HW217" s="30" t="s">
        <v>761</v>
      </c>
    </row>
    <row r="218" spans="1:231" ht="15" x14ac:dyDescent="0.25">
      <c r="A218" s="27">
        <v>691</v>
      </c>
      <c r="B218" s="27" t="s">
        <v>343</v>
      </c>
      <c r="C218" s="27">
        <v>17</v>
      </c>
      <c r="D218" s="27" t="s">
        <v>117</v>
      </c>
      <c r="E218" s="27">
        <v>2</v>
      </c>
      <c r="F218" s="27" t="s">
        <v>744</v>
      </c>
      <c r="G218" s="29" t="s">
        <v>130</v>
      </c>
      <c r="H218" s="27" t="s">
        <v>98</v>
      </c>
      <c r="I218" s="31" t="s">
        <v>117</v>
      </c>
      <c r="J218" s="69">
        <v>3394</v>
      </c>
      <c r="K218" s="69">
        <v>3337</v>
      </c>
      <c r="L218" s="36">
        <v>3274</v>
      </c>
      <c r="M218" s="36">
        <v>3259</v>
      </c>
      <c r="N218" s="36">
        <v>3206</v>
      </c>
      <c r="O218" s="36">
        <v>3162</v>
      </c>
      <c r="P218" s="36">
        <v>3127</v>
      </c>
      <c r="Q218" s="36">
        <v>3106</v>
      </c>
      <c r="R218" s="69">
        <v>3065</v>
      </c>
      <c r="S218" s="69">
        <v>3039</v>
      </c>
      <c r="T218" s="71">
        <v>2990</v>
      </c>
      <c r="U218" s="36">
        <v>5138</v>
      </c>
      <c r="V218" s="36">
        <v>5217</v>
      </c>
      <c r="W218" s="36">
        <v>3104</v>
      </c>
      <c r="X218" s="36">
        <v>110.83584353813576</v>
      </c>
      <c r="Y218" s="36">
        <v>4882</v>
      </c>
      <c r="Z218" s="36">
        <v>5538</v>
      </c>
      <c r="AA218" s="36">
        <v>3439</v>
      </c>
      <c r="AB218" s="36">
        <v>309.97034846856485</v>
      </c>
      <c r="AC218" s="36">
        <v>4718</v>
      </c>
      <c r="AD218" s="36">
        <v>5762</v>
      </c>
      <c r="AE218" s="36">
        <v>3349</v>
      </c>
      <c r="AF218" s="36">
        <v>188.03410178396933</v>
      </c>
      <c r="AG218" s="36">
        <v>5199</v>
      </c>
      <c r="AH218" s="36">
        <v>6824</v>
      </c>
      <c r="AI218" s="36">
        <v>3383</v>
      </c>
      <c r="AJ218" s="36">
        <v>260.85947394180363</v>
      </c>
      <c r="AK218" s="36">
        <v>5597</v>
      </c>
      <c r="AL218" s="36">
        <v>6951</v>
      </c>
      <c r="AM218" s="36">
        <v>3809</v>
      </c>
      <c r="AN218" s="36">
        <v>218</v>
      </c>
      <c r="AO218" s="36">
        <v>5070</v>
      </c>
      <c r="AP218" s="36">
        <v>7150</v>
      </c>
      <c r="AQ218" s="36">
        <v>3842</v>
      </c>
      <c r="AR218" s="36">
        <v>384</v>
      </c>
      <c r="AS218" s="36">
        <v>5224</v>
      </c>
      <c r="AT218" s="36">
        <v>7439</v>
      </c>
      <c r="AU218" s="36">
        <v>5616</v>
      </c>
      <c r="AV218" s="36">
        <v>302</v>
      </c>
      <c r="AW218" s="36">
        <v>5391</v>
      </c>
      <c r="AX218" s="69">
        <v>7574</v>
      </c>
      <c r="AY218" s="36">
        <v>5910</v>
      </c>
      <c r="AZ218" s="36">
        <v>443</v>
      </c>
      <c r="BA218" s="36">
        <v>5717</v>
      </c>
      <c r="BB218" s="36">
        <v>8089</v>
      </c>
      <c r="BC218" s="36">
        <v>7719</v>
      </c>
      <c r="BD218" s="36">
        <v>192</v>
      </c>
      <c r="BE218" s="70">
        <v>6589</v>
      </c>
      <c r="BF218" s="70">
        <v>8227</v>
      </c>
      <c r="BG218" s="70">
        <v>6363</v>
      </c>
      <c r="BH218" s="70">
        <v>516</v>
      </c>
      <c r="BI218" s="36">
        <v>6897</v>
      </c>
      <c r="BJ218" s="36">
        <v>7990</v>
      </c>
      <c r="BK218" s="36">
        <v>6420</v>
      </c>
      <c r="BL218" s="36">
        <v>0</v>
      </c>
      <c r="BM218" s="36">
        <v>4076.3707736476426</v>
      </c>
      <c r="BN218" s="36">
        <v>975.99453725614865</v>
      </c>
      <c r="BO218" s="36">
        <v>85.607654568909112</v>
      </c>
      <c r="BP218" s="36">
        <v>3966.5440576682763</v>
      </c>
      <c r="BQ218" s="36">
        <v>798.55627483925434</v>
      </c>
      <c r="BR218" s="36">
        <v>117.3951726701347</v>
      </c>
      <c r="BS218" s="36">
        <v>3763.0366666498476</v>
      </c>
      <c r="BT218" s="36">
        <v>799.2290265451004</v>
      </c>
      <c r="BU218" s="36">
        <v>155.91020782982076</v>
      </c>
      <c r="BV218" s="36">
        <v>4532</v>
      </c>
      <c r="BW218" s="36">
        <v>498</v>
      </c>
      <c r="BX218" s="36">
        <v>169</v>
      </c>
      <c r="BY218" s="36">
        <v>5163</v>
      </c>
      <c r="BZ218" s="36">
        <v>266</v>
      </c>
      <c r="CA218" s="36">
        <v>168</v>
      </c>
      <c r="CB218" s="36">
        <v>4748</v>
      </c>
      <c r="CC218" s="36">
        <v>164</v>
      </c>
      <c r="CD218" s="36">
        <v>158</v>
      </c>
      <c r="CE218" s="36">
        <v>4839</v>
      </c>
      <c r="CF218" s="36">
        <v>216</v>
      </c>
      <c r="CG218" s="36">
        <v>169</v>
      </c>
      <c r="CH218" s="36">
        <v>4940</v>
      </c>
      <c r="CI218" s="36">
        <v>273</v>
      </c>
      <c r="CJ218" s="70">
        <v>178</v>
      </c>
      <c r="CK218" s="70">
        <v>5196</v>
      </c>
      <c r="CL218" s="70">
        <v>308</v>
      </c>
      <c r="CM218" s="36">
        <v>213</v>
      </c>
      <c r="CN218" s="36">
        <v>5982</v>
      </c>
      <c r="CO218" s="36">
        <v>350</v>
      </c>
      <c r="CP218" s="36">
        <v>257</v>
      </c>
      <c r="CQ218" s="36">
        <v>6320</v>
      </c>
      <c r="CR218" s="36">
        <v>301</v>
      </c>
      <c r="CS218" s="36">
        <v>276</v>
      </c>
      <c r="CT218" s="36">
        <v>453.93921351961819</v>
      </c>
      <c r="CU218" s="36">
        <v>-654.25103390000004</v>
      </c>
      <c r="CV218" s="36">
        <v>396.41894266978147</v>
      </c>
      <c r="CW218" s="36">
        <v>4418</v>
      </c>
      <c r="CX218" s="36">
        <v>436.95223294700565</v>
      </c>
      <c r="CY218" s="36">
        <v>5265.4594139999999</v>
      </c>
      <c r="CZ218" s="36">
        <v>701.51184127096246</v>
      </c>
      <c r="DA218" s="36">
        <v>3812</v>
      </c>
      <c r="DB218" s="36">
        <v>-550.98364708791019</v>
      </c>
      <c r="DC218" s="36">
        <v>-844.97614250000004</v>
      </c>
      <c r="DD218" s="36">
        <v>429.21558832977615</v>
      </c>
      <c r="DE218" s="36">
        <v>4323</v>
      </c>
      <c r="DF218" s="36">
        <v>557.37478829344752</v>
      </c>
      <c r="DG218" s="36">
        <v>-1346</v>
      </c>
      <c r="DH218" s="36">
        <v>384.98216367039873</v>
      </c>
      <c r="DI218" s="36">
        <v>5517</v>
      </c>
      <c r="DJ218" s="36">
        <v>982</v>
      </c>
      <c r="DK218" s="36">
        <v>-1049</v>
      </c>
      <c r="DL218" s="36">
        <v>471</v>
      </c>
      <c r="DM218" s="36">
        <v>6121</v>
      </c>
      <c r="DN218" s="36">
        <v>211</v>
      </c>
      <c r="DO218" s="69">
        <v>-1146</v>
      </c>
      <c r="DP218" s="36">
        <v>541</v>
      </c>
      <c r="DQ218" s="36">
        <v>7446</v>
      </c>
      <c r="DR218" s="36">
        <v>-695</v>
      </c>
      <c r="DS218" s="36">
        <v>-1037</v>
      </c>
      <c r="DT218" s="36">
        <v>579</v>
      </c>
      <c r="DU218" s="36">
        <v>9013</v>
      </c>
      <c r="DV218" s="36">
        <v>-387</v>
      </c>
      <c r="DW218" s="71">
        <v>-1073</v>
      </c>
      <c r="DX218" s="39">
        <v>547</v>
      </c>
      <c r="DY218" s="71">
        <v>11315</v>
      </c>
      <c r="DZ218" s="70">
        <v>-149</v>
      </c>
      <c r="EA218" s="35">
        <v>-194</v>
      </c>
      <c r="EB218" s="35">
        <v>594</v>
      </c>
      <c r="EC218" s="38">
        <v>11292</v>
      </c>
      <c r="ED218" s="38">
        <v>927</v>
      </c>
      <c r="EE218" s="38">
        <v>-1559</v>
      </c>
      <c r="EF218" s="38">
        <v>581</v>
      </c>
      <c r="EG218" s="73">
        <v>12623</v>
      </c>
      <c r="EH218" s="73">
        <v>-413</v>
      </c>
      <c r="EI218" s="73">
        <v>-1071</v>
      </c>
      <c r="EJ218" s="73">
        <v>570</v>
      </c>
      <c r="EK218" s="73">
        <v>13312</v>
      </c>
      <c r="EL218" s="73">
        <v>12337.257157657679</v>
      </c>
      <c r="EM218" s="73">
        <v>154.56470441812863</v>
      </c>
      <c r="EN218" s="73">
        <v>13030.359602605567</v>
      </c>
      <c r="EO218" s="73">
        <v>5369.9041160631241</v>
      </c>
      <c r="EP218" s="73">
        <v>13558.974255474097</v>
      </c>
      <c r="EQ218" s="73">
        <v>-980.19923541768628</v>
      </c>
      <c r="ER218" s="73">
        <v>14123.749312531849</v>
      </c>
      <c r="ES218" s="73">
        <v>172.39262462304882</v>
      </c>
      <c r="ET218" s="73">
        <v>14803</v>
      </c>
      <c r="EU218" s="73">
        <v>511</v>
      </c>
      <c r="EV218" s="73">
        <v>15881</v>
      </c>
      <c r="EW218" s="73">
        <v>-330</v>
      </c>
      <c r="EX218" s="73">
        <v>19011</v>
      </c>
      <c r="EY218" s="73">
        <v>-1275</v>
      </c>
      <c r="EZ218" s="73">
        <v>19385</v>
      </c>
      <c r="FA218" s="73">
        <v>-934</v>
      </c>
      <c r="FB218" s="73">
        <v>21649</v>
      </c>
      <c r="FC218" s="73">
        <v>-743</v>
      </c>
      <c r="FD218" s="73">
        <v>20203</v>
      </c>
      <c r="FE218" s="73">
        <v>346</v>
      </c>
      <c r="FF218" s="73">
        <v>21336</v>
      </c>
      <c r="FG218" s="73">
        <v>-983</v>
      </c>
      <c r="FH218" s="73">
        <v>2225</v>
      </c>
      <c r="FI218" s="73">
        <v>1242</v>
      </c>
      <c r="FJ218" s="79">
        <v>3020</v>
      </c>
      <c r="FK218" s="80">
        <v>6764</v>
      </c>
      <c r="FL218" s="80">
        <v>8732</v>
      </c>
      <c r="FM218" s="80">
        <v>6907</v>
      </c>
      <c r="FN218" s="76">
        <v>490</v>
      </c>
      <c r="FO218" s="80">
        <v>6284</v>
      </c>
      <c r="FP218" s="80">
        <v>194</v>
      </c>
      <c r="FQ218" s="80">
        <v>286</v>
      </c>
      <c r="FR218" s="80">
        <v>-96</v>
      </c>
      <c r="FS218" s="81">
        <v>-801</v>
      </c>
      <c r="FT218" s="76">
        <v>579</v>
      </c>
      <c r="FU218" s="76">
        <v>14873</v>
      </c>
      <c r="FV218" s="76">
        <v>801</v>
      </c>
      <c r="FW218" s="80">
        <v>22728</v>
      </c>
      <c r="FX218" s="80">
        <v>-675</v>
      </c>
      <c r="FY218" s="73">
        <v>2973</v>
      </c>
      <c r="FZ218" s="73">
        <v>7268</v>
      </c>
      <c r="GA218" s="73">
        <v>10323</v>
      </c>
      <c r="GB218" s="73">
        <v>5584</v>
      </c>
      <c r="GC218" s="73">
        <v>587</v>
      </c>
      <c r="GD218" s="73">
        <v>6618</v>
      </c>
      <c r="GE218" s="73">
        <v>303</v>
      </c>
      <c r="GF218" s="73">
        <v>347</v>
      </c>
      <c r="GG218" s="73">
        <v>1254</v>
      </c>
      <c r="GH218" s="73">
        <v>-1243</v>
      </c>
      <c r="GI218" s="73">
        <v>568</v>
      </c>
      <c r="GJ218" s="73">
        <v>16356</v>
      </c>
      <c r="GK218" s="73">
        <v>1243</v>
      </c>
      <c r="GL218" s="73">
        <v>22201</v>
      </c>
      <c r="GM218" s="73">
        <v>779</v>
      </c>
      <c r="GN218" s="73">
        <v>1346</v>
      </c>
      <c r="GO218" s="77">
        <v>21</v>
      </c>
      <c r="GP218" s="78">
        <v>2996</v>
      </c>
      <c r="GQ218" s="73">
        <v>7186</v>
      </c>
      <c r="GR218" s="65">
        <v>10415</v>
      </c>
      <c r="GS218" s="65">
        <v>8261</v>
      </c>
      <c r="GT218" s="65">
        <v>137</v>
      </c>
      <c r="GU218" s="65">
        <v>6444</v>
      </c>
      <c r="GV218" s="65">
        <v>387</v>
      </c>
      <c r="GW218" s="65">
        <v>355</v>
      </c>
      <c r="GX218" s="65">
        <v>426</v>
      </c>
      <c r="GY218" s="65">
        <v>-922</v>
      </c>
      <c r="GZ218" s="65">
        <v>611</v>
      </c>
      <c r="HA218" s="65">
        <v>16394</v>
      </c>
      <c r="HB218" s="65">
        <v>922</v>
      </c>
      <c r="HC218" s="65">
        <v>25058</v>
      </c>
      <c r="HD218" s="65">
        <v>-48</v>
      </c>
      <c r="HE218" s="78">
        <v>2961</v>
      </c>
      <c r="HF218" s="73">
        <v>7738</v>
      </c>
      <c r="HG218" s="65">
        <v>9237</v>
      </c>
      <c r="HH218" s="65">
        <v>10724</v>
      </c>
      <c r="HI218" s="65">
        <v>679</v>
      </c>
      <c r="HJ218" s="65">
        <v>7121</v>
      </c>
      <c r="HK218" s="65">
        <v>243</v>
      </c>
      <c r="HL218" s="65">
        <v>374</v>
      </c>
      <c r="HM218" s="65">
        <v>-496</v>
      </c>
      <c r="HN218" s="65">
        <v>-734</v>
      </c>
      <c r="HO218" s="65">
        <v>602</v>
      </c>
      <c r="HP218" s="65">
        <v>17297</v>
      </c>
      <c r="HQ218" s="65">
        <v>734</v>
      </c>
      <c r="HR218" s="65">
        <v>28549</v>
      </c>
      <c r="HS218" s="65">
        <v>-1011</v>
      </c>
      <c r="HT218" s="65">
        <v>287</v>
      </c>
      <c r="HU218" s="77">
        <v>21</v>
      </c>
      <c r="HV218" s="180">
        <v>340</v>
      </c>
      <c r="HW218" s="30" t="s">
        <v>761</v>
      </c>
    </row>
    <row r="219" spans="1:231" ht="15" x14ac:dyDescent="0.25">
      <c r="A219" s="27">
        <v>694</v>
      </c>
      <c r="B219" s="27" t="s">
        <v>344</v>
      </c>
      <c r="C219" s="27">
        <v>5</v>
      </c>
      <c r="D219" s="27" t="s">
        <v>109</v>
      </c>
      <c r="E219" s="27">
        <v>5</v>
      </c>
      <c r="F219" s="27" t="s">
        <v>101</v>
      </c>
      <c r="G219" s="29" t="s">
        <v>141</v>
      </c>
      <c r="H219" s="27" t="s">
        <v>97</v>
      </c>
      <c r="I219" s="31" t="s">
        <v>109</v>
      </c>
      <c r="J219" s="69">
        <v>25964</v>
      </c>
      <c r="K219" s="69">
        <v>26106</v>
      </c>
      <c r="L219" s="36">
        <v>26173</v>
      </c>
      <c r="M219" s="36">
        <v>26268</v>
      </c>
      <c r="N219" s="36">
        <v>26341</v>
      </c>
      <c r="O219" s="36">
        <v>26654</v>
      </c>
      <c r="P219" s="36">
        <v>26847</v>
      </c>
      <c r="Q219" s="36">
        <v>27069</v>
      </c>
      <c r="R219" s="69">
        <v>27503</v>
      </c>
      <c r="S219" s="69">
        <v>28023</v>
      </c>
      <c r="T219" s="71">
        <v>28536</v>
      </c>
      <c r="U219" s="36">
        <v>58589</v>
      </c>
      <c r="V219" s="36">
        <v>15330</v>
      </c>
      <c r="W219" s="36">
        <v>12576</v>
      </c>
      <c r="X219" s="36">
        <v>1506.6274452422158</v>
      </c>
      <c r="Y219" s="36">
        <v>61036</v>
      </c>
      <c r="Z219" s="36">
        <v>15932</v>
      </c>
      <c r="AA219" s="36">
        <v>14583</v>
      </c>
      <c r="AB219" s="36">
        <v>1925.58357005784</v>
      </c>
      <c r="AC219" s="36">
        <v>60298</v>
      </c>
      <c r="AD219" s="36">
        <v>16306</v>
      </c>
      <c r="AE219" s="36">
        <v>16295</v>
      </c>
      <c r="AF219" s="36">
        <v>802.76097300079209</v>
      </c>
      <c r="AG219" s="36">
        <v>66566</v>
      </c>
      <c r="AH219" s="36">
        <v>17366</v>
      </c>
      <c r="AI219" s="36">
        <v>16823</v>
      </c>
      <c r="AJ219" s="36">
        <v>793.84701289833208</v>
      </c>
      <c r="AK219" s="36">
        <v>70815</v>
      </c>
      <c r="AL219" s="36">
        <v>18938</v>
      </c>
      <c r="AM219" s="36">
        <v>18793</v>
      </c>
      <c r="AN219" s="36">
        <v>732</v>
      </c>
      <c r="AO219" s="36">
        <v>66862</v>
      </c>
      <c r="AP219" s="36">
        <v>19775</v>
      </c>
      <c r="AQ219" s="36">
        <v>20866</v>
      </c>
      <c r="AR219" s="36">
        <v>686</v>
      </c>
      <c r="AS219" s="36">
        <v>69205</v>
      </c>
      <c r="AT219" s="36">
        <v>22518</v>
      </c>
      <c r="AU219" s="36">
        <v>19211</v>
      </c>
      <c r="AV219" s="36">
        <v>639</v>
      </c>
      <c r="AW219" s="36">
        <v>72384</v>
      </c>
      <c r="AX219" s="69">
        <v>24302</v>
      </c>
      <c r="AY219" s="36">
        <v>19142</v>
      </c>
      <c r="AZ219" s="36">
        <v>471</v>
      </c>
      <c r="BA219" s="36">
        <v>77863</v>
      </c>
      <c r="BB219" s="36">
        <v>25646</v>
      </c>
      <c r="BC219" s="36">
        <v>22174</v>
      </c>
      <c r="BD219" s="36">
        <v>250</v>
      </c>
      <c r="BE219" s="70">
        <v>83464</v>
      </c>
      <c r="BF219" s="70">
        <v>25635</v>
      </c>
      <c r="BG219" s="70">
        <v>24309</v>
      </c>
      <c r="BH219" s="70">
        <v>280</v>
      </c>
      <c r="BI219" s="36">
        <v>92446</v>
      </c>
      <c r="BJ219" s="36">
        <v>29713</v>
      </c>
      <c r="BK219" s="36">
        <v>21890</v>
      </c>
      <c r="BL219" s="36">
        <v>496</v>
      </c>
      <c r="BM219" s="36">
        <v>49909.935365379861</v>
      </c>
      <c r="BN219" s="36">
        <v>6768.0503487376654</v>
      </c>
      <c r="BO219" s="36">
        <v>1885.7230314864617</v>
      </c>
      <c r="BP219" s="36">
        <v>51415.385495136841</v>
      </c>
      <c r="BQ219" s="36">
        <v>7659.9509227630579</v>
      </c>
      <c r="BR219" s="36">
        <v>1937.5249128366072</v>
      </c>
      <c r="BS219" s="36">
        <v>50295.92665660903</v>
      </c>
      <c r="BT219" s="36">
        <v>7884.4818045891743</v>
      </c>
      <c r="BU219" s="36">
        <v>2094.276060298736</v>
      </c>
      <c r="BV219" s="36">
        <v>57898</v>
      </c>
      <c r="BW219" s="36">
        <v>6449</v>
      </c>
      <c r="BX219" s="36">
        <v>2195</v>
      </c>
      <c r="BY219" s="36">
        <v>62175</v>
      </c>
      <c r="BZ219" s="36">
        <v>5868</v>
      </c>
      <c r="CA219" s="36">
        <v>2750</v>
      </c>
      <c r="CB219" s="36">
        <v>60951</v>
      </c>
      <c r="CC219" s="36">
        <v>3133</v>
      </c>
      <c r="CD219" s="36">
        <v>2756</v>
      </c>
      <c r="CE219" s="36">
        <v>62204</v>
      </c>
      <c r="CF219" s="36">
        <v>4132</v>
      </c>
      <c r="CG219" s="36">
        <v>2848</v>
      </c>
      <c r="CH219" s="36">
        <v>64273</v>
      </c>
      <c r="CI219" s="36">
        <v>5149</v>
      </c>
      <c r="CJ219" s="70">
        <v>2942</v>
      </c>
      <c r="CK219" s="70">
        <v>69149</v>
      </c>
      <c r="CL219" s="70">
        <v>5604</v>
      </c>
      <c r="CM219" s="36">
        <v>3092</v>
      </c>
      <c r="CN219" s="36">
        <v>73568</v>
      </c>
      <c r="CO219" s="36">
        <v>6480</v>
      </c>
      <c r="CP219" s="36">
        <v>3416</v>
      </c>
      <c r="CQ219" s="36">
        <v>81901</v>
      </c>
      <c r="CR219" s="36">
        <v>6354</v>
      </c>
      <c r="CS219" s="36">
        <v>4191</v>
      </c>
      <c r="CT219" s="36">
        <v>5937.538367870724</v>
      </c>
      <c r="CU219" s="36">
        <v>-4814.3793949999999</v>
      </c>
      <c r="CV219" s="36">
        <v>3958.8074130510468</v>
      </c>
      <c r="CW219" s="36">
        <v>29043</v>
      </c>
      <c r="CX219" s="36">
        <v>6722.3032327401343</v>
      </c>
      <c r="CY219" s="36">
        <v>-6130.9544830000004</v>
      </c>
      <c r="CZ219" s="36">
        <v>3990.9313070051953</v>
      </c>
      <c r="DA219" s="36">
        <v>27431</v>
      </c>
      <c r="DB219" s="36">
        <v>2381.5410386949961</v>
      </c>
      <c r="DC219" s="36">
        <v>-7575.6887720000004</v>
      </c>
      <c r="DD219" s="36">
        <v>4049.9652691931856</v>
      </c>
      <c r="DE219" s="36">
        <v>28853</v>
      </c>
      <c r="DF219" s="36">
        <v>6127.086160992847</v>
      </c>
      <c r="DG219" s="36">
        <v>-5991</v>
      </c>
      <c r="DH219" s="36">
        <v>4072.8388271919507</v>
      </c>
      <c r="DI219" s="36">
        <v>29341</v>
      </c>
      <c r="DJ219" s="36">
        <v>14290</v>
      </c>
      <c r="DK219" s="36">
        <v>-10171</v>
      </c>
      <c r="DL219" s="36">
        <v>4851</v>
      </c>
      <c r="DM219" s="36">
        <v>30493</v>
      </c>
      <c r="DN219" s="36">
        <v>7131</v>
      </c>
      <c r="DO219" s="69">
        <v>-5870</v>
      </c>
      <c r="DP219" s="36">
        <v>5273</v>
      </c>
      <c r="DQ219" s="36">
        <v>30045</v>
      </c>
      <c r="DR219" s="36">
        <v>4758</v>
      </c>
      <c r="DS219" s="36">
        <v>-5258</v>
      </c>
      <c r="DT219" s="36">
        <v>5425</v>
      </c>
      <c r="DU219" s="36">
        <v>29656</v>
      </c>
      <c r="DV219" s="36">
        <v>5103</v>
      </c>
      <c r="DW219" s="71">
        <v>-14339</v>
      </c>
      <c r="DX219" s="39">
        <v>5548</v>
      </c>
      <c r="DY219" s="71">
        <v>37531</v>
      </c>
      <c r="DZ219" s="70">
        <v>6647</v>
      </c>
      <c r="EA219" s="35">
        <v>-7652</v>
      </c>
      <c r="EB219" s="35">
        <v>6276</v>
      </c>
      <c r="EC219" s="38">
        <v>39468</v>
      </c>
      <c r="ED219" s="38">
        <v>7005</v>
      </c>
      <c r="EE219" s="38">
        <v>-21980</v>
      </c>
      <c r="EF219" s="38">
        <v>6638</v>
      </c>
      <c r="EG219" s="73">
        <v>57478</v>
      </c>
      <c r="EH219" s="73">
        <v>2944</v>
      </c>
      <c r="EI219" s="73">
        <v>-26663</v>
      </c>
      <c r="EJ219" s="73">
        <v>7816</v>
      </c>
      <c r="EK219" s="73">
        <v>82074</v>
      </c>
      <c r="EL219" s="73">
        <v>76487.664256533681</v>
      </c>
      <c r="EM219" s="73">
        <v>1710.4712121135672</v>
      </c>
      <c r="EN219" s="73">
        <v>81630.851047726683</v>
      </c>
      <c r="EO219" s="73">
        <v>2863.9040117866098</v>
      </c>
      <c r="EP219" s="73">
        <v>86101.117945147183</v>
      </c>
      <c r="EQ219" s="73">
        <v>-1654.464632601884</v>
      </c>
      <c r="ER219" s="73">
        <v>89559.902652828154</v>
      </c>
      <c r="ES219" s="73">
        <v>2068.2069316972011</v>
      </c>
      <c r="ET219" s="73">
        <v>93712</v>
      </c>
      <c r="EU219" s="73">
        <v>7953</v>
      </c>
      <c r="EV219" s="73">
        <v>99855</v>
      </c>
      <c r="EW219" s="73">
        <v>1872</v>
      </c>
      <c r="EX219" s="73">
        <v>105841</v>
      </c>
      <c r="EY219" s="73">
        <v>-653</v>
      </c>
      <c r="EZ219" s="73">
        <v>110199</v>
      </c>
      <c r="FA219" s="73">
        <v>-427</v>
      </c>
      <c r="FB219" s="73">
        <v>118195</v>
      </c>
      <c r="FC219" s="73">
        <v>435</v>
      </c>
      <c r="FD219" s="73">
        <v>124960</v>
      </c>
      <c r="FE219" s="73">
        <v>431</v>
      </c>
      <c r="FF219" s="73">
        <v>138690</v>
      </c>
      <c r="FG219" s="73">
        <v>-4808</v>
      </c>
      <c r="FH219" s="73">
        <v>12455</v>
      </c>
      <c r="FI219" s="73">
        <v>6347</v>
      </c>
      <c r="FJ219" s="79">
        <v>28587</v>
      </c>
      <c r="FK219" s="80">
        <v>94863</v>
      </c>
      <c r="FL219" s="80">
        <v>32421</v>
      </c>
      <c r="FM219" s="80">
        <v>23930</v>
      </c>
      <c r="FN219" s="76">
        <v>230</v>
      </c>
      <c r="FO219" s="80">
        <v>85737</v>
      </c>
      <c r="FP219" s="80">
        <v>4355</v>
      </c>
      <c r="FQ219" s="80">
        <v>4771</v>
      </c>
      <c r="FR219" s="80">
        <v>3720</v>
      </c>
      <c r="FS219" s="81">
        <v>-16774</v>
      </c>
      <c r="FT219" s="76">
        <v>7686</v>
      </c>
      <c r="FU219" s="76">
        <v>97099</v>
      </c>
      <c r="FV219" s="76">
        <v>16774</v>
      </c>
      <c r="FW219" s="80">
        <v>144741</v>
      </c>
      <c r="FX219" s="80">
        <v>-3487</v>
      </c>
      <c r="FY219" s="73">
        <v>28803</v>
      </c>
      <c r="FZ219" s="73">
        <v>100091</v>
      </c>
      <c r="GA219" s="73">
        <v>34479</v>
      </c>
      <c r="GB219" s="73">
        <v>27902</v>
      </c>
      <c r="GC219" s="73">
        <v>6439</v>
      </c>
      <c r="GD219" s="73">
        <v>89602</v>
      </c>
      <c r="GE219" s="73">
        <v>5381</v>
      </c>
      <c r="GF219" s="73">
        <v>5108</v>
      </c>
      <c r="GG219" s="73">
        <v>10193</v>
      </c>
      <c r="GH219" s="73">
        <v>-7173</v>
      </c>
      <c r="GI219" s="73">
        <v>7777</v>
      </c>
      <c r="GJ219" s="73">
        <v>102372</v>
      </c>
      <c r="GK219" s="73">
        <v>7173</v>
      </c>
      <c r="GL219" s="73">
        <v>150122</v>
      </c>
      <c r="GM219" s="73">
        <v>7882</v>
      </c>
      <c r="GN219" s="73">
        <v>10884</v>
      </c>
      <c r="GO219" s="77">
        <v>19.75</v>
      </c>
      <c r="GP219" s="78">
        <v>29018</v>
      </c>
      <c r="GQ219" s="73">
        <v>103738</v>
      </c>
      <c r="GR219" s="65">
        <v>36239</v>
      </c>
      <c r="GS219" s="65">
        <v>26222</v>
      </c>
      <c r="GT219" s="65">
        <v>829</v>
      </c>
      <c r="GU219" s="65">
        <v>90304</v>
      </c>
      <c r="GV219" s="65">
        <v>6917</v>
      </c>
      <c r="GW219" s="65">
        <v>6517</v>
      </c>
      <c r="GX219" s="65">
        <v>8566</v>
      </c>
      <c r="GY219" s="65">
        <v>-10301</v>
      </c>
      <c r="GZ219" s="65">
        <v>9685</v>
      </c>
      <c r="HA219" s="65">
        <v>97600</v>
      </c>
      <c r="HB219" s="65">
        <v>10301</v>
      </c>
      <c r="HC219" s="65">
        <v>155934</v>
      </c>
      <c r="HD219" s="65">
        <v>-703</v>
      </c>
      <c r="HE219" s="78">
        <v>29215</v>
      </c>
      <c r="HF219" s="73">
        <v>107591</v>
      </c>
      <c r="HG219" s="65">
        <v>37404</v>
      </c>
      <c r="HH219" s="65">
        <v>27812</v>
      </c>
      <c r="HI219" s="65">
        <v>634</v>
      </c>
      <c r="HJ219" s="65">
        <v>95432</v>
      </c>
      <c r="HK219" s="65">
        <v>5513</v>
      </c>
      <c r="HL219" s="65">
        <v>6646</v>
      </c>
      <c r="HM219" s="65">
        <v>7816</v>
      </c>
      <c r="HN219" s="65">
        <v>-10635</v>
      </c>
      <c r="HO219" s="65">
        <v>6929</v>
      </c>
      <c r="HP219" s="65">
        <v>102653</v>
      </c>
      <c r="HQ219" s="65">
        <v>10635</v>
      </c>
      <c r="HR219" s="65">
        <v>163494</v>
      </c>
      <c r="HS219" s="65">
        <v>1219</v>
      </c>
      <c r="HT219" s="65">
        <v>7014</v>
      </c>
      <c r="HU219" s="77">
        <v>19.75</v>
      </c>
      <c r="HV219" s="180">
        <v>130</v>
      </c>
      <c r="HW219" s="30" t="s">
        <v>752</v>
      </c>
    </row>
    <row r="220" spans="1:231" ht="15" x14ac:dyDescent="0.25">
      <c r="A220" s="27">
        <v>697</v>
      </c>
      <c r="B220" s="27" t="s">
        <v>345</v>
      </c>
      <c r="C220" s="27">
        <v>18</v>
      </c>
      <c r="D220" s="27" t="s">
        <v>108</v>
      </c>
      <c r="E220" s="27">
        <v>1</v>
      </c>
      <c r="F220" s="27" t="s">
        <v>103</v>
      </c>
      <c r="G220" s="29" t="s">
        <v>130</v>
      </c>
      <c r="H220" s="27" t="s">
        <v>98</v>
      </c>
      <c r="I220" s="31" t="s">
        <v>108</v>
      </c>
      <c r="J220" s="69">
        <v>1874</v>
      </c>
      <c r="K220" s="69">
        <v>1826</v>
      </c>
      <c r="L220" s="36">
        <v>1796</v>
      </c>
      <c r="M220" s="36">
        <v>1748</v>
      </c>
      <c r="N220" s="36">
        <v>1716</v>
      </c>
      <c r="O220" s="36">
        <v>1686</v>
      </c>
      <c r="P220" s="36">
        <v>1659</v>
      </c>
      <c r="Q220" s="36">
        <v>1626</v>
      </c>
      <c r="R220" s="69">
        <v>1608</v>
      </c>
      <c r="S220" s="69">
        <v>1575</v>
      </c>
      <c r="T220" s="71">
        <v>1548</v>
      </c>
      <c r="U220" s="36">
        <v>3695</v>
      </c>
      <c r="V220" s="36">
        <v>3167</v>
      </c>
      <c r="W220" s="36">
        <v>1611</v>
      </c>
      <c r="X220" s="36">
        <v>127.99101203720991</v>
      </c>
      <c r="Y220" s="36">
        <v>3339</v>
      </c>
      <c r="Z220" s="36">
        <v>3047</v>
      </c>
      <c r="AA220" s="36">
        <v>1918</v>
      </c>
      <c r="AB220" s="36">
        <v>222.34443878211758</v>
      </c>
      <c r="AC220" s="36">
        <v>3498</v>
      </c>
      <c r="AD220" s="36">
        <v>3243</v>
      </c>
      <c r="AE220" s="36">
        <v>2262</v>
      </c>
      <c r="AF220" s="36">
        <v>739.35412472480243</v>
      </c>
      <c r="AG220" s="36">
        <v>3371</v>
      </c>
      <c r="AH220" s="36">
        <v>2923</v>
      </c>
      <c r="AI220" s="36">
        <v>2188</v>
      </c>
      <c r="AJ220" s="36">
        <v>191.06148446027652</v>
      </c>
      <c r="AK220" s="36">
        <v>3265</v>
      </c>
      <c r="AL220" s="36">
        <v>3492</v>
      </c>
      <c r="AM220" s="36">
        <v>2358</v>
      </c>
      <c r="AN220" s="36">
        <v>125</v>
      </c>
      <c r="AO220" s="36">
        <v>3081</v>
      </c>
      <c r="AP220" s="36">
        <v>3666</v>
      </c>
      <c r="AQ220" s="36">
        <v>2412</v>
      </c>
      <c r="AR220" s="36">
        <v>93</v>
      </c>
      <c r="AS220" s="36">
        <v>3237</v>
      </c>
      <c r="AT220" s="36">
        <v>3452</v>
      </c>
      <c r="AU220" s="36">
        <v>4721</v>
      </c>
      <c r="AV220" s="36">
        <v>282</v>
      </c>
      <c r="AW220" s="36">
        <v>3353</v>
      </c>
      <c r="AX220" s="69">
        <v>3595</v>
      </c>
      <c r="AY220" s="36">
        <v>4424</v>
      </c>
      <c r="AZ220" s="36">
        <v>84</v>
      </c>
      <c r="BA220" s="36">
        <v>3676</v>
      </c>
      <c r="BB220" s="36">
        <v>3645</v>
      </c>
      <c r="BC220" s="36">
        <v>4593</v>
      </c>
      <c r="BD220" s="36">
        <v>35</v>
      </c>
      <c r="BE220" s="70">
        <v>3713</v>
      </c>
      <c r="BF220" s="70">
        <v>3857</v>
      </c>
      <c r="BG220" s="70">
        <v>4078</v>
      </c>
      <c r="BH220" s="70">
        <v>273</v>
      </c>
      <c r="BI220" s="36">
        <v>3977</v>
      </c>
      <c r="BJ220" s="36">
        <v>4558</v>
      </c>
      <c r="BK220" s="36">
        <v>4072</v>
      </c>
      <c r="BL220" s="36">
        <v>0</v>
      </c>
      <c r="BM220" s="36">
        <v>2402.3963415762237</v>
      </c>
      <c r="BN220" s="36">
        <v>1034.5239356647544</v>
      </c>
      <c r="BO220" s="36">
        <v>258.16846711841947</v>
      </c>
      <c r="BP220" s="36">
        <v>2227.480898056252</v>
      </c>
      <c r="BQ220" s="36">
        <v>766.09600503218269</v>
      </c>
      <c r="BR220" s="36">
        <v>345.28981302548215</v>
      </c>
      <c r="BS220" s="36">
        <v>2192.6659972787193</v>
      </c>
      <c r="BT220" s="36">
        <v>959.68030838938182</v>
      </c>
      <c r="BU220" s="36">
        <v>345.28981302548215</v>
      </c>
      <c r="BV220" s="36">
        <v>2544</v>
      </c>
      <c r="BW220" s="36">
        <v>478</v>
      </c>
      <c r="BX220" s="36">
        <v>350</v>
      </c>
      <c r="BY220" s="36">
        <v>2602</v>
      </c>
      <c r="BZ220" s="36">
        <v>308</v>
      </c>
      <c r="CA220" s="36">
        <v>355</v>
      </c>
      <c r="CB220" s="36">
        <v>2562</v>
      </c>
      <c r="CC220" s="36">
        <v>166</v>
      </c>
      <c r="CD220" s="36">
        <v>353</v>
      </c>
      <c r="CE220" s="36">
        <v>2628</v>
      </c>
      <c r="CF220" s="36">
        <v>269</v>
      </c>
      <c r="CG220" s="36">
        <v>340</v>
      </c>
      <c r="CH220" s="36">
        <v>2607</v>
      </c>
      <c r="CI220" s="36">
        <v>388</v>
      </c>
      <c r="CJ220" s="70">
        <v>358</v>
      </c>
      <c r="CK220" s="70">
        <v>2749</v>
      </c>
      <c r="CL220" s="70">
        <v>432</v>
      </c>
      <c r="CM220" s="36">
        <v>495</v>
      </c>
      <c r="CN220" s="36">
        <v>2738</v>
      </c>
      <c r="CO220" s="36">
        <v>469</v>
      </c>
      <c r="CP220" s="36">
        <v>506</v>
      </c>
      <c r="CQ220" s="36">
        <v>3001</v>
      </c>
      <c r="CR220" s="36">
        <v>433</v>
      </c>
      <c r="CS220" s="36">
        <v>543</v>
      </c>
      <c r="CT220" s="36">
        <v>672.58351791958262</v>
      </c>
      <c r="CU220" s="36">
        <v>-508.93666550000006</v>
      </c>
      <c r="CV220" s="36">
        <v>193.41611543073768</v>
      </c>
      <c r="CW220" s="36">
        <v>1357</v>
      </c>
      <c r="CX220" s="36">
        <v>183.1566519165855</v>
      </c>
      <c r="CY220" s="36">
        <v>-409.03303720000002</v>
      </c>
      <c r="CZ220" s="36">
        <v>247.57262775134424</v>
      </c>
      <c r="DA220" s="36">
        <v>1175</v>
      </c>
      <c r="DB220" s="36">
        <v>1095.2397771173598</v>
      </c>
      <c r="DC220" s="36">
        <v>-415.7605542</v>
      </c>
      <c r="DD220" s="36">
        <v>295.00162301349036</v>
      </c>
      <c r="DE220" s="36">
        <v>986</v>
      </c>
      <c r="DF220" s="36">
        <v>-264.72779625041835</v>
      </c>
      <c r="DG220" s="36">
        <v>-394</v>
      </c>
      <c r="DH220" s="36">
        <v>307.44752957164218</v>
      </c>
      <c r="DI220" s="36">
        <v>907</v>
      </c>
      <c r="DJ220" s="36">
        <v>180</v>
      </c>
      <c r="DK220" s="36">
        <v>-416</v>
      </c>
      <c r="DL220" s="36">
        <v>359</v>
      </c>
      <c r="DM220" s="36">
        <v>830</v>
      </c>
      <c r="DN220" s="36">
        <v>39</v>
      </c>
      <c r="DO220" s="69">
        <v>-290</v>
      </c>
      <c r="DP220" s="36">
        <v>384</v>
      </c>
      <c r="DQ220" s="36">
        <v>754</v>
      </c>
      <c r="DR220" s="36">
        <v>-357</v>
      </c>
      <c r="DS220" s="36">
        <v>-1312</v>
      </c>
      <c r="DT220" s="36">
        <v>387</v>
      </c>
      <c r="DU220" s="36">
        <v>1435</v>
      </c>
      <c r="DV220" s="36">
        <v>-42</v>
      </c>
      <c r="DW220" s="71">
        <v>-916</v>
      </c>
      <c r="DX220" s="39">
        <v>325</v>
      </c>
      <c r="DY220" s="71">
        <v>2738</v>
      </c>
      <c r="DZ220" s="70">
        <v>427</v>
      </c>
      <c r="EA220" s="35">
        <v>-845</v>
      </c>
      <c r="EB220" s="35">
        <v>323</v>
      </c>
      <c r="EC220" s="38">
        <v>3594</v>
      </c>
      <c r="ED220" s="38">
        <v>484</v>
      </c>
      <c r="EE220" s="38">
        <v>-339</v>
      </c>
      <c r="EF220" s="38">
        <v>318</v>
      </c>
      <c r="EG220" s="73">
        <v>3580</v>
      </c>
      <c r="EH220" s="73">
        <v>321</v>
      </c>
      <c r="EI220" s="73">
        <v>-937</v>
      </c>
      <c r="EJ220" s="73">
        <v>380</v>
      </c>
      <c r="EK220" s="73">
        <v>3627</v>
      </c>
      <c r="EL220" s="73">
        <v>7524.0550781821576</v>
      </c>
      <c r="EM220" s="73">
        <v>51.633693423683887</v>
      </c>
      <c r="EN220" s="73">
        <v>7964.0346938054699</v>
      </c>
      <c r="EO220" s="73">
        <v>61.052217305528501</v>
      </c>
      <c r="EP220" s="73">
        <v>8285.6100091998796</v>
      </c>
      <c r="EQ220" s="73">
        <v>637.93680506851138</v>
      </c>
      <c r="ER220" s="73">
        <v>8560.2608931115265</v>
      </c>
      <c r="ES220" s="73">
        <v>-569.14794314575329</v>
      </c>
      <c r="ET220" s="73">
        <v>8952</v>
      </c>
      <c r="EU220" s="73">
        <v>-164</v>
      </c>
      <c r="EV220" s="73">
        <v>9170</v>
      </c>
      <c r="EW220" s="73">
        <v>-321</v>
      </c>
      <c r="EX220" s="73">
        <v>11797</v>
      </c>
      <c r="EY220" s="73">
        <v>-181</v>
      </c>
      <c r="EZ220" s="73">
        <v>11424</v>
      </c>
      <c r="FA220" s="73">
        <v>-254</v>
      </c>
      <c r="FB220" s="73">
        <v>11438</v>
      </c>
      <c r="FC220" s="73">
        <v>1085</v>
      </c>
      <c r="FD220" s="73">
        <v>11317</v>
      </c>
      <c r="FE220" s="73">
        <v>346</v>
      </c>
      <c r="FF220" s="73">
        <v>12140</v>
      </c>
      <c r="FG220" s="73">
        <v>-11</v>
      </c>
      <c r="FH220" s="73">
        <v>757</v>
      </c>
      <c r="FI220" s="73">
        <v>747</v>
      </c>
      <c r="FJ220" s="79">
        <v>1521</v>
      </c>
      <c r="FK220" s="80">
        <v>4061</v>
      </c>
      <c r="FL220" s="80">
        <v>4956</v>
      </c>
      <c r="FM220" s="80">
        <v>3964</v>
      </c>
      <c r="FN220" s="76">
        <v>111</v>
      </c>
      <c r="FO220" s="80">
        <v>3124</v>
      </c>
      <c r="FP220" s="80">
        <v>377</v>
      </c>
      <c r="FQ220" s="80">
        <v>560</v>
      </c>
      <c r="FR220" s="80">
        <v>980</v>
      </c>
      <c r="FS220" s="81">
        <v>-579</v>
      </c>
      <c r="FT220" s="76">
        <v>362</v>
      </c>
      <c r="FU220" s="76">
        <v>3852</v>
      </c>
      <c r="FV220" s="76">
        <v>579</v>
      </c>
      <c r="FW220" s="80">
        <v>12014</v>
      </c>
      <c r="FX220" s="80">
        <v>112</v>
      </c>
      <c r="FY220" s="73">
        <v>1513</v>
      </c>
      <c r="FZ220" s="73">
        <v>4099</v>
      </c>
      <c r="GA220" s="73">
        <v>5674</v>
      </c>
      <c r="GB220" s="73">
        <v>4185</v>
      </c>
      <c r="GC220" s="73">
        <v>-3</v>
      </c>
      <c r="GD220" s="73">
        <v>2954</v>
      </c>
      <c r="GE220" s="73">
        <v>506</v>
      </c>
      <c r="GF220" s="73">
        <v>639</v>
      </c>
      <c r="GG220" s="73">
        <v>1009</v>
      </c>
      <c r="GH220" s="73">
        <v>-334</v>
      </c>
      <c r="GI220" s="73">
        <v>343</v>
      </c>
      <c r="GJ220" s="73">
        <v>3242</v>
      </c>
      <c r="GK220" s="73">
        <v>334</v>
      </c>
      <c r="GL220" s="73">
        <v>12916</v>
      </c>
      <c r="GM220" s="73">
        <v>710</v>
      </c>
      <c r="GN220" s="73">
        <v>1569</v>
      </c>
      <c r="GO220" s="77">
        <v>19.5</v>
      </c>
      <c r="GP220" s="78">
        <v>1489</v>
      </c>
      <c r="GQ220" s="73">
        <v>3985</v>
      </c>
      <c r="GR220" s="65">
        <v>5621</v>
      </c>
      <c r="GS220" s="65">
        <v>4282</v>
      </c>
      <c r="GT220" s="65">
        <v>23</v>
      </c>
      <c r="GU220" s="65">
        <v>2852</v>
      </c>
      <c r="GV220" s="65">
        <v>492</v>
      </c>
      <c r="GW220" s="65">
        <v>641</v>
      </c>
      <c r="GX220" s="65">
        <v>588</v>
      </c>
      <c r="GY220" s="65">
        <v>-695</v>
      </c>
      <c r="GZ220" s="65">
        <v>331</v>
      </c>
      <c r="HA220" s="65">
        <v>2925</v>
      </c>
      <c r="HB220" s="65">
        <v>695</v>
      </c>
      <c r="HC220" s="65">
        <v>13275</v>
      </c>
      <c r="HD220" s="65">
        <v>310</v>
      </c>
      <c r="HE220" s="78">
        <v>1450</v>
      </c>
      <c r="HF220" s="73">
        <v>4007</v>
      </c>
      <c r="HG220" s="65">
        <v>6017</v>
      </c>
      <c r="HH220" s="65">
        <v>4088</v>
      </c>
      <c r="HI220" s="65">
        <v>14</v>
      </c>
      <c r="HJ220" s="65">
        <v>3071</v>
      </c>
      <c r="HK220" s="65">
        <v>287</v>
      </c>
      <c r="HL220" s="65">
        <v>649</v>
      </c>
      <c r="HM220" s="65">
        <v>251</v>
      </c>
      <c r="HN220" s="65">
        <v>-621</v>
      </c>
      <c r="HO220" s="65">
        <v>437</v>
      </c>
      <c r="HP220" s="65">
        <v>2934</v>
      </c>
      <c r="HQ220" s="65">
        <v>621</v>
      </c>
      <c r="HR220" s="65">
        <v>13837</v>
      </c>
      <c r="HS220" s="65">
        <v>-57</v>
      </c>
      <c r="HT220" s="65">
        <v>2084</v>
      </c>
      <c r="HU220" s="77">
        <v>19.75</v>
      </c>
      <c r="HV220" s="180">
        <v>340</v>
      </c>
      <c r="HW220" s="30" t="s">
        <v>761</v>
      </c>
    </row>
    <row r="221" spans="1:231" ht="15" x14ac:dyDescent="0.25">
      <c r="A221" s="27">
        <v>698</v>
      </c>
      <c r="B221" s="27" t="s">
        <v>346</v>
      </c>
      <c r="C221" s="27">
        <v>19</v>
      </c>
      <c r="D221" s="27" t="s">
        <v>113</v>
      </c>
      <c r="E221" s="27">
        <v>6</v>
      </c>
      <c r="F221" s="27" t="s">
        <v>102</v>
      </c>
      <c r="G221" s="29" t="s">
        <v>141</v>
      </c>
      <c r="H221" s="27" t="s">
        <v>97</v>
      </c>
      <c r="I221" s="31" t="s">
        <v>113</v>
      </c>
      <c r="J221" s="69">
        <v>57620</v>
      </c>
      <c r="K221" s="69">
        <v>57619</v>
      </c>
      <c r="L221" s="36">
        <v>57253</v>
      </c>
      <c r="M221" s="36">
        <v>56991</v>
      </c>
      <c r="N221" s="36">
        <v>56894</v>
      </c>
      <c r="O221" s="36">
        <v>56955</v>
      </c>
      <c r="P221" s="36">
        <v>57500</v>
      </c>
      <c r="Q221" s="36">
        <v>57835</v>
      </c>
      <c r="R221" s="69">
        <v>58099</v>
      </c>
      <c r="S221" s="69">
        <v>58825</v>
      </c>
      <c r="T221" s="71">
        <v>59353</v>
      </c>
      <c r="U221" s="36">
        <v>120487</v>
      </c>
      <c r="V221" s="36">
        <v>40789</v>
      </c>
      <c r="W221" s="36">
        <v>57039</v>
      </c>
      <c r="X221" s="36">
        <v>3443.3114184465153</v>
      </c>
      <c r="Y221" s="36">
        <v>123807</v>
      </c>
      <c r="Z221" s="36">
        <v>37484</v>
      </c>
      <c r="AA221" s="36">
        <v>54726</v>
      </c>
      <c r="AB221" s="36">
        <v>3875.7225773790601</v>
      </c>
      <c r="AC221" s="36">
        <v>126741</v>
      </c>
      <c r="AD221" s="36">
        <v>42128</v>
      </c>
      <c r="AE221" s="36">
        <v>54917</v>
      </c>
      <c r="AF221" s="36">
        <v>3620.7496808634091</v>
      </c>
      <c r="AG221" s="36">
        <v>135267</v>
      </c>
      <c r="AH221" s="36">
        <v>44231</v>
      </c>
      <c r="AI221" s="36">
        <v>58112</v>
      </c>
      <c r="AJ221" s="36">
        <v>3583.5801491154152</v>
      </c>
      <c r="AK221" s="36">
        <v>143042</v>
      </c>
      <c r="AL221" s="36">
        <v>48926</v>
      </c>
      <c r="AM221" s="36">
        <v>64141</v>
      </c>
      <c r="AN221" s="36">
        <v>2332</v>
      </c>
      <c r="AO221" s="36">
        <v>141045</v>
      </c>
      <c r="AP221" s="36">
        <v>50222</v>
      </c>
      <c r="AQ221" s="36">
        <v>58535</v>
      </c>
      <c r="AR221" s="36">
        <v>44295</v>
      </c>
      <c r="AS221" s="36">
        <v>143777</v>
      </c>
      <c r="AT221" s="36">
        <v>50178</v>
      </c>
      <c r="AU221" s="36">
        <v>44699</v>
      </c>
      <c r="AV221" s="36">
        <v>7117</v>
      </c>
      <c r="AW221" s="36">
        <v>148319</v>
      </c>
      <c r="AX221" s="69">
        <v>53736</v>
      </c>
      <c r="AY221" s="36">
        <v>49461</v>
      </c>
      <c r="AZ221" s="36">
        <v>11168</v>
      </c>
      <c r="BA221" s="36">
        <v>156665</v>
      </c>
      <c r="BB221" s="36">
        <v>58992</v>
      </c>
      <c r="BC221" s="36">
        <v>52460</v>
      </c>
      <c r="BD221" s="36">
        <v>4210</v>
      </c>
      <c r="BE221" s="70">
        <v>170143</v>
      </c>
      <c r="BF221" s="70">
        <v>62147</v>
      </c>
      <c r="BG221" s="70">
        <v>55749</v>
      </c>
      <c r="BH221" s="70">
        <v>5583</v>
      </c>
      <c r="BI221" s="36">
        <v>184279</v>
      </c>
      <c r="BJ221" s="36">
        <v>69876</v>
      </c>
      <c r="BK221" s="36">
        <v>57709</v>
      </c>
      <c r="BL221" s="36">
        <v>2018</v>
      </c>
      <c r="BM221" s="36">
        <v>101482.07200797883</v>
      </c>
      <c r="BN221" s="36">
        <v>11364.121815151379</v>
      </c>
      <c r="BO221" s="36">
        <v>7640.6093112199842</v>
      </c>
      <c r="BP221" s="36">
        <v>102368.08600457807</v>
      </c>
      <c r="BQ221" s="36">
        <v>10592.307420619503</v>
      </c>
      <c r="BR221" s="36">
        <v>10846.775753355771</v>
      </c>
      <c r="BS221" s="36">
        <v>100090.98966821568</v>
      </c>
      <c r="BT221" s="36">
        <v>15179.633114857217</v>
      </c>
      <c r="BU221" s="36">
        <v>11470.24839674859</v>
      </c>
      <c r="BV221" s="36">
        <v>113577</v>
      </c>
      <c r="BW221" s="36">
        <v>9695</v>
      </c>
      <c r="BX221" s="36">
        <v>11996</v>
      </c>
      <c r="BY221" s="36">
        <v>122581</v>
      </c>
      <c r="BZ221" s="36">
        <v>8165</v>
      </c>
      <c r="CA221" s="36">
        <v>12296</v>
      </c>
      <c r="CB221" s="36">
        <v>124668</v>
      </c>
      <c r="CC221" s="36">
        <v>4121</v>
      </c>
      <c r="CD221" s="36">
        <v>12256</v>
      </c>
      <c r="CE221" s="36">
        <v>126458</v>
      </c>
      <c r="CF221" s="36">
        <v>4950</v>
      </c>
      <c r="CG221" s="36">
        <v>12369</v>
      </c>
      <c r="CH221" s="36">
        <v>129654</v>
      </c>
      <c r="CI221" s="36">
        <v>5899</v>
      </c>
      <c r="CJ221" s="70">
        <v>12766</v>
      </c>
      <c r="CK221" s="70">
        <v>133282</v>
      </c>
      <c r="CL221" s="70">
        <v>6855</v>
      </c>
      <c r="CM221" s="36">
        <v>16528</v>
      </c>
      <c r="CN221" s="36">
        <v>144989</v>
      </c>
      <c r="CO221" s="36">
        <v>8094</v>
      </c>
      <c r="CP221" s="36">
        <v>17060</v>
      </c>
      <c r="CQ221" s="36">
        <v>158582</v>
      </c>
      <c r="CR221" s="36">
        <v>7598</v>
      </c>
      <c r="CS221" s="36">
        <v>18099</v>
      </c>
      <c r="CT221" s="36">
        <v>11926.037677459284</v>
      </c>
      <c r="CU221" s="36">
        <v>-21003.981011999997</v>
      </c>
      <c r="CV221" s="36">
        <v>16594.261764324987</v>
      </c>
      <c r="CW221" s="36">
        <v>79230</v>
      </c>
      <c r="CX221" s="36">
        <v>13038.264435149258</v>
      </c>
      <c r="CY221" s="36">
        <v>-12450.615820000001</v>
      </c>
      <c r="CZ221" s="36">
        <v>17392.313475384854</v>
      </c>
      <c r="DA221" s="36">
        <v>82173</v>
      </c>
      <c r="DB221" s="36">
        <v>11788.459953613768</v>
      </c>
      <c r="DC221" s="36">
        <v>-15880.304014000001</v>
      </c>
      <c r="DD221" s="36">
        <v>17053.414803564912</v>
      </c>
      <c r="DE221" s="36">
        <v>83500</v>
      </c>
      <c r="DF221" s="36">
        <v>11494.972021938433</v>
      </c>
      <c r="DG221" s="36">
        <v>-20942</v>
      </c>
      <c r="DH221" s="36">
        <v>13706.979630760226</v>
      </c>
      <c r="DI221" s="36">
        <v>91637</v>
      </c>
      <c r="DJ221" s="36">
        <v>24369</v>
      </c>
      <c r="DK221" s="36">
        <v>-13491</v>
      </c>
      <c r="DL221" s="36">
        <v>14684</v>
      </c>
      <c r="DM221" s="36">
        <v>90488</v>
      </c>
      <c r="DN221" s="36">
        <v>16366</v>
      </c>
      <c r="DO221" s="69">
        <v>69450</v>
      </c>
      <c r="DP221" s="36">
        <v>12647</v>
      </c>
      <c r="DQ221" s="36">
        <v>51016</v>
      </c>
      <c r="DR221" s="36">
        <v>8839</v>
      </c>
      <c r="DS221" s="36">
        <v>-16895</v>
      </c>
      <c r="DT221" s="36">
        <v>11154</v>
      </c>
      <c r="DU221" s="36">
        <v>57991</v>
      </c>
      <c r="DV221" s="36">
        <v>6310</v>
      </c>
      <c r="DW221" s="71">
        <v>-10165</v>
      </c>
      <c r="DX221" s="39">
        <v>11410</v>
      </c>
      <c r="DY221" s="71">
        <v>62738</v>
      </c>
      <c r="DZ221" s="70">
        <v>9655</v>
      </c>
      <c r="EA221" s="35">
        <v>-10440</v>
      </c>
      <c r="EB221" s="35">
        <v>11453</v>
      </c>
      <c r="EC221" s="38">
        <v>63662</v>
      </c>
      <c r="ED221" s="38">
        <v>8064</v>
      </c>
      <c r="EE221" s="38">
        <v>-15937</v>
      </c>
      <c r="EF221" s="38">
        <v>11816</v>
      </c>
      <c r="EG221" s="73">
        <v>71042</v>
      </c>
      <c r="EH221" s="73">
        <v>14453</v>
      </c>
      <c r="EI221" s="73">
        <v>-15306</v>
      </c>
      <c r="EJ221" s="73">
        <v>12072</v>
      </c>
      <c r="EK221" s="73">
        <v>75507</v>
      </c>
      <c r="EL221" s="73">
        <v>197026.269272234</v>
      </c>
      <c r="EM221" s="73">
        <v>-1526.4736205646741</v>
      </c>
      <c r="EN221" s="73">
        <v>194792.56542089867</v>
      </c>
      <c r="EO221" s="73">
        <v>-3562.8930341606497</v>
      </c>
      <c r="EP221" s="73">
        <v>202520.63245387864</v>
      </c>
      <c r="EQ221" s="73">
        <v>-1791.8741685209386</v>
      </c>
      <c r="ER221" s="73">
        <v>215369.01272005285</v>
      </c>
      <c r="ES221" s="73">
        <v>-1151.246356629043</v>
      </c>
      <c r="ET221" s="73">
        <v>229697</v>
      </c>
      <c r="EU221" s="73">
        <v>14247</v>
      </c>
      <c r="EV221" s="73">
        <v>234229</v>
      </c>
      <c r="EW221" s="73">
        <v>6607</v>
      </c>
      <c r="EX221" s="73">
        <v>234806</v>
      </c>
      <c r="EY221" s="73">
        <v>603</v>
      </c>
      <c r="EZ221" s="73">
        <v>251545</v>
      </c>
      <c r="FA221" s="73">
        <v>1282</v>
      </c>
      <c r="FB221" s="73">
        <v>262672</v>
      </c>
      <c r="FC221" s="73">
        <v>-1703</v>
      </c>
      <c r="FD221" s="73">
        <v>283151</v>
      </c>
      <c r="FE221" s="73">
        <v>-4420</v>
      </c>
      <c r="FF221" s="73">
        <v>299429</v>
      </c>
      <c r="FG221" s="73">
        <v>2481</v>
      </c>
      <c r="FH221" s="73">
        <v>6936</v>
      </c>
      <c r="FI221" s="73">
        <v>9417</v>
      </c>
      <c r="FJ221" s="79">
        <v>59848</v>
      </c>
      <c r="FK221" s="80">
        <v>186853</v>
      </c>
      <c r="FL221" s="80">
        <v>75453</v>
      </c>
      <c r="FM221" s="80">
        <v>59371</v>
      </c>
      <c r="FN221" s="76">
        <v>2643</v>
      </c>
      <c r="FO221" s="80">
        <v>162546</v>
      </c>
      <c r="FP221" s="80">
        <v>5393</v>
      </c>
      <c r="FQ221" s="80">
        <v>18914</v>
      </c>
      <c r="FR221" s="80">
        <v>15204</v>
      </c>
      <c r="FS221" s="81">
        <v>-12650</v>
      </c>
      <c r="FT221" s="76">
        <v>12516</v>
      </c>
      <c r="FU221" s="76">
        <v>76402</v>
      </c>
      <c r="FV221" s="76">
        <v>12650</v>
      </c>
      <c r="FW221" s="80">
        <v>309116</v>
      </c>
      <c r="FX221" s="80">
        <v>2152</v>
      </c>
      <c r="FY221" s="73">
        <v>60090</v>
      </c>
      <c r="FZ221" s="73">
        <v>199276</v>
      </c>
      <c r="GA221" s="73">
        <v>82991</v>
      </c>
      <c r="GB221" s="73">
        <v>64441</v>
      </c>
      <c r="GC221" s="73">
        <v>3461</v>
      </c>
      <c r="GD221" s="73">
        <v>170099</v>
      </c>
      <c r="GE221" s="73">
        <v>7335</v>
      </c>
      <c r="GF221" s="73">
        <v>21842</v>
      </c>
      <c r="GG221" s="73">
        <v>22364</v>
      </c>
      <c r="GH221" s="73">
        <v>-16926</v>
      </c>
      <c r="GI221" s="73">
        <v>13542</v>
      </c>
      <c r="GJ221" s="73">
        <v>75317</v>
      </c>
      <c r="GK221" s="73">
        <v>16926</v>
      </c>
      <c r="GL221" s="73">
        <v>327805</v>
      </c>
      <c r="GM221" s="73">
        <v>6918</v>
      </c>
      <c r="GN221" s="73">
        <v>18487</v>
      </c>
      <c r="GO221" s="77">
        <v>20</v>
      </c>
      <c r="GP221" s="78">
        <v>60637</v>
      </c>
      <c r="GQ221" s="73">
        <v>204419</v>
      </c>
      <c r="GR221" s="65">
        <v>85043</v>
      </c>
      <c r="GS221" s="65">
        <v>66278</v>
      </c>
      <c r="GT221" s="65">
        <v>3414</v>
      </c>
      <c r="GU221" s="65">
        <v>172787</v>
      </c>
      <c r="GV221" s="65">
        <v>9643</v>
      </c>
      <c r="GW221" s="65">
        <v>21989</v>
      </c>
      <c r="GX221" s="65">
        <v>11308</v>
      </c>
      <c r="GY221" s="65">
        <v>-18862</v>
      </c>
      <c r="GZ221" s="65">
        <v>13572</v>
      </c>
      <c r="HA221" s="65">
        <v>72149</v>
      </c>
      <c r="HB221" s="65">
        <v>18862</v>
      </c>
      <c r="HC221" s="65">
        <v>347846</v>
      </c>
      <c r="HD221" s="65">
        <v>-2168</v>
      </c>
      <c r="HE221" s="78">
        <v>60877</v>
      </c>
      <c r="HF221" s="73">
        <v>208113</v>
      </c>
      <c r="HG221" s="65">
        <v>89109</v>
      </c>
      <c r="HH221" s="65">
        <v>72077</v>
      </c>
      <c r="HI221" s="65">
        <v>4140</v>
      </c>
      <c r="HJ221" s="65">
        <v>178653</v>
      </c>
      <c r="HK221" s="65">
        <v>6998</v>
      </c>
      <c r="HL221" s="65">
        <v>22462</v>
      </c>
      <c r="HM221" s="65">
        <v>-1252</v>
      </c>
      <c r="HN221" s="65">
        <v>-13750</v>
      </c>
      <c r="HO221" s="65">
        <v>13581</v>
      </c>
      <c r="HP221" s="65">
        <v>74074</v>
      </c>
      <c r="HQ221" s="65">
        <v>13750</v>
      </c>
      <c r="HR221" s="65">
        <v>374691</v>
      </c>
      <c r="HS221" s="65">
        <v>-15842</v>
      </c>
      <c r="HT221" s="65">
        <v>37477</v>
      </c>
      <c r="HU221" s="77">
        <v>20</v>
      </c>
      <c r="HV221" s="180">
        <v>120</v>
      </c>
      <c r="HW221" s="30" t="s">
        <v>751</v>
      </c>
    </row>
    <row r="222" spans="1:231" ht="15" x14ac:dyDescent="0.25">
      <c r="A222" s="27">
        <v>700</v>
      </c>
      <c r="B222" s="27" t="s">
        <v>347</v>
      </c>
      <c r="C222" s="27">
        <v>9</v>
      </c>
      <c r="D222" s="27" t="s">
        <v>105</v>
      </c>
      <c r="E222" s="27">
        <v>3</v>
      </c>
      <c r="F222" s="27" t="s">
        <v>743</v>
      </c>
      <c r="G222" s="29" t="s">
        <v>130</v>
      </c>
      <c r="H222" s="27" t="s">
        <v>98</v>
      </c>
      <c r="I222" s="31" t="s">
        <v>105</v>
      </c>
      <c r="J222" s="69">
        <v>6309</v>
      </c>
      <c r="K222" s="69">
        <v>6283</v>
      </c>
      <c r="L222" s="36">
        <v>6204</v>
      </c>
      <c r="M222" s="36">
        <v>6142</v>
      </c>
      <c r="N222" s="36">
        <v>6051</v>
      </c>
      <c r="O222" s="36">
        <v>6029</v>
      </c>
      <c r="P222" s="36">
        <v>5937</v>
      </c>
      <c r="Q222" s="36">
        <v>5897</v>
      </c>
      <c r="R222" s="69">
        <v>5882</v>
      </c>
      <c r="S222" s="69">
        <v>5732</v>
      </c>
      <c r="T222" s="71">
        <v>5730</v>
      </c>
      <c r="U222" s="36">
        <v>12750</v>
      </c>
      <c r="V222" s="36">
        <v>3174</v>
      </c>
      <c r="W222" s="36">
        <v>3468</v>
      </c>
      <c r="X222" s="36">
        <v>218.81249232642585</v>
      </c>
      <c r="Y222" s="36">
        <v>12991</v>
      </c>
      <c r="Z222" s="36">
        <v>3133</v>
      </c>
      <c r="AA222" s="36">
        <v>3511</v>
      </c>
      <c r="AB222" s="36">
        <v>308.4566571304112</v>
      </c>
      <c r="AC222" s="36">
        <v>12667</v>
      </c>
      <c r="AD222" s="36">
        <v>3111</v>
      </c>
      <c r="AE222" s="36">
        <v>3599</v>
      </c>
      <c r="AF222" s="36">
        <v>147.33262358028367</v>
      </c>
      <c r="AG222" s="36">
        <v>13072</v>
      </c>
      <c r="AH222" s="36">
        <v>4217</v>
      </c>
      <c r="AI222" s="36">
        <v>3757</v>
      </c>
      <c r="AJ222" s="36">
        <v>122.94537424336458</v>
      </c>
      <c r="AK222" s="36">
        <v>13382</v>
      </c>
      <c r="AL222" s="36">
        <v>4663</v>
      </c>
      <c r="AM222" s="36">
        <v>3823</v>
      </c>
      <c r="AN222" s="36">
        <v>43</v>
      </c>
      <c r="AO222" s="36">
        <v>13009</v>
      </c>
      <c r="AP222" s="36">
        <v>5458</v>
      </c>
      <c r="AQ222" s="36">
        <v>4106</v>
      </c>
      <c r="AR222" s="36">
        <v>120</v>
      </c>
      <c r="AS222" s="36">
        <v>13540</v>
      </c>
      <c r="AT222" s="36">
        <v>5997</v>
      </c>
      <c r="AU222" s="36">
        <v>4572</v>
      </c>
      <c r="AV222" s="36">
        <v>67</v>
      </c>
      <c r="AW222" s="36">
        <v>13616</v>
      </c>
      <c r="AX222" s="69">
        <v>6032</v>
      </c>
      <c r="AY222" s="36">
        <v>4745</v>
      </c>
      <c r="AZ222" s="36">
        <v>60</v>
      </c>
      <c r="BA222" s="36">
        <v>14297</v>
      </c>
      <c r="BB222" s="36">
        <v>6596</v>
      </c>
      <c r="BC222" s="36">
        <v>5274</v>
      </c>
      <c r="BD222" s="36">
        <v>37</v>
      </c>
      <c r="BE222" s="70">
        <v>15205</v>
      </c>
      <c r="BF222" s="70">
        <v>7183</v>
      </c>
      <c r="BG222" s="70">
        <v>5379</v>
      </c>
      <c r="BH222" s="70">
        <v>512</v>
      </c>
      <c r="BI222" s="36">
        <v>15682</v>
      </c>
      <c r="BJ222" s="36">
        <v>8001</v>
      </c>
      <c r="BK222" s="36">
        <v>5699</v>
      </c>
      <c r="BL222" s="36">
        <v>4</v>
      </c>
      <c r="BM222" s="36">
        <v>9307.5198503800202</v>
      </c>
      <c r="BN222" s="36">
        <v>2967.675962413362</v>
      </c>
      <c r="BO222" s="36">
        <v>465.71236837192396</v>
      </c>
      <c r="BP222" s="36">
        <v>9980.6079320789868</v>
      </c>
      <c r="BQ222" s="36">
        <v>2340.5031846383877</v>
      </c>
      <c r="BR222" s="36">
        <v>660.47398721435377</v>
      </c>
      <c r="BS222" s="36">
        <v>9485.6308645027602</v>
      </c>
      <c r="BT222" s="36">
        <v>2496.2452045417467</v>
      </c>
      <c r="BU222" s="36">
        <v>676.62002815465883</v>
      </c>
      <c r="BV222" s="36">
        <v>10617</v>
      </c>
      <c r="BW222" s="36">
        <v>1758</v>
      </c>
      <c r="BX222" s="36">
        <v>698</v>
      </c>
      <c r="BY222" s="36">
        <v>11628</v>
      </c>
      <c r="BZ222" s="36">
        <v>1037</v>
      </c>
      <c r="CA222" s="36">
        <v>717</v>
      </c>
      <c r="CB222" s="36">
        <v>11697</v>
      </c>
      <c r="CC222" s="36">
        <v>591</v>
      </c>
      <c r="CD222" s="36">
        <v>721</v>
      </c>
      <c r="CE222" s="36">
        <v>12001</v>
      </c>
      <c r="CF222" s="36">
        <v>822</v>
      </c>
      <c r="CG222" s="36">
        <v>717</v>
      </c>
      <c r="CH222" s="36">
        <v>11764</v>
      </c>
      <c r="CI222" s="36">
        <v>1118</v>
      </c>
      <c r="CJ222" s="70">
        <v>734</v>
      </c>
      <c r="CK222" s="70">
        <v>12188</v>
      </c>
      <c r="CL222" s="70">
        <v>1351</v>
      </c>
      <c r="CM222" s="36">
        <v>758</v>
      </c>
      <c r="CN222" s="36">
        <v>12860</v>
      </c>
      <c r="CO222" s="36">
        <v>1562</v>
      </c>
      <c r="CP222" s="36">
        <v>783</v>
      </c>
      <c r="CQ222" s="36">
        <v>13313</v>
      </c>
      <c r="CR222" s="36">
        <v>1532</v>
      </c>
      <c r="CS222" s="36">
        <v>837</v>
      </c>
      <c r="CT222" s="36">
        <v>963.21225484507352</v>
      </c>
      <c r="CU222" s="36">
        <v>-1820.2979279999997</v>
      </c>
      <c r="CV222" s="36">
        <v>940.50688477276969</v>
      </c>
      <c r="CW222" s="36">
        <v>936</v>
      </c>
      <c r="CX222" s="36">
        <v>820.92526905863531</v>
      </c>
      <c r="CY222" s="36">
        <v>-1071.357092</v>
      </c>
      <c r="CZ222" s="36">
        <v>1014.00500863645</v>
      </c>
      <c r="DA222" s="36">
        <v>1086</v>
      </c>
      <c r="DB222" s="36">
        <v>286.5922266904148</v>
      </c>
      <c r="DC222" s="36">
        <v>-1537.4058359999999</v>
      </c>
      <c r="DD222" s="36">
        <v>1042.4287682084453</v>
      </c>
      <c r="DE222" s="36">
        <v>0</v>
      </c>
      <c r="DF222" s="36">
        <v>575.70727227775228</v>
      </c>
      <c r="DG222" s="36">
        <v>-2643</v>
      </c>
      <c r="DH222" s="36">
        <v>1155.1146789376578</v>
      </c>
      <c r="DI222" s="36">
        <v>1683</v>
      </c>
      <c r="DJ222" s="36">
        <v>1061</v>
      </c>
      <c r="DK222" s="36">
        <v>-5778</v>
      </c>
      <c r="DL222" s="36">
        <v>986</v>
      </c>
      <c r="DM222" s="36">
        <v>5835</v>
      </c>
      <c r="DN222" s="36">
        <v>458</v>
      </c>
      <c r="DO222" s="69">
        <v>-286</v>
      </c>
      <c r="DP222" s="36">
        <v>1045</v>
      </c>
      <c r="DQ222" s="36">
        <v>5625</v>
      </c>
      <c r="DR222" s="36">
        <v>809</v>
      </c>
      <c r="DS222" s="36">
        <v>-909</v>
      </c>
      <c r="DT222" s="36">
        <v>1029</v>
      </c>
      <c r="DU222" s="36">
        <v>5625</v>
      </c>
      <c r="DV222" s="36">
        <v>9</v>
      </c>
      <c r="DW222" s="71">
        <v>-845</v>
      </c>
      <c r="DX222" s="39">
        <v>1035</v>
      </c>
      <c r="DY222" s="71">
        <v>5625</v>
      </c>
      <c r="DZ222" s="70">
        <v>862</v>
      </c>
      <c r="EA222" s="35">
        <v>-1793</v>
      </c>
      <c r="EB222" s="35">
        <v>1011</v>
      </c>
      <c r="EC222" s="38">
        <v>6416</v>
      </c>
      <c r="ED222" s="38">
        <v>1728</v>
      </c>
      <c r="EE222" s="38">
        <v>-313</v>
      </c>
      <c r="EF222" s="38">
        <v>1020</v>
      </c>
      <c r="EG222" s="73">
        <v>6526</v>
      </c>
      <c r="EH222" s="73">
        <v>1587</v>
      </c>
      <c r="EI222" s="73">
        <v>-644</v>
      </c>
      <c r="EJ222" s="73">
        <v>1079</v>
      </c>
      <c r="EK222" s="73">
        <v>6632</v>
      </c>
      <c r="EL222" s="73">
        <v>17660.573218090965</v>
      </c>
      <c r="EM222" s="73">
        <v>85.944030421832139</v>
      </c>
      <c r="EN222" s="73">
        <v>18152.691090917346</v>
      </c>
      <c r="EO222" s="73">
        <v>14.632349602151459</v>
      </c>
      <c r="EP222" s="73">
        <v>18236.448678295179</v>
      </c>
      <c r="EQ222" s="73">
        <v>-489.2586780765356</v>
      </c>
      <c r="ER222" s="73">
        <v>19511.649536726356</v>
      </c>
      <c r="ES222" s="73">
        <v>-163.1422886676657</v>
      </c>
      <c r="ET222" s="73">
        <v>20666</v>
      </c>
      <c r="EU222" s="73">
        <v>35</v>
      </c>
      <c r="EV222" s="73">
        <v>22086</v>
      </c>
      <c r="EW222" s="73">
        <v>-219</v>
      </c>
      <c r="EX222" s="73">
        <v>23218</v>
      </c>
      <c r="EY222" s="73">
        <v>-162</v>
      </c>
      <c r="EZ222" s="73">
        <v>24305</v>
      </c>
      <c r="FA222" s="73">
        <v>-953</v>
      </c>
      <c r="FB222" s="73">
        <v>25190</v>
      </c>
      <c r="FC222" s="73">
        <v>-330</v>
      </c>
      <c r="FD222" s="73">
        <v>25826</v>
      </c>
      <c r="FE222" s="73">
        <v>1205</v>
      </c>
      <c r="FF222" s="73">
        <v>27552</v>
      </c>
      <c r="FG222" s="73">
        <v>568</v>
      </c>
      <c r="FH222" s="73">
        <v>4869</v>
      </c>
      <c r="FI222" s="73">
        <v>5437</v>
      </c>
      <c r="FJ222" s="79">
        <v>5721</v>
      </c>
      <c r="FK222" s="80">
        <v>16800</v>
      </c>
      <c r="FL222" s="80">
        <v>8959</v>
      </c>
      <c r="FM222" s="80">
        <v>5651</v>
      </c>
      <c r="FN222" s="76">
        <v>9</v>
      </c>
      <c r="FO222" s="80">
        <v>14595</v>
      </c>
      <c r="FP222" s="80">
        <v>1283</v>
      </c>
      <c r="FQ222" s="80">
        <v>922</v>
      </c>
      <c r="FR222" s="80">
        <v>2719</v>
      </c>
      <c r="FS222" s="81">
        <v>-422</v>
      </c>
      <c r="FT222" s="76">
        <v>1219</v>
      </c>
      <c r="FU222" s="76">
        <v>7594</v>
      </c>
      <c r="FV222" s="76">
        <v>422</v>
      </c>
      <c r="FW222" s="80">
        <v>28558</v>
      </c>
      <c r="FX222" s="80">
        <v>757</v>
      </c>
      <c r="FY222" s="73">
        <v>5668</v>
      </c>
      <c r="FZ222" s="73">
        <v>17874</v>
      </c>
      <c r="GA222" s="73">
        <v>9556</v>
      </c>
      <c r="GB222" s="73">
        <v>5468</v>
      </c>
      <c r="GC222" s="73">
        <v>12</v>
      </c>
      <c r="GD222" s="73">
        <v>15102</v>
      </c>
      <c r="GE222" s="73">
        <v>1635</v>
      </c>
      <c r="GF222" s="73">
        <v>1137</v>
      </c>
      <c r="GG222" s="73">
        <v>2081</v>
      </c>
      <c r="GH222" s="73">
        <v>-2322</v>
      </c>
      <c r="GI222" s="73">
        <v>1059</v>
      </c>
      <c r="GJ222" s="73">
        <v>8723</v>
      </c>
      <c r="GK222" s="73">
        <v>2322</v>
      </c>
      <c r="GL222" s="73">
        <v>30740</v>
      </c>
      <c r="GM222" s="73">
        <v>276</v>
      </c>
      <c r="GN222" s="73">
        <v>6470</v>
      </c>
      <c r="GO222" s="77">
        <v>18.5</v>
      </c>
      <c r="GP222" s="78">
        <v>5595</v>
      </c>
      <c r="GQ222" s="73">
        <v>17409</v>
      </c>
      <c r="GR222" s="65">
        <v>9793</v>
      </c>
      <c r="GS222" s="65">
        <v>5412</v>
      </c>
      <c r="GT222" s="65">
        <v>15</v>
      </c>
      <c r="GU222" s="65">
        <v>14609</v>
      </c>
      <c r="GV222" s="65">
        <v>1619</v>
      </c>
      <c r="GW222" s="65">
        <v>1181</v>
      </c>
      <c r="GX222" s="65">
        <v>992</v>
      </c>
      <c r="GY222" s="65">
        <v>-1868</v>
      </c>
      <c r="GZ222" s="65">
        <v>1066</v>
      </c>
      <c r="HA222" s="65">
        <v>8273</v>
      </c>
      <c r="HB222" s="65">
        <v>1868</v>
      </c>
      <c r="HC222" s="65">
        <v>31509</v>
      </c>
      <c r="HD222" s="65">
        <v>117</v>
      </c>
      <c r="HE222" s="78">
        <v>5577</v>
      </c>
      <c r="HF222" s="73">
        <v>17663</v>
      </c>
      <c r="HG222" s="65">
        <v>10771</v>
      </c>
      <c r="HH222" s="65">
        <v>5449</v>
      </c>
      <c r="HI222" s="65">
        <v>22</v>
      </c>
      <c r="HJ222" s="65">
        <v>15274</v>
      </c>
      <c r="HK222" s="65">
        <v>1033</v>
      </c>
      <c r="HL222" s="65">
        <v>1356</v>
      </c>
      <c r="HM222" s="65">
        <v>739</v>
      </c>
      <c r="HN222" s="65">
        <v>-590</v>
      </c>
      <c r="HO222" s="65">
        <v>1455</v>
      </c>
      <c r="HP222" s="65">
        <v>7830</v>
      </c>
      <c r="HQ222" s="65">
        <v>590</v>
      </c>
      <c r="HR222" s="65">
        <v>32978</v>
      </c>
      <c r="HS222" s="65">
        <v>-646</v>
      </c>
      <c r="HT222" s="65">
        <v>6035</v>
      </c>
      <c r="HU222" s="77">
        <v>18.5</v>
      </c>
      <c r="HV222" s="180">
        <v>340</v>
      </c>
      <c r="HW222" s="30" t="s">
        <v>761</v>
      </c>
    </row>
    <row r="223" spans="1:231" ht="15" x14ac:dyDescent="0.25">
      <c r="A223" s="27">
        <v>702</v>
      </c>
      <c r="B223" s="27" t="s">
        <v>348</v>
      </c>
      <c r="C223" s="27">
        <v>6</v>
      </c>
      <c r="D223" s="27" t="s">
        <v>114</v>
      </c>
      <c r="E223" s="27">
        <v>2</v>
      </c>
      <c r="F223" s="27" t="s">
        <v>744</v>
      </c>
      <c r="G223" s="29" t="s">
        <v>130</v>
      </c>
      <c r="H223" s="27" t="s">
        <v>98</v>
      </c>
      <c r="I223" s="31" t="s">
        <v>114</v>
      </c>
      <c r="J223" s="69">
        <v>5812</v>
      </c>
      <c r="K223" s="69">
        <v>5761</v>
      </c>
      <c r="L223" s="36">
        <v>5683</v>
      </c>
      <c r="M223" s="36">
        <v>5591</v>
      </c>
      <c r="N223" s="36">
        <v>5526</v>
      </c>
      <c r="O223" s="36">
        <v>5457</v>
      </c>
      <c r="P223" s="36">
        <v>5431</v>
      </c>
      <c r="Q223" s="36">
        <v>5398</v>
      </c>
      <c r="R223" s="69">
        <v>5314</v>
      </c>
      <c r="S223" s="69">
        <v>5195</v>
      </c>
      <c r="T223" s="71">
        <v>5132</v>
      </c>
      <c r="U223" s="36">
        <v>11009</v>
      </c>
      <c r="V223" s="36">
        <v>5178</v>
      </c>
      <c r="W223" s="36">
        <v>4289</v>
      </c>
      <c r="X223" s="36">
        <v>455.62109278423338</v>
      </c>
      <c r="Y223" s="36">
        <v>11396</v>
      </c>
      <c r="Z223" s="36">
        <v>5372</v>
      </c>
      <c r="AA223" s="36">
        <v>4403</v>
      </c>
      <c r="AB223" s="36">
        <v>459.15303923992519</v>
      </c>
      <c r="AC223" s="36">
        <v>11251</v>
      </c>
      <c r="AD223" s="36">
        <v>5252</v>
      </c>
      <c r="AE223" s="36">
        <v>4583</v>
      </c>
      <c r="AF223" s="36">
        <v>299.37450910148965</v>
      </c>
      <c r="AG223" s="36">
        <v>11935</v>
      </c>
      <c r="AH223" s="36">
        <v>6377</v>
      </c>
      <c r="AI223" s="36">
        <v>4441</v>
      </c>
      <c r="AJ223" s="36">
        <v>367.49061931840157</v>
      </c>
      <c r="AK223" s="36">
        <v>11602</v>
      </c>
      <c r="AL223" s="36">
        <v>7060</v>
      </c>
      <c r="AM223" s="36">
        <v>4762</v>
      </c>
      <c r="AN223" s="36">
        <v>268</v>
      </c>
      <c r="AO223" s="36">
        <v>11119</v>
      </c>
      <c r="AP223" s="36">
        <v>8015</v>
      </c>
      <c r="AQ223" s="36">
        <v>5001</v>
      </c>
      <c r="AR223" s="36">
        <v>219</v>
      </c>
      <c r="AS223" s="36">
        <v>11730</v>
      </c>
      <c r="AT223" s="36">
        <v>8843</v>
      </c>
      <c r="AU223" s="36">
        <v>4606</v>
      </c>
      <c r="AV223" s="36">
        <v>410</v>
      </c>
      <c r="AW223" s="36">
        <v>12158</v>
      </c>
      <c r="AX223" s="69">
        <v>9090</v>
      </c>
      <c r="AY223" s="36">
        <v>4614</v>
      </c>
      <c r="AZ223" s="36">
        <v>196</v>
      </c>
      <c r="BA223" s="36">
        <v>12622</v>
      </c>
      <c r="BB223" s="36">
        <v>9392</v>
      </c>
      <c r="BC223" s="36">
        <v>4630</v>
      </c>
      <c r="BD223" s="36">
        <v>206</v>
      </c>
      <c r="BE223" s="70">
        <v>13903</v>
      </c>
      <c r="BF223" s="70">
        <v>9767</v>
      </c>
      <c r="BG223" s="70">
        <v>5645</v>
      </c>
      <c r="BH223" s="70">
        <v>209</v>
      </c>
      <c r="BI223" s="36">
        <v>14773</v>
      </c>
      <c r="BJ223" s="36">
        <v>10760</v>
      </c>
      <c r="BK223" s="36">
        <v>5048</v>
      </c>
      <c r="BL223" s="36">
        <v>113</v>
      </c>
      <c r="BM223" s="36">
        <v>7805.0971032993411</v>
      </c>
      <c r="BN223" s="36">
        <v>2723.9716569706325</v>
      </c>
      <c r="BO223" s="36">
        <v>480.34471797407548</v>
      </c>
      <c r="BP223" s="36">
        <v>8543.4421004653759</v>
      </c>
      <c r="BQ223" s="36">
        <v>2370.1042596956136</v>
      </c>
      <c r="BR223" s="36">
        <v>482.36297309161364</v>
      </c>
      <c r="BS223" s="36">
        <v>7928.547041322091</v>
      </c>
      <c r="BT223" s="36">
        <v>2811.2611908041567</v>
      </c>
      <c r="BU223" s="36">
        <v>510.78673266360897</v>
      </c>
      <c r="BV223" s="36">
        <v>9101</v>
      </c>
      <c r="BW223" s="36">
        <v>2153</v>
      </c>
      <c r="BX223" s="36">
        <v>681</v>
      </c>
      <c r="BY223" s="36">
        <v>9547</v>
      </c>
      <c r="BZ223" s="36">
        <v>1355</v>
      </c>
      <c r="CA223" s="36">
        <v>700</v>
      </c>
      <c r="CB223" s="36">
        <v>9485</v>
      </c>
      <c r="CC223" s="36">
        <v>827</v>
      </c>
      <c r="CD223" s="36">
        <v>807</v>
      </c>
      <c r="CE223" s="36">
        <v>9909</v>
      </c>
      <c r="CF223" s="36">
        <v>1012</v>
      </c>
      <c r="CG223" s="36">
        <v>809</v>
      </c>
      <c r="CH223" s="36">
        <v>10025</v>
      </c>
      <c r="CI223" s="36">
        <v>1295</v>
      </c>
      <c r="CJ223" s="70">
        <v>838</v>
      </c>
      <c r="CK223" s="70">
        <v>10190</v>
      </c>
      <c r="CL223" s="70">
        <v>1577</v>
      </c>
      <c r="CM223" s="36">
        <v>855</v>
      </c>
      <c r="CN223" s="36">
        <v>11118</v>
      </c>
      <c r="CO223" s="36">
        <v>1819</v>
      </c>
      <c r="CP223" s="36">
        <v>966</v>
      </c>
      <c r="CQ223" s="36">
        <v>12068</v>
      </c>
      <c r="CR223" s="36">
        <v>1672</v>
      </c>
      <c r="CS223" s="36">
        <v>1033</v>
      </c>
      <c r="CT223" s="36">
        <v>714.12593575557582</v>
      </c>
      <c r="CU223" s="36">
        <v>-573.18445340000005</v>
      </c>
      <c r="CV223" s="36">
        <v>651.89640296481673</v>
      </c>
      <c r="CW223" s="36">
        <v>1672</v>
      </c>
      <c r="CX223" s="36">
        <v>1226.258171830877</v>
      </c>
      <c r="CY223" s="36">
        <v>-2954.5573039999999</v>
      </c>
      <c r="CZ223" s="36">
        <v>636.25492580389619</v>
      </c>
      <c r="DA223" s="36">
        <v>2514</v>
      </c>
      <c r="DB223" s="36">
        <v>83.58939945137098</v>
      </c>
      <c r="DC223" s="36">
        <v>-1576.7618110000001</v>
      </c>
      <c r="DD223" s="36">
        <v>694.78432421250204</v>
      </c>
      <c r="DE223" s="36">
        <v>2962</v>
      </c>
      <c r="DF223" s="36">
        <v>345.28981302548215</v>
      </c>
      <c r="DG223" s="36">
        <v>-2036</v>
      </c>
      <c r="DH223" s="36">
        <v>750.11815201833917</v>
      </c>
      <c r="DI223" s="36">
        <v>2969</v>
      </c>
      <c r="DJ223" s="36">
        <v>639</v>
      </c>
      <c r="DK223" s="36">
        <v>-3579</v>
      </c>
      <c r="DL223" s="36">
        <v>809</v>
      </c>
      <c r="DM223" s="36">
        <v>4631</v>
      </c>
      <c r="DN223" s="36">
        <v>619</v>
      </c>
      <c r="DO223" s="69">
        <v>-2070</v>
      </c>
      <c r="DP223" s="36">
        <v>1015</v>
      </c>
      <c r="DQ223" s="36">
        <v>6506</v>
      </c>
      <c r="DR223" s="36">
        <v>838</v>
      </c>
      <c r="DS223" s="36">
        <v>44</v>
      </c>
      <c r="DT223" s="36">
        <v>938</v>
      </c>
      <c r="DU223" s="36">
        <v>6860</v>
      </c>
      <c r="DV223" s="36">
        <v>1342</v>
      </c>
      <c r="DW223" s="71">
        <v>-672</v>
      </c>
      <c r="DX223" s="39">
        <v>940</v>
      </c>
      <c r="DY223" s="71">
        <v>6085</v>
      </c>
      <c r="DZ223" s="70">
        <v>161</v>
      </c>
      <c r="EA223" s="35">
        <v>-2742</v>
      </c>
      <c r="EB223" s="35">
        <v>864</v>
      </c>
      <c r="EC223" s="38">
        <v>7437</v>
      </c>
      <c r="ED223" s="38">
        <v>1706</v>
      </c>
      <c r="EE223" s="38">
        <v>208</v>
      </c>
      <c r="EF223" s="38">
        <v>956</v>
      </c>
      <c r="EG223" s="73">
        <v>7862</v>
      </c>
      <c r="EH223" s="73">
        <v>1365</v>
      </c>
      <c r="EI223" s="73">
        <v>-697</v>
      </c>
      <c r="EJ223" s="73">
        <v>941</v>
      </c>
      <c r="EK223" s="73">
        <v>6813</v>
      </c>
      <c r="EL223" s="73">
        <v>19214.461470668866</v>
      </c>
      <c r="EM223" s="73">
        <v>213.43047867965748</v>
      </c>
      <c r="EN223" s="73">
        <v>19473.639065346055</v>
      </c>
      <c r="EO223" s="73">
        <v>89.644164803985376</v>
      </c>
      <c r="EP223" s="73">
        <v>20237.212251481316</v>
      </c>
      <c r="EQ223" s="73">
        <v>-523.23263922176079</v>
      </c>
      <c r="ER223" s="73">
        <v>21641.581437434939</v>
      </c>
      <c r="ES223" s="73">
        <v>-304.75652274825796</v>
      </c>
      <c r="ET223" s="73">
        <v>22799</v>
      </c>
      <c r="EU223" s="73">
        <v>-156</v>
      </c>
      <c r="EV223" s="73">
        <v>23503</v>
      </c>
      <c r="EW223" s="73">
        <v>-278</v>
      </c>
      <c r="EX223" s="73">
        <v>24285</v>
      </c>
      <c r="EY223" s="73">
        <v>1</v>
      </c>
      <c r="EZ223" s="73">
        <v>24495</v>
      </c>
      <c r="FA223" s="73">
        <v>151</v>
      </c>
      <c r="FB223" s="73">
        <v>26473</v>
      </c>
      <c r="FC223" s="73">
        <v>-646</v>
      </c>
      <c r="FD223" s="73">
        <v>27510</v>
      </c>
      <c r="FE223" s="73">
        <v>1080</v>
      </c>
      <c r="FF223" s="73">
        <v>29133</v>
      </c>
      <c r="FG223" s="73">
        <v>457</v>
      </c>
      <c r="FH223" s="73">
        <v>1072</v>
      </c>
      <c r="FI223" s="73">
        <v>1528</v>
      </c>
      <c r="FJ223" s="79">
        <v>5101</v>
      </c>
      <c r="FK223" s="80">
        <v>14074</v>
      </c>
      <c r="FL223" s="80">
        <v>11124</v>
      </c>
      <c r="FM223" s="80">
        <v>5033</v>
      </c>
      <c r="FN223" s="76">
        <v>86</v>
      </c>
      <c r="FO223" s="80">
        <v>11839</v>
      </c>
      <c r="FP223" s="80">
        <v>1168</v>
      </c>
      <c r="FQ223" s="80">
        <v>1067</v>
      </c>
      <c r="FR223" s="80">
        <v>-353</v>
      </c>
      <c r="FS223" s="81">
        <v>-910</v>
      </c>
      <c r="FT223" s="76">
        <v>901</v>
      </c>
      <c r="FU223" s="76">
        <v>7158</v>
      </c>
      <c r="FV223" s="76">
        <v>910</v>
      </c>
      <c r="FW223" s="80">
        <v>30507</v>
      </c>
      <c r="FX223" s="80">
        <v>-1192</v>
      </c>
      <c r="FY223" s="73">
        <v>5038</v>
      </c>
      <c r="FZ223" s="73">
        <v>14518</v>
      </c>
      <c r="GA223" s="73">
        <v>12595</v>
      </c>
      <c r="GB223" s="73">
        <v>3883</v>
      </c>
      <c r="GC223" s="73">
        <v>94</v>
      </c>
      <c r="GD223" s="73">
        <v>11774</v>
      </c>
      <c r="GE223" s="73">
        <v>1375</v>
      </c>
      <c r="GF223" s="73">
        <v>1369</v>
      </c>
      <c r="GG223" s="73">
        <v>149</v>
      </c>
      <c r="GH223" s="73">
        <v>-395</v>
      </c>
      <c r="GI223" s="73">
        <v>844</v>
      </c>
      <c r="GJ223" s="73">
        <v>8332</v>
      </c>
      <c r="GK223" s="73">
        <v>395</v>
      </c>
      <c r="GL223" s="73">
        <v>30800</v>
      </c>
      <c r="GM223" s="73">
        <v>-672</v>
      </c>
      <c r="GN223" s="73">
        <v>-136</v>
      </c>
      <c r="GO223" s="77">
        <v>20</v>
      </c>
      <c r="GP223" s="78">
        <v>4940</v>
      </c>
      <c r="GQ223" s="73">
        <v>15342</v>
      </c>
      <c r="GR223" s="65">
        <v>13251</v>
      </c>
      <c r="GS223" s="65">
        <v>3960</v>
      </c>
      <c r="GT223" s="65">
        <v>136</v>
      </c>
      <c r="GU223" s="65">
        <v>12615</v>
      </c>
      <c r="GV223" s="65">
        <v>1386</v>
      </c>
      <c r="GW223" s="65">
        <v>1341</v>
      </c>
      <c r="GX223" s="65">
        <v>4</v>
      </c>
      <c r="GY223" s="65">
        <v>-645</v>
      </c>
      <c r="GZ223" s="65">
        <v>913</v>
      </c>
      <c r="HA223" s="65">
        <v>9847</v>
      </c>
      <c r="HB223" s="65">
        <v>645</v>
      </c>
      <c r="HC223" s="65">
        <v>32487</v>
      </c>
      <c r="HD223" s="65">
        <v>-886</v>
      </c>
      <c r="HE223" s="78">
        <v>4868</v>
      </c>
      <c r="HF223" s="73">
        <v>14426</v>
      </c>
      <c r="HG223" s="65">
        <v>13831</v>
      </c>
      <c r="HH223" s="65">
        <v>4069</v>
      </c>
      <c r="HI223" s="65">
        <v>398</v>
      </c>
      <c r="HJ223" s="65">
        <v>12132</v>
      </c>
      <c r="HK223" s="65">
        <v>898</v>
      </c>
      <c r="HL223" s="65">
        <v>1396</v>
      </c>
      <c r="HM223" s="65">
        <v>-587</v>
      </c>
      <c r="HN223" s="65">
        <v>-974</v>
      </c>
      <c r="HO223" s="65">
        <v>893</v>
      </c>
      <c r="HP223" s="65">
        <v>11252</v>
      </c>
      <c r="HQ223" s="65">
        <v>974</v>
      </c>
      <c r="HR223" s="65">
        <v>32769</v>
      </c>
      <c r="HS223" s="65">
        <v>-1102</v>
      </c>
      <c r="HT223" s="65">
        <v>-2124</v>
      </c>
      <c r="HU223" s="77">
        <v>20.5</v>
      </c>
      <c r="HV223" s="180">
        <v>340</v>
      </c>
      <c r="HW223" s="30" t="s">
        <v>761</v>
      </c>
    </row>
    <row r="224" spans="1:231" ht="15" x14ac:dyDescent="0.25">
      <c r="A224" s="27">
        <v>704</v>
      </c>
      <c r="B224" s="27" t="s">
        <v>349</v>
      </c>
      <c r="C224" s="27">
        <v>2</v>
      </c>
      <c r="D224" s="27" t="s">
        <v>122</v>
      </c>
      <c r="E224" s="27">
        <v>3</v>
      </c>
      <c r="F224" s="27" t="s">
        <v>743</v>
      </c>
      <c r="G224" s="29" t="s">
        <v>130</v>
      </c>
      <c r="H224" s="27" t="s">
        <v>98</v>
      </c>
      <c r="I224" s="31" t="s">
        <v>122</v>
      </c>
      <c r="J224" s="69">
        <v>4981</v>
      </c>
      <c r="K224" s="69">
        <v>5052</v>
      </c>
      <c r="L224" s="36">
        <v>5174</v>
      </c>
      <c r="M224" s="36">
        <v>5335</v>
      </c>
      <c r="N224" s="36">
        <v>5408</v>
      </c>
      <c r="O224" s="36">
        <v>5488</v>
      </c>
      <c r="P224" s="36">
        <v>5598</v>
      </c>
      <c r="Q224" s="36">
        <v>5654</v>
      </c>
      <c r="R224" s="69">
        <v>5708</v>
      </c>
      <c r="S224" s="69">
        <v>5724</v>
      </c>
      <c r="T224" s="71">
        <v>5758</v>
      </c>
      <c r="U224" s="36">
        <v>8690</v>
      </c>
      <c r="V224" s="36">
        <v>2014</v>
      </c>
      <c r="W224" s="36">
        <v>1547</v>
      </c>
      <c r="X224" s="36">
        <v>376.90914320024621</v>
      </c>
      <c r="Y224" s="36">
        <v>9161</v>
      </c>
      <c r="Z224" s="36">
        <v>2231</v>
      </c>
      <c r="AA224" s="36">
        <v>1671</v>
      </c>
      <c r="AB224" s="36">
        <v>429.21558832977615</v>
      </c>
      <c r="AC224" s="36">
        <v>9863</v>
      </c>
      <c r="AD224" s="36">
        <v>2736</v>
      </c>
      <c r="AE224" s="36">
        <v>1916</v>
      </c>
      <c r="AF224" s="36">
        <v>377.41370697963072</v>
      </c>
      <c r="AG224" s="36">
        <v>11129</v>
      </c>
      <c r="AH224" s="36">
        <v>3183</v>
      </c>
      <c r="AI224" s="36">
        <v>1992</v>
      </c>
      <c r="AJ224" s="36">
        <v>409.03303715439483</v>
      </c>
      <c r="AK224" s="36">
        <v>12614</v>
      </c>
      <c r="AL224" s="36">
        <v>3739</v>
      </c>
      <c r="AM224" s="36">
        <v>2316</v>
      </c>
      <c r="AN224" s="36">
        <v>355</v>
      </c>
      <c r="AO224" s="36">
        <v>12266</v>
      </c>
      <c r="AP224" s="36">
        <v>3294</v>
      </c>
      <c r="AQ224" s="36">
        <v>2871</v>
      </c>
      <c r="AR224" s="36">
        <v>231</v>
      </c>
      <c r="AS224" s="36">
        <v>12160</v>
      </c>
      <c r="AT224" s="36">
        <v>3802</v>
      </c>
      <c r="AU224" s="36">
        <v>3221</v>
      </c>
      <c r="AV224" s="36">
        <v>214</v>
      </c>
      <c r="AW224" s="36">
        <v>12977</v>
      </c>
      <c r="AX224" s="69">
        <v>4373</v>
      </c>
      <c r="AY224" s="36">
        <v>2984</v>
      </c>
      <c r="AZ224" s="36">
        <v>405</v>
      </c>
      <c r="BA224" s="36">
        <v>13650</v>
      </c>
      <c r="BB224" s="36">
        <v>4618</v>
      </c>
      <c r="BC224" s="36">
        <v>2900</v>
      </c>
      <c r="BD224" s="36">
        <v>117</v>
      </c>
      <c r="BE224" s="70">
        <v>15203</v>
      </c>
      <c r="BF224" s="70">
        <v>5277</v>
      </c>
      <c r="BG224" s="70">
        <v>3111</v>
      </c>
      <c r="BH224" s="70">
        <v>257</v>
      </c>
      <c r="BI224" s="36">
        <v>16605</v>
      </c>
      <c r="BJ224" s="36">
        <v>5388</v>
      </c>
      <c r="BK224" s="36">
        <v>3414</v>
      </c>
      <c r="BL224" s="36">
        <v>159</v>
      </c>
      <c r="BM224" s="36">
        <v>8054.18342238884</v>
      </c>
      <c r="BN224" s="36">
        <v>467.39424763653915</v>
      </c>
      <c r="BO224" s="36">
        <v>164.15141622643475</v>
      </c>
      <c r="BP224" s="36">
        <v>8415.7874642810893</v>
      </c>
      <c r="BQ224" s="36">
        <v>589.33049432113467</v>
      </c>
      <c r="BR224" s="36">
        <v>151.70550966828296</v>
      </c>
      <c r="BS224" s="36">
        <v>8703.5570064567328</v>
      </c>
      <c r="BT224" s="36">
        <v>890.72325854016242</v>
      </c>
      <c r="BU224" s="36">
        <v>264.55960832395687</v>
      </c>
      <c r="BV224" s="36">
        <v>10149</v>
      </c>
      <c r="BW224" s="36">
        <v>630</v>
      </c>
      <c r="BX224" s="36">
        <v>346</v>
      </c>
      <c r="BY224" s="36">
        <v>11184</v>
      </c>
      <c r="BZ224" s="36">
        <v>1115</v>
      </c>
      <c r="CA224" s="36">
        <v>315</v>
      </c>
      <c r="CB224" s="36">
        <v>11508</v>
      </c>
      <c r="CC224" s="36">
        <v>299</v>
      </c>
      <c r="CD224" s="36">
        <v>459</v>
      </c>
      <c r="CE224" s="36">
        <v>11239</v>
      </c>
      <c r="CF224" s="36">
        <v>603</v>
      </c>
      <c r="CG224" s="36">
        <v>318</v>
      </c>
      <c r="CH224" s="36">
        <v>12034</v>
      </c>
      <c r="CI224" s="36">
        <v>592</v>
      </c>
      <c r="CJ224" s="70">
        <v>351</v>
      </c>
      <c r="CK224" s="70">
        <v>12663</v>
      </c>
      <c r="CL224" s="70">
        <v>614</v>
      </c>
      <c r="CM224" s="36">
        <v>373</v>
      </c>
      <c r="CN224" s="36">
        <v>14082</v>
      </c>
      <c r="CO224" s="36">
        <v>708</v>
      </c>
      <c r="CP224" s="36">
        <v>413</v>
      </c>
      <c r="CQ224" s="36">
        <v>15434</v>
      </c>
      <c r="CR224" s="36">
        <v>713</v>
      </c>
      <c r="CS224" s="36">
        <v>458</v>
      </c>
      <c r="CT224" s="36">
        <v>604.80378355559367</v>
      </c>
      <c r="CU224" s="36">
        <v>-337.04860460000003</v>
      </c>
      <c r="CV224" s="36">
        <v>574.36176886606017</v>
      </c>
      <c r="CW224" s="36">
        <v>1868</v>
      </c>
      <c r="CX224" s="36">
        <v>932.0974884496942</v>
      </c>
      <c r="CY224" s="36">
        <v>-199.30269289700001</v>
      </c>
      <c r="CZ224" s="36">
        <v>562.42042608729287</v>
      </c>
      <c r="DA224" s="36">
        <v>1154</v>
      </c>
      <c r="DB224" s="36">
        <v>1716.8623533191046</v>
      </c>
      <c r="DC224" s="36">
        <v>-1870.7543056</v>
      </c>
      <c r="DD224" s="36">
        <v>584.78942030667383</v>
      </c>
      <c r="DE224" s="36">
        <v>1364</v>
      </c>
      <c r="DF224" s="36">
        <v>2158.019284427648</v>
      </c>
      <c r="DG224" s="36">
        <v>-856</v>
      </c>
      <c r="DH224" s="36">
        <v>655.59653734697008</v>
      </c>
      <c r="DI224" s="36">
        <v>1784</v>
      </c>
      <c r="DJ224" s="36">
        <v>3870</v>
      </c>
      <c r="DK224" s="36">
        <v>-2173</v>
      </c>
      <c r="DL224" s="36">
        <v>709</v>
      </c>
      <c r="DM224" s="36">
        <v>654</v>
      </c>
      <c r="DN224" s="36">
        <v>1890</v>
      </c>
      <c r="DO224" s="69">
        <v>-1961</v>
      </c>
      <c r="DP224" s="36">
        <v>774</v>
      </c>
      <c r="DQ224" s="36">
        <v>307</v>
      </c>
      <c r="DR224" s="36">
        <v>842</v>
      </c>
      <c r="DS224" s="36">
        <v>-3241</v>
      </c>
      <c r="DT224" s="36">
        <v>901</v>
      </c>
      <c r="DU224" s="36">
        <v>1150</v>
      </c>
      <c r="DV224" s="36">
        <v>586</v>
      </c>
      <c r="DW224" s="71">
        <v>-6057</v>
      </c>
      <c r="DX224" s="39">
        <v>1050</v>
      </c>
      <c r="DY224" s="71">
        <v>2570</v>
      </c>
      <c r="DZ224" s="70">
        <v>313</v>
      </c>
      <c r="EA224" s="35">
        <v>-1913</v>
      </c>
      <c r="EB224" s="35">
        <v>1196</v>
      </c>
      <c r="EC224" s="38">
        <v>3900</v>
      </c>
      <c r="ED224" s="38">
        <v>1741</v>
      </c>
      <c r="EE224" s="38">
        <v>-1583</v>
      </c>
      <c r="EF224" s="38">
        <v>1235</v>
      </c>
      <c r="EG224" s="73">
        <v>4930</v>
      </c>
      <c r="EH224" s="73">
        <v>711</v>
      </c>
      <c r="EI224" s="73">
        <v>-1154</v>
      </c>
      <c r="EJ224" s="73">
        <v>1356</v>
      </c>
      <c r="EK224" s="73">
        <v>5960</v>
      </c>
      <c r="EL224" s="73">
        <v>11095.189320739421</v>
      </c>
      <c r="EM224" s="73">
        <v>196.61168603350637</v>
      </c>
      <c r="EN224" s="73">
        <v>11633.895249195641</v>
      </c>
      <c r="EO224" s="73">
        <v>625.82727436328253</v>
      </c>
      <c r="EP224" s="73">
        <v>12268.468295734921</v>
      </c>
      <c r="EQ224" s="73">
        <v>1158.9830012462726</v>
      </c>
      <c r="ER224" s="73">
        <v>13571.924725811634</v>
      </c>
      <c r="ES224" s="73">
        <v>1551.7018095339008</v>
      </c>
      <c r="ET224" s="73">
        <v>15083</v>
      </c>
      <c r="EU224" s="73">
        <v>1702</v>
      </c>
      <c r="EV224" s="73">
        <v>16745</v>
      </c>
      <c r="EW224" s="73">
        <v>1163</v>
      </c>
      <c r="EX224" s="73">
        <v>18530</v>
      </c>
      <c r="EY224" s="73">
        <v>466</v>
      </c>
      <c r="EZ224" s="73">
        <v>19947</v>
      </c>
      <c r="FA224" s="73">
        <v>-201</v>
      </c>
      <c r="FB224" s="73">
        <v>20909</v>
      </c>
      <c r="FC224" s="73">
        <v>-642</v>
      </c>
      <c r="FD224" s="73">
        <v>21920</v>
      </c>
      <c r="FE224" s="73">
        <v>747</v>
      </c>
      <c r="FF224" s="73">
        <v>24712</v>
      </c>
      <c r="FG224" s="73">
        <v>-404</v>
      </c>
      <c r="FH224" s="73">
        <v>8526</v>
      </c>
      <c r="FI224" s="73">
        <v>8121</v>
      </c>
      <c r="FJ224" s="79">
        <v>5822</v>
      </c>
      <c r="FK224" s="80">
        <v>16489</v>
      </c>
      <c r="FL224" s="80">
        <v>5414</v>
      </c>
      <c r="FM224" s="80">
        <v>4485</v>
      </c>
      <c r="FN224" s="76">
        <v>67</v>
      </c>
      <c r="FO224" s="80">
        <v>15335</v>
      </c>
      <c r="FP224" s="80">
        <v>680</v>
      </c>
      <c r="FQ224" s="80">
        <v>474</v>
      </c>
      <c r="FR224" s="80">
        <v>1661</v>
      </c>
      <c r="FS224" s="81">
        <v>-1841</v>
      </c>
      <c r="FT224" s="76">
        <v>1188</v>
      </c>
      <c r="FU224" s="76">
        <v>5790</v>
      </c>
      <c r="FV224" s="76">
        <v>1841</v>
      </c>
      <c r="FW224" s="80">
        <v>24721</v>
      </c>
      <c r="FX224" s="80">
        <v>631</v>
      </c>
      <c r="FY224" s="73">
        <v>5816</v>
      </c>
      <c r="FZ224" s="73">
        <v>17603</v>
      </c>
      <c r="GA224" s="73">
        <v>5749</v>
      </c>
      <c r="GB224" s="73">
        <v>4710</v>
      </c>
      <c r="GC224" s="73">
        <v>46</v>
      </c>
      <c r="GD224" s="73">
        <v>16005</v>
      </c>
      <c r="GE224" s="73">
        <v>983</v>
      </c>
      <c r="GF224" s="73">
        <v>615</v>
      </c>
      <c r="GG224" s="73">
        <v>2422</v>
      </c>
      <c r="GH224" s="73">
        <v>-303</v>
      </c>
      <c r="GI224" s="73">
        <v>1227</v>
      </c>
      <c r="GJ224" s="73">
        <v>5620</v>
      </c>
      <c r="GK224" s="73">
        <v>303</v>
      </c>
      <c r="GL224" s="73">
        <v>25657</v>
      </c>
      <c r="GM224" s="73">
        <v>1337</v>
      </c>
      <c r="GN224" s="73">
        <v>10088</v>
      </c>
      <c r="GO224" s="77">
        <v>18.25</v>
      </c>
      <c r="GP224" s="78">
        <v>5870</v>
      </c>
      <c r="GQ224" s="73">
        <v>18228</v>
      </c>
      <c r="GR224" s="65">
        <v>6246</v>
      </c>
      <c r="GS224" s="65">
        <v>5097</v>
      </c>
      <c r="GT224" s="65">
        <v>84</v>
      </c>
      <c r="GU224" s="65">
        <v>16439</v>
      </c>
      <c r="GV224" s="65">
        <v>1163</v>
      </c>
      <c r="GW224" s="65">
        <v>626</v>
      </c>
      <c r="GX224" s="65">
        <v>2755</v>
      </c>
      <c r="GY224" s="65">
        <v>-955</v>
      </c>
      <c r="GZ224" s="65">
        <v>1264</v>
      </c>
      <c r="HA224" s="65">
        <v>5050</v>
      </c>
      <c r="HB224" s="65">
        <v>955</v>
      </c>
      <c r="HC224" s="65">
        <v>26864</v>
      </c>
      <c r="HD224" s="65">
        <v>1510</v>
      </c>
      <c r="HE224" s="78">
        <v>5907</v>
      </c>
      <c r="HF224" s="73">
        <v>18543</v>
      </c>
      <c r="HG224" s="65">
        <v>6006</v>
      </c>
      <c r="HH224" s="65">
        <v>4191</v>
      </c>
      <c r="HI224" s="65">
        <v>53</v>
      </c>
      <c r="HJ224" s="65">
        <v>16914</v>
      </c>
      <c r="HK224" s="65">
        <v>798</v>
      </c>
      <c r="HL224" s="65">
        <v>831</v>
      </c>
      <c r="HM224" s="65">
        <v>1022</v>
      </c>
      <c r="HN224" s="65">
        <v>-2261</v>
      </c>
      <c r="HO224" s="65">
        <v>1331</v>
      </c>
      <c r="HP224" s="65">
        <v>4880</v>
      </c>
      <c r="HQ224" s="65">
        <v>2261</v>
      </c>
      <c r="HR224" s="65">
        <v>27750</v>
      </c>
      <c r="HS224" s="65">
        <v>-290</v>
      </c>
      <c r="HT224" s="65">
        <v>11214</v>
      </c>
      <c r="HU224" s="77">
        <v>18.25</v>
      </c>
      <c r="HV224" s="180">
        <v>320</v>
      </c>
      <c r="HW224" s="30" t="s">
        <v>759</v>
      </c>
    </row>
    <row r="225" spans="1:231" ht="15" x14ac:dyDescent="0.25">
      <c r="A225" s="27">
        <v>707</v>
      </c>
      <c r="B225" s="27" t="s">
        <v>350</v>
      </c>
      <c r="C225" s="27">
        <v>12</v>
      </c>
      <c r="D225" s="27" t="s">
        <v>116</v>
      </c>
      <c r="E225" s="27">
        <v>2</v>
      </c>
      <c r="F225" s="27" t="s">
        <v>744</v>
      </c>
      <c r="G225" s="29" t="s">
        <v>130</v>
      </c>
      <c r="H225" s="27" t="s">
        <v>98</v>
      </c>
      <c r="I225" s="31" t="s">
        <v>116</v>
      </c>
      <c r="J225" s="69">
        <v>3229</v>
      </c>
      <c r="K225" s="36">
        <v>3172</v>
      </c>
      <c r="L225" s="36">
        <v>3175</v>
      </c>
      <c r="M225" s="36">
        <v>3076</v>
      </c>
      <c r="N225" s="36">
        <v>3020</v>
      </c>
      <c r="O225" s="36">
        <v>2960</v>
      </c>
      <c r="P225" s="36">
        <v>2936</v>
      </c>
      <c r="Q225" s="36">
        <v>2838</v>
      </c>
      <c r="R225" s="69">
        <v>2778</v>
      </c>
      <c r="S225" s="69">
        <v>2735</v>
      </c>
      <c r="T225" s="71">
        <v>2671</v>
      </c>
      <c r="U225" s="36">
        <v>5135</v>
      </c>
      <c r="V225" s="36">
        <v>4926</v>
      </c>
      <c r="W225" s="36">
        <v>2748</v>
      </c>
      <c r="X225" s="36">
        <v>21.696242513534923</v>
      </c>
      <c r="Y225" s="36">
        <v>4677</v>
      </c>
      <c r="Z225" s="36">
        <v>4789</v>
      </c>
      <c r="AA225" s="36">
        <v>2530</v>
      </c>
      <c r="AB225" s="36">
        <v>123.11356216982607</v>
      </c>
      <c r="AC225" s="36">
        <v>4725</v>
      </c>
      <c r="AD225" s="36">
        <v>5360</v>
      </c>
      <c r="AE225" s="36">
        <v>2633</v>
      </c>
      <c r="AF225" s="36">
        <v>124.12268972859512</v>
      </c>
      <c r="AG225" s="36">
        <v>5002</v>
      </c>
      <c r="AH225" s="36">
        <v>5703</v>
      </c>
      <c r="AI225" s="36">
        <v>2774</v>
      </c>
      <c r="AJ225" s="36">
        <v>88.130473465831784</v>
      </c>
      <c r="AK225" s="36">
        <v>5037</v>
      </c>
      <c r="AL225" s="36">
        <v>6117</v>
      </c>
      <c r="AM225" s="36">
        <v>2861</v>
      </c>
      <c r="AN225" s="36">
        <v>209</v>
      </c>
      <c r="AO225" s="36">
        <v>4732</v>
      </c>
      <c r="AP225" s="36">
        <v>6373</v>
      </c>
      <c r="AQ225" s="36">
        <v>2800</v>
      </c>
      <c r="AR225" s="36">
        <v>177</v>
      </c>
      <c r="AS225" s="36">
        <v>5053</v>
      </c>
      <c r="AT225" s="36">
        <v>6382</v>
      </c>
      <c r="AU225" s="36">
        <v>2097</v>
      </c>
      <c r="AV225" s="36">
        <v>193</v>
      </c>
      <c r="AW225" s="36">
        <v>5387</v>
      </c>
      <c r="AX225" s="69">
        <v>6276</v>
      </c>
      <c r="AY225" s="36">
        <v>1963</v>
      </c>
      <c r="AZ225" s="36">
        <v>214</v>
      </c>
      <c r="BA225" s="36">
        <v>5171</v>
      </c>
      <c r="BB225" s="36">
        <v>6666</v>
      </c>
      <c r="BC225" s="36">
        <v>2052</v>
      </c>
      <c r="BD225" s="36">
        <v>0</v>
      </c>
      <c r="BE225" s="70">
        <v>5439</v>
      </c>
      <c r="BF225" s="70">
        <v>7502</v>
      </c>
      <c r="BG225" s="70">
        <v>2588</v>
      </c>
      <c r="BH225" s="70">
        <v>163</v>
      </c>
      <c r="BI225" s="36">
        <v>5594</v>
      </c>
      <c r="BJ225" s="36">
        <v>7524</v>
      </c>
      <c r="BK225" s="36">
        <v>2479</v>
      </c>
      <c r="BL225" s="36">
        <v>124</v>
      </c>
      <c r="BM225" s="36">
        <v>3806.4291516769181</v>
      </c>
      <c r="BN225" s="36">
        <v>1163.1876994078102</v>
      </c>
      <c r="BO225" s="36">
        <v>165.32873171166534</v>
      </c>
      <c r="BP225" s="36">
        <v>3560.2020273372655</v>
      </c>
      <c r="BQ225" s="36">
        <v>944.54339500784579</v>
      </c>
      <c r="BR225" s="36">
        <v>172.05624877012579</v>
      </c>
      <c r="BS225" s="36">
        <v>3516.9777302366574</v>
      </c>
      <c r="BT225" s="36">
        <v>988.94500759368498</v>
      </c>
      <c r="BU225" s="36">
        <v>219.14886817934888</v>
      </c>
      <c r="BV225" s="36">
        <v>4038</v>
      </c>
      <c r="BW225" s="36">
        <v>731</v>
      </c>
      <c r="BX225" s="36">
        <v>233</v>
      </c>
      <c r="BY225" s="36">
        <v>4379</v>
      </c>
      <c r="BZ225" s="36">
        <v>421</v>
      </c>
      <c r="CA225" s="36">
        <v>237</v>
      </c>
      <c r="CB225" s="36">
        <v>4240</v>
      </c>
      <c r="CC225" s="36">
        <v>250</v>
      </c>
      <c r="CD225" s="36">
        <v>242</v>
      </c>
      <c r="CE225" s="36">
        <v>4343</v>
      </c>
      <c r="CF225" s="36">
        <v>413</v>
      </c>
      <c r="CG225" s="36">
        <v>297</v>
      </c>
      <c r="CH225" s="36">
        <v>4483</v>
      </c>
      <c r="CI225" s="36">
        <v>593</v>
      </c>
      <c r="CJ225" s="70">
        <v>311</v>
      </c>
      <c r="CK225" s="70">
        <v>4239</v>
      </c>
      <c r="CL225" s="70">
        <v>618</v>
      </c>
      <c r="CM225" s="36">
        <v>314</v>
      </c>
      <c r="CN225" s="36">
        <v>4553</v>
      </c>
      <c r="CO225" s="36">
        <v>578</v>
      </c>
      <c r="CP225" s="36">
        <v>308</v>
      </c>
      <c r="CQ225" s="36">
        <v>4796</v>
      </c>
      <c r="CR225" s="36">
        <v>460</v>
      </c>
      <c r="CS225" s="36">
        <v>338</v>
      </c>
      <c r="CT225" s="36">
        <v>267.41880307380251</v>
      </c>
      <c r="CU225" s="36">
        <v>-1154.9464909999999</v>
      </c>
      <c r="CV225" s="36">
        <v>451.58458254915706</v>
      </c>
      <c r="CW225" s="36">
        <v>1466</v>
      </c>
      <c r="CX225" s="36">
        <v>-460.49854265161719</v>
      </c>
      <c r="CY225" s="36">
        <v>-1168.401525</v>
      </c>
      <c r="CZ225" s="36">
        <v>550.98364708791019</v>
      </c>
      <c r="DA225" s="36">
        <v>4124</v>
      </c>
      <c r="DB225" s="36">
        <v>-480.00834212115251</v>
      </c>
      <c r="DC225" s="36">
        <v>-1284.1148189999999</v>
      </c>
      <c r="DD225" s="36">
        <v>468.23518726884669</v>
      </c>
      <c r="DE225" s="36">
        <v>5811</v>
      </c>
      <c r="DF225" s="36">
        <v>-263.38229283872624</v>
      </c>
      <c r="DG225" s="36">
        <v>-290</v>
      </c>
      <c r="DH225" s="36">
        <v>560.73854682267779</v>
      </c>
      <c r="DI225" s="36">
        <v>6155</v>
      </c>
      <c r="DJ225" s="36">
        <v>678</v>
      </c>
      <c r="DK225" s="36">
        <v>-756</v>
      </c>
      <c r="DL225" s="36">
        <v>677</v>
      </c>
      <c r="DM225" s="36">
        <v>5304</v>
      </c>
      <c r="DN225" s="36">
        <v>367</v>
      </c>
      <c r="DO225" s="69">
        <v>-117</v>
      </c>
      <c r="DP225" s="36">
        <v>585</v>
      </c>
      <c r="DQ225" s="36">
        <v>4990</v>
      </c>
      <c r="DR225" s="36">
        <v>715</v>
      </c>
      <c r="DS225" s="36">
        <v>-310</v>
      </c>
      <c r="DT225" s="36">
        <v>530</v>
      </c>
      <c r="DU225" s="36">
        <v>4761</v>
      </c>
      <c r="DV225" s="36">
        <v>515</v>
      </c>
      <c r="DW225" s="71">
        <v>-303</v>
      </c>
      <c r="DX225" s="39">
        <v>531</v>
      </c>
      <c r="DY225" s="71">
        <v>4230</v>
      </c>
      <c r="DZ225" s="70">
        <v>-684</v>
      </c>
      <c r="EA225" s="35">
        <v>261</v>
      </c>
      <c r="EB225" s="35">
        <v>582</v>
      </c>
      <c r="EC225" s="38">
        <v>4256</v>
      </c>
      <c r="ED225" s="38">
        <v>335</v>
      </c>
      <c r="EE225" s="38">
        <v>399</v>
      </c>
      <c r="EF225" s="38">
        <v>512</v>
      </c>
      <c r="EG225" s="73">
        <v>4424</v>
      </c>
      <c r="EH225" s="73">
        <v>-509</v>
      </c>
      <c r="EI225" s="73">
        <v>5</v>
      </c>
      <c r="EJ225" s="73">
        <v>540</v>
      </c>
      <c r="EK225" s="73">
        <v>4258</v>
      </c>
      <c r="EL225" s="73">
        <v>12024.091238586347</v>
      </c>
      <c r="EM225" s="73">
        <v>-184.16577947535458</v>
      </c>
      <c r="EN225" s="73">
        <v>11999.535801322965</v>
      </c>
      <c r="EO225" s="73">
        <v>-1011.4821897395274</v>
      </c>
      <c r="EP225" s="73">
        <v>12557.078777542874</v>
      </c>
      <c r="EQ225" s="73">
        <v>-936.47037453769337</v>
      </c>
      <c r="ER225" s="73">
        <v>12983.603359049266</v>
      </c>
      <c r="ES225" s="73">
        <v>-810.16124176509868</v>
      </c>
      <c r="ET225" s="73">
        <v>13297</v>
      </c>
      <c r="EU225" s="73">
        <v>1</v>
      </c>
      <c r="EV225" s="73">
        <v>13540</v>
      </c>
      <c r="EW225" s="73">
        <v>-218</v>
      </c>
      <c r="EX225" s="73">
        <v>12848</v>
      </c>
      <c r="EY225" s="73">
        <v>185</v>
      </c>
      <c r="EZ225" s="73">
        <v>13141</v>
      </c>
      <c r="FA225" s="73">
        <v>-16</v>
      </c>
      <c r="FB225" s="73">
        <v>14392</v>
      </c>
      <c r="FC225" s="73">
        <v>-1266</v>
      </c>
      <c r="FD225" s="73">
        <v>15146</v>
      </c>
      <c r="FE225" s="73">
        <v>-177</v>
      </c>
      <c r="FF225" s="73">
        <v>16016</v>
      </c>
      <c r="FG225" s="73">
        <v>-1049</v>
      </c>
      <c r="FH225" s="73">
        <v>-4316</v>
      </c>
      <c r="FI225" s="73">
        <v>-1363</v>
      </c>
      <c r="FJ225" s="79">
        <v>2625</v>
      </c>
      <c r="FK225" s="80">
        <v>5824</v>
      </c>
      <c r="FL225" s="80">
        <v>8387</v>
      </c>
      <c r="FM225" s="80">
        <v>1830</v>
      </c>
      <c r="FN225" s="76">
        <v>143</v>
      </c>
      <c r="FO225" s="80">
        <v>4998</v>
      </c>
      <c r="FP225" s="80">
        <v>350</v>
      </c>
      <c r="FQ225" s="80">
        <v>476</v>
      </c>
      <c r="FR225" s="80">
        <v>48</v>
      </c>
      <c r="FS225" s="81">
        <v>90</v>
      </c>
      <c r="FT225" s="76">
        <v>557</v>
      </c>
      <c r="FU225" s="76">
        <v>4858</v>
      </c>
      <c r="FV225" s="76">
        <v>-90</v>
      </c>
      <c r="FW225" s="80">
        <v>15984</v>
      </c>
      <c r="FX225" s="80">
        <v>-562</v>
      </c>
      <c r="FY225" s="73">
        <v>2554</v>
      </c>
      <c r="FZ225" s="73">
        <v>6011</v>
      </c>
      <c r="GA225" s="73">
        <v>8993</v>
      </c>
      <c r="GB225" s="73">
        <v>1995</v>
      </c>
      <c r="GC225" s="73">
        <v>250</v>
      </c>
      <c r="GD225" s="73">
        <v>5042</v>
      </c>
      <c r="GE225" s="73">
        <v>440</v>
      </c>
      <c r="GF225" s="73">
        <v>529</v>
      </c>
      <c r="GG225" s="73">
        <v>952</v>
      </c>
      <c r="GH225" s="73">
        <v>491</v>
      </c>
      <c r="GI225" s="73">
        <v>460</v>
      </c>
      <c r="GJ225" s="73">
        <v>3514</v>
      </c>
      <c r="GK225" s="73">
        <v>-491</v>
      </c>
      <c r="GL225" s="73">
        <v>16224</v>
      </c>
      <c r="GM225" s="73">
        <v>545</v>
      </c>
      <c r="GN225" s="73">
        <v>-1483</v>
      </c>
      <c r="GO225" s="77">
        <v>21</v>
      </c>
      <c r="GP225" s="78">
        <v>2532</v>
      </c>
      <c r="GQ225" s="73">
        <v>5613</v>
      </c>
      <c r="GR225" s="65">
        <v>9082</v>
      </c>
      <c r="GS225" s="65">
        <v>4661</v>
      </c>
      <c r="GT225" s="65">
        <v>162</v>
      </c>
      <c r="GU225" s="65">
        <v>4610</v>
      </c>
      <c r="GV225" s="65">
        <v>459</v>
      </c>
      <c r="GW225" s="65">
        <v>544</v>
      </c>
      <c r="GX225" s="65">
        <v>645</v>
      </c>
      <c r="GY225" s="65">
        <v>-88</v>
      </c>
      <c r="GZ225" s="65">
        <v>413</v>
      </c>
      <c r="HA225" s="65">
        <v>2804</v>
      </c>
      <c r="HB225" s="65">
        <v>88</v>
      </c>
      <c r="HC225" s="65">
        <v>18799</v>
      </c>
      <c r="HD225" s="65">
        <v>232</v>
      </c>
      <c r="HE225" s="78">
        <v>2490</v>
      </c>
      <c r="HF225" s="73">
        <v>6009</v>
      </c>
      <c r="HG225" s="65">
        <v>9310</v>
      </c>
      <c r="HH225" s="65">
        <v>5180</v>
      </c>
      <c r="HI225" s="65">
        <v>171</v>
      </c>
      <c r="HJ225" s="65">
        <v>5188</v>
      </c>
      <c r="HK225" s="65">
        <v>284</v>
      </c>
      <c r="HL225" s="65">
        <v>537</v>
      </c>
      <c r="HM225" s="65">
        <v>445</v>
      </c>
      <c r="HN225" s="65">
        <v>-138</v>
      </c>
      <c r="HO225" s="65">
        <v>426</v>
      </c>
      <c r="HP225" s="65">
        <v>2095</v>
      </c>
      <c r="HQ225" s="65">
        <v>138</v>
      </c>
      <c r="HR225" s="65">
        <v>20168</v>
      </c>
      <c r="HS225" s="65">
        <v>19</v>
      </c>
      <c r="HT225" s="65">
        <v>-1268</v>
      </c>
      <c r="HU225" s="77">
        <v>21</v>
      </c>
      <c r="HV225" s="180">
        <v>340</v>
      </c>
      <c r="HW225" s="30" t="s">
        <v>761</v>
      </c>
    </row>
    <row r="226" spans="1:231" ht="15" x14ac:dyDescent="0.25">
      <c r="A226" s="27">
        <v>729</v>
      </c>
      <c r="B226" s="27" t="s">
        <v>351</v>
      </c>
      <c r="C226" s="27">
        <v>13</v>
      </c>
      <c r="D226" s="27" t="s">
        <v>111</v>
      </c>
      <c r="E226" s="27">
        <v>3</v>
      </c>
      <c r="F226" s="27" t="s">
        <v>743</v>
      </c>
      <c r="G226" s="29" t="s">
        <v>130</v>
      </c>
      <c r="H226" s="27" t="s">
        <v>98</v>
      </c>
      <c r="I226" s="31" t="s">
        <v>111</v>
      </c>
      <c r="J226" s="69">
        <v>11822</v>
      </c>
      <c r="K226" s="69">
        <v>11767</v>
      </c>
      <c r="L226" s="36">
        <v>11624</v>
      </c>
      <c r="M226" s="36">
        <v>11489</v>
      </c>
      <c r="N226" s="36">
        <v>11358</v>
      </c>
      <c r="O226" s="36">
        <v>11276</v>
      </c>
      <c r="P226" s="36">
        <v>11130</v>
      </c>
      <c r="Q226" s="36">
        <v>11048</v>
      </c>
      <c r="R226" s="69">
        <v>10929</v>
      </c>
      <c r="S226" s="69">
        <v>10801</v>
      </c>
      <c r="T226" s="71">
        <v>10730</v>
      </c>
      <c r="U226" s="36">
        <v>21712</v>
      </c>
      <c r="V226" s="36">
        <v>13050</v>
      </c>
      <c r="W226" s="36">
        <v>8249</v>
      </c>
      <c r="X226" s="36">
        <v>402.13733216947293</v>
      </c>
      <c r="Y226" s="36">
        <v>21543</v>
      </c>
      <c r="Z226" s="36">
        <v>12799</v>
      </c>
      <c r="AA226" s="36">
        <v>9405</v>
      </c>
      <c r="AB226" s="36">
        <v>987.09494040260824</v>
      </c>
      <c r="AC226" s="36">
        <v>20600</v>
      </c>
      <c r="AD226" s="36">
        <v>13029</v>
      </c>
      <c r="AE226" s="36">
        <v>9365</v>
      </c>
      <c r="AF226" s="36">
        <v>2110.926665018425</v>
      </c>
      <c r="AG226" s="36">
        <v>22024</v>
      </c>
      <c r="AH226" s="36">
        <v>14996</v>
      </c>
      <c r="AI226" s="36">
        <v>9985</v>
      </c>
      <c r="AJ226" s="36">
        <v>1306.8201886059405</v>
      </c>
      <c r="AK226" s="36">
        <v>21646</v>
      </c>
      <c r="AL226" s="36">
        <v>16476</v>
      </c>
      <c r="AM226" s="36">
        <v>10047</v>
      </c>
      <c r="AN226" s="36">
        <v>1001</v>
      </c>
      <c r="AO226" s="36">
        <v>20983</v>
      </c>
      <c r="AP226" s="36">
        <v>18511</v>
      </c>
      <c r="AQ226" s="36">
        <v>11131</v>
      </c>
      <c r="AR226" s="36">
        <v>1430</v>
      </c>
      <c r="AS226" s="36">
        <v>21393</v>
      </c>
      <c r="AT226" s="36">
        <v>18444</v>
      </c>
      <c r="AU226" s="36">
        <v>11396</v>
      </c>
      <c r="AV226" s="36">
        <v>1017</v>
      </c>
      <c r="AW226" s="36">
        <v>21724</v>
      </c>
      <c r="AX226" s="69">
        <v>19386</v>
      </c>
      <c r="AY226" s="36">
        <v>11890</v>
      </c>
      <c r="AZ226" s="36">
        <v>1939</v>
      </c>
      <c r="BA226" s="36">
        <v>23355</v>
      </c>
      <c r="BB226" s="36">
        <v>20311</v>
      </c>
      <c r="BC226" s="36">
        <v>12504</v>
      </c>
      <c r="BD226" s="36">
        <v>278</v>
      </c>
      <c r="BE226" s="70">
        <v>24231</v>
      </c>
      <c r="BF226" s="70">
        <v>21185</v>
      </c>
      <c r="BG226" s="70">
        <v>12721</v>
      </c>
      <c r="BH226" s="70">
        <v>1121</v>
      </c>
      <c r="BI226" s="36">
        <v>26951</v>
      </c>
      <c r="BJ226" s="36">
        <v>23251</v>
      </c>
      <c r="BK226" s="36">
        <v>12516</v>
      </c>
      <c r="BL226" s="36">
        <v>422</v>
      </c>
      <c r="BM226" s="36">
        <v>16750.50834800773</v>
      </c>
      <c r="BN226" s="36">
        <v>4070.147820368567</v>
      </c>
      <c r="BO226" s="36">
        <v>879.11829161431831</v>
      </c>
      <c r="BP226" s="36">
        <v>16946.110906482467</v>
      </c>
      <c r="BQ226" s="36">
        <v>3656.7418971261727</v>
      </c>
      <c r="BR226" s="36">
        <v>930.41560918507901</v>
      </c>
      <c r="BS226" s="36">
        <v>16045.128184428155</v>
      </c>
      <c r="BT226" s="36">
        <v>3611.1629690551026</v>
      </c>
      <c r="BU226" s="36">
        <v>928.90191784692547</v>
      </c>
      <c r="BV226" s="36">
        <v>18068</v>
      </c>
      <c r="BW226" s="36">
        <v>2950</v>
      </c>
      <c r="BX226" s="36">
        <v>992</v>
      </c>
      <c r="BY226" s="36">
        <v>19247</v>
      </c>
      <c r="BZ226" s="36">
        <v>1382</v>
      </c>
      <c r="CA226" s="36">
        <v>1017</v>
      </c>
      <c r="CB226" s="36">
        <v>18968</v>
      </c>
      <c r="CC226" s="36">
        <v>997</v>
      </c>
      <c r="CD226" s="36">
        <v>1018</v>
      </c>
      <c r="CE226" s="36">
        <v>19280</v>
      </c>
      <c r="CF226" s="36">
        <v>1098</v>
      </c>
      <c r="CG226" s="36">
        <v>1015</v>
      </c>
      <c r="CH226" s="36">
        <v>19232</v>
      </c>
      <c r="CI226" s="36">
        <v>1443</v>
      </c>
      <c r="CJ226" s="70">
        <v>1049</v>
      </c>
      <c r="CK226" s="70">
        <v>20525</v>
      </c>
      <c r="CL226" s="70">
        <v>1695</v>
      </c>
      <c r="CM226" s="36">
        <v>1135</v>
      </c>
      <c r="CN226" s="36">
        <v>21075</v>
      </c>
      <c r="CO226" s="36">
        <v>1992</v>
      </c>
      <c r="CP226" s="36">
        <v>1164</v>
      </c>
      <c r="CQ226" s="36">
        <v>23460</v>
      </c>
      <c r="CR226" s="36">
        <v>2161</v>
      </c>
      <c r="CS226" s="36">
        <v>1330</v>
      </c>
      <c r="CT226" s="36">
        <v>1537.7422116375953</v>
      </c>
      <c r="CU226" s="36">
        <v>-2868.2768975999998</v>
      </c>
      <c r="CV226" s="36">
        <v>1965.1077327762951</v>
      </c>
      <c r="CW226" s="36">
        <v>21736</v>
      </c>
      <c r="CX226" s="36">
        <v>2369.0951321368448</v>
      </c>
      <c r="CY226" s="36">
        <v>-2834.3029370999998</v>
      </c>
      <c r="CZ226" s="36">
        <v>2104.1991479599642</v>
      </c>
      <c r="DA226" s="36">
        <v>21804</v>
      </c>
      <c r="DB226" s="36">
        <v>431.40203137377591</v>
      </c>
      <c r="DC226" s="36">
        <v>1574.0708040000004</v>
      </c>
      <c r="DD226" s="36">
        <v>2110.4221012390403</v>
      </c>
      <c r="DE226" s="36">
        <v>17112</v>
      </c>
      <c r="DF226" s="36">
        <v>1062.9476952367495</v>
      </c>
      <c r="DG226" s="36">
        <v>-2950</v>
      </c>
      <c r="DH226" s="36">
        <v>2211.8394208953318</v>
      </c>
      <c r="DI226" s="36">
        <v>19309</v>
      </c>
      <c r="DJ226" s="36">
        <v>1808</v>
      </c>
      <c r="DK226" s="36">
        <v>-5575</v>
      </c>
      <c r="DL226" s="36">
        <v>2329</v>
      </c>
      <c r="DM226" s="36">
        <v>21971</v>
      </c>
      <c r="DN226" s="36">
        <v>1929</v>
      </c>
      <c r="DO226" s="69">
        <v>-5374</v>
      </c>
      <c r="DP226" s="36">
        <v>2338</v>
      </c>
      <c r="DQ226" s="36">
        <v>26745</v>
      </c>
      <c r="DR226" s="36">
        <v>-366</v>
      </c>
      <c r="DS226" s="36">
        <v>-2096</v>
      </c>
      <c r="DT226" s="36">
        <v>2562</v>
      </c>
      <c r="DU226" s="36">
        <v>31465</v>
      </c>
      <c r="DV226" s="36">
        <v>1211</v>
      </c>
      <c r="DW226" s="71">
        <v>-1639</v>
      </c>
      <c r="DX226" s="39">
        <v>2519</v>
      </c>
      <c r="DY226" s="71">
        <v>33104</v>
      </c>
      <c r="DZ226" s="70">
        <v>1123</v>
      </c>
      <c r="EA226" s="35">
        <v>-3012</v>
      </c>
      <c r="EB226" s="35">
        <v>2561</v>
      </c>
      <c r="EC226" s="38">
        <v>35262</v>
      </c>
      <c r="ED226" s="38">
        <v>-152</v>
      </c>
      <c r="EE226" s="38">
        <v>-4315</v>
      </c>
      <c r="EF226" s="38">
        <v>2559</v>
      </c>
      <c r="EG226" s="73">
        <v>39832</v>
      </c>
      <c r="EH226" s="73">
        <v>809</v>
      </c>
      <c r="EI226" s="73">
        <v>-2670</v>
      </c>
      <c r="EJ226" s="73">
        <v>2852</v>
      </c>
      <c r="EK226" s="73">
        <v>25005</v>
      </c>
      <c r="EL226" s="73">
        <v>38874.45275853428</v>
      </c>
      <c r="EM226" s="73">
        <v>185.67947081350817</v>
      </c>
      <c r="EN226" s="73">
        <v>39496.24352266248</v>
      </c>
      <c r="EO226" s="73">
        <v>176.59732278458659</v>
      </c>
      <c r="EP226" s="73">
        <v>41210.078493305278</v>
      </c>
      <c r="EQ226" s="73">
        <v>6372.1359698472688</v>
      </c>
      <c r="ER226" s="73">
        <v>43707.3328254058</v>
      </c>
      <c r="ES226" s="73">
        <v>-912.08312520077436</v>
      </c>
      <c r="ET226" s="73">
        <v>45441</v>
      </c>
      <c r="EU226" s="73">
        <v>-560</v>
      </c>
      <c r="EV226" s="73">
        <v>49054</v>
      </c>
      <c r="EW226" s="73">
        <v>-323</v>
      </c>
      <c r="EX226" s="73">
        <v>51613</v>
      </c>
      <c r="EY226" s="73">
        <v>-1956</v>
      </c>
      <c r="EZ226" s="73">
        <v>52654</v>
      </c>
      <c r="FA226" s="73">
        <v>-404</v>
      </c>
      <c r="FB226" s="73">
        <v>54666</v>
      </c>
      <c r="FC226" s="73">
        <v>-392</v>
      </c>
      <c r="FD226" s="73">
        <v>57665</v>
      </c>
      <c r="FE226" s="73">
        <v>-1959</v>
      </c>
      <c r="FF226" s="73">
        <v>60859</v>
      </c>
      <c r="FG226" s="73">
        <v>5697</v>
      </c>
      <c r="FH226" s="73">
        <v>1254</v>
      </c>
      <c r="FI226" s="73">
        <v>6950</v>
      </c>
      <c r="FJ226" s="79">
        <v>10666</v>
      </c>
      <c r="FK226" s="80">
        <v>26513</v>
      </c>
      <c r="FL226" s="80">
        <v>25361</v>
      </c>
      <c r="FM226" s="80">
        <v>12574</v>
      </c>
      <c r="FN226" s="76">
        <v>20</v>
      </c>
      <c r="FO226" s="80">
        <v>23313</v>
      </c>
      <c r="FP226" s="80">
        <v>1824</v>
      </c>
      <c r="FQ226" s="80">
        <v>1376</v>
      </c>
      <c r="FR226" s="80">
        <v>2685</v>
      </c>
      <c r="FS226" s="81">
        <v>-3914</v>
      </c>
      <c r="FT226" s="76">
        <v>2833</v>
      </c>
      <c r="FU226" s="76">
        <v>26938</v>
      </c>
      <c r="FV226" s="76">
        <v>3914</v>
      </c>
      <c r="FW226" s="80">
        <v>60883</v>
      </c>
      <c r="FX226" s="80">
        <v>-62</v>
      </c>
      <c r="FY226" s="73">
        <v>10580</v>
      </c>
      <c r="FZ226" s="73">
        <v>26770</v>
      </c>
      <c r="GA226" s="73">
        <v>27162</v>
      </c>
      <c r="GB226" s="73">
        <v>12947</v>
      </c>
      <c r="GC226" s="73">
        <v>12</v>
      </c>
      <c r="GD226" s="73">
        <v>23066</v>
      </c>
      <c r="GE226" s="73">
        <v>1434</v>
      </c>
      <c r="GF226" s="73">
        <v>2270</v>
      </c>
      <c r="GG226" s="73">
        <v>5078</v>
      </c>
      <c r="GH226" s="73">
        <v>-2583</v>
      </c>
      <c r="GI226" s="73">
        <v>2791</v>
      </c>
      <c r="GJ226" s="73">
        <v>24913</v>
      </c>
      <c r="GK226" s="73">
        <v>2583</v>
      </c>
      <c r="GL226" s="73">
        <v>61211</v>
      </c>
      <c r="GM226" s="73">
        <v>2286</v>
      </c>
      <c r="GN226" s="73">
        <v>9174</v>
      </c>
      <c r="GO226" s="77">
        <v>19.75</v>
      </c>
      <c r="GP226" s="78">
        <v>10380</v>
      </c>
      <c r="GQ226" s="73">
        <v>27199</v>
      </c>
      <c r="GR226" s="65">
        <v>27826</v>
      </c>
      <c r="GS226" s="65">
        <v>10876</v>
      </c>
      <c r="GT226" s="65">
        <v>43</v>
      </c>
      <c r="GU226" s="65">
        <v>23149</v>
      </c>
      <c r="GV226" s="65">
        <v>1547</v>
      </c>
      <c r="GW226" s="65">
        <v>2503</v>
      </c>
      <c r="GX226" s="65">
        <v>3355</v>
      </c>
      <c r="GY226" s="65">
        <v>-5818</v>
      </c>
      <c r="GZ226" s="65">
        <v>2691</v>
      </c>
      <c r="HA226" s="65">
        <v>27804</v>
      </c>
      <c r="HB226" s="65">
        <v>5818</v>
      </c>
      <c r="HC226" s="65">
        <v>61915</v>
      </c>
      <c r="HD226" s="65">
        <v>636</v>
      </c>
      <c r="HE226" s="78">
        <v>10258</v>
      </c>
      <c r="HF226" s="73">
        <v>27039</v>
      </c>
      <c r="HG226" s="65">
        <v>29157</v>
      </c>
      <c r="HH226" s="65">
        <v>9987</v>
      </c>
      <c r="HI226" s="65">
        <v>0</v>
      </c>
      <c r="HJ226" s="65">
        <v>23510</v>
      </c>
      <c r="HK226" s="65">
        <v>1643</v>
      </c>
      <c r="HL226" s="65">
        <v>1886</v>
      </c>
      <c r="HM226" s="65">
        <v>1405</v>
      </c>
      <c r="HN226" s="65">
        <v>-2189</v>
      </c>
      <c r="HO226" s="65">
        <v>3558</v>
      </c>
      <c r="HP226" s="65">
        <v>28888</v>
      </c>
      <c r="HQ226" s="65">
        <v>2189</v>
      </c>
      <c r="HR226" s="65">
        <v>64062</v>
      </c>
      <c r="HS226" s="65">
        <v>-2102</v>
      </c>
      <c r="HT226" s="65">
        <v>7709</v>
      </c>
      <c r="HU226" s="77">
        <v>20</v>
      </c>
      <c r="HV226" s="180">
        <v>340</v>
      </c>
      <c r="HW226" s="30" t="s">
        <v>761</v>
      </c>
    </row>
    <row r="227" spans="1:231" ht="15" x14ac:dyDescent="0.25">
      <c r="A227" s="27">
        <v>732</v>
      </c>
      <c r="B227" s="27" t="s">
        <v>352</v>
      </c>
      <c r="C227" s="27">
        <v>19</v>
      </c>
      <c r="D227" s="27" t="s">
        <v>113</v>
      </c>
      <c r="E227" s="27">
        <v>2</v>
      </c>
      <c r="F227" s="27" t="s">
        <v>744</v>
      </c>
      <c r="G227" s="29" t="s">
        <v>130</v>
      </c>
      <c r="H227" s="27" t="s">
        <v>98</v>
      </c>
      <c r="I227" s="31" t="s">
        <v>113</v>
      </c>
      <c r="J227" s="69">
        <v>5462</v>
      </c>
      <c r="K227" s="69">
        <v>5289</v>
      </c>
      <c r="L227" s="36">
        <v>5142</v>
      </c>
      <c r="M227" s="36">
        <v>4970</v>
      </c>
      <c r="N227" s="36">
        <v>4822</v>
      </c>
      <c r="O227" s="36">
        <v>4782</v>
      </c>
      <c r="P227" s="36">
        <v>4683</v>
      </c>
      <c r="Q227" s="36">
        <v>4571</v>
      </c>
      <c r="R227" s="69">
        <v>4479</v>
      </c>
      <c r="S227" s="69">
        <v>4364</v>
      </c>
      <c r="T227" s="71">
        <v>4308</v>
      </c>
      <c r="U227" s="36">
        <v>9312</v>
      </c>
      <c r="V227" s="36">
        <v>9466</v>
      </c>
      <c r="W227" s="36">
        <v>4248</v>
      </c>
      <c r="X227" s="36">
        <v>123.61812594921062</v>
      </c>
      <c r="Y227" s="36">
        <v>9206</v>
      </c>
      <c r="Z227" s="36">
        <v>9881</v>
      </c>
      <c r="AA227" s="36">
        <v>4389</v>
      </c>
      <c r="AB227" s="36">
        <v>103.09919892090626</v>
      </c>
      <c r="AC227" s="36">
        <v>8513</v>
      </c>
      <c r="AD227" s="36">
        <v>10671</v>
      </c>
      <c r="AE227" s="36">
        <v>4098</v>
      </c>
      <c r="AF227" s="36">
        <v>205.35745820950495</v>
      </c>
      <c r="AG227" s="36">
        <v>9221</v>
      </c>
      <c r="AH227" s="36">
        <v>11547</v>
      </c>
      <c r="AI227" s="36">
        <v>4262</v>
      </c>
      <c r="AJ227" s="36">
        <v>272.96900464703242</v>
      </c>
      <c r="AK227" s="36">
        <v>9033</v>
      </c>
      <c r="AL227" s="36">
        <v>11793</v>
      </c>
      <c r="AM227" s="36">
        <v>4418</v>
      </c>
      <c r="AN227" s="36">
        <v>99</v>
      </c>
      <c r="AO227" s="36">
        <v>8654</v>
      </c>
      <c r="AP227" s="36">
        <v>12102</v>
      </c>
      <c r="AQ227" s="36">
        <v>4757</v>
      </c>
      <c r="AR227" s="36">
        <v>225</v>
      </c>
      <c r="AS227" s="36">
        <v>8927</v>
      </c>
      <c r="AT227" s="36">
        <v>11942</v>
      </c>
      <c r="AU227" s="36">
        <v>5053</v>
      </c>
      <c r="AV227" s="36">
        <v>173</v>
      </c>
      <c r="AW227" s="36">
        <v>8857</v>
      </c>
      <c r="AX227" s="69">
        <v>12034</v>
      </c>
      <c r="AY227" s="36">
        <v>5614</v>
      </c>
      <c r="AZ227" s="36">
        <v>212</v>
      </c>
      <c r="BA227" s="36">
        <v>9247</v>
      </c>
      <c r="BB227" s="36">
        <v>13208</v>
      </c>
      <c r="BC227" s="36">
        <v>6152</v>
      </c>
      <c r="BD227" s="36">
        <v>77</v>
      </c>
      <c r="BE227" s="70">
        <v>9932</v>
      </c>
      <c r="BF227" s="70">
        <v>13329</v>
      </c>
      <c r="BG227" s="70">
        <v>6634</v>
      </c>
      <c r="BH227" s="70">
        <v>114</v>
      </c>
      <c r="BI227" s="36">
        <v>10448</v>
      </c>
      <c r="BJ227" s="36">
        <v>15671</v>
      </c>
      <c r="BK227" s="36">
        <v>7117</v>
      </c>
      <c r="BL227" s="36">
        <v>39</v>
      </c>
      <c r="BM227" s="36">
        <v>7408.1735968501762</v>
      </c>
      <c r="BN227" s="36">
        <v>1537.9103995640569</v>
      </c>
      <c r="BO227" s="36">
        <v>353.86739727501919</v>
      </c>
      <c r="BP227" s="36">
        <v>7647.673204131368</v>
      </c>
      <c r="BQ227" s="36">
        <v>1207.7574999201106</v>
      </c>
      <c r="BR227" s="36">
        <v>338.0577321876371</v>
      </c>
      <c r="BS227" s="36">
        <v>6699.2614868149076</v>
      </c>
      <c r="BT227" s="36">
        <v>1398.3144206010024</v>
      </c>
      <c r="BU227" s="36">
        <v>404.15558728701103</v>
      </c>
      <c r="BV227" s="36">
        <v>7869</v>
      </c>
      <c r="BW227" s="36">
        <v>880</v>
      </c>
      <c r="BX227" s="36">
        <v>462</v>
      </c>
      <c r="BY227" s="36">
        <v>7922</v>
      </c>
      <c r="BZ227" s="36">
        <v>639</v>
      </c>
      <c r="CA227" s="36">
        <v>462</v>
      </c>
      <c r="CB227" s="36">
        <v>7856</v>
      </c>
      <c r="CC227" s="36">
        <v>328</v>
      </c>
      <c r="CD227" s="36">
        <v>460</v>
      </c>
      <c r="CE227" s="36">
        <v>8018</v>
      </c>
      <c r="CF227" s="36">
        <v>445</v>
      </c>
      <c r="CG227" s="36">
        <v>455</v>
      </c>
      <c r="CH227" s="36">
        <v>7727</v>
      </c>
      <c r="CI227" s="36">
        <v>576</v>
      </c>
      <c r="CJ227" s="70">
        <v>545</v>
      </c>
      <c r="CK227" s="70">
        <v>8010</v>
      </c>
      <c r="CL227" s="70">
        <v>680</v>
      </c>
      <c r="CM227" s="36">
        <v>547</v>
      </c>
      <c r="CN227" s="36">
        <v>8442</v>
      </c>
      <c r="CO227" s="36">
        <v>885</v>
      </c>
      <c r="CP227" s="36">
        <v>596</v>
      </c>
      <c r="CQ227" s="36">
        <v>8846</v>
      </c>
      <c r="CR227" s="36">
        <v>972</v>
      </c>
      <c r="CS227" s="36">
        <v>620</v>
      </c>
      <c r="CT227" s="36">
        <v>-222.34443878211758</v>
      </c>
      <c r="CU227" s="36">
        <v>-1954.8482690000001</v>
      </c>
      <c r="CV227" s="36">
        <v>704.20284809434668</v>
      </c>
      <c r="CW227" s="36">
        <v>6382</v>
      </c>
      <c r="CX227" s="36">
        <v>-605.98109904082423</v>
      </c>
      <c r="CY227" s="36">
        <v>82.075708109999994</v>
      </c>
      <c r="CZ227" s="36">
        <v>896.27346011339228</v>
      </c>
      <c r="DA227" s="36">
        <v>8622</v>
      </c>
      <c r="DB227" s="36">
        <v>-636.59130165681927</v>
      </c>
      <c r="DC227" s="36">
        <v>-516.00055840000005</v>
      </c>
      <c r="DD227" s="36">
        <v>674.2653971841977</v>
      </c>
      <c r="DE227" s="36">
        <v>8875</v>
      </c>
      <c r="DF227" s="36">
        <v>1184.0430022890375</v>
      </c>
      <c r="DG227" s="36">
        <v>-858</v>
      </c>
      <c r="DH227" s="36">
        <v>780.56016670787267</v>
      </c>
      <c r="DI227" s="36">
        <v>9204</v>
      </c>
      <c r="DJ227" s="36">
        <v>2226</v>
      </c>
      <c r="DK227" s="36">
        <v>-1015</v>
      </c>
      <c r="DL227" s="36">
        <v>788</v>
      </c>
      <c r="DM227" s="36">
        <v>8378</v>
      </c>
      <c r="DN227" s="36">
        <v>1959</v>
      </c>
      <c r="DO227" s="69">
        <v>-1376</v>
      </c>
      <c r="DP227" s="36">
        <v>710</v>
      </c>
      <c r="DQ227" s="36">
        <v>7728</v>
      </c>
      <c r="DR227" s="36">
        <v>1419</v>
      </c>
      <c r="DS227" s="36">
        <v>-2017</v>
      </c>
      <c r="DT227" s="36">
        <v>1562</v>
      </c>
      <c r="DU227" s="36">
        <v>7069</v>
      </c>
      <c r="DV227" s="36">
        <v>-150</v>
      </c>
      <c r="DW227" s="71">
        <v>-851</v>
      </c>
      <c r="DX227" s="39">
        <v>861</v>
      </c>
      <c r="DY227" s="71">
        <v>7171</v>
      </c>
      <c r="DZ227" s="70">
        <v>509</v>
      </c>
      <c r="EA227" s="35">
        <v>-509</v>
      </c>
      <c r="EB227" s="35">
        <v>633</v>
      </c>
      <c r="EC227" s="38">
        <v>6902</v>
      </c>
      <c r="ED227" s="38">
        <v>268</v>
      </c>
      <c r="EE227" s="38">
        <v>-1490</v>
      </c>
      <c r="EF227" s="38">
        <v>574</v>
      </c>
      <c r="EG227" s="73">
        <v>7035</v>
      </c>
      <c r="EH227" s="73">
        <v>1907</v>
      </c>
      <c r="EI227" s="73">
        <v>-2880</v>
      </c>
      <c r="EJ227" s="73">
        <v>679</v>
      </c>
      <c r="EK227" s="73">
        <v>8054</v>
      </c>
      <c r="EL227" s="73">
        <v>22129.830987952697</v>
      </c>
      <c r="EM227" s="73">
        <v>-1033.8511839589082</v>
      </c>
      <c r="EN227" s="73">
        <v>22934.273840218106</v>
      </c>
      <c r="EO227" s="73">
        <v>-1426.0654284671521</v>
      </c>
      <c r="EP227" s="73">
        <v>22739.8485972286</v>
      </c>
      <c r="EQ227" s="73">
        <v>-1365.854150793931</v>
      </c>
      <c r="ER227" s="73">
        <v>22619.426041882154</v>
      </c>
      <c r="ES227" s="73">
        <v>495.14525550268849</v>
      </c>
      <c r="ET227" s="73">
        <v>22726</v>
      </c>
      <c r="EU227" s="73">
        <v>1438</v>
      </c>
      <c r="EV227" s="73">
        <v>23401</v>
      </c>
      <c r="EW227" s="73">
        <v>1163</v>
      </c>
      <c r="EX227" s="73">
        <v>24391</v>
      </c>
      <c r="EY227" s="73">
        <v>-143</v>
      </c>
      <c r="EZ227" s="73">
        <v>26522</v>
      </c>
      <c r="FA227" s="73">
        <v>-1000</v>
      </c>
      <c r="FB227" s="73">
        <v>27920</v>
      </c>
      <c r="FC227" s="73">
        <v>-124</v>
      </c>
      <c r="FD227" s="73">
        <v>29409</v>
      </c>
      <c r="FE227" s="73">
        <v>-341</v>
      </c>
      <c r="FF227" s="73">
        <v>31056</v>
      </c>
      <c r="FG227" s="73">
        <v>1228</v>
      </c>
      <c r="FH227" s="73">
        <v>-1766</v>
      </c>
      <c r="FI227" s="73">
        <v>-537</v>
      </c>
      <c r="FJ227" s="79">
        <v>4231</v>
      </c>
      <c r="FK227" s="80">
        <v>10357</v>
      </c>
      <c r="FL227" s="80">
        <v>16172</v>
      </c>
      <c r="FM227" s="80">
        <v>6531</v>
      </c>
      <c r="FN227" s="76">
        <v>2964</v>
      </c>
      <c r="FO227" s="80">
        <v>8918</v>
      </c>
      <c r="FP227" s="80">
        <v>793</v>
      </c>
      <c r="FQ227" s="80">
        <v>646</v>
      </c>
      <c r="FR227" s="80">
        <v>1039</v>
      </c>
      <c r="FS227" s="81">
        <v>1505</v>
      </c>
      <c r="FT227" s="76">
        <v>652</v>
      </c>
      <c r="FU227" s="76">
        <v>8337</v>
      </c>
      <c r="FV227" s="76">
        <v>-1505</v>
      </c>
      <c r="FW227" s="80">
        <v>31858</v>
      </c>
      <c r="FX227" s="80">
        <v>3308</v>
      </c>
      <c r="FY227" s="73">
        <v>4162</v>
      </c>
      <c r="FZ227" s="73">
        <v>10760</v>
      </c>
      <c r="GA227" s="73">
        <v>18083</v>
      </c>
      <c r="GB227" s="73">
        <v>6921</v>
      </c>
      <c r="GC227" s="73">
        <v>65</v>
      </c>
      <c r="GD227" s="73">
        <v>8981</v>
      </c>
      <c r="GE227" s="73">
        <v>1099</v>
      </c>
      <c r="GF227" s="73">
        <v>680</v>
      </c>
      <c r="GG227" s="73">
        <v>2585</v>
      </c>
      <c r="GH227" s="73">
        <v>-1946</v>
      </c>
      <c r="GI227" s="73">
        <v>760</v>
      </c>
      <c r="GJ227" s="73">
        <v>10015</v>
      </c>
      <c r="GK227" s="73">
        <v>1946</v>
      </c>
      <c r="GL227" s="73">
        <v>33101</v>
      </c>
      <c r="GM227" s="73">
        <v>1825</v>
      </c>
      <c r="GN227" s="73">
        <v>4596</v>
      </c>
      <c r="GO227" s="77">
        <v>19.5</v>
      </c>
      <c r="GP227" s="78">
        <v>4052</v>
      </c>
      <c r="GQ227" s="73">
        <v>10497</v>
      </c>
      <c r="GR227" s="65">
        <v>18091</v>
      </c>
      <c r="GS227" s="65">
        <v>6818</v>
      </c>
      <c r="GT227" s="65">
        <v>50</v>
      </c>
      <c r="GU227" s="65">
        <v>8604</v>
      </c>
      <c r="GV227" s="65">
        <v>1193</v>
      </c>
      <c r="GW227" s="65">
        <v>700</v>
      </c>
      <c r="GX227" s="65">
        <v>1289</v>
      </c>
      <c r="GY227" s="65">
        <v>-2002</v>
      </c>
      <c r="GZ227" s="65">
        <v>837</v>
      </c>
      <c r="HA227" s="65">
        <v>10136</v>
      </c>
      <c r="HB227" s="65">
        <v>2002</v>
      </c>
      <c r="HC227" s="65">
        <v>33921</v>
      </c>
      <c r="HD227" s="65">
        <v>452</v>
      </c>
      <c r="HE227" s="78">
        <v>3979</v>
      </c>
      <c r="HF227" s="73">
        <v>10267</v>
      </c>
      <c r="HG227" s="65">
        <v>18931</v>
      </c>
      <c r="HH227" s="65">
        <v>6931</v>
      </c>
      <c r="HI227" s="65">
        <v>58</v>
      </c>
      <c r="HJ227" s="65">
        <v>8674</v>
      </c>
      <c r="HK227" s="65">
        <v>740</v>
      </c>
      <c r="HL227" s="65">
        <v>853</v>
      </c>
      <c r="HM227" s="65">
        <v>437</v>
      </c>
      <c r="HN227" s="65">
        <v>-1123</v>
      </c>
      <c r="HO227" s="65">
        <v>876</v>
      </c>
      <c r="HP227" s="65">
        <v>9807</v>
      </c>
      <c r="HQ227" s="65">
        <v>1123</v>
      </c>
      <c r="HR227" s="65">
        <v>35521</v>
      </c>
      <c r="HS227" s="65">
        <v>-439</v>
      </c>
      <c r="HT227" s="65">
        <v>4610</v>
      </c>
      <c r="HU227" s="77">
        <v>19.5</v>
      </c>
      <c r="HV227" s="180">
        <v>340</v>
      </c>
      <c r="HW227" s="30" t="s">
        <v>761</v>
      </c>
    </row>
    <row r="228" spans="1:231" ht="15" x14ac:dyDescent="0.25">
      <c r="A228" s="27">
        <v>734</v>
      </c>
      <c r="B228" s="27" t="s">
        <v>353</v>
      </c>
      <c r="C228" s="27">
        <v>2</v>
      </c>
      <c r="D228" s="27" t="s">
        <v>122</v>
      </c>
      <c r="E228" s="27">
        <v>6</v>
      </c>
      <c r="F228" s="27" t="s">
        <v>102</v>
      </c>
      <c r="G228" s="29" t="s">
        <v>141</v>
      </c>
      <c r="H228" s="27" t="s">
        <v>97</v>
      </c>
      <c r="I228" s="31" t="s">
        <v>122</v>
      </c>
      <c r="J228" s="69">
        <v>51813</v>
      </c>
      <c r="K228" s="69">
        <v>52218</v>
      </c>
      <c r="L228" s="36">
        <v>52604</v>
      </c>
      <c r="M228" s="36">
        <v>52852</v>
      </c>
      <c r="N228" s="36">
        <v>52854</v>
      </c>
      <c r="O228" s="36">
        <v>53029</v>
      </c>
      <c r="P228" s="36">
        <v>53236</v>
      </c>
      <c r="Q228" s="36">
        <v>53672</v>
      </c>
      <c r="R228" s="69">
        <v>54082</v>
      </c>
      <c r="S228" s="69">
        <v>54469</v>
      </c>
      <c r="T228" s="71">
        <v>54777</v>
      </c>
      <c r="U228" s="36">
        <v>107860</v>
      </c>
      <c r="V228" s="36">
        <v>31205</v>
      </c>
      <c r="W228" s="36">
        <v>28076</v>
      </c>
      <c r="X228" s="36">
        <v>3075.9889870545753</v>
      </c>
      <c r="Y228" s="36">
        <v>122805</v>
      </c>
      <c r="Z228" s="36">
        <v>31494</v>
      </c>
      <c r="AA228" s="36">
        <v>29615</v>
      </c>
      <c r="AB228" s="36">
        <v>4307.1246087528352</v>
      </c>
      <c r="AC228" s="36">
        <v>148321</v>
      </c>
      <c r="AD228" s="36">
        <v>32834</v>
      </c>
      <c r="AE228" s="36">
        <v>30785</v>
      </c>
      <c r="AF228" s="36">
        <v>2954.0527403699798</v>
      </c>
      <c r="AG228" s="36">
        <v>195258</v>
      </c>
      <c r="AH228" s="36">
        <v>26096</v>
      </c>
      <c r="AI228" s="36">
        <v>33315</v>
      </c>
      <c r="AJ228" s="36">
        <v>3498.8134341788136</v>
      </c>
      <c r="AK228" s="36">
        <v>167648</v>
      </c>
      <c r="AL228" s="36">
        <v>27539</v>
      </c>
      <c r="AM228" s="36">
        <v>35402</v>
      </c>
      <c r="AN228" s="36">
        <v>4233</v>
      </c>
      <c r="AO228" s="36">
        <v>150881</v>
      </c>
      <c r="AP228" s="36">
        <v>22480</v>
      </c>
      <c r="AQ228" s="36">
        <v>35804</v>
      </c>
      <c r="AR228" s="36">
        <v>3288</v>
      </c>
      <c r="AS228" s="36">
        <v>152251</v>
      </c>
      <c r="AT228" s="36">
        <v>34896</v>
      </c>
      <c r="AU228" s="36">
        <v>38895</v>
      </c>
      <c r="AV228" s="36">
        <v>3950</v>
      </c>
      <c r="AW228" s="36">
        <v>167941</v>
      </c>
      <c r="AX228" s="69">
        <v>41606</v>
      </c>
      <c r="AY228" s="36">
        <v>41879</v>
      </c>
      <c r="AZ228" s="36">
        <v>2279</v>
      </c>
      <c r="BA228" s="36">
        <v>175440</v>
      </c>
      <c r="BB228" s="36">
        <v>44689</v>
      </c>
      <c r="BC228" s="36">
        <v>45361</v>
      </c>
      <c r="BD228" s="36">
        <v>3170</v>
      </c>
      <c r="BE228" s="70">
        <v>183146</v>
      </c>
      <c r="BF228" s="70">
        <v>45075</v>
      </c>
      <c r="BG228" s="70">
        <v>49102</v>
      </c>
      <c r="BH228" s="70">
        <v>2641</v>
      </c>
      <c r="BI228" s="36">
        <v>192243</v>
      </c>
      <c r="BJ228" s="36">
        <v>52869</v>
      </c>
      <c r="BK228" s="36">
        <v>53777</v>
      </c>
      <c r="BL228" s="36">
        <v>1339</v>
      </c>
      <c r="BM228" s="36">
        <v>84286.033842774559</v>
      </c>
      <c r="BN228" s="36">
        <v>20409.773064030829</v>
      </c>
      <c r="BO228" s="36">
        <v>3130.4818752281049</v>
      </c>
      <c r="BP228" s="36">
        <v>94448.452923358447</v>
      </c>
      <c r="BQ228" s="36">
        <v>24987.007482680845</v>
      </c>
      <c r="BR228" s="36">
        <v>3338.8667161139165</v>
      </c>
      <c r="BS228" s="36">
        <v>111558.54705814087</v>
      </c>
      <c r="BT228" s="36">
        <v>32188.309929983363</v>
      </c>
      <c r="BU228" s="36">
        <v>4544.6059609164895</v>
      </c>
      <c r="BV228" s="36">
        <v>128100</v>
      </c>
      <c r="BW228" s="36">
        <v>62377</v>
      </c>
      <c r="BX228" s="36">
        <v>4751</v>
      </c>
      <c r="BY228" s="36">
        <v>116195</v>
      </c>
      <c r="BZ228" s="36">
        <v>46472</v>
      </c>
      <c r="CA228" s="36">
        <v>4975</v>
      </c>
      <c r="CB228" s="36">
        <v>112089</v>
      </c>
      <c r="CC228" s="36">
        <v>33936</v>
      </c>
      <c r="CD228" s="36">
        <v>4854</v>
      </c>
      <c r="CE228" s="36">
        <v>108691</v>
      </c>
      <c r="CF228" s="36">
        <v>38702</v>
      </c>
      <c r="CG228" s="36">
        <v>4856</v>
      </c>
      <c r="CH228" s="36">
        <v>114585</v>
      </c>
      <c r="CI228" s="36">
        <v>48201</v>
      </c>
      <c r="CJ228" s="70">
        <v>5153</v>
      </c>
      <c r="CK228" s="70">
        <v>123841</v>
      </c>
      <c r="CL228" s="70">
        <v>46112</v>
      </c>
      <c r="CM228" s="36">
        <v>5485</v>
      </c>
      <c r="CN228" s="36">
        <v>133971</v>
      </c>
      <c r="CO228" s="36">
        <v>43346</v>
      </c>
      <c r="CP228" s="36">
        <v>5829</v>
      </c>
      <c r="CQ228" s="36">
        <v>144977</v>
      </c>
      <c r="CR228" s="36">
        <v>41004</v>
      </c>
      <c r="CS228" s="36">
        <v>6262</v>
      </c>
      <c r="CT228" s="36">
        <v>6039.7966271593223</v>
      </c>
      <c r="CU228" s="36">
        <v>-19804.801088840002</v>
      </c>
      <c r="CV228" s="36">
        <v>9782.9871184867116</v>
      </c>
      <c r="CW228" s="36">
        <v>27157</v>
      </c>
      <c r="CX228" s="36">
        <v>17737.93966426326</v>
      </c>
      <c r="CY228" s="36">
        <v>-16940.89708509</v>
      </c>
      <c r="CZ228" s="36">
        <v>11047.592137550813</v>
      </c>
      <c r="DA228" s="36">
        <v>27918</v>
      </c>
      <c r="DB228" s="36">
        <v>36260.980569248852</v>
      </c>
      <c r="DC228" s="36">
        <v>-21967.02507638</v>
      </c>
      <c r="DD228" s="36">
        <v>11942.015530473131</v>
      </c>
      <c r="DE228" s="36">
        <v>26123</v>
      </c>
      <c r="DF228" s="36">
        <v>60609.88305893472</v>
      </c>
      <c r="DG228" s="36">
        <v>-21829</v>
      </c>
      <c r="DH228" s="36">
        <v>11799.392168833769</v>
      </c>
      <c r="DI228" s="36">
        <v>18942</v>
      </c>
      <c r="DJ228" s="36">
        <v>33811</v>
      </c>
      <c r="DK228" s="36">
        <v>-27100</v>
      </c>
      <c r="DL228" s="36">
        <v>12973</v>
      </c>
      <c r="DM228" s="36">
        <v>18087</v>
      </c>
      <c r="DN228" s="36">
        <v>1475</v>
      </c>
      <c r="DO228" s="69">
        <v>-22356</v>
      </c>
      <c r="DP228" s="36">
        <v>13809</v>
      </c>
      <c r="DQ228" s="36">
        <v>16433</v>
      </c>
      <c r="DR228" s="36">
        <v>3104</v>
      </c>
      <c r="DS228" s="36">
        <v>-21748</v>
      </c>
      <c r="DT228" s="36">
        <v>14550</v>
      </c>
      <c r="DU228" s="36">
        <v>19533</v>
      </c>
      <c r="DV228" s="36">
        <v>17181</v>
      </c>
      <c r="DW228" s="71">
        <v>-21501</v>
      </c>
      <c r="DX228" s="39">
        <v>13540</v>
      </c>
      <c r="DY228" s="71">
        <v>22768</v>
      </c>
      <c r="DZ228" s="70">
        <v>15233</v>
      </c>
      <c r="EA228" s="35">
        <v>-32256</v>
      </c>
      <c r="EB228" s="35">
        <v>13964</v>
      </c>
      <c r="EC228" s="38">
        <v>33349</v>
      </c>
      <c r="ED228" s="38">
        <v>7179</v>
      </c>
      <c r="EE228" s="38">
        <v>-29361</v>
      </c>
      <c r="EF228" s="38">
        <v>13361</v>
      </c>
      <c r="EG228" s="73">
        <v>48937</v>
      </c>
      <c r="EH228" s="73">
        <v>9474</v>
      </c>
      <c r="EI228" s="73">
        <v>-30842</v>
      </c>
      <c r="EJ228" s="73">
        <v>15228</v>
      </c>
      <c r="EK228" s="73">
        <v>65952</v>
      </c>
      <c r="EL228" s="73">
        <v>153832.0778104623</v>
      </c>
      <c r="EM228" s="73">
        <v>-3569.1159874397254</v>
      </c>
      <c r="EN228" s="73">
        <v>161005.79743782515</v>
      </c>
      <c r="EO228" s="73">
        <v>7567.6157511356887</v>
      </c>
      <c r="EP228" s="73">
        <v>169054.59884656718</v>
      </c>
      <c r="EQ228" s="73">
        <v>24835.806536791948</v>
      </c>
      <c r="ER228" s="73">
        <v>187344.86766133009</v>
      </c>
      <c r="ES228" s="73">
        <v>34377.948544585779</v>
      </c>
      <c r="ET228" s="73">
        <v>199873</v>
      </c>
      <c r="EU228" s="73">
        <v>21283</v>
      </c>
      <c r="EV228" s="73">
        <v>209712</v>
      </c>
      <c r="EW228" s="73">
        <v>-11557</v>
      </c>
      <c r="EX228" s="73">
        <v>224569</v>
      </c>
      <c r="EY228" s="73">
        <v>-9051</v>
      </c>
      <c r="EZ228" s="73">
        <v>235457</v>
      </c>
      <c r="FA228" s="73">
        <v>4102</v>
      </c>
      <c r="FB228" s="73">
        <v>251501</v>
      </c>
      <c r="FC228" s="73">
        <v>4514</v>
      </c>
      <c r="FD228" s="73">
        <v>270970</v>
      </c>
      <c r="FE228" s="73">
        <v>-2736</v>
      </c>
      <c r="FF228" s="73">
        <v>288865</v>
      </c>
      <c r="FG228" s="73">
        <v>-5648</v>
      </c>
      <c r="FH228" s="73">
        <v>81260</v>
      </c>
      <c r="FI228" s="73">
        <v>75599</v>
      </c>
      <c r="FJ228" s="79">
        <v>54889</v>
      </c>
      <c r="FK228" s="80">
        <v>198683</v>
      </c>
      <c r="FL228" s="80">
        <v>58553</v>
      </c>
      <c r="FM228" s="80">
        <v>64884</v>
      </c>
      <c r="FN228" s="76">
        <v>1164</v>
      </c>
      <c r="FO228" s="80">
        <v>144485</v>
      </c>
      <c r="FP228" s="80">
        <v>47446</v>
      </c>
      <c r="FQ228" s="80">
        <v>6752</v>
      </c>
      <c r="FR228" s="80">
        <v>15573</v>
      </c>
      <c r="FS228" s="81">
        <v>-19322</v>
      </c>
      <c r="FT228" s="76">
        <v>17004</v>
      </c>
      <c r="FU228" s="76">
        <v>64896</v>
      </c>
      <c r="FV228" s="76">
        <v>19322</v>
      </c>
      <c r="FW228" s="80">
        <v>305063</v>
      </c>
      <c r="FX228" s="80">
        <v>-950</v>
      </c>
      <c r="FY228" s="73">
        <v>55235</v>
      </c>
      <c r="FZ228" s="73">
        <v>210382</v>
      </c>
      <c r="GA228" s="73">
        <v>68524</v>
      </c>
      <c r="GB228" s="73">
        <v>70367</v>
      </c>
      <c r="GC228" s="73">
        <v>340</v>
      </c>
      <c r="GD228" s="73">
        <v>142563</v>
      </c>
      <c r="GE228" s="73">
        <v>59760</v>
      </c>
      <c r="GF228" s="73">
        <v>8059</v>
      </c>
      <c r="GG228" s="73">
        <v>26985</v>
      </c>
      <c r="GH228" s="73">
        <v>-18946</v>
      </c>
      <c r="GI228" s="73">
        <v>17652</v>
      </c>
      <c r="GJ228" s="73">
        <v>74791</v>
      </c>
      <c r="GK228" s="73">
        <v>18946</v>
      </c>
      <c r="GL228" s="73">
        <v>321002</v>
      </c>
      <c r="GM228" s="73">
        <v>9494</v>
      </c>
      <c r="GN228" s="73">
        <v>85638</v>
      </c>
      <c r="GO228" s="77">
        <v>18</v>
      </c>
      <c r="GP228" s="78">
        <v>55283</v>
      </c>
      <c r="GQ228" s="73">
        <v>194006</v>
      </c>
      <c r="GR228" s="65">
        <v>65231</v>
      </c>
      <c r="GS228" s="65">
        <v>72292</v>
      </c>
      <c r="GT228" s="65">
        <v>923</v>
      </c>
      <c r="GU228" s="65">
        <v>145235</v>
      </c>
      <c r="GV228" s="65">
        <v>40513</v>
      </c>
      <c r="GW228" s="65">
        <v>8258</v>
      </c>
      <c r="GX228" s="65">
        <v>-2963</v>
      </c>
      <c r="GY228" s="65">
        <v>-12037</v>
      </c>
      <c r="GZ228" s="65">
        <v>17837</v>
      </c>
      <c r="HA228" s="65">
        <v>80629</v>
      </c>
      <c r="HB228" s="65">
        <v>12037</v>
      </c>
      <c r="HC228" s="65">
        <v>333492</v>
      </c>
      <c r="HD228" s="65">
        <v>-20435</v>
      </c>
      <c r="HE228" s="78">
        <v>54858</v>
      </c>
      <c r="HF228" s="73">
        <v>173027</v>
      </c>
      <c r="HG228" s="65">
        <v>72613</v>
      </c>
      <c r="HH228" s="65">
        <v>70292</v>
      </c>
      <c r="HI228" s="65">
        <v>588</v>
      </c>
      <c r="HJ228" s="65">
        <v>154094</v>
      </c>
      <c r="HK228" s="65">
        <v>8627</v>
      </c>
      <c r="HL228" s="65">
        <v>10306</v>
      </c>
      <c r="HM228" s="65">
        <v>-24039</v>
      </c>
      <c r="HN228" s="65">
        <v>-9268</v>
      </c>
      <c r="HO228" s="65">
        <v>16879</v>
      </c>
      <c r="HP228" s="65">
        <v>107049</v>
      </c>
      <c r="HQ228" s="65">
        <v>9268</v>
      </c>
      <c r="HR228" s="65">
        <v>338435</v>
      </c>
      <c r="HS228" s="65">
        <v>-40093</v>
      </c>
      <c r="HT228" s="65">
        <v>25110</v>
      </c>
      <c r="HU228" s="77">
        <v>19.5</v>
      </c>
      <c r="HV228" s="180">
        <v>140</v>
      </c>
      <c r="HW228" s="30" t="s">
        <v>753</v>
      </c>
    </row>
    <row r="229" spans="1:231" ht="15" x14ac:dyDescent="0.25">
      <c r="A229" s="27">
        <v>790</v>
      </c>
      <c r="B229" s="27" t="s">
        <v>525</v>
      </c>
      <c r="C229" s="27">
        <v>6</v>
      </c>
      <c r="D229" s="27" t="s">
        <v>114</v>
      </c>
      <c r="E229" s="27">
        <v>5</v>
      </c>
      <c r="F229" s="27" t="s">
        <v>101</v>
      </c>
      <c r="G229" s="29" t="s">
        <v>132</v>
      </c>
      <c r="H229" s="27" t="s">
        <v>99</v>
      </c>
      <c r="I229" s="31" t="s">
        <v>114</v>
      </c>
      <c r="J229" s="82">
        <v>26387</v>
      </c>
      <c r="K229" s="82">
        <v>26358</v>
      </c>
      <c r="L229" s="82">
        <v>26195</v>
      </c>
      <c r="M229" s="82">
        <v>26016</v>
      </c>
      <c r="N229" s="82">
        <v>25857</v>
      </c>
      <c r="O229" s="82">
        <v>25865</v>
      </c>
      <c r="P229" s="82">
        <v>25863</v>
      </c>
      <c r="Q229" s="82">
        <v>25847</v>
      </c>
      <c r="R229" s="82">
        <v>25848</v>
      </c>
      <c r="S229" s="82">
        <v>25893</v>
      </c>
      <c r="T229" s="82">
        <v>25813</v>
      </c>
      <c r="U229" s="82">
        <v>49873</v>
      </c>
      <c r="V229" s="82">
        <v>21770</v>
      </c>
      <c r="W229" s="82">
        <v>13849</v>
      </c>
      <c r="X229" s="82">
        <v>2126.9045180322682</v>
      </c>
      <c r="Y229" s="82">
        <v>50208</v>
      </c>
      <c r="Z229" s="82">
        <v>21955</v>
      </c>
      <c r="AA229" s="82">
        <v>14763</v>
      </c>
      <c r="AB229" s="82">
        <v>2315.6113715220836</v>
      </c>
      <c r="AC229" s="82">
        <v>49688</v>
      </c>
      <c r="AD229" s="82">
        <v>24102</v>
      </c>
      <c r="AE229" s="82">
        <v>15052</v>
      </c>
      <c r="AF229" s="82">
        <v>1576.0890588708198</v>
      </c>
      <c r="AG229" s="82">
        <v>51906</v>
      </c>
      <c r="AH229" s="82">
        <v>28445</v>
      </c>
      <c r="AI229" s="82">
        <v>16505</v>
      </c>
      <c r="AJ229" s="82">
        <v>1543.2924132108251</v>
      </c>
      <c r="AK229" s="82">
        <v>54388</v>
      </c>
      <c r="AL229" s="82">
        <v>31717</v>
      </c>
      <c r="AM229" s="82">
        <v>16158</v>
      </c>
      <c r="AN229" s="82">
        <v>807</v>
      </c>
      <c r="AO229" s="82">
        <v>50958</v>
      </c>
      <c r="AP229" s="82">
        <v>34101</v>
      </c>
      <c r="AQ229" s="82">
        <v>17869</v>
      </c>
      <c r="AR229" s="82">
        <v>733</v>
      </c>
      <c r="AS229" s="82">
        <v>52046</v>
      </c>
      <c r="AT229" s="82">
        <v>36227</v>
      </c>
      <c r="AU229" s="82">
        <v>20045</v>
      </c>
      <c r="AV229" s="82">
        <v>652</v>
      </c>
      <c r="AW229" s="82">
        <v>54560</v>
      </c>
      <c r="AX229" s="82">
        <v>38539</v>
      </c>
      <c r="AY229" s="82">
        <v>21087</v>
      </c>
      <c r="AZ229" s="82">
        <v>989</v>
      </c>
      <c r="BA229" s="82">
        <v>59737</v>
      </c>
      <c r="BB229" s="82">
        <v>39787</v>
      </c>
      <c r="BC229" s="82">
        <v>22775</v>
      </c>
      <c r="BD229" s="82">
        <v>410</v>
      </c>
      <c r="BE229" s="82">
        <v>62170</v>
      </c>
      <c r="BF229" s="82">
        <v>42125</v>
      </c>
      <c r="BG229" s="82">
        <v>26093</v>
      </c>
      <c r="BH229" s="82">
        <v>832</v>
      </c>
      <c r="BI229" s="82">
        <v>68215</v>
      </c>
      <c r="BJ229" s="82">
        <v>47220</v>
      </c>
      <c r="BK229" s="82">
        <v>26779</v>
      </c>
      <c r="BL229" s="82">
        <v>599</v>
      </c>
      <c r="BM229" s="82">
        <v>38963.760547485334</v>
      </c>
      <c r="BN229" s="82">
        <v>9386.2317999640072</v>
      </c>
      <c r="BO229" s="82">
        <v>1516.7187208299065</v>
      </c>
      <c r="BP229" s="82">
        <v>40353.329195910344</v>
      </c>
      <c r="BQ229" s="82">
        <v>8016.6775147879225</v>
      </c>
      <c r="BR229" s="82">
        <v>1833.752962209855</v>
      </c>
      <c r="BS229" s="82">
        <v>38992.520682910254</v>
      </c>
      <c r="BT229" s="82">
        <v>8656.8007629004333</v>
      </c>
      <c r="BU229" s="82">
        <v>2032.7192792138221</v>
      </c>
      <c r="BV229" s="82">
        <v>43487</v>
      </c>
      <c r="BW229" s="82">
        <v>6182</v>
      </c>
      <c r="BX229" s="82">
        <v>2233</v>
      </c>
      <c r="BY229" s="82">
        <v>47992</v>
      </c>
      <c r="BZ229" s="82">
        <v>4211</v>
      </c>
      <c r="CA229" s="82">
        <v>2182</v>
      </c>
      <c r="CB229" s="82">
        <v>46440</v>
      </c>
      <c r="CC229" s="82">
        <v>2350</v>
      </c>
      <c r="CD229" s="82">
        <v>2165</v>
      </c>
      <c r="CE229" s="82">
        <v>46921</v>
      </c>
      <c r="CF229" s="82">
        <v>2974</v>
      </c>
      <c r="CG229" s="82">
        <v>2148</v>
      </c>
      <c r="CH229" s="82">
        <v>48714</v>
      </c>
      <c r="CI229" s="82">
        <v>3523</v>
      </c>
      <c r="CJ229" s="82">
        <v>2320</v>
      </c>
      <c r="CK229" s="82">
        <v>53475</v>
      </c>
      <c r="CL229" s="82">
        <v>3745</v>
      </c>
      <c r="CM229" s="82">
        <v>2514</v>
      </c>
      <c r="CN229" s="82">
        <v>55011</v>
      </c>
      <c r="CO229" s="82">
        <v>4367</v>
      </c>
      <c r="CP229" s="82">
        <v>2792</v>
      </c>
      <c r="CQ229" s="82">
        <v>60867</v>
      </c>
      <c r="CR229" s="82">
        <v>4422</v>
      </c>
      <c r="CS229" s="82">
        <v>2926</v>
      </c>
      <c r="CT229" s="82">
        <v>4811.8565760638303</v>
      </c>
      <c r="CU229" s="82">
        <v>-6493.9040294000006</v>
      </c>
      <c r="CV229" s="82">
        <v>4058.8792292956455</v>
      </c>
      <c r="CW229" s="82">
        <v>21641</v>
      </c>
      <c r="CX229" s="82">
        <v>4417.9604522909722</v>
      </c>
      <c r="CY229" s="82">
        <v>-5658.1782220000005</v>
      </c>
      <c r="CZ229" s="82">
        <v>4389.3685047925155</v>
      </c>
      <c r="DA229" s="82">
        <v>19605</v>
      </c>
      <c r="DB229" s="82">
        <v>2375.4862733423815</v>
      </c>
      <c r="DC229" s="82">
        <v>-8729.62613556</v>
      </c>
      <c r="DD229" s="82">
        <v>4449.9161583186587</v>
      </c>
      <c r="DE229" s="82">
        <v>22277</v>
      </c>
      <c r="DF229" s="82">
        <v>3365.6085964212975</v>
      </c>
      <c r="DG229" s="82">
        <v>-11784</v>
      </c>
      <c r="DH229" s="82">
        <v>4267.9368218873042</v>
      </c>
      <c r="DI229" s="82">
        <v>27391</v>
      </c>
      <c r="DJ229" s="82">
        <v>10254</v>
      </c>
      <c r="DK229" s="82">
        <v>-6620</v>
      </c>
      <c r="DL229" s="82">
        <v>4382</v>
      </c>
      <c r="DM229" s="82">
        <v>26840</v>
      </c>
      <c r="DN229" s="82">
        <v>6073</v>
      </c>
      <c r="DO229" s="82">
        <v>-6623</v>
      </c>
      <c r="DP229" s="82">
        <v>4842</v>
      </c>
      <c r="DQ229" s="82">
        <v>24437</v>
      </c>
      <c r="DR229" s="82">
        <v>2248</v>
      </c>
      <c r="DS229" s="82">
        <v>-7655</v>
      </c>
      <c r="DT229" s="82">
        <v>4720</v>
      </c>
      <c r="DU229" s="82">
        <v>25811</v>
      </c>
      <c r="DV229" s="82">
        <v>3847</v>
      </c>
      <c r="DW229" s="82">
        <v>-9678</v>
      </c>
      <c r="DX229" s="82">
        <v>4942</v>
      </c>
      <c r="DY229" s="82">
        <v>36410</v>
      </c>
      <c r="DZ229" s="82">
        <v>3905</v>
      </c>
      <c r="EA229" s="82">
        <v>-9959</v>
      </c>
      <c r="EB229" s="82">
        <v>5032</v>
      </c>
      <c r="EC229" s="82">
        <v>41480</v>
      </c>
      <c r="ED229" s="82">
        <v>5036</v>
      </c>
      <c r="EE229" s="82">
        <v>-8157</v>
      </c>
      <c r="EF229" s="82">
        <v>5287</v>
      </c>
      <c r="EG229" s="82">
        <v>45249</v>
      </c>
      <c r="EH229" s="82">
        <v>8143</v>
      </c>
      <c r="EI229" s="82">
        <v>-11576</v>
      </c>
      <c r="EJ229" s="82">
        <v>5518</v>
      </c>
      <c r="EK229" s="82">
        <v>48784</v>
      </c>
      <c r="EL229" s="82">
        <v>77445.326309805532</v>
      </c>
      <c r="EM229" s="82">
        <v>713.11680819680669</v>
      </c>
      <c r="EN229" s="82">
        <v>79732.177545902683</v>
      </c>
      <c r="EO229" s="82">
        <v>346.13075265778963</v>
      </c>
      <c r="EP229" s="82">
        <v>82733.827469461277</v>
      </c>
      <c r="EQ229" s="82">
        <v>-2069.2160592559703</v>
      </c>
      <c r="ER229" s="82">
        <v>89365.141033985739</v>
      </c>
      <c r="ES229" s="82">
        <v>-611.36311268759255</v>
      </c>
      <c r="ET229" s="82">
        <v>91554</v>
      </c>
      <c r="EU229" s="82">
        <v>4150</v>
      </c>
      <c r="EV229" s="82">
        <v>96512</v>
      </c>
      <c r="EW229" s="82">
        <v>1318</v>
      </c>
      <c r="EX229" s="82">
        <v>105794</v>
      </c>
      <c r="EY229" s="82">
        <v>-2080</v>
      </c>
      <c r="EZ229" s="82">
        <v>110511</v>
      </c>
      <c r="FA229" s="82">
        <v>-1496</v>
      </c>
      <c r="FB229" s="82">
        <v>117709</v>
      </c>
      <c r="FC229" s="82">
        <v>-1096</v>
      </c>
      <c r="FD229" s="82">
        <v>124522</v>
      </c>
      <c r="FE229" s="82">
        <v>-405</v>
      </c>
      <c r="FF229" s="82">
        <v>132900</v>
      </c>
      <c r="FG229" s="82">
        <v>2680</v>
      </c>
      <c r="FH229" s="82">
        <v>3635</v>
      </c>
      <c r="FI229" s="82">
        <v>6311</v>
      </c>
      <c r="FJ229" s="82">
        <v>25746</v>
      </c>
      <c r="FK229" s="82">
        <v>68446</v>
      </c>
      <c r="FL229" s="82">
        <v>51564</v>
      </c>
      <c r="FM229" s="82">
        <v>27362</v>
      </c>
      <c r="FN229" s="82">
        <v>459</v>
      </c>
      <c r="FO229" s="82">
        <v>61887</v>
      </c>
      <c r="FP229" s="82">
        <v>3231</v>
      </c>
      <c r="FQ229" s="82">
        <v>3328</v>
      </c>
      <c r="FR229" s="82">
        <v>11944</v>
      </c>
      <c r="FS229" s="82">
        <v>-927</v>
      </c>
      <c r="FT229" s="82">
        <v>5533</v>
      </c>
      <c r="FU229" s="82">
        <v>43070</v>
      </c>
      <c r="FV229" s="82">
        <v>927</v>
      </c>
      <c r="FW229" s="82">
        <v>134497</v>
      </c>
      <c r="FX229" s="82">
        <v>6497</v>
      </c>
      <c r="FY229" s="82">
        <v>25764</v>
      </c>
      <c r="FZ229" s="82">
        <v>69955</v>
      </c>
      <c r="GA229" s="82">
        <v>55363</v>
      </c>
      <c r="GB229" s="82">
        <v>31178</v>
      </c>
      <c r="GC229" s="82">
        <v>469</v>
      </c>
      <c r="GD229" s="82">
        <v>61908</v>
      </c>
      <c r="GE229" s="82">
        <v>3864</v>
      </c>
      <c r="GF229" s="82">
        <v>4183</v>
      </c>
      <c r="GG229" s="82">
        <v>12155</v>
      </c>
      <c r="GH229" s="82">
        <v>-9682</v>
      </c>
      <c r="GI229" s="82">
        <v>6326</v>
      </c>
      <c r="GJ229" s="82">
        <v>43091</v>
      </c>
      <c r="GK229" s="82">
        <v>9682</v>
      </c>
      <c r="GL229" s="82">
        <v>143709</v>
      </c>
      <c r="GM229" s="82">
        <v>1954</v>
      </c>
      <c r="GN229" s="82">
        <v>15480</v>
      </c>
      <c r="GO229" s="83">
        <v>20</v>
      </c>
      <c r="GP229" s="82">
        <v>25763</v>
      </c>
      <c r="GQ229" s="82">
        <v>71609</v>
      </c>
      <c r="GR229" s="82">
        <v>58347</v>
      </c>
      <c r="GS229" s="82">
        <v>31609</v>
      </c>
      <c r="GT229" s="82">
        <v>538</v>
      </c>
      <c r="GU229" s="82">
        <v>63022</v>
      </c>
      <c r="GV229" s="82">
        <v>4481</v>
      </c>
      <c r="GW229" s="82">
        <v>4106</v>
      </c>
      <c r="GX229" s="82">
        <v>6827</v>
      </c>
      <c r="GY229" s="82">
        <v>-13564</v>
      </c>
      <c r="GZ229" s="82">
        <v>6562</v>
      </c>
      <c r="HA229" s="82">
        <v>44621</v>
      </c>
      <c r="HB229" s="82">
        <v>13564</v>
      </c>
      <c r="HC229" s="82">
        <v>154148</v>
      </c>
      <c r="HD229" s="82">
        <v>1370</v>
      </c>
      <c r="HE229" s="82">
        <v>25747</v>
      </c>
      <c r="HF229" s="82">
        <v>74461</v>
      </c>
      <c r="HG229" s="82">
        <v>60354</v>
      </c>
      <c r="HH229" s="82">
        <v>44405</v>
      </c>
      <c r="HI229" s="82">
        <v>456</v>
      </c>
      <c r="HJ229" s="82">
        <v>66982</v>
      </c>
      <c r="HK229" s="82">
        <v>3172</v>
      </c>
      <c r="HL229" s="82">
        <v>4307</v>
      </c>
      <c r="HM229" s="82">
        <v>6599</v>
      </c>
      <c r="HN229" s="82">
        <v>-7541</v>
      </c>
      <c r="HO229" s="82">
        <v>6270</v>
      </c>
      <c r="HP229" s="82">
        <v>43961</v>
      </c>
      <c r="HQ229" s="82">
        <v>7541</v>
      </c>
      <c r="HR229" s="82">
        <v>171961</v>
      </c>
      <c r="HS229" s="82">
        <v>2451</v>
      </c>
      <c r="HT229" s="82">
        <v>19300</v>
      </c>
      <c r="HU229" s="83">
        <v>20</v>
      </c>
      <c r="HV229" s="180">
        <v>230</v>
      </c>
      <c r="HW229" s="30" t="s">
        <v>756</v>
      </c>
    </row>
    <row r="230" spans="1:231" ht="15" x14ac:dyDescent="0.25">
      <c r="A230" s="27">
        <v>738</v>
      </c>
      <c r="B230" s="27" t="s">
        <v>354</v>
      </c>
      <c r="C230" s="27">
        <v>2</v>
      </c>
      <c r="D230" s="27" t="s">
        <v>122</v>
      </c>
      <c r="E230" s="27">
        <v>2</v>
      </c>
      <c r="F230" s="27" t="s">
        <v>744</v>
      </c>
      <c r="G230" s="29" t="s">
        <v>130</v>
      </c>
      <c r="H230" s="27" t="s">
        <v>98</v>
      </c>
      <c r="I230" s="31" t="s">
        <v>122</v>
      </c>
      <c r="J230" s="69">
        <v>2824</v>
      </c>
      <c r="K230" s="69">
        <v>2856</v>
      </c>
      <c r="L230" s="36">
        <v>2851</v>
      </c>
      <c r="M230" s="36">
        <v>2846</v>
      </c>
      <c r="N230" s="36">
        <v>2871</v>
      </c>
      <c r="O230" s="36">
        <v>2888</v>
      </c>
      <c r="P230" s="36">
        <v>2896</v>
      </c>
      <c r="Q230" s="36">
        <v>2931</v>
      </c>
      <c r="R230" s="69">
        <v>2915</v>
      </c>
      <c r="S230" s="69">
        <v>2950</v>
      </c>
      <c r="T230" s="71">
        <v>3027</v>
      </c>
      <c r="U230" s="36">
        <v>5028</v>
      </c>
      <c r="V230" s="36">
        <v>2373</v>
      </c>
      <c r="W230" s="36">
        <v>810</v>
      </c>
      <c r="X230" s="36">
        <v>88.466849318754797</v>
      </c>
      <c r="Y230" s="36">
        <v>4979</v>
      </c>
      <c r="Z230" s="36">
        <v>2591</v>
      </c>
      <c r="AA230" s="36">
        <v>751</v>
      </c>
      <c r="AB230" s="36">
        <v>129.33651544890199</v>
      </c>
      <c r="AC230" s="36">
        <v>4708</v>
      </c>
      <c r="AD230" s="36">
        <v>3000</v>
      </c>
      <c r="AE230" s="36">
        <v>735</v>
      </c>
      <c r="AF230" s="36">
        <v>104.27651440613684</v>
      </c>
      <c r="AG230" s="36">
        <v>5496</v>
      </c>
      <c r="AH230" s="36">
        <v>3719</v>
      </c>
      <c r="AI230" s="36">
        <v>758</v>
      </c>
      <c r="AJ230" s="36">
        <v>105.11745403844439</v>
      </c>
      <c r="AK230" s="36">
        <v>5727</v>
      </c>
      <c r="AL230" s="36">
        <v>3594</v>
      </c>
      <c r="AM230" s="36">
        <v>849</v>
      </c>
      <c r="AN230" s="36">
        <v>52</v>
      </c>
      <c r="AO230" s="36">
        <v>5422</v>
      </c>
      <c r="AP230" s="36">
        <v>3815</v>
      </c>
      <c r="AQ230" s="36">
        <v>981</v>
      </c>
      <c r="AR230" s="36">
        <v>165</v>
      </c>
      <c r="AS230" s="36">
        <v>5737</v>
      </c>
      <c r="AT230" s="36">
        <v>4101</v>
      </c>
      <c r="AU230" s="36">
        <v>898</v>
      </c>
      <c r="AV230" s="36">
        <v>64</v>
      </c>
      <c r="AW230" s="36">
        <v>5991</v>
      </c>
      <c r="AX230" s="69">
        <v>4077</v>
      </c>
      <c r="AY230" s="36">
        <v>1109</v>
      </c>
      <c r="AZ230" s="36">
        <v>224</v>
      </c>
      <c r="BA230" s="36">
        <v>6390</v>
      </c>
      <c r="BB230" s="36">
        <v>3952</v>
      </c>
      <c r="BC230" s="36">
        <v>1398</v>
      </c>
      <c r="BD230" s="36">
        <v>189</v>
      </c>
      <c r="BE230" s="70">
        <v>7666</v>
      </c>
      <c r="BF230" s="70">
        <v>3943</v>
      </c>
      <c r="BG230" s="70">
        <v>1445</v>
      </c>
      <c r="BH230" s="70">
        <v>57</v>
      </c>
      <c r="BI230" s="36">
        <v>7666</v>
      </c>
      <c r="BJ230" s="36">
        <v>4068</v>
      </c>
      <c r="BK230" s="36">
        <v>1511</v>
      </c>
      <c r="BL230" s="36">
        <v>2</v>
      </c>
      <c r="BM230" s="36">
        <v>3829.9754613815289</v>
      </c>
      <c r="BN230" s="36">
        <v>947.06621390476857</v>
      </c>
      <c r="BO230" s="36">
        <v>251.27276213349748</v>
      </c>
      <c r="BP230" s="36">
        <v>4013.6366770774989</v>
      </c>
      <c r="BQ230" s="36">
        <v>712.61224441742218</v>
      </c>
      <c r="BR230" s="36">
        <v>253.12282932457413</v>
      </c>
      <c r="BS230" s="36">
        <v>3719.9805574757011</v>
      </c>
      <c r="BT230" s="36">
        <v>673.08808169896713</v>
      </c>
      <c r="BU230" s="36">
        <v>315.35236211533316</v>
      </c>
      <c r="BV230" s="36">
        <v>4635</v>
      </c>
      <c r="BW230" s="36">
        <v>534</v>
      </c>
      <c r="BX230" s="36">
        <v>327</v>
      </c>
      <c r="BY230" s="36">
        <v>5085</v>
      </c>
      <c r="BZ230" s="36">
        <v>299</v>
      </c>
      <c r="CA230" s="36">
        <v>343</v>
      </c>
      <c r="CB230" s="36">
        <v>4916</v>
      </c>
      <c r="CC230" s="36">
        <v>160</v>
      </c>
      <c r="CD230" s="36">
        <v>346</v>
      </c>
      <c r="CE230" s="36">
        <v>5185</v>
      </c>
      <c r="CF230" s="36">
        <v>207</v>
      </c>
      <c r="CG230" s="36">
        <v>345</v>
      </c>
      <c r="CH230" s="36">
        <v>5417</v>
      </c>
      <c r="CI230" s="36">
        <v>212</v>
      </c>
      <c r="CJ230" s="70">
        <v>362</v>
      </c>
      <c r="CK230" s="70">
        <v>5791</v>
      </c>
      <c r="CL230" s="70">
        <v>228</v>
      </c>
      <c r="CM230" s="36">
        <v>371</v>
      </c>
      <c r="CN230" s="36">
        <v>6959</v>
      </c>
      <c r="CO230" s="36">
        <v>266</v>
      </c>
      <c r="CP230" s="36">
        <v>441</v>
      </c>
      <c r="CQ230" s="36">
        <v>6940</v>
      </c>
      <c r="CR230" s="36">
        <v>262</v>
      </c>
      <c r="CS230" s="36">
        <v>464</v>
      </c>
      <c r="CT230" s="36">
        <v>15.305101307997504</v>
      </c>
      <c r="CU230" s="36">
        <v>-505.90928280000003</v>
      </c>
      <c r="CV230" s="36">
        <v>199.30269285689059</v>
      </c>
      <c r="CW230" s="36">
        <v>1173</v>
      </c>
      <c r="CX230" s="36">
        <v>-246.56350019257516</v>
      </c>
      <c r="CY230" s="36">
        <v>-565.95237250000002</v>
      </c>
      <c r="CZ230" s="36">
        <v>212.58953904734994</v>
      </c>
      <c r="DA230" s="36">
        <v>1734</v>
      </c>
      <c r="DB230" s="36">
        <v>-143.80067712459194</v>
      </c>
      <c r="DC230" s="36">
        <v>-299.54269699999998</v>
      </c>
      <c r="DD230" s="36">
        <v>215.61692172365713</v>
      </c>
      <c r="DE230" s="36">
        <v>1679</v>
      </c>
      <c r="DF230" s="36">
        <v>724.21721134326651</v>
      </c>
      <c r="DG230" s="36">
        <v>-524</v>
      </c>
      <c r="DH230" s="36">
        <v>225.20363353196328</v>
      </c>
      <c r="DI230" s="36">
        <v>1910</v>
      </c>
      <c r="DJ230" s="36">
        <v>876</v>
      </c>
      <c r="DK230" s="36">
        <v>-1122</v>
      </c>
      <c r="DL230" s="36">
        <v>222</v>
      </c>
      <c r="DM230" s="36">
        <v>2493</v>
      </c>
      <c r="DN230" s="36">
        <v>-107</v>
      </c>
      <c r="DO230" s="69">
        <v>-1537</v>
      </c>
      <c r="DP230" s="36">
        <v>234</v>
      </c>
      <c r="DQ230" s="36">
        <v>3420</v>
      </c>
      <c r="DR230" s="36">
        <v>-311</v>
      </c>
      <c r="DS230" s="36">
        <v>-531</v>
      </c>
      <c r="DT230" s="36">
        <v>411</v>
      </c>
      <c r="DU230" s="36">
        <v>3769</v>
      </c>
      <c r="DV230" s="36">
        <v>-265</v>
      </c>
      <c r="DW230" s="71">
        <v>-602</v>
      </c>
      <c r="DX230" s="39">
        <v>302</v>
      </c>
      <c r="DY230" s="71">
        <v>6109</v>
      </c>
      <c r="DZ230" s="70">
        <v>-93</v>
      </c>
      <c r="EA230" s="35">
        <v>69</v>
      </c>
      <c r="EB230" s="35">
        <v>315</v>
      </c>
      <c r="EC230" s="38">
        <v>4990</v>
      </c>
      <c r="ED230" s="38">
        <v>696</v>
      </c>
      <c r="EE230" s="38">
        <v>-420</v>
      </c>
      <c r="EF230" s="38">
        <v>305</v>
      </c>
      <c r="EG230" s="73">
        <v>4710</v>
      </c>
      <c r="EH230" s="73">
        <v>39</v>
      </c>
      <c r="EI230" s="73">
        <v>-455</v>
      </c>
      <c r="EJ230" s="73">
        <v>297</v>
      </c>
      <c r="EK230" s="73">
        <v>5387</v>
      </c>
      <c r="EL230" s="73">
        <v>7780.3734781095</v>
      </c>
      <c r="EM230" s="73">
        <v>-183.32483984304702</v>
      </c>
      <c r="EN230" s="73">
        <v>8171.4104071325137</v>
      </c>
      <c r="EO230" s="73">
        <v>-445.52981719654269</v>
      </c>
      <c r="EP230" s="73">
        <v>8159.132688500823</v>
      </c>
      <c r="EQ230" s="73">
        <v>-310.30672432148782</v>
      </c>
      <c r="ER230" s="73">
        <v>8778.9051975114908</v>
      </c>
      <c r="ES230" s="73">
        <v>489.09049015007406</v>
      </c>
      <c r="ET230" s="73">
        <v>9275</v>
      </c>
      <c r="EU230" s="73">
        <v>757</v>
      </c>
      <c r="EV230" s="73">
        <v>10253</v>
      </c>
      <c r="EW230" s="73">
        <v>-224</v>
      </c>
      <c r="EX230" s="73">
        <v>10967</v>
      </c>
      <c r="EY230" s="73">
        <v>-690</v>
      </c>
      <c r="EZ230" s="73">
        <v>11358</v>
      </c>
      <c r="FA230" s="73">
        <v>-400</v>
      </c>
      <c r="FB230" s="73">
        <v>11720</v>
      </c>
      <c r="FC230" s="73">
        <v>-221</v>
      </c>
      <c r="FD230" s="73">
        <v>12215</v>
      </c>
      <c r="FE230" s="73">
        <v>220</v>
      </c>
      <c r="FF230" s="73">
        <v>13073</v>
      </c>
      <c r="FG230" s="73">
        <v>-261</v>
      </c>
      <c r="FH230" s="73">
        <v>-485</v>
      </c>
      <c r="FI230" s="73">
        <v>-746</v>
      </c>
      <c r="FJ230" s="79">
        <v>3040</v>
      </c>
      <c r="FK230" s="80">
        <v>8437</v>
      </c>
      <c r="FL230" s="80">
        <v>4766</v>
      </c>
      <c r="FM230" s="80">
        <v>1482</v>
      </c>
      <c r="FN230" s="76">
        <v>1</v>
      </c>
      <c r="FO230" s="80">
        <v>7751</v>
      </c>
      <c r="FP230" s="80">
        <v>207</v>
      </c>
      <c r="FQ230" s="80">
        <v>479</v>
      </c>
      <c r="FR230" s="80">
        <v>606</v>
      </c>
      <c r="FS230" s="81">
        <v>-531</v>
      </c>
      <c r="FT230" s="76">
        <v>306</v>
      </c>
      <c r="FU230" s="76">
        <v>4844</v>
      </c>
      <c r="FV230" s="76">
        <v>531</v>
      </c>
      <c r="FW230" s="80">
        <v>13987</v>
      </c>
      <c r="FX230" s="80">
        <v>276</v>
      </c>
      <c r="FY230" s="73">
        <v>3045</v>
      </c>
      <c r="FZ230" s="73">
        <v>8505</v>
      </c>
      <c r="GA230" s="73">
        <v>5039</v>
      </c>
      <c r="GB230" s="73">
        <v>1750</v>
      </c>
      <c r="GC230" s="73">
        <v>2</v>
      </c>
      <c r="GD230" s="73">
        <v>7665</v>
      </c>
      <c r="GE230" s="73">
        <v>284</v>
      </c>
      <c r="GF230" s="73">
        <v>556</v>
      </c>
      <c r="GG230" s="73">
        <v>225</v>
      </c>
      <c r="GH230" s="73">
        <v>-385</v>
      </c>
      <c r="GI230" s="73">
        <v>316</v>
      </c>
      <c r="GJ230" s="73">
        <v>5050</v>
      </c>
      <c r="GK230" s="73">
        <v>385</v>
      </c>
      <c r="GL230" s="73">
        <v>15025</v>
      </c>
      <c r="GM230" s="73">
        <v>-91</v>
      </c>
      <c r="GN230" s="73">
        <v>-561</v>
      </c>
      <c r="GO230" s="77">
        <v>19.5</v>
      </c>
      <c r="GP230" s="78">
        <v>3043</v>
      </c>
      <c r="GQ230" s="73">
        <v>8923</v>
      </c>
      <c r="GR230" s="65">
        <v>5620</v>
      </c>
      <c r="GS230" s="65">
        <v>1605</v>
      </c>
      <c r="GT230" s="65">
        <v>2</v>
      </c>
      <c r="GU230" s="65">
        <v>7995</v>
      </c>
      <c r="GV230" s="65">
        <v>329</v>
      </c>
      <c r="GW230" s="65">
        <v>599</v>
      </c>
      <c r="GX230" s="65">
        <v>703</v>
      </c>
      <c r="GY230" s="65">
        <v>-586</v>
      </c>
      <c r="GZ230" s="65">
        <v>331</v>
      </c>
      <c r="HA230" s="65">
        <v>4806</v>
      </c>
      <c r="HB230" s="65">
        <v>586</v>
      </c>
      <c r="HC230" s="65">
        <v>15384</v>
      </c>
      <c r="HD230" s="65">
        <v>372</v>
      </c>
      <c r="HE230" s="78">
        <v>3033</v>
      </c>
      <c r="HF230" s="73">
        <v>8930</v>
      </c>
      <c r="HG230" s="65">
        <v>5321</v>
      </c>
      <c r="HH230" s="65">
        <v>1704</v>
      </c>
      <c r="HI230" s="65">
        <v>13</v>
      </c>
      <c r="HJ230" s="65">
        <v>8115</v>
      </c>
      <c r="HK230" s="65">
        <v>199</v>
      </c>
      <c r="HL230" s="65">
        <v>616</v>
      </c>
      <c r="HM230" s="65">
        <v>-697</v>
      </c>
      <c r="HN230" s="65">
        <v>-1054</v>
      </c>
      <c r="HO230" s="65">
        <v>357</v>
      </c>
      <c r="HP230" s="65">
        <v>6113</v>
      </c>
      <c r="HQ230" s="65">
        <v>1054</v>
      </c>
      <c r="HR230" s="65">
        <v>16629</v>
      </c>
      <c r="HS230" s="65">
        <v>-1054</v>
      </c>
      <c r="HT230" s="65">
        <v>-1341</v>
      </c>
      <c r="HU230" s="77">
        <v>19.5</v>
      </c>
      <c r="HV230" s="180">
        <v>330</v>
      </c>
      <c r="HW230" s="30" t="s">
        <v>760</v>
      </c>
    </row>
    <row r="231" spans="1:231" ht="15" x14ac:dyDescent="0.25">
      <c r="A231" s="27">
        <v>739</v>
      </c>
      <c r="B231" s="27" t="s">
        <v>355</v>
      </c>
      <c r="C231" s="27">
        <v>9</v>
      </c>
      <c r="D231" s="27" t="s">
        <v>105</v>
      </c>
      <c r="E231" s="27">
        <v>2</v>
      </c>
      <c r="F231" s="27" t="s">
        <v>744</v>
      </c>
      <c r="G231" s="29" t="s">
        <v>130</v>
      </c>
      <c r="H231" s="27" t="s">
        <v>98</v>
      </c>
      <c r="I231" s="31" t="s">
        <v>105</v>
      </c>
      <c r="J231" s="69">
        <v>4476</v>
      </c>
      <c r="K231" s="69">
        <v>4432</v>
      </c>
      <c r="L231" s="36">
        <v>4396</v>
      </c>
      <c r="M231" s="36">
        <v>4324</v>
      </c>
      <c r="N231" s="36">
        <v>4293</v>
      </c>
      <c r="O231" s="36">
        <v>4224</v>
      </c>
      <c r="P231" s="36">
        <v>4162</v>
      </c>
      <c r="Q231" s="36">
        <v>4126</v>
      </c>
      <c r="R231" s="69">
        <v>4132</v>
      </c>
      <c r="S231" s="69">
        <v>4071</v>
      </c>
      <c r="T231" s="71">
        <v>4023</v>
      </c>
      <c r="U231" s="36">
        <v>8676</v>
      </c>
      <c r="V231" s="36">
        <v>4353</v>
      </c>
      <c r="W231" s="36">
        <v>3785</v>
      </c>
      <c r="X231" s="36">
        <v>256.3183999273428</v>
      </c>
      <c r="Y231" s="36">
        <v>8502</v>
      </c>
      <c r="Z231" s="36">
        <v>4198</v>
      </c>
      <c r="AA231" s="36">
        <v>4030</v>
      </c>
      <c r="AB231" s="36">
        <v>280.70564926426192</v>
      </c>
      <c r="AC231" s="36">
        <v>8960</v>
      </c>
      <c r="AD231" s="36">
        <v>4215</v>
      </c>
      <c r="AE231" s="36">
        <v>4512</v>
      </c>
      <c r="AF231" s="36">
        <v>150.02363040366785</v>
      </c>
      <c r="AG231" s="36">
        <v>8262</v>
      </c>
      <c r="AH231" s="36">
        <v>5365</v>
      </c>
      <c r="AI231" s="36">
        <v>4382</v>
      </c>
      <c r="AJ231" s="36">
        <v>170.54255743197217</v>
      </c>
      <c r="AK231" s="36">
        <v>8798</v>
      </c>
      <c r="AL231" s="36">
        <v>6497</v>
      </c>
      <c r="AM231" s="36">
        <v>4634</v>
      </c>
      <c r="AN231" s="36">
        <v>57</v>
      </c>
      <c r="AO231" s="36">
        <v>8306</v>
      </c>
      <c r="AP231" s="36">
        <v>6850</v>
      </c>
      <c r="AQ231" s="36">
        <v>4839</v>
      </c>
      <c r="AR231" s="36">
        <v>83</v>
      </c>
      <c r="AS231" s="36">
        <v>8270</v>
      </c>
      <c r="AT231" s="36">
        <v>7228</v>
      </c>
      <c r="AU231" s="36">
        <v>5702</v>
      </c>
      <c r="AV231" s="36">
        <v>106</v>
      </c>
      <c r="AW231" s="36">
        <v>8483</v>
      </c>
      <c r="AX231" s="69">
        <v>7541</v>
      </c>
      <c r="AY231" s="36">
        <v>5587</v>
      </c>
      <c r="AZ231" s="36">
        <v>87</v>
      </c>
      <c r="BA231" s="36">
        <v>8889</v>
      </c>
      <c r="BB231" s="36">
        <v>7946</v>
      </c>
      <c r="BC231" s="36">
        <v>6121</v>
      </c>
      <c r="BD231" s="36">
        <v>81</v>
      </c>
      <c r="BE231" s="70">
        <v>9430</v>
      </c>
      <c r="BF231" s="70">
        <v>7860</v>
      </c>
      <c r="BG231" s="70">
        <v>6600</v>
      </c>
      <c r="BH231" s="70">
        <v>115</v>
      </c>
      <c r="BI231" s="36">
        <v>10073</v>
      </c>
      <c r="BJ231" s="36">
        <v>8914</v>
      </c>
      <c r="BK231" s="36">
        <v>6582</v>
      </c>
      <c r="BL231" s="36">
        <v>101</v>
      </c>
      <c r="BM231" s="36">
        <v>5888.2593054175013</v>
      </c>
      <c r="BN231" s="36">
        <v>2406.2646638848382</v>
      </c>
      <c r="BO231" s="36">
        <v>370.85437784763184</v>
      </c>
      <c r="BP231" s="36">
        <v>6053.5880371291669</v>
      </c>
      <c r="BQ231" s="36">
        <v>1969.3124309378327</v>
      </c>
      <c r="BR231" s="36">
        <v>479.33559041530646</v>
      </c>
      <c r="BS231" s="36">
        <v>6160.0509945793028</v>
      </c>
      <c r="BT231" s="36">
        <v>2302.6609011845476</v>
      </c>
      <c r="BU231" s="36">
        <v>497.33169854668813</v>
      </c>
      <c r="BV231" s="36">
        <v>6611</v>
      </c>
      <c r="BW231" s="36">
        <v>1119</v>
      </c>
      <c r="BX231" s="36">
        <v>532</v>
      </c>
      <c r="BY231" s="36">
        <v>7470</v>
      </c>
      <c r="BZ231" s="36">
        <v>785</v>
      </c>
      <c r="CA231" s="36">
        <v>543</v>
      </c>
      <c r="CB231" s="36">
        <v>7290</v>
      </c>
      <c r="CC231" s="36">
        <v>469</v>
      </c>
      <c r="CD231" s="36">
        <v>547</v>
      </c>
      <c r="CE231" s="36">
        <v>7094</v>
      </c>
      <c r="CF231" s="36">
        <v>623</v>
      </c>
      <c r="CG231" s="36">
        <v>553</v>
      </c>
      <c r="CH231" s="36">
        <v>7053</v>
      </c>
      <c r="CI231" s="36">
        <v>848</v>
      </c>
      <c r="CJ231" s="70">
        <v>582</v>
      </c>
      <c r="CK231" s="70">
        <v>7331</v>
      </c>
      <c r="CL231" s="70">
        <v>951</v>
      </c>
      <c r="CM231" s="36">
        <v>607</v>
      </c>
      <c r="CN231" s="36">
        <v>7795</v>
      </c>
      <c r="CO231" s="36">
        <v>1004</v>
      </c>
      <c r="CP231" s="36">
        <v>631</v>
      </c>
      <c r="CQ231" s="36">
        <v>8331</v>
      </c>
      <c r="CR231" s="36">
        <v>962</v>
      </c>
      <c r="CS231" s="36">
        <v>780</v>
      </c>
      <c r="CT231" s="36">
        <v>572.34351374852201</v>
      </c>
      <c r="CU231" s="36">
        <v>-1084.4757500000001</v>
      </c>
      <c r="CV231" s="36">
        <v>743.55882288634029</v>
      </c>
      <c r="CW231" s="36">
        <v>357</v>
      </c>
      <c r="CX231" s="36">
        <v>355.54927653963432</v>
      </c>
      <c r="CY231" s="36">
        <v>-1073.7117229999999</v>
      </c>
      <c r="CZ231" s="36">
        <v>743.89519873926326</v>
      </c>
      <c r="DA231" s="36">
        <v>756</v>
      </c>
      <c r="DB231" s="36">
        <v>556.70203658760158</v>
      </c>
      <c r="DC231" s="36">
        <v>-690.07506230000001</v>
      </c>
      <c r="DD231" s="36">
        <v>891.22782231954693</v>
      </c>
      <c r="DE231" s="36">
        <v>1001</v>
      </c>
      <c r="DF231" s="36">
        <v>-726.74003024018918</v>
      </c>
      <c r="DG231" s="36">
        <v>-720</v>
      </c>
      <c r="DH231" s="36">
        <v>915.44688373000452</v>
      </c>
      <c r="DI231" s="36">
        <v>908</v>
      </c>
      <c r="DJ231" s="36">
        <v>1570</v>
      </c>
      <c r="DK231" s="36">
        <v>-602</v>
      </c>
      <c r="DL231" s="36">
        <v>905</v>
      </c>
      <c r="DM231" s="36">
        <v>1287</v>
      </c>
      <c r="DN231" s="36">
        <v>908</v>
      </c>
      <c r="DO231" s="69">
        <v>-603</v>
      </c>
      <c r="DP231" s="36">
        <v>961</v>
      </c>
      <c r="DQ231" s="36">
        <v>1106</v>
      </c>
      <c r="DR231" s="36">
        <v>701</v>
      </c>
      <c r="DS231" s="36">
        <v>-901</v>
      </c>
      <c r="DT231" s="36">
        <v>893</v>
      </c>
      <c r="DU231" s="36">
        <v>924</v>
      </c>
      <c r="DV231" s="36">
        <v>647</v>
      </c>
      <c r="DW231" s="71">
        <v>-1380</v>
      </c>
      <c r="DX231" s="39">
        <v>719</v>
      </c>
      <c r="DY231" s="71">
        <v>748</v>
      </c>
      <c r="DZ231" s="70">
        <v>1137</v>
      </c>
      <c r="EA231" s="35">
        <v>-776</v>
      </c>
      <c r="EB231" s="35">
        <v>785</v>
      </c>
      <c r="EC231" s="38">
        <v>571</v>
      </c>
      <c r="ED231" s="38">
        <v>792</v>
      </c>
      <c r="EE231" s="38">
        <v>-448</v>
      </c>
      <c r="EF231" s="38">
        <v>798</v>
      </c>
      <c r="EG231" s="73">
        <v>389</v>
      </c>
      <c r="EH231" s="73">
        <v>686</v>
      </c>
      <c r="EI231" s="73">
        <v>-785</v>
      </c>
      <c r="EJ231" s="73">
        <v>831</v>
      </c>
      <c r="EK231" s="73">
        <v>284</v>
      </c>
      <c r="EL231" s="73">
        <v>15786.623341456811</v>
      </c>
      <c r="EM231" s="73">
        <v>48.942686600299709</v>
      </c>
      <c r="EN231" s="73">
        <v>16004.090330371544</v>
      </c>
      <c r="EO231" s="73">
        <v>-172.05624877012579</v>
      </c>
      <c r="EP231" s="73">
        <v>16532.032231534227</v>
      </c>
      <c r="EQ231" s="73">
        <v>-334.52578573194546</v>
      </c>
      <c r="ER231" s="73">
        <v>17979.625714588452</v>
      </c>
      <c r="ES231" s="73">
        <v>-1642.1869139701937</v>
      </c>
      <c r="ET231" s="73">
        <v>18361</v>
      </c>
      <c r="EU231" s="73">
        <v>665</v>
      </c>
      <c r="EV231" s="73">
        <v>19125</v>
      </c>
      <c r="EW231" s="73">
        <v>-287</v>
      </c>
      <c r="EX231" s="73">
        <v>20577</v>
      </c>
      <c r="EY231" s="73">
        <v>-192</v>
      </c>
      <c r="EZ231" s="73">
        <v>21069</v>
      </c>
      <c r="FA231" s="73">
        <v>-72</v>
      </c>
      <c r="FB231" s="73">
        <v>21900</v>
      </c>
      <c r="FC231" s="73">
        <v>352</v>
      </c>
      <c r="FD231" s="73">
        <v>23196</v>
      </c>
      <c r="FE231" s="73">
        <v>-6</v>
      </c>
      <c r="FF231" s="73">
        <v>24984</v>
      </c>
      <c r="FG231" s="73">
        <v>-145</v>
      </c>
      <c r="FH231" s="73">
        <v>3098</v>
      </c>
      <c r="FI231" s="73">
        <v>2951</v>
      </c>
      <c r="FJ231" s="79">
        <v>3957</v>
      </c>
      <c r="FK231" s="80">
        <v>10400</v>
      </c>
      <c r="FL231" s="80">
        <v>9950</v>
      </c>
      <c r="FM231" s="80">
        <v>6175</v>
      </c>
      <c r="FN231" s="76">
        <v>57</v>
      </c>
      <c r="FO231" s="80">
        <v>8754</v>
      </c>
      <c r="FP231" s="80">
        <v>805</v>
      </c>
      <c r="FQ231" s="80">
        <v>841</v>
      </c>
      <c r="FR231" s="80">
        <v>590</v>
      </c>
      <c r="FS231" s="81">
        <v>-637</v>
      </c>
      <c r="FT231" s="76">
        <v>982</v>
      </c>
      <c r="FU231" s="76">
        <v>178</v>
      </c>
      <c r="FV231" s="76">
        <v>637</v>
      </c>
      <c r="FW231" s="80">
        <v>25992</v>
      </c>
      <c r="FX231" s="80">
        <v>-505</v>
      </c>
      <c r="FY231" s="73">
        <v>3863</v>
      </c>
      <c r="FZ231" s="73">
        <v>10609</v>
      </c>
      <c r="GA231" s="73">
        <v>10245</v>
      </c>
      <c r="GB231" s="73">
        <v>7063</v>
      </c>
      <c r="GC231" s="73">
        <v>20</v>
      </c>
      <c r="GD231" s="73">
        <v>8653</v>
      </c>
      <c r="GE231" s="73">
        <v>1039</v>
      </c>
      <c r="GF231" s="73">
        <v>917</v>
      </c>
      <c r="GG231" s="73">
        <v>620</v>
      </c>
      <c r="GH231" s="73">
        <v>-4508</v>
      </c>
      <c r="GI231" s="73">
        <v>897</v>
      </c>
      <c r="GJ231" s="73">
        <v>4150</v>
      </c>
      <c r="GK231" s="73">
        <v>4508</v>
      </c>
      <c r="GL231" s="73">
        <v>27317</v>
      </c>
      <c r="GM231" s="73">
        <v>-277</v>
      </c>
      <c r="GN231" s="73">
        <v>2170</v>
      </c>
      <c r="GO231" s="77">
        <v>20</v>
      </c>
      <c r="GP231" s="78">
        <v>3789</v>
      </c>
      <c r="GQ231" s="73">
        <v>10852</v>
      </c>
      <c r="GR231" s="65">
        <v>10446</v>
      </c>
      <c r="GS231" s="65">
        <v>7613</v>
      </c>
      <c r="GT231" s="65">
        <v>414</v>
      </c>
      <c r="GU231" s="65">
        <v>8853</v>
      </c>
      <c r="GV231" s="65">
        <v>1062</v>
      </c>
      <c r="GW231" s="65">
        <v>937</v>
      </c>
      <c r="GX231" s="65">
        <v>616</v>
      </c>
      <c r="GY231" s="65">
        <v>-5831</v>
      </c>
      <c r="GZ231" s="65">
        <v>956</v>
      </c>
      <c r="HA231" s="65">
        <v>9700</v>
      </c>
      <c r="HB231" s="65">
        <v>5831</v>
      </c>
      <c r="HC231" s="65">
        <v>28163</v>
      </c>
      <c r="HD231" s="65">
        <v>61</v>
      </c>
      <c r="HE231" s="78">
        <v>3764</v>
      </c>
      <c r="HF231" s="73">
        <v>11067</v>
      </c>
      <c r="HG231" s="65">
        <v>11127</v>
      </c>
      <c r="HH231" s="65">
        <v>8587</v>
      </c>
      <c r="HI231" s="65">
        <v>6</v>
      </c>
      <c r="HJ231" s="65">
        <v>9364</v>
      </c>
      <c r="HK231" s="65">
        <v>642</v>
      </c>
      <c r="HL231" s="65">
        <v>1061</v>
      </c>
      <c r="HM231" s="65">
        <v>1858</v>
      </c>
      <c r="HN231" s="65">
        <v>2757</v>
      </c>
      <c r="HO231" s="65">
        <v>1041</v>
      </c>
      <c r="HP231" s="65">
        <v>9447</v>
      </c>
      <c r="HQ231" s="65">
        <v>-2757</v>
      </c>
      <c r="HR231" s="65">
        <v>28725</v>
      </c>
      <c r="HS231" s="65">
        <v>817</v>
      </c>
      <c r="HT231" s="65">
        <v>3109</v>
      </c>
      <c r="HU231" s="77">
        <v>20</v>
      </c>
      <c r="HV231" s="180">
        <v>340</v>
      </c>
      <c r="HW231" s="30" t="s">
        <v>761</v>
      </c>
    </row>
    <row r="232" spans="1:231" ht="15" x14ac:dyDescent="0.25">
      <c r="A232" s="27">
        <v>740</v>
      </c>
      <c r="B232" s="27" t="s">
        <v>356</v>
      </c>
      <c r="C232" s="27">
        <v>10</v>
      </c>
      <c r="D232" s="27" t="s">
        <v>107</v>
      </c>
      <c r="E232" s="27">
        <v>5</v>
      </c>
      <c r="F232" s="27" t="s">
        <v>101</v>
      </c>
      <c r="G232" s="29" t="s">
        <v>141</v>
      </c>
      <c r="H232" s="27" t="s">
        <v>97</v>
      </c>
      <c r="I232" s="31" t="s">
        <v>107</v>
      </c>
      <c r="J232" s="85">
        <v>40509</v>
      </c>
      <c r="K232" s="85">
        <v>40033</v>
      </c>
      <c r="L232" s="85">
        <v>39575</v>
      </c>
      <c r="M232" s="85">
        <v>39255</v>
      </c>
      <c r="N232" s="85">
        <v>39072</v>
      </c>
      <c r="O232" s="85">
        <v>38865</v>
      </c>
      <c r="P232" s="85">
        <v>38689</v>
      </c>
      <c r="Q232" s="85">
        <v>38451</v>
      </c>
      <c r="R232" s="85">
        <v>38214</v>
      </c>
      <c r="S232" s="85">
        <v>37762</v>
      </c>
      <c r="T232" s="85">
        <v>37409</v>
      </c>
      <c r="U232" s="85">
        <v>80186</v>
      </c>
      <c r="V232" s="85">
        <v>28945</v>
      </c>
      <c r="W232" s="85">
        <v>28804</v>
      </c>
      <c r="X232" s="85">
        <v>1161.3376322167337</v>
      </c>
      <c r="Y232" s="85">
        <v>81013</v>
      </c>
      <c r="Z232" s="85">
        <v>30465</v>
      </c>
      <c r="AA232" s="85">
        <v>28983</v>
      </c>
      <c r="AB232" s="85">
        <v>1297.401664724096</v>
      </c>
      <c r="AC232" s="85">
        <v>79476</v>
      </c>
      <c r="AD232" s="85">
        <v>32538</v>
      </c>
      <c r="AE232" s="85">
        <v>30398</v>
      </c>
      <c r="AF232" s="85">
        <v>719.67613732880568</v>
      </c>
      <c r="AG232" s="85">
        <v>87388</v>
      </c>
      <c r="AH232" s="85">
        <v>34307</v>
      </c>
      <c r="AI232" s="85">
        <v>29405</v>
      </c>
      <c r="AJ232" s="85">
        <v>905.01923228939086</v>
      </c>
      <c r="AK232" s="85">
        <v>90098</v>
      </c>
      <c r="AL232" s="85">
        <v>37420</v>
      </c>
      <c r="AM232" s="85">
        <v>30598</v>
      </c>
      <c r="AN232" s="85">
        <v>735</v>
      </c>
      <c r="AO232" s="85">
        <v>87308</v>
      </c>
      <c r="AP232" s="85">
        <v>44331</v>
      </c>
      <c r="AQ232" s="85">
        <v>32014</v>
      </c>
      <c r="AR232" s="85">
        <v>650</v>
      </c>
      <c r="AS232" s="85">
        <v>88684</v>
      </c>
      <c r="AT232" s="85">
        <v>43749</v>
      </c>
      <c r="AU232" s="85">
        <v>32632</v>
      </c>
      <c r="AV232" s="85">
        <v>1074</v>
      </c>
      <c r="AW232" s="85">
        <v>92673</v>
      </c>
      <c r="AX232" s="85">
        <v>46443</v>
      </c>
      <c r="AY232" s="85">
        <v>31997</v>
      </c>
      <c r="AZ232" s="85">
        <v>875</v>
      </c>
      <c r="BA232" s="85">
        <v>99807</v>
      </c>
      <c r="BB232" s="85">
        <v>50113</v>
      </c>
      <c r="BC232" s="85">
        <v>31471</v>
      </c>
      <c r="BD232" s="85">
        <v>1513</v>
      </c>
      <c r="BE232" s="85">
        <v>107375</v>
      </c>
      <c r="BF232" s="85">
        <v>52243</v>
      </c>
      <c r="BG232" s="85">
        <v>29248</v>
      </c>
      <c r="BH232" s="85">
        <v>2572</v>
      </c>
      <c r="BI232" s="85">
        <v>111851</v>
      </c>
      <c r="BJ232" s="85">
        <v>57659</v>
      </c>
      <c r="BK232" s="85">
        <v>29228</v>
      </c>
      <c r="BL232" s="85">
        <v>703</v>
      </c>
      <c r="BM232" s="85">
        <v>64184.381060021216</v>
      </c>
      <c r="BN232" s="85">
        <v>13144.222828820011</v>
      </c>
      <c r="BO232" s="85">
        <v>2857.5128705810721</v>
      </c>
      <c r="BP232" s="85">
        <v>64797.762427826354</v>
      </c>
      <c r="BQ232" s="85">
        <v>12869.067381128978</v>
      </c>
      <c r="BR232" s="85">
        <v>3345.7624210988388</v>
      </c>
      <c r="BS232" s="85">
        <v>59925.190010309918</v>
      </c>
      <c r="BT232" s="85">
        <v>15640.299845435296</v>
      </c>
      <c r="BU232" s="85">
        <v>3910.5374781565929</v>
      </c>
      <c r="BV232" s="85">
        <v>69314</v>
      </c>
      <c r="BW232" s="85">
        <v>13693</v>
      </c>
      <c r="BX232" s="85">
        <v>4381</v>
      </c>
      <c r="BY232" s="85">
        <v>78390</v>
      </c>
      <c r="BZ232" s="85">
        <v>7174</v>
      </c>
      <c r="CA232" s="85">
        <v>4534</v>
      </c>
      <c r="CB232" s="85">
        <v>76976</v>
      </c>
      <c r="CC232" s="85">
        <v>5213</v>
      </c>
      <c r="CD232" s="85">
        <v>5119</v>
      </c>
      <c r="CE232" s="85">
        <v>78007</v>
      </c>
      <c r="CF232" s="85">
        <v>5453</v>
      </c>
      <c r="CG232" s="85">
        <v>5224</v>
      </c>
      <c r="CH232" s="85">
        <v>81065</v>
      </c>
      <c r="CI232" s="85">
        <v>5951</v>
      </c>
      <c r="CJ232" s="85">
        <v>5657</v>
      </c>
      <c r="CK232" s="85">
        <v>87138</v>
      </c>
      <c r="CL232" s="85">
        <v>7111</v>
      </c>
      <c r="CM232" s="85">
        <v>5558</v>
      </c>
      <c r="CN232" s="85">
        <v>93318</v>
      </c>
      <c r="CO232" s="85">
        <v>8272</v>
      </c>
      <c r="CP232" s="85">
        <v>5785</v>
      </c>
      <c r="CQ232" s="85">
        <v>97336</v>
      </c>
      <c r="CR232" s="85">
        <v>8398</v>
      </c>
      <c r="CS232" s="85">
        <v>6117</v>
      </c>
      <c r="CT232" s="85">
        <v>575.3708964248292</v>
      </c>
      <c r="CU232" s="85">
        <v>-9272.7049509999997</v>
      </c>
      <c r="CV232" s="85">
        <v>6237.7538166045215</v>
      </c>
      <c r="CW232" s="85">
        <v>24502</v>
      </c>
      <c r="CX232" s="85">
        <v>-445.52981719654269</v>
      </c>
      <c r="CY232" s="85">
        <v>-7420.1149397000008</v>
      </c>
      <c r="CZ232" s="85">
        <v>6310.9155646152785</v>
      </c>
      <c r="DA232" s="85">
        <v>24205</v>
      </c>
      <c r="DB232" s="85">
        <v>882.48205014354858</v>
      </c>
      <c r="DC232" s="85">
        <v>-7015.9593525</v>
      </c>
      <c r="DD232" s="85">
        <v>6527.3734259712437</v>
      </c>
      <c r="DE232" s="85">
        <v>28532</v>
      </c>
      <c r="DF232" s="85">
        <v>1640.336846779117</v>
      </c>
      <c r="DG232" s="85">
        <v>-11070</v>
      </c>
      <c r="DH232" s="85">
        <v>6110.6037441996186</v>
      </c>
      <c r="DI232" s="85">
        <v>36957</v>
      </c>
      <c r="DJ232" s="85">
        <v>7480</v>
      </c>
      <c r="DK232" s="85">
        <v>-10134</v>
      </c>
      <c r="DL232" s="85">
        <v>6690</v>
      </c>
      <c r="DM232" s="85">
        <v>43080</v>
      </c>
      <c r="DN232" s="85">
        <v>5492</v>
      </c>
      <c r="DO232" s="85">
        <v>-5996</v>
      </c>
      <c r="DP232" s="85">
        <v>6553</v>
      </c>
      <c r="DQ232" s="85">
        <v>44537</v>
      </c>
      <c r="DR232" s="85">
        <v>-189</v>
      </c>
      <c r="DS232" s="85">
        <v>-5674</v>
      </c>
      <c r="DT232" s="85">
        <v>6757</v>
      </c>
      <c r="DU232" s="85">
        <v>49128</v>
      </c>
      <c r="DV232" s="85">
        <v>4530</v>
      </c>
      <c r="DW232" s="85">
        <v>-6963</v>
      </c>
      <c r="DX232" s="85">
        <v>6568</v>
      </c>
      <c r="DY232" s="85">
        <v>61978</v>
      </c>
      <c r="DZ232" s="85">
        <v>6111</v>
      </c>
      <c r="EA232" s="85">
        <v>-3498</v>
      </c>
      <c r="EB232" s="85">
        <v>6380</v>
      </c>
      <c r="EC232" s="85">
        <v>59109</v>
      </c>
      <c r="ED232" s="85">
        <v>11829</v>
      </c>
      <c r="EE232" s="85">
        <v>-7000</v>
      </c>
      <c r="EF232" s="85">
        <v>5873</v>
      </c>
      <c r="EG232" s="85">
        <v>55116</v>
      </c>
      <c r="EH232" s="85">
        <v>7315</v>
      </c>
      <c r="EI232" s="85">
        <v>-3725</v>
      </c>
      <c r="EJ232" s="85">
        <v>6068</v>
      </c>
      <c r="EK232" s="85">
        <v>54236</v>
      </c>
      <c r="EL232" s="85">
        <v>130775.19497185375</v>
      </c>
      <c r="EM232" s="85">
        <v>-6013.7274985577878</v>
      </c>
      <c r="EN232" s="85">
        <v>134801.95030719525</v>
      </c>
      <c r="EO232" s="85">
        <v>-6656.3735655672226</v>
      </c>
      <c r="EP232" s="85">
        <v>134455.14680283162</v>
      </c>
      <c r="EQ232" s="85">
        <v>-5525.9825118194058</v>
      </c>
      <c r="ER232" s="85">
        <v>141912.59946213503</v>
      </c>
      <c r="ES232" s="85">
        <v>-4648.8824753226263</v>
      </c>
      <c r="ET232" s="85">
        <v>149547</v>
      </c>
      <c r="EU232" s="85">
        <v>927</v>
      </c>
      <c r="EV232" s="85">
        <v>157064</v>
      </c>
      <c r="EW232" s="85">
        <v>-1038</v>
      </c>
      <c r="EX232" s="85">
        <v>164447</v>
      </c>
      <c r="EY232" s="85">
        <v>-6654</v>
      </c>
      <c r="EZ232" s="85">
        <v>165568</v>
      </c>
      <c r="FA232" s="85">
        <v>-1950</v>
      </c>
      <c r="FB232" s="85">
        <v>174048</v>
      </c>
      <c r="FC232" s="85">
        <v>-77</v>
      </c>
      <c r="FD232" s="85">
        <v>175300</v>
      </c>
      <c r="FE232" s="85">
        <v>6410</v>
      </c>
      <c r="FF232" s="85">
        <v>189840</v>
      </c>
      <c r="FG232" s="85">
        <v>1091</v>
      </c>
      <c r="FH232" s="85">
        <v>-15155</v>
      </c>
      <c r="FI232" s="85">
        <v>-14140</v>
      </c>
      <c r="FJ232" s="85">
        <v>37204</v>
      </c>
      <c r="FK232" s="85">
        <v>110720</v>
      </c>
      <c r="FL232" s="85">
        <v>64618</v>
      </c>
      <c r="FM232" s="85">
        <v>30231</v>
      </c>
      <c r="FN232" s="85">
        <v>573</v>
      </c>
      <c r="FO232" s="85">
        <v>97370</v>
      </c>
      <c r="FP232" s="85">
        <v>6830</v>
      </c>
      <c r="FQ232" s="85">
        <v>6520</v>
      </c>
      <c r="FR232" s="85">
        <v>12562</v>
      </c>
      <c r="FS232" s="85">
        <v>-10655</v>
      </c>
      <c r="FT232" s="85">
        <v>5993</v>
      </c>
      <c r="FU232" s="85">
        <v>55509</v>
      </c>
      <c r="FV232" s="85">
        <v>10655</v>
      </c>
      <c r="FW232" s="85">
        <v>192182</v>
      </c>
      <c r="FX232" s="85">
        <v>6602</v>
      </c>
      <c r="FY232" s="85">
        <v>37059</v>
      </c>
      <c r="FZ232" s="85">
        <v>113984</v>
      </c>
      <c r="GA232" s="85">
        <v>70850</v>
      </c>
      <c r="GB232" s="85">
        <v>31367</v>
      </c>
      <c r="GC232" s="85">
        <v>498</v>
      </c>
      <c r="GD232" s="85">
        <v>97639</v>
      </c>
      <c r="GE232" s="85">
        <v>8036</v>
      </c>
      <c r="GF232" s="85">
        <v>8309</v>
      </c>
      <c r="GG232" s="85">
        <v>10051</v>
      </c>
      <c r="GH232" s="85">
        <v>-15330</v>
      </c>
      <c r="GI232" s="85">
        <v>6488</v>
      </c>
      <c r="GJ232" s="85">
        <v>60478</v>
      </c>
      <c r="GK232" s="85">
        <v>15330</v>
      </c>
      <c r="GL232" s="85">
        <v>205321</v>
      </c>
      <c r="GM232" s="85">
        <v>3587</v>
      </c>
      <c r="GN232" s="85">
        <v>-3733</v>
      </c>
      <c r="GO232" s="77">
        <v>20.5</v>
      </c>
      <c r="GP232" s="78">
        <v>36854</v>
      </c>
      <c r="GQ232" s="78">
        <v>116531</v>
      </c>
      <c r="GR232" s="78">
        <v>73563</v>
      </c>
      <c r="GS232" s="78">
        <v>32467</v>
      </c>
      <c r="GT232" s="78">
        <v>566</v>
      </c>
      <c r="GU232" s="78">
        <v>99424</v>
      </c>
      <c r="GV232" s="78">
        <v>8552</v>
      </c>
      <c r="GW232" s="78">
        <v>8555</v>
      </c>
      <c r="GX232" s="78">
        <v>6845</v>
      </c>
      <c r="GY232" s="78">
        <v>-8941</v>
      </c>
      <c r="GZ232" s="78">
        <v>6492</v>
      </c>
      <c r="HA232" s="78">
        <v>66462</v>
      </c>
      <c r="HB232" s="78">
        <v>8941</v>
      </c>
      <c r="HC232" s="78">
        <v>214763</v>
      </c>
      <c r="HD232" s="78">
        <v>377</v>
      </c>
      <c r="HE232" s="78">
        <v>36584</v>
      </c>
      <c r="HF232" s="78">
        <v>117713</v>
      </c>
      <c r="HG232" s="78">
        <v>77433</v>
      </c>
      <c r="HH232" s="78">
        <v>33259</v>
      </c>
      <c r="HI232" s="78">
        <v>2155</v>
      </c>
      <c r="HJ232" s="78">
        <v>102885</v>
      </c>
      <c r="HK232" s="78">
        <v>6034</v>
      </c>
      <c r="HL232" s="78">
        <v>8794</v>
      </c>
      <c r="HM232" s="78">
        <v>1129</v>
      </c>
      <c r="HN232" s="78">
        <v>-19336</v>
      </c>
      <c r="HO232" s="78">
        <v>7545</v>
      </c>
      <c r="HP232" s="78">
        <v>87429</v>
      </c>
      <c r="HQ232" s="78">
        <v>19336</v>
      </c>
      <c r="HR232" s="78">
        <v>227693</v>
      </c>
      <c r="HS232" s="78">
        <v>-8008</v>
      </c>
      <c r="HT232" s="78">
        <v>-11363</v>
      </c>
      <c r="HU232" s="77">
        <v>20.5</v>
      </c>
      <c r="HV232" s="180">
        <v>140</v>
      </c>
      <c r="HW232" s="30" t="s">
        <v>753</v>
      </c>
    </row>
    <row r="233" spans="1:231" ht="15" x14ac:dyDescent="0.25">
      <c r="A233" s="27">
        <v>742</v>
      </c>
      <c r="B233" s="27" t="s">
        <v>357</v>
      </c>
      <c r="C233" s="27">
        <v>19</v>
      </c>
      <c r="D233" s="27" t="s">
        <v>113</v>
      </c>
      <c r="E233" s="27">
        <v>1</v>
      </c>
      <c r="F233" s="27" t="s">
        <v>103</v>
      </c>
      <c r="G233" s="29" t="s">
        <v>130</v>
      </c>
      <c r="H233" s="27" t="s">
        <v>98</v>
      </c>
      <c r="I233" s="31" t="s">
        <v>113</v>
      </c>
      <c r="J233" s="69">
        <v>1543</v>
      </c>
      <c r="K233" s="69">
        <v>1530</v>
      </c>
      <c r="L233" s="36">
        <v>1472</v>
      </c>
      <c r="M233" s="36">
        <v>1434</v>
      </c>
      <c r="N233" s="36">
        <v>1415</v>
      </c>
      <c r="O233" s="36">
        <v>1385</v>
      </c>
      <c r="P233" s="36">
        <v>1329</v>
      </c>
      <c r="Q233" s="36">
        <v>1303</v>
      </c>
      <c r="R233" s="69">
        <v>1266</v>
      </c>
      <c r="S233" s="69">
        <v>1244</v>
      </c>
      <c r="T233" s="71">
        <v>1216</v>
      </c>
      <c r="U233" s="36">
        <v>3967</v>
      </c>
      <c r="V233" s="36">
        <v>2669</v>
      </c>
      <c r="W233" s="36">
        <v>1322</v>
      </c>
      <c r="X233" s="36">
        <v>82.412083966140401</v>
      </c>
      <c r="Y233" s="36">
        <v>3617</v>
      </c>
      <c r="Z233" s="36">
        <v>2450</v>
      </c>
      <c r="AA233" s="36">
        <v>1588</v>
      </c>
      <c r="AB233" s="36">
        <v>53.483760614760499</v>
      </c>
      <c r="AC233" s="36">
        <v>3687</v>
      </c>
      <c r="AD233" s="36">
        <v>2607</v>
      </c>
      <c r="AE233" s="36">
        <v>1417</v>
      </c>
      <c r="AF233" s="36">
        <v>56.679331217529217</v>
      </c>
      <c r="AG233" s="36">
        <v>3515</v>
      </c>
      <c r="AH233" s="36">
        <v>2716</v>
      </c>
      <c r="AI233" s="36">
        <v>1243</v>
      </c>
      <c r="AJ233" s="36">
        <v>60.379465599682469</v>
      </c>
      <c r="AK233" s="36">
        <v>2728</v>
      </c>
      <c r="AL233" s="36">
        <v>3280</v>
      </c>
      <c r="AM233" s="36">
        <v>1282</v>
      </c>
      <c r="AN233" s="36">
        <v>41</v>
      </c>
      <c r="AO233" s="36">
        <v>3002</v>
      </c>
      <c r="AP233" s="36">
        <v>3936</v>
      </c>
      <c r="AQ233" s="36">
        <v>1345</v>
      </c>
      <c r="AR233" s="36">
        <v>34</v>
      </c>
      <c r="AS233" s="36">
        <v>2883</v>
      </c>
      <c r="AT233" s="36">
        <v>3841</v>
      </c>
      <c r="AU233" s="36">
        <v>1494</v>
      </c>
      <c r="AV233" s="36">
        <v>41</v>
      </c>
      <c r="AW233" s="36">
        <v>3090</v>
      </c>
      <c r="AX233" s="69">
        <v>3251</v>
      </c>
      <c r="AY233" s="36">
        <v>1218</v>
      </c>
      <c r="AZ233" s="36">
        <v>61</v>
      </c>
      <c r="BA233" s="36">
        <v>3331</v>
      </c>
      <c r="BB233" s="36">
        <v>3409</v>
      </c>
      <c r="BC233" s="36">
        <v>1395</v>
      </c>
      <c r="BD233" s="36">
        <v>2</v>
      </c>
      <c r="BE233" s="70">
        <v>3586</v>
      </c>
      <c r="BF233" s="70">
        <v>3257</v>
      </c>
      <c r="BG233" s="70">
        <v>1317</v>
      </c>
      <c r="BH233" s="70">
        <v>49</v>
      </c>
      <c r="BI233" s="36">
        <v>3709</v>
      </c>
      <c r="BJ233" s="36">
        <v>3531</v>
      </c>
      <c r="BK233" s="36">
        <v>1286</v>
      </c>
      <c r="BL233" s="36">
        <v>0</v>
      </c>
      <c r="BM233" s="36">
        <v>2334.7847951386962</v>
      </c>
      <c r="BN233" s="36">
        <v>1508.8138882862154</v>
      </c>
      <c r="BO233" s="36">
        <v>122.94537424336455</v>
      </c>
      <c r="BP233" s="36">
        <v>2307.5383510519314</v>
      </c>
      <c r="BQ233" s="36">
        <v>1187.0703849653448</v>
      </c>
      <c r="BR233" s="36">
        <v>122.104434611057</v>
      </c>
      <c r="BS233" s="36">
        <v>1979.0673306726005</v>
      </c>
      <c r="BT233" s="36">
        <v>1605.3537580751229</v>
      </c>
      <c r="BU233" s="36">
        <v>102.42644721506022</v>
      </c>
      <c r="BV233" s="36">
        <v>2310</v>
      </c>
      <c r="BW233" s="36">
        <v>1081</v>
      </c>
      <c r="BX233" s="36">
        <v>124</v>
      </c>
      <c r="BY233" s="36">
        <v>2284</v>
      </c>
      <c r="BZ233" s="36">
        <v>316</v>
      </c>
      <c r="CA233" s="36">
        <v>128</v>
      </c>
      <c r="CB233" s="36">
        <v>2555</v>
      </c>
      <c r="CC233" s="36">
        <v>265</v>
      </c>
      <c r="CD233" s="36">
        <v>182</v>
      </c>
      <c r="CE233" s="36">
        <v>2300</v>
      </c>
      <c r="CF233" s="36">
        <v>408</v>
      </c>
      <c r="CG233" s="36">
        <v>175</v>
      </c>
      <c r="CH233" s="36">
        <v>2320</v>
      </c>
      <c r="CI233" s="36">
        <v>607</v>
      </c>
      <c r="CJ233" s="70">
        <v>163</v>
      </c>
      <c r="CK233" s="70">
        <v>2438</v>
      </c>
      <c r="CL233" s="70">
        <v>730</v>
      </c>
      <c r="CM233" s="36">
        <v>163</v>
      </c>
      <c r="CN233" s="36">
        <v>2538</v>
      </c>
      <c r="CO233" s="36">
        <v>874</v>
      </c>
      <c r="CP233" s="36">
        <v>174</v>
      </c>
      <c r="CQ233" s="36">
        <v>2667</v>
      </c>
      <c r="CR233" s="36">
        <v>856</v>
      </c>
      <c r="CS233" s="36">
        <v>186</v>
      </c>
      <c r="CT233" s="36">
        <v>268.59611855903313</v>
      </c>
      <c r="CU233" s="36">
        <v>-2.8591947500000008</v>
      </c>
      <c r="CV233" s="36">
        <v>231.42658681103919</v>
      </c>
      <c r="CW233" s="36">
        <v>888</v>
      </c>
      <c r="CX233" s="36">
        <v>-178.11101412274019</v>
      </c>
      <c r="CY233" s="36">
        <v>-246.56350020000002</v>
      </c>
      <c r="CZ233" s="36">
        <v>235.63128497257696</v>
      </c>
      <c r="DA233" s="36">
        <v>1125</v>
      </c>
      <c r="DB233" s="36">
        <v>-282.05115267595397</v>
      </c>
      <c r="DC233" s="36">
        <v>-143.2961133</v>
      </c>
      <c r="DD233" s="36">
        <v>227.89464035534743</v>
      </c>
      <c r="DE233" s="36">
        <v>1481</v>
      </c>
      <c r="DF233" s="36">
        <v>-610.85854890820804</v>
      </c>
      <c r="DG233" s="36">
        <v>-118</v>
      </c>
      <c r="DH233" s="36">
        <v>227.72645242888592</v>
      </c>
      <c r="DI233" s="36">
        <v>2035</v>
      </c>
      <c r="DJ233" s="36">
        <v>-352</v>
      </c>
      <c r="DK233" s="36">
        <v>-37</v>
      </c>
      <c r="DL233" s="36">
        <v>260</v>
      </c>
      <c r="DM233" s="36">
        <v>2232</v>
      </c>
      <c r="DN233" s="36">
        <v>724</v>
      </c>
      <c r="DO233" s="69">
        <v>-389</v>
      </c>
      <c r="DP233" s="36">
        <v>206</v>
      </c>
      <c r="DQ233" s="36">
        <v>2248</v>
      </c>
      <c r="DR233" s="36">
        <v>317</v>
      </c>
      <c r="DS233" s="36">
        <v>-15</v>
      </c>
      <c r="DT233" s="36">
        <v>202</v>
      </c>
      <c r="DU233" s="36">
        <v>1584</v>
      </c>
      <c r="DV233" s="36">
        <v>250</v>
      </c>
      <c r="DW233" s="71">
        <v>-41</v>
      </c>
      <c r="DX233" s="39">
        <v>173</v>
      </c>
      <c r="DY233" s="71">
        <v>1385</v>
      </c>
      <c r="DZ233" s="70">
        <v>493</v>
      </c>
      <c r="EA233" s="35">
        <v>-210</v>
      </c>
      <c r="EB233" s="35">
        <v>157</v>
      </c>
      <c r="EC233" s="38">
        <v>1191</v>
      </c>
      <c r="ED233" s="38">
        <v>191</v>
      </c>
      <c r="EE233" s="38">
        <v>-829</v>
      </c>
      <c r="EF233" s="38">
        <v>185</v>
      </c>
      <c r="EG233" s="73">
        <v>1203</v>
      </c>
      <c r="EH233" s="73">
        <v>88</v>
      </c>
      <c r="EI233" s="73">
        <v>-413</v>
      </c>
      <c r="EJ233" s="73">
        <v>239</v>
      </c>
      <c r="EK233" s="73">
        <v>1245</v>
      </c>
      <c r="EL233" s="73">
        <v>7463.0028608766288</v>
      </c>
      <c r="EM233" s="73">
        <v>6.55932913199893</v>
      </c>
      <c r="EN233" s="73">
        <v>7594.6940072959924</v>
      </c>
      <c r="EO233" s="73">
        <v>-409.87397678670237</v>
      </c>
      <c r="EP233" s="73">
        <v>7734.2899862590466</v>
      </c>
      <c r="EQ233" s="73">
        <v>-472.43988543038449</v>
      </c>
      <c r="ER233" s="73">
        <v>7805.0971032993421</v>
      </c>
      <c r="ES233" s="73">
        <v>-834.71667902847923</v>
      </c>
      <c r="ET233" s="73">
        <v>7561</v>
      </c>
      <c r="EU233" s="73">
        <v>-557</v>
      </c>
      <c r="EV233" s="73">
        <v>7516</v>
      </c>
      <c r="EW233" s="73">
        <v>525</v>
      </c>
      <c r="EX233" s="73">
        <v>7875</v>
      </c>
      <c r="EY233" s="73">
        <v>130</v>
      </c>
      <c r="EZ233" s="73">
        <v>7331</v>
      </c>
      <c r="FA233" s="73">
        <v>10</v>
      </c>
      <c r="FB233" s="73">
        <v>7644</v>
      </c>
      <c r="FC233" s="73">
        <v>340</v>
      </c>
      <c r="FD233" s="73">
        <v>7968</v>
      </c>
      <c r="FE233" s="73">
        <v>10</v>
      </c>
      <c r="FF233" s="73">
        <v>8389</v>
      </c>
      <c r="FG233" s="73">
        <v>-147</v>
      </c>
      <c r="FH233" s="73">
        <v>-75</v>
      </c>
      <c r="FI233" s="73">
        <v>-230</v>
      </c>
      <c r="FJ233" s="79">
        <v>1181</v>
      </c>
      <c r="FK233" s="80">
        <v>3699</v>
      </c>
      <c r="FL233" s="80">
        <v>3671</v>
      </c>
      <c r="FM233" s="80">
        <v>1234</v>
      </c>
      <c r="FN233" s="76">
        <v>243</v>
      </c>
      <c r="FO233" s="80">
        <v>2829</v>
      </c>
      <c r="FP233" s="80">
        <v>684</v>
      </c>
      <c r="FQ233" s="80">
        <v>186</v>
      </c>
      <c r="FR233" s="80">
        <v>380</v>
      </c>
      <c r="FS233" s="81">
        <v>20</v>
      </c>
      <c r="FT233" s="76">
        <v>248</v>
      </c>
      <c r="FU233" s="76">
        <v>1251</v>
      </c>
      <c r="FV233" s="76">
        <v>-20</v>
      </c>
      <c r="FW233" s="80">
        <v>8191</v>
      </c>
      <c r="FX233" s="80">
        <v>399</v>
      </c>
      <c r="FY233" s="73">
        <v>1179</v>
      </c>
      <c r="FZ233" s="73">
        <v>3836</v>
      </c>
      <c r="GA233" s="73">
        <v>4187</v>
      </c>
      <c r="GB233" s="73">
        <v>1361</v>
      </c>
      <c r="GC233" s="73">
        <v>13</v>
      </c>
      <c r="GD233" s="73">
        <v>2610</v>
      </c>
      <c r="GE233" s="73">
        <v>987</v>
      </c>
      <c r="GF233" s="73">
        <v>239</v>
      </c>
      <c r="GG233" s="73">
        <v>745</v>
      </c>
      <c r="GH233" s="73">
        <v>-494</v>
      </c>
      <c r="GI233" s="73">
        <v>224</v>
      </c>
      <c r="GJ233" s="73">
        <v>1290</v>
      </c>
      <c r="GK233" s="73">
        <v>494</v>
      </c>
      <c r="GL233" s="73">
        <v>8625</v>
      </c>
      <c r="GM233" s="73">
        <v>525</v>
      </c>
      <c r="GN233" s="73">
        <v>693</v>
      </c>
      <c r="GO233" s="77">
        <v>20.25</v>
      </c>
      <c r="GP233" s="78">
        <v>1156</v>
      </c>
      <c r="GQ233" s="73">
        <v>3879</v>
      </c>
      <c r="GR233" s="65">
        <v>3956</v>
      </c>
      <c r="GS233" s="65">
        <v>1334</v>
      </c>
      <c r="GT233" s="65">
        <v>24</v>
      </c>
      <c r="GU233" s="65">
        <v>2611</v>
      </c>
      <c r="GV233" s="65">
        <v>1047</v>
      </c>
      <c r="GW233" s="65">
        <v>221</v>
      </c>
      <c r="GX233" s="65">
        <v>-131</v>
      </c>
      <c r="GY233" s="65">
        <v>-1591</v>
      </c>
      <c r="GZ233" s="65">
        <v>232</v>
      </c>
      <c r="HA233" s="65">
        <v>2068</v>
      </c>
      <c r="HB233" s="65">
        <v>1591</v>
      </c>
      <c r="HC233" s="65">
        <v>9298</v>
      </c>
      <c r="HD233" s="65">
        <v>-355</v>
      </c>
      <c r="HE233" s="78">
        <v>1127</v>
      </c>
      <c r="HF233" s="73">
        <v>3644</v>
      </c>
      <c r="HG233" s="65">
        <v>4059</v>
      </c>
      <c r="HH233" s="65">
        <v>1408</v>
      </c>
      <c r="HI233" s="65">
        <v>15</v>
      </c>
      <c r="HJ233" s="65">
        <v>2773</v>
      </c>
      <c r="HK233" s="65">
        <v>601</v>
      </c>
      <c r="HL233" s="65">
        <v>270</v>
      </c>
      <c r="HM233" s="65">
        <v>-802</v>
      </c>
      <c r="HN233" s="65">
        <v>-78</v>
      </c>
      <c r="HO233" s="65">
        <v>271</v>
      </c>
      <c r="HP233" s="65">
        <v>2860</v>
      </c>
      <c r="HQ233" s="65">
        <v>78</v>
      </c>
      <c r="HR233" s="65">
        <v>9865</v>
      </c>
      <c r="HS233" s="65">
        <v>-1065</v>
      </c>
      <c r="HT233" s="65">
        <v>-728</v>
      </c>
      <c r="HU233" s="77">
        <v>20.25</v>
      </c>
      <c r="HV233" s="180">
        <v>340</v>
      </c>
      <c r="HW233" s="30" t="s">
        <v>761</v>
      </c>
    </row>
    <row r="234" spans="1:231" ht="15" x14ac:dyDescent="0.25">
      <c r="A234" s="27">
        <v>743</v>
      </c>
      <c r="B234" s="27" t="s">
        <v>358</v>
      </c>
      <c r="C234" s="27">
        <v>14</v>
      </c>
      <c r="D234" s="27" t="s">
        <v>106</v>
      </c>
      <c r="E234" s="27">
        <v>6</v>
      </c>
      <c r="F234" s="27" t="s">
        <v>102</v>
      </c>
      <c r="G234" s="29" t="s">
        <v>141</v>
      </c>
      <c r="H234" s="27" t="s">
        <v>97</v>
      </c>
      <c r="I234" s="31" t="s">
        <v>106</v>
      </c>
      <c r="J234" s="69">
        <v>50033</v>
      </c>
      <c r="K234" s="69">
        <v>50372</v>
      </c>
      <c r="L234" s="36">
        <v>50670</v>
      </c>
      <c r="M234" s="36">
        <v>51159</v>
      </c>
      <c r="N234" s="36">
        <v>51705</v>
      </c>
      <c r="O234" s="36">
        <v>52379</v>
      </c>
      <c r="P234" s="36">
        <v>53031</v>
      </c>
      <c r="Q234" s="36">
        <v>53965</v>
      </c>
      <c r="R234" s="69">
        <v>54616</v>
      </c>
      <c r="S234" s="69">
        <v>55356</v>
      </c>
      <c r="T234" s="71">
        <v>56211</v>
      </c>
      <c r="U234" s="36">
        <v>108699</v>
      </c>
      <c r="V234" s="36">
        <v>27509</v>
      </c>
      <c r="W234" s="36">
        <v>26674</v>
      </c>
      <c r="X234" s="36">
        <v>3858.3992209535245</v>
      </c>
      <c r="Y234" s="36">
        <v>112229</v>
      </c>
      <c r="Z234" s="36">
        <v>28481</v>
      </c>
      <c r="AA234" s="36">
        <v>26719</v>
      </c>
      <c r="AB234" s="36">
        <v>4068.9705048833362</v>
      </c>
      <c r="AC234" s="36">
        <v>114585</v>
      </c>
      <c r="AD234" s="36">
        <v>31239</v>
      </c>
      <c r="AE234" s="36">
        <v>33290</v>
      </c>
      <c r="AF234" s="36">
        <v>4567.311330988794</v>
      </c>
      <c r="AG234" s="36">
        <v>122645</v>
      </c>
      <c r="AH234" s="36">
        <v>35069</v>
      </c>
      <c r="AI234" s="36">
        <v>34206</v>
      </c>
      <c r="AJ234" s="36">
        <v>3184.3020116957887</v>
      </c>
      <c r="AK234" s="36">
        <v>131337</v>
      </c>
      <c r="AL234" s="36">
        <v>39690</v>
      </c>
      <c r="AM234" s="36">
        <v>37297</v>
      </c>
      <c r="AN234" s="36">
        <v>8073</v>
      </c>
      <c r="AO234" s="36">
        <v>126058</v>
      </c>
      <c r="AP234" s="36">
        <v>42268</v>
      </c>
      <c r="AQ234" s="36">
        <v>37936</v>
      </c>
      <c r="AR234" s="36">
        <v>6589</v>
      </c>
      <c r="AS234" s="36">
        <v>129556</v>
      </c>
      <c r="AT234" s="36">
        <v>47834</v>
      </c>
      <c r="AU234" s="36">
        <v>46521</v>
      </c>
      <c r="AV234" s="36">
        <v>6515</v>
      </c>
      <c r="AW234" s="36">
        <v>135838</v>
      </c>
      <c r="AX234" s="69">
        <v>48094</v>
      </c>
      <c r="AY234" s="36">
        <v>47941</v>
      </c>
      <c r="AZ234" s="36">
        <v>9785</v>
      </c>
      <c r="BA234" s="36">
        <v>146335</v>
      </c>
      <c r="BB234" s="36">
        <v>51784</v>
      </c>
      <c r="BC234" s="36">
        <v>52499</v>
      </c>
      <c r="BD234" s="36">
        <v>4879</v>
      </c>
      <c r="BE234" s="70">
        <v>161278</v>
      </c>
      <c r="BF234" s="70">
        <v>54848</v>
      </c>
      <c r="BG234" s="70">
        <v>56043</v>
      </c>
      <c r="BH234" s="70">
        <v>7804</v>
      </c>
      <c r="BI234" s="36">
        <v>176399</v>
      </c>
      <c r="BJ234" s="36">
        <v>61687</v>
      </c>
      <c r="BK234" s="36">
        <v>56581</v>
      </c>
      <c r="BL234" s="36">
        <v>5665</v>
      </c>
      <c r="BM234" s="36">
        <v>87447.798672324498</v>
      </c>
      <c r="BN234" s="36">
        <v>16785.659624638185</v>
      </c>
      <c r="BO234" s="36">
        <v>4420.4832711878935</v>
      </c>
      <c r="BP234" s="36">
        <v>90017.373812803475</v>
      </c>
      <c r="BQ234" s="36">
        <v>16816.10163932772</v>
      </c>
      <c r="BR234" s="36">
        <v>5355.4399543874342</v>
      </c>
      <c r="BS234" s="36">
        <v>90192.4574442499</v>
      </c>
      <c r="BT234" s="36">
        <v>18765.06333116371</v>
      </c>
      <c r="BU234" s="36">
        <v>5585.8574136397046</v>
      </c>
      <c r="BV234" s="36">
        <v>103667</v>
      </c>
      <c r="BW234" s="36">
        <v>12769</v>
      </c>
      <c r="BX234" s="36">
        <v>6170</v>
      </c>
      <c r="BY234" s="36">
        <v>113081</v>
      </c>
      <c r="BZ234" s="36">
        <v>11553</v>
      </c>
      <c r="CA234" s="36">
        <v>6661</v>
      </c>
      <c r="CB234" s="36">
        <v>113419</v>
      </c>
      <c r="CC234" s="36">
        <v>5972</v>
      </c>
      <c r="CD234" s="36">
        <v>6627</v>
      </c>
      <c r="CE234" s="36">
        <v>115874</v>
      </c>
      <c r="CF234" s="36">
        <v>6846</v>
      </c>
      <c r="CG234" s="36">
        <v>6792</v>
      </c>
      <c r="CH234" s="36">
        <v>120794</v>
      </c>
      <c r="CI234" s="36">
        <v>7608</v>
      </c>
      <c r="CJ234" s="70">
        <v>7394</v>
      </c>
      <c r="CK234" s="70">
        <v>128212</v>
      </c>
      <c r="CL234" s="70">
        <v>9317</v>
      </c>
      <c r="CM234" s="36">
        <v>8792</v>
      </c>
      <c r="CN234" s="36">
        <v>139145</v>
      </c>
      <c r="CO234" s="36">
        <v>12853</v>
      </c>
      <c r="CP234" s="36">
        <v>9267</v>
      </c>
      <c r="CQ234" s="36">
        <v>151952</v>
      </c>
      <c r="CR234" s="36">
        <v>13880</v>
      </c>
      <c r="CS234" s="36">
        <v>10555</v>
      </c>
      <c r="CT234" s="36">
        <v>6106.5672339645425</v>
      </c>
      <c r="CU234" s="36">
        <v>-17915.882487000003</v>
      </c>
      <c r="CV234" s="36">
        <v>9301.6332729538681</v>
      </c>
      <c r="CW234" s="36">
        <v>43986</v>
      </c>
      <c r="CX234" s="36">
        <v>5468.7986168224934</v>
      </c>
      <c r="CY234" s="36">
        <v>-14685.496986</v>
      </c>
      <c r="CZ234" s="36">
        <v>9504.1315364135262</v>
      </c>
      <c r="DA234" s="36">
        <v>52400</v>
      </c>
      <c r="DB234" s="36">
        <v>5665.7466787089215</v>
      </c>
      <c r="DC234" s="36">
        <v>-13800.323929399998</v>
      </c>
      <c r="DD234" s="36">
        <v>10399.900432747534</v>
      </c>
      <c r="DE234" s="36">
        <v>62998</v>
      </c>
      <c r="DF234" s="36">
        <v>3765.8958613996933</v>
      </c>
      <c r="DG234" s="36">
        <v>-14268</v>
      </c>
      <c r="DH234" s="36">
        <v>10014.413705297751</v>
      </c>
      <c r="DI234" s="36">
        <v>65790</v>
      </c>
      <c r="DJ234" s="36">
        <v>26495</v>
      </c>
      <c r="DK234" s="36">
        <v>-7273</v>
      </c>
      <c r="DL234" s="36">
        <v>10391</v>
      </c>
      <c r="DM234" s="36">
        <v>64209</v>
      </c>
      <c r="DN234" s="36">
        <v>11660</v>
      </c>
      <c r="DO234" s="69">
        <v>-13692</v>
      </c>
      <c r="DP234" s="36">
        <v>10762</v>
      </c>
      <c r="DQ234" s="36">
        <v>62743</v>
      </c>
      <c r="DR234" s="36">
        <v>7756</v>
      </c>
      <c r="DS234" s="36">
        <v>-11595</v>
      </c>
      <c r="DT234" s="36">
        <v>10685</v>
      </c>
      <c r="DU234" s="36">
        <v>63919</v>
      </c>
      <c r="DV234" s="36">
        <v>5816</v>
      </c>
      <c r="DW234" s="71">
        <v>-11439</v>
      </c>
      <c r="DX234" s="39">
        <v>11508</v>
      </c>
      <c r="DY234" s="71">
        <v>73974</v>
      </c>
      <c r="DZ234" s="70">
        <v>11357</v>
      </c>
      <c r="EA234" s="35">
        <v>-18111</v>
      </c>
      <c r="EB234" s="35">
        <v>11030</v>
      </c>
      <c r="EC234" s="38">
        <v>80655</v>
      </c>
      <c r="ED234" s="38">
        <v>12594</v>
      </c>
      <c r="EE234" s="38">
        <v>-16663</v>
      </c>
      <c r="EF234" s="38">
        <v>11513</v>
      </c>
      <c r="EG234" s="73">
        <v>86145</v>
      </c>
      <c r="EH234" s="73">
        <v>14200</v>
      </c>
      <c r="EI234" s="73">
        <v>-24442</v>
      </c>
      <c r="EJ234" s="73">
        <v>12601</v>
      </c>
      <c r="EK234" s="73">
        <v>103362</v>
      </c>
      <c r="EL234" s="73">
        <v>150332.59162457765</v>
      </c>
      <c r="EM234" s="73">
        <v>-1759.7502745667898</v>
      </c>
      <c r="EN234" s="73">
        <v>156454.46395985017</v>
      </c>
      <c r="EO234" s="73">
        <v>-1188.75226422996</v>
      </c>
      <c r="EP234" s="73">
        <v>166848.47781517156</v>
      </c>
      <c r="EQ234" s="73">
        <v>-3074.1389198634984</v>
      </c>
      <c r="ER234" s="73">
        <v>179230.80933712091</v>
      </c>
      <c r="ES234" s="73">
        <v>-5904.5735342842681</v>
      </c>
      <c r="ET234" s="73">
        <v>186564</v>
      </c>
      <c r="EU234" s="73">
        <v>15455</v>
      </c>
      <c r="EV234" s="73">
        <v>198680</v>
      </c>
      <c r="EW234" s="73">
        <v>1393</v>
      </c>
      <c r="EX234" s="73">
        <v>220271</v>
      </c>
      <c r="EY234" s="73">
        <v>-891</v>
      </c>
      <c r="EZ234" s="73">
        <v>230401</v>
      </c>
      <c r="FA234" s="73">
        <v>-1936</v>
      </c>
      <c r="FB234" s="73">
        <v>243071</v>
      </c>
      <c r="FC234" s="73">
        <v>927</v>
      </c>
      <c r="FD234" s="73">
        <v>263229</v>
      </c>
      <c r="FE234" s="73">
        <v>2184</v>
      </c>
      <c r="FF234" s="73">
        <v>283684</v>
      </c>
      <c r="FG234" s="73">
        <v>2178</v>
      </c>
      <c r="FH234" s="73">
        <v>17841</v>
      </c>
      <c r="FI234" s="73">
        <v>19961</v>
      </c>
      <c r="FJ234" s="79">
        <v>57024</v>
      </c>
      <c r="FK234" s="80">
        <v>180070</v>
      </c>
      <c r="FL234" s="80">
        <v>64268</v>
      </c>
      <c r="FM234" s="80">
        <v>72931</v>
      </c>
      <c r="FN234" s="76">
        <v>6877</v>
      </c>
      <c r="FO234" s="80">
        <v>158207</v>
      </c>
      <c r="FP234" s="80">
        <v>10636</v>
      </c>
      <c r="FQ234" s="80">
        <v>11227</v>
      </c>
      <c r="FR234" s="80">
        <v>11958</v>
      </c>
      <c r="FS234" s="81">
        <v>-27255</v>
      </c>
      <c r="FT234" s="76">
        <v>12954</v>
      </c>
      <c r="FU234" s="76">
        <v>126778</v>
      </c>
      <c r="FV234" s="76">
        <v>27255</v>
      </c>
      <c r="FW234" s="80">
        <v>308766</v>
      </c>
      <c r="FX234" s="80">
        <v>421</v>
      </c>
      <c r="FY234" s="73">
        <v>57811</v>
      </c>
      <c r="FZ234" s="73">
        <v>191770</v>
      </c>
      <c r="GA234" s="73">
        <v>68593</v>
      </c>
      <c r="GB234" s="73">
        <v>75281</v>
      </c>
      <c r="GC234" s="73">
        <v>5029</v>
      </c>
      <c r="GD234" s="73">
        <v>164192</v>
      </c>
      <c r="GE234" s="73">
        <v>13601</v>
      </c>
      <c r="GF234" s="73">
        <v>13977</v>
      </c>
      <c r="GG234" s="73">
        <v>20132</v>
      </c>
      <c r="GH234" s="73">
        <v>-20063</v>
      </c>
      <c r="GI234" s="73">
        <v>13204</v>
      </c>
      <c r="GJ234" s="73">
        <v>124327</v>
      </c>
      <c r="GK234" s="73">
        <v>20063</v>
      </c>
      <c r="GL234" s="73">
        <v>318850</v>
      </c>
      <c r="GM234" s="73">
        <v>7405</v>
      </c>
      <c r="GN234" s="73">
        <v>29285</v>
      </c>
      <c r="GO234" s="77">
        <v>19.25</v>
      </c>
      <c r="GP234" s="78">
        <v>58703</v>
      </c>
      <c r="GQ234" s="73">
        <v>200694</v>
      </c>
      <c r="GR234" s="65">
        <v>71621</v>
      </c>
      <c r="GS234" s="65">
        <v>68578</v>
      </c>
      <c r="GT234" s="65">
        <v>33421</v>
      </c>
      <c r="GU234" s="65">
        <v>169077</v>
      </c>
      <c r="GV234" s="65">
        <v>17182</v>
      </c>
      <c r="GW234" s="65">
        <v>14435</v>
      </c>
      <c r="GX234" s="65">
        <v>11301</v>
      </c>
      <c r="GY234" s="65">
        <v>48220</v>
      </c>
      <c r="GZ234" s="65">
        <v>12039</v>
      </c>
      <c r="HA234" s="65">
        <v>127266</v>
      </c>
      <c r="HB234" s="65">
        <v>-48220</v>
      </c>
      <c r="HC234" s="65">
        <v>331903</v>
      </c>
      <c r="HD234" s="65">
        <v>34128</v>
      </c>
      <c r="HE234" s="78">
        <v>59556</v>
      </c>
      <c r="HF234" s="73">
        <v>205246</v>
      </c>
      <c r="HG234" s="65">
        <v>75862</v>
      </c>
      <c r="HH234" s="65">
        <v>67405</v>
      </c>
      <c r="HI234" s="65">
        <v>3465</v>
      </c>
      <c r="HJ234" s="65">
        <v>177820</v>
      </c>
      <c r="HK234" s="65">
        <v>11959</v>
      </c>
      <c r="HL234" s="65">
        <v>15467</v>
      </c>
      <c r="HM234" s="65">
        <v>-725</v>
      </c>
      <c r="HN234" s="65">
        <v>-23512</v>
      </c>
      <c r="HO234" s="65">
        <v>13049</v>
      </c>
      <c r="HP234" s="65">
        <v>158315</v>
      </c>
      <c r="HQ234" s="65">
        <v>23512</v>
      </c>
      <c r="HR234" s="65">
        <v>352703</v>
      </c>
      <c r="HS234" s="65">
        <v>-13663</v>
      </c>
      <c r="HT234" s="65">
        <v>49750</v>
      </c>
      <c r="HU234" s="77">
        <v>19.75</v>
      </c>
      <c r="HV234" s="180">
        <v>120</v>
      </c>
      <c r="HW234" s="30" t="s">
        <v>751</v>
      </c>
    </row>
    <row r="235" spans="1:231" ht="15" x14ac:dyDescent="0.25">
      <c r="A235" s="27">
        <v>746</v>
      </c>
      <c r="B235" s="27" t="s">
        <v>359</v>
      </c>
      <c r="C235" s="27">
        <v>17</v>
      </c>
      <c r="D235" s="27" t="s">
        <v>117</v>
      </c>
      <c r="E235" s="27">
        <v>2</v>
      </c>
      <c r="F235" s="27" t="s">
        <v>744</v>
      </c>
      <c r="G235" s="29" t="s">
        <v>130</v>
      </c>
      <c r="H235" s="27" t="s">
        <v>98</v>
      </c>
      <c r="I235" s="31" t="s">
        <v>117</v>
      </c>
      <c r="J235" s="69">
        <v>5003</v>
      </c>
      <c r="K235" s="69">
        <v>5119</v>
      </c>
      <c r="L235" s="36">
        <v>5151</v>
      </c>
      <c r="M235" s="36">
        <v>5149</v>
      </c>
      <c r="N235" s="36">
        <v>5184</v>
      </c>
      <c r="O235" s="36">
        <v>5194</v>
      </c>
      <c r="P235" s="36">
        <v>5210</v>
      </c>
      <c r="Q235" s="36">
        <v>5192</v>
      </c>
      <c r="R235" s="69">
        <v>5213</v>
      </c>
      <c r="S235" s="69">
        <v>5257</v>
      </c>
      <c r="T235" s="71">
        <v>5307</v>
      </c>
      <c r="U235" s="36">
        <v>7424</v>
      </c>
      <c r="V235" s="36">
        <v>7156</v>
      </c>
      <c r="W235" s="36">
        <v>2497</v>
      </c>
      <c r="X235" s="36">
        <v>132.19571019874766</v>
      </c>
      <c r="Y235" s="36">
        <v>7985</v>
      </c>
      <c r="Z235" s="36">
        <v>7763</v>
      </c>
      <c r="AA235" s="36">
        <v>2602</v>
      </c>
      <c r="AB235" s="36">
        <v>216.28967342950318</v>
      </c>
      <c r="AC235" s="36">
        <v>9219</v>
      </c>
      <c r="AD235" s="36">
        <v>8090</v>
      </c>
      <c r="AE235" s="36">
        <v>2646</v>
      </c>
      <c r="AF235" s="36">
        <v>41.374229909531714</v>
      </c>
      <c r="AG235" s="36">
        <v>9696</v>
      </c>
      <c r="AH235" s="36">
        <v>8366</v>
      </c>
      <c r="AI235" s="36">
        <v>2909</v>
      </c>
      <c r="AJ235" s="36">
        <v>87.625909686447244</v>
      </c>
      <c r="AK235" s="36">
        <v>9782</v>
      </c>
      <c r="AL235" s="36">
        <v>9197</v>
      </c>
      <c r="AM235" s="36">
        <v>2946</v>
      </c>
      <c r="AN235" s="36">
        <v>235</v>
      </c>
      <c r="AO235" s="36">
        <v>9111</v>
      </c>
      <c r="AP235" s="36">
        <v>9407</v>
      </c>
      <c r="AQ235" s="36">
        <v>3099</v>
      </c>
      <c r="AR235" s="36">
        <v>151</v>
      </c>
      <c r="AS235" s="36">
        <v>9448</v>
      </c>
      <c r="AT235" s="36">
        <v>11002</v>
      </c>
      <c r="AU235" s="36">
        <v>4857</v>
      </c>
      <c r="AV235" s="36">
        <v>159</v>
      </c>
      <c r="AW235" s="36">
        <v>10245</v>
      </c>
      <c r="AX235" s="69">
        <v>11231</v>
      </c>
      <c r="AY235" s="36">
        <v>5350</v>
      </c>
      <c r="AZ235" s="36">
        <v>144</v>
      </c>
      <c r="BA235" s="36">
        <v>10666</v>
      </c>
      <c r="BB235" s="36">
        <v>10918</v>
      </c>
      <c r="BC235" s="36">
        <v>5578</v>
      </c>
      <c r="BD235" s="36">
        <v>12</v>
      </c>
      <c r="BE235" s="70">
        <v>11481</v>
      </c>
      <c r="BF235" s="70">
        <v>11657</v>
      </c>
      <c r="BG235" s="70">
        <v>5623</v>
      </c>
      <c r="BH235" s="70">
        <v>231</v>
      </c>
      <c r="BI235" s="36">
        <v>12321</v>
      </c>
      <c r="BJ235" s="36">
        <v>13104</v>
      </c>
      <c r="BK235" s="36">
        <v>5382</v>
      </c>
      <c r="BL235" s="36">
        <v>230</v>
      </c>
      <c r="BM235" s="36">
        <v>5801.6425232898227</v>
      </c>
      <c r="BN235" s="36">
        <v>1396.2961654834646</v>
      </c>
      <c r="BO235" s="36">
        <v>219.82161988519491</v>
      </c>
      <c r="BP235" s="36">
        <v>6101.0170323913126</v>
      </c>
      <c r="BQ235" s="36">
        <v>1641.1777864114247</v>
      </c>
      <c r="BR235" s="36">
        <v>236.97678838426907</v>
      </c>
      <c r="BS235" s="36">
        <v>6402.0734207574169</v>
      </c>
      <c r="BT235" s="36">
        <v>2561.6703079352746</v>
      </c>
      <c r="BU235" s="36">
        <v>249.25450701595935</v>
      </c>
      <c r="BV235" s="36">
        <v>7275</v>
      </c>
      <c r="BW235" s="36">
        <v>2146</v>
      </c>
      <c r="BX235" s="36">
        <v>275</v>
      </c>
      <c r="BY235" s="36">
        <v>7885</v>
      </c>
      <c r="BZ235" s="36">
        <v>1592</v>
      </c>
      <c r="CA235" s="36">
        <v>305</v>
      </c>
      <c r="CB235" s="36">
        <v>7791</v>
      </c>
      <c r="CC235" s="36">
        <v>1003</v>
      </c>
      <c r="CD235" s="36">
        <v>317</v>
      </c>
      <c r="CE235" s="36">
        <v>7921</v>
      </c>
      <c r="CF235" s="36">
        <v>1124</v>
      </c>
      <c r="CG235" s="36">
        <v>403</v>
      </c>
      <c r="CH235" s="36">
        <v>8528</v>
      </c>
      <c r="CI235" s="36">
        <v>1301</v>
      </c>
      <c r="CJ235" s="70">
        <v>416</v>
      </c>
      <c r="CK235" s="70">
        <v>8798</v>
      </c>
      <c r="CL235" s="70">
        <v>1445</v>
      </c>
      <c r="CM235" s="36">
        <v>423</v>
      </c>
      <c r="CN235" s="36">
        <v>9413</v>
      </c>
      <c r="CO235" s="36">
        <v>1631</v>
      </c>
      <c r="CP235" s="36">
        <v>437</v>
      </c>
      <c r="CQ235" s="36">
        <v>10267</v>
      </c>
      <c r="CR235" s="36">
        <v>1553</v>
      </c>
      <c r="CS235" s="36">
        <v>501</v>
      </c>
      <c r="CT235" s="36">
        <v>-92.166983700908048</v>
      </c>
      <c r="CU235" s="36">
        <v>-826.64365859999998</v>
      </c>
      <c r="CV235" s="36">
        <v>431.90659515316031</v>
      </c>
      <c r="CW235" s="36">
        <v>3721</v>
      </c>
      <c r="CX235" s="36">
        <v>261.1958497947266</v>
      </c>
      <c r="CY235" s="36">
        <v>-1078.589172</v>
      </c>
      <c r="CZ235" s="36">
        <v>441.82968281438946</v>
      </c>
      <c r="DA235" s="36">
        <v>5469</v>
      </c>
      <c r="DB235" s="36">
        <v>360.59491433347966</v>
      </c>
      <c r="DC235" s="36">
        <v>-1452.3027450000002</v>
      </c>
      <c r="DD235" s="36">
        <v>662.32405440543039</v>
      </c>
      <c r="DE235" s="36">
        <v>7016</v>
      </c>
      <c r="DF235" s="36">
        <v>339.06685974640629</v>
      </c>
      <c r="DG235" s="36">
        <v>-1846</v>
      </c>
      <c r="DH235" s="36">
        <v>652.56915467066278</v>
      </c>
      <c r="DI235" s="36">
        <v>9757</v>
      </c>
      <c r="DJ235" s="36">
        <v>1121</v>
      </c>
      <c r="DK235" s="36">
        <v>-1328</v>
      </c>
      <c r="DL235" s="36">
        <v>669</v>
      </c>
      <c r="DM235" s="36">
        <v>12386</v>
      </c>
      <c r="DN235" s="36">
        <v>-852</v>
      </c>
      <c r="DO235" s="69">
        <v>-2134</v>
      </c>
      <c r="DP235" s="36">
        <v>963</v>
      </c>
      <c r="DQ235" s="36">
        <v>13655</v>
      </c>
      <c r="DR235" s="36">
        <v>-15</v>
      </c>
      <c r="DS235" s="36">
        <v>-2616</v>
      </c>
      <c r="DT235" s="36">
        <v>695</v>
      </c>
      <c r="DU235" s="36">
        <v>15440</v>
      </c>
      <c r="DV235" s="36">
        <v>830</v>
      </c>
      <c r="DW235" s="71">
        <v>-35</v>
      </c>
      <c r="DX235" s="39">
        <v>742</v>
      </c>
      <c r="DY235" s="71">
        <v>15285</v>
      </c>
      <c r="DZ235" s="70">
        <v>276</v>
      </c>
      <c r="EA235" s="35">
        <v>-138</v>
      </c>
      <c r="EB235" s="35">
        <v>692</v>
      </c>
      <c r="EC235" s="38">
        <v>14652</v>
      </c>
      <c r="ED235" s="38">
        <v>579</v>
      </c>
      <c r="EE235" s="38">
        <v>-1139</v>
      </c>
      <c r="EF235" s="38">
        <v>657</v>
      </c>
      <c r="EG235" s="73">
        <v>16268</v>
      </c>
      <c r="EH235" s="73">
        <v>852</v>
      </c>
      <c r="EI235" s="73">
        <v>-1535</v>
      </c>
      <c r="EJ235" s="73">
        <v>688</v>
      </c>
      <c r="EK235" s="73">
        <v>17552</v>
      </c>
      <c r="EL235" s="73">
        <v>16407.909541805631</v>
      </c>
      <c r="EM235" s="73">
        <v>-513.9823032663777</v>
      </c>
      <c r="EN235" s="73">
        <v>17325.374680653174</v>
      </c>
      <c r="EO235" s="73">
        <v>-480.00834212115245</v>
      </c>
      <c r="EP235" s="73">
        <v>18575.347350115124</v>
      </c>
      <c r="EQ235" s="73">
        <v>-291.63786448426015</v>
      </c>
      <c r="ER235" s="73">
        <v>19455.474769288208</v>
      </c>
      <c r="ES235" s="73">
        <v>-303.41101933656591</v>
      </c>
      <c r="ET235" s="73">
        <v>20601</v>
      </c>
      <c r="EU235" s="73">
        <v>462</v>
      </c>
      <c r="EV235" s="73">
        <v>22141</v>
      </c>
      <c r="EW235" s="73">
        <v>-1805</v>
      </c>
      <c r="EX235" s="73">
        <v>25009</v>
      </c>
      <c r="EY235" s="73">
        <v>-699</v>
      </c>
      <c r="EZ235" s="73">
        <v>25672</v>
      </c>
      <c r="FA235" s="73">
        <v>99</v>
      </c>
      <c r="FB235" s="73">
        <v>26500</v>
      </c>
      <c r="FC235" s="73">
        <v>-405</v>
      </c>
      <c r="FD235" s="73">
        <v>27864</v>
      </c>
      <c r="FE235" s="73">
        <v>-67</v>
      </c>
      <c r="FF235" s="73">
        <v>29448</v>
      </c>
      <c r="FG235" s="73">
        <v>413</v>
      </c>
      <c r="FH235" s="73">
        <v>-3707</v>
      </c>
      <c r="FI235" s="73">
        <v>-3294</v>
      </c>
      <c r="FJ235" s="79">
        <v>5278</v>
      </c>
      <c r="FK235" s="80">
        <v>12819</v>
      </c>
      <c r="FL235" s="80">
        <v>14813</v>
      </c>
      <c r="FM235" s="80">
        <v>5555</v>
      </c>
      <c r="FN235" s="76">
        <v>1</v>
      </c>
      <c r="FO235" s="80">
        <v>11054</v>
      </c>
      <c r="FP235" s="80">
        <v>1219</v>
      </c>
      <c r="FQ235" s="80">
        <v>546</v>
      </c>
      <c r="FR235" s="80">
        <v>2042</v>
      </c>
      <c r="FS235" s="81">
        <v>-675</v>
      </c>
      <c r="FT235" s="76">
        <v>740</v>
      </c>
      <c r="FU235" s="76">
        <v>17822</v>
      </c>
      <c r="FV235" s="76">
        <v>675</v>
      </c>
      <c r="FW235" s="80">
        <v>30873</v>
      </c>
      <c r="FX235" s="80">
        <v>1314</v>
      </c>
      <c r="FY235" s="73">
        <v>5310</v>
      </c>
      <c r="FZ235" s="73">
        <v>12776</v>
      </c>
      <c r="GA235" s="73">
        <v>15513</v>
      </c>
      <c r="GB235" s="73">
        <v>5992</v>
      </c>
      <c r="GC235" s="73">
        <v>-18</v>
      </c>
      <c r="GD235" s="73">
        <v>10521</v>
      </c>
      <c r="GE235" s="73">
        <v>1665</v>
      </c>
      <c r="GF235" s="73">
        <v>590</v>
      </c>
      <c r="GG235" s="73">
        <v>1640</v>
      </c>
      <c r="GH235" s="73">
        <v>-3537</v>
      </c>
      <c r="GI235" s="73">
        <v>673</v>
      </c>
      <c r="GJ235" s="73">
        <v>18384</v>
      </c>
      <c r="GK235" s="73">
        <v>3537</v>
      </c>
      <c r="GL235" s="73">
        <v>32330</v>
      </c>
      <c r="GM235" s="73">
        <v>974</v>
      </c>
      <c r="GN235" s="73">
        <v>-1005</v>
      </c>
      <c r="GO235" s="77">
        <v>21</v>
      </c>
      <c r="GP235" s="78">
        <v>5285</v>
      </c>
      <c r="GQ235" s="73">
        <v>14148</v>
      </c>
      <c r="GR235" s="65">
        <v>16077</v>
      </c>
      <c r="GS235" s="65">
        <v>2881</v>
      </c>
      <c r="GT235" s="65">
        <v>34</v>
      </c>
      <c r="GU235" s="65">
        <v>11609</v>
      </c>
      <c r="GV235" s="65">
        <v>1935</v>
      </c>
      <c r="GW235" s="65">
        <v>604</v>
      </c>
      <c r="GX235" s="65">
        <v>1835</v>
      </c>
      <c r="GY235" s="65">
        <v>-1941</v>
      </c>
      <c r="GZ235" s="65">
        <v>730</v>
      </c>
      <c r="HA235" s="65">
        <v>18041</v>
      </c>
      <c r="HB235" s="65">
        <v>1941</v>
      </c>
      <c r="HC235" s="65">
        <v>30949</v>
      </c>
      <c r="HD235" s="65">
        <v>1115</v>
      </c>
      <c r="HE235" s="78">
        <v>5241</v>
      </c>
      <c r="HF235" s="73">
        <v>14052</v>
      </c>
      <c r="HG235" s="65">
        <v>16152</v>
      </c>
      <c r="HH235" s="65">
        <v>2884</v>
      </c>
      <c r="HI235" s="65">
        <v>10</v>
      </c>
      <c r="HJ235" s="65">
        <v>11868</v>
      </c>
      <c r="HK235" s="65">
        <v>1474</v>
      </c>
      <c r="HL235" s="65">
        <v>710</v>
      </c>
      <c r="HM235" s="65">
        <v>-250</v>
      </c>
      <c r="HN235" s="65">
        <v>-458</v>
      </c>
      <c r="HO235" s="65">
        <v>727</v>
      </c>
      <c r="HP235" s="65">
        <v>18859</v>
      </c>
      <c r="HQ235" s="65">
        <v>458</v>
      </c>
      <c r="HR235" s="65">
        <v>33090</v>
      </c>
      <c r="HS235" s="65">
        <v>-967</v>
      </c>
      <c r="HT235" s="65">
        <v>-857</v>
      </c>
      <c r="HU235" s="77">
        <v>21.25</v>
      </c>
      <c r="HV235" s="180">
        <v>330</v>
      </c>
      <c r="HW235" s="30" t="s">
        <v>760</v>
      </c>
    </row>
    <row r="236" spans="1:231" ht="15" x14ac:dyDescent="0.25">
      <c r="A236" s="27">
        <v>747</v>
      </c>
      <c r="B236" s="27" t="s">
        <v>360</v>
      </c>
      <c r="C236" s="27">
        <v>4</v>
      </c>
      <c r="D236" s="27" t="s">
        <v>120</v>
      </c>
      <c r="E236" s="27">
        <v>1</v>
      </c>
      <c r="F236" s="27" t="s">
        <v>103</v>
      </c>
      <c r="G236" s="29" t="s">
        <v>130</v>
      </c>
      <c r="H236" s="27" t="s">
        <v>98</v>
      </c>
      <c r="I236" s="31" t="s">
        <v>120</v>
      </c>
      <c r="J236" s="69">
        <v>2054</v>
      </c>
      <c r="K236" s="70">
        <v>2002</v>
      </c>
      <c r="L236" s="70">
        <v>1947</v>
      </c>
      <c r="M236" s="70">
        <v>1886</v>
      </c>
      <c r="N236" s="70">
        <v>1895</v>
      </c>
      <c r="O236" s="70">
        <v>1866</v>
      </c>
      <c r="P236" s="70">
        <v>1816</v>
      </c>
      <c r="Q236" s="70">
        <v>1800</v>
      </c>
      <c r="R236" s="70">
        <v>1794</v>
      </c>
      <c r="S236" s="70">
        <v>1744</v>
      </c>
      <c r="T236" s="70">
        <v>1677</v>
      </c>
      <c r="U236" s="70">
        <v>3561</v>
      </c>
      <c r="V236" s="70">
        <v>2773</v>
      </c>
      <c r="W236" s="70">
        <v>1511</v>
      </c>
      <c r="X236" s="70">
        <v>218.81249232642585</v>
      </c>
      <c r="Y236" s="70">
        <v>3474</v>
      </c>
      <c r="Z236" s="70">
        <v>2480</v>
      </c>
      <c r="AA236" s="70">
        <v>1626</v>
      </c>
      <c r="AB236" s="70">
        <v>148.84631491843726</v>
      </c>
      <c r="AC236" s="70">
        <v>3267</v>
      </c>
      <c r="AD236" s="70">
        <v>2277</v>
      </c>
      <c r="AE236" s="70">
        <v>1695</v>
      </c>
      <c r="AF236" s="70">
        <v>191.90242409258408</v>
      </c>
      <c r="AG236" s="70">
        <v>3387</v>
      </c>
      <c r="AH236" s="70">
        <v>2641</v>
      </c>
      <c r="AI236" s="70">
        <v>1668</v>
      </c>
      <c r="AJ236" s="70">
        <v>159.61034221197397</v>
      </c>
      <c r="AK236" s="70">
        <v>3435</v>
      </c>
      <c r="AL236" s="70">
        <v>2813</v>
      </c>
      <c r="AM236" s="70">
        <v>1775</v>
      </c>
      <c r="AN236" s="70">
        <v>136</v>
      </c>
      <c r="AO236" s="70">
        <v>3146</v>
      </c>
      <c r="AP236" s="70">
        <v>3061</v>
      </c>
      <c r="AQ236" s="70">
        <v>1658</v>
      </c>
      <c r="AR236" s="70">
        <v>193</v>
      </c>
      <c r="AS236" s="70">
        <v>3200</v>
      </c>
      <c r="AT236" s="70">
        <v>3245</v>
      </c>
      <c r="AU236" s="70">
        <v>1846</v>
      </c>
      <c r="AV236" s="70">
        <v>276</v>
      </c>
      <c r="AW236" s="70">
        <v>3527</v>
      </c>
      <c r="AX236" s="70">
        <v>3385</v>
      </c>
      <c r="AY236" s="70">
        <v>1262</v>
      </c>
      <c r="AZ236" s="70">
        <v>148</v>
      </c>
      <c r="BA236" s="70">
        <v>3625</v>
      </c>
      <c r="BB236" s="70">
        <v>3265</v>
      </c>
      <c r="BC236" s="70">
        <v>1738</v>
      </c>
      <c r="BD236" s="70">
        <v>45</v>
      </c>
      <c r="BE236" s="70">
        <v>3901</v>
      </c>
      <c r="BF236" s="70">
        <v>3316</v>
      </c>
      <c r="BG236" s="70">
        <v>1425</v>
      </c>
      <c r="BH236" s="70">
        <v>109</v>
      </c>
      <c r="BI236" s="70">
        <v>4144</v>
      </c>
      <c r="BJ236" s="70">
        <v>3926</v>
      </c>
      <c r="BK236" s="70">
        <v>1575</v>
      </c>
      <c r="BL236" s="70">
        <v>22</v>
      </c>
      <c r="BM236" s="70">
        <v>2507.6819835411293</v>
      </c>
      <c r="BN236" s="70">
        <v>916.62419921523508</v>
      </c>
      <c r="BO236" s="70">
        <v>136.90497213966998</v>
      </c>
      <c r="BP236" s="70">
        <v>2600.1853430949604</v>
      </c>
      <c r="BQ236" s="70">
        <v>733.46754729864961</v>
      </c>
      <c r="BR236" s="70">
        <v>140.60510652182322</v>
      </c>
      <c r="BS236" s="70">
        <v>2231.6855962177897</v>
      </c>
      <c r="BT236" s="70">
        <v>872.5589624823192</v>
      </c>
      <c r="BU236" s="70">
        <v>163.1422886676657</v>
      </c>
      <c r="BV236" s="70">
        <v>2694</v>
      </c>
      <c r="BW236" s="70">
        <v>515</v>
      </c>
      <c r="BX236" s="70">
        <v>178</v>
      </c>
      <c r="BY236" s="70">
        <v>2880</v>
      </c>
      <c r="BZ236" s="70">
        <v>372</v>
      </c>
      <c r="CA236" s="70">
        <v>183</v>
      </c>
      <c r="CB236" s="70">
        <v>2761</v>
      </c>
      <c r="CC236" s="70">
        <v>196</v>
      </c>
      <c r="CD236" s="70">
        <v>189</v>
      </c>
      <c r="CE236" s="70">
        <v>2734</v>
      </c>
      <c r="CF236" s="70">
        <v>282</v>
      </c>
      <c r="CG236" s="70">
        <v>184</v>
      </c>
      <c r="CH236" s="70">
        <v>2925</v>
      </c>
      <c r="CI236" s="70">
        <v>362</v>
      </c>
      <c r="CJ236" s="70">
        <v>240</v>
      </c>
      <c r="CK236" s="70">
        <v>2970</v>
      </c>
      <c r="CL236" s="70">
        <v>411</v>
      </c>
      <c r="CM236" s="70">
        <v>244</v>
      </c>
      <c r="CN236" s="70">
        <v>3127</v>
      </c>
      <c r="CO236" s="70">
        <v>534</v>
      </c>
      <c r="CP236" s="70">
        <v>240</v>
      </c>
      <c r="CQ236" s="70">
        <v>3278</v>
      </c>
      <c r="CR236" s="70">
        <v>597</v>
      </c>
      <c r="CS236" s="70">
        <v>269</v>
      </c>
      <c r="CT236" s="70">
        <v>582.77116518913567</v>
      </c>
      <c r="CU236" s="70">
        <v>-455.11652900000001</v>
      </c>
      <c r="CV236" s="70">
        <v>317.87518101225584</v>
      </c>
      <c r="CW236" s="70">
        <v>231</v>
      </c>
      <c r="CX236" s="70">
        <v>358.74484714240305</v>
      </c>
      <c r="CY236" s="70">
        <v>-551.48821090000001</v>
      </c>
      <c r="CZ236" s="70">
        <v>385.15035159686028</v>
      </c>
      <c r="DA236" s="70">
        <v>0</v>
      </c>
      <c r="DB236" s="70">
        <v>38.178659306763002</v>
      </c>
      <c r="DC236" s="70">
        <v>-702.8573447</v>
      </c>
      <c r="DD236" s="70">
        <v>411.89223190424053</v>
      </c>
      <c r="DE236" s="70">
        <v>0</v>
      </c>
      <c r="DF236" s="70">
        <v>-15.136913381535992</v>
      </c>
      <c r="DG236" s="70">
        <v>-261</v>
      </c>
      <c r="DH236" s="70">
        <v>340.58055108455983</v>
      </c>
      <c r="DI236" s="70">
        <v>0</v>
      </c>
      <c r="DJ236" s="70">
        <v>429</v>
      </c>
      <c r="DK236" s="70">
        <v>-102</v>
      </c>
      <c r="DL236" s="70">
        <v>365</v>
      </c>
      <c r="DM236" s="70">
        <v>0</v>
      </c>
      <c r="DN236" s="70">
        <v>-27</v>
      </c>
      <c r="DO236" s="70">
        <v>-369</v>
      </c>
      <c r="DP236" s="70">
        <v>363</v>
      </c>
      <c r="DQ236" s="70">
        <v>0</v>
      </c>
      <c r="DR236" s="70">
        <v>-194</v>
      </c>
      <c r="DS236" s="70">
        <v>-272</v>
      </c>
      <c r="DT236" s="70">
        <v>401</v>
      </c>
      <c r="DU236" s="70">
        <v>990</v>
      </c>
      <c r="DV236" s="70">
        <v>371</v>
      </c>
      <c r="DW236" s="71">
        <v>-1395</v>
      </c>
      <c r="DX236" s="39">
        <v>383</v>
      </c>
      <c r="DY236" s="71">
        <v>1770</v>
      </c>
      <c r="DZ236" s="70">
        <v>306</v>
      </c>
      <c r="EA236" s="35">
        <v>-56</v>
      </c>
      <c r="EB236" s="35">
        <v>351</v>
      </c>
      <c r="EC236" s="38">
        <v>1550</v>
      </c>
      <c r="ED236" s="38">
        <v>-97</v>
      </c>
      <c r="EE236" s="38">
        <v>-624</v>
      </c>
      <c r="EF236" s="38">
        <v>389</v>
      </c>
      <c r="EG236" s="73">
        <v>1610</v>
      </c>
      <c r="EH236" s="73">
        <v>446</v>
      </c>
      <c r="EI236" s="73">
        <v>91</v>
      </c>
      <c r="EJ236" s="73">
        <v>383</v>
      </c>
      <c r="EK236" s="73">
        <v>1389</v>
      </c>
      <c r="EL236" s="73">
        <v>7133.5227129385285</v>
      </c>
      <c r="EM236" s="73">
        <v>260.5230980888806</v>
      </c>
      <c r="EN236" s="73">
        <v>7018.8185470917779</v>
      </c>
      <c r="EO236" s="73">
        <v>-26.405504454457233</v>
      </c>
      <c r="EP236" s="73">
        <v>7041.8602930170055</v>
      </c>
      <c r="EQ236" s="73">
        <v>-399.10994949316569</v>
      </c>
      <c r="ER236" s="73">
        <v>7325.0887611781891</v>
      </c>
      <c r="ES236" s="73">
        <v>-284.06940779349213</v>
      </c>
      <c r="ET236" s="73">
        <v>7630</v>
      </c>
      <c r="EU236" s="73">
        <v>41</v>
      </c>
      <c r="EV236" s="73">
        <v>8058</v>
      </c>
      <c r="EW236" s="73">
        <v>-424</v>
      </c>
      <c r="EX236" s="73">
        <v>8703</v>
      </c>
      <c r="EY236" s="73">
        <v>-637</v>
      </c>
      <c r="EZ236" s="73">
        <v>7910</v>
      </c>
      <c r="FA236" s="73">
        <v>-12</v>
      </c>
      <c r="FB236" s="73">
        <v>8367</v>
      </c>
      <c r="FC236" s="73">
        <v>-45</v>
      </c>
      <c r="FD236" s="73">
        <v>8782</v>
      </c>
      <c r="FE236" s="73">
        <v>-486</v>
      </c>
      <c r="FF236" s="73">
        <v>9200</v>
      </c>
      <c r="FG236" s="73">
        <v>63</v>
      </c>
      <c r="FH236" s="73">
        <v>1070</v>
      </c>
      <c r="FI236" s="73">
        <v>1133</v>
      </c>
      <c r="FJ236" s="79">
        <v>1686</v>
      </c>
      <c r="FK236" s="80">
        <v>4005</v>
      </c>
      <c r="FL236" s="80">
        <v>4480</v>
      </c>
      <c r="FM236" s="80">
        <v>908</v>
      </c>
      <c r="FN236" s="76">
        <v>8</v>
      </c>
      <c r="FO236" s="80">
        <v>3243</v>
      </c>
      <c r="FP236" s="80">
        <v>479</v>
      </c>
      <c r="FQ236" s="80">
        <v>283</v>
      </c>
      <c r="FR236" s="80">
        <v>705</v>
      </c>
      <c r="FS236" s="81">
        <v>-564</v>
      </c>
      <c r="FT236" s="76">
        <v>400</v>
      </c>
      <c r="FU236" s="76">
        <v>1278</v>
      </c>
      <c r="FV236" s="76">
        <v>564</v>
      </c>
      <c r="FW236" s="80">
        <v>8678</v>
      </c>
      <c r="FX236" s="80">
        <v>305</v>
      </c>
      <c r="FY236" s="73">
        <v>1654</v>
      </c>
      <c r="FZ236" s="73">
        <v>3907</v>
      </c>
      <c r="GA236" s="73">
        <v>4822</v>
      </c>
      <c r="GB236" s="73">
        <v>1501</v>
      </c>
      <c r="GC236" s="73">
        <v>344</v>
      </c>
      <c r="GD236" s="73">
        <v>2976</v>
      </c>
      <c r="GE236" s="73">
        <v>598</v>
      </c>
      <c r="GF236" s="73">
        <v>333</v>
      </c>
      <c r="GG236" s="73">
        <v>608</v>
      </c>
      <c r="GH236" s="73">
        <v>-204</v>
      </c>
      <c r="GI236" s="73">
        <v>431</v>
      </c>
      <c r="GJ236" s="73">
        <v>1277</v>
      </c>
      <c r="GK236" s="73">
        <v>204</v>
      </c>
      <c r="GL236" s="73">
        <v>9617</v>
      </c>
      <c r="GM236" s="73">
        <v>510</v>
      </c>
      <c r="GN236" s="73">
        <v>1949</v>
      </c>
      <c r="GO236" s="77">
        <v>20</v>
      </c>
      <c r="GP236" s="78">
        <v>1661</v>
      </c>
      <c r="GQ236" s="73">
        <v>3789</v>
      </c>
      <c r="GR236" s="65">
        <v>5112</v>
      </c>
      <c r="GS236" s="65">
        <v>1511</v>
      </c>
      <c r="GT236" s="65">
        <v>26</v>
      </c>
      <c r="GU236" s="65">
        <v>2804</v>
      </c>
      <c r="GV236" s="65">
        <v>654</v>
      </c>
      <c r="GW236" s="65">
        <v>331</v>
      </c>
      <c r="GX236" s="65">
        <v>-100</v>
      </c>
      <c r="GY236" s="65">
        <v>-603</v>
      </c>
      <c r="GZ236" s="65">
        <v>444</v>
      </c>
      <c r="HA236" s="65">
        <v>1276</v>
      </c>
      <c r="HB236" s="65">
        <v>603</v>
      </c>
      <c r="HC236" s="65">
        <v>10521</v>
      </c>
      <c r="HD236" s="65">
        <v>-544</v>
      </c>
      <c r="HE236" s="78">
        <v>1641</v>
      </c>
      <c r="HF236" s="73">
        <v>3978</v>
      </c>
      <c r="HG236" s="65">
        <v>5325</v>
      </c>
      <c r="HH236" s="65">
        <v>1697</v>
      </c>
      <c r="HI236" s="65">
        <v>9</v>
      </c>
      <c r="HJ236" s="65">
        <v>3244</v>
      </c>
      <c r="HK236" s="65">
        <v>399</v>
      </c>
      <c r="HL236" s="65">
        <v>335</v>
      </c>
      <c r="HM236" s="65">
        <v>-15</v>
      </c>
      <c r="HN236" s="65">
        <v>-397</v>
      </c>
      <c r="HO236" s="65">
        <v>452</v>
      </c>
      <c r="HP236" s="65">
        <v>1275</v>
      </c>
      <c r="HQ236" s="65">
        <v>397</v>
      </c>
      <c r="HR236" s="65">
        <v>11000</v>
      </c>
      <c r="HS236" s="65">
        <v>-467</v>
      </c>
      <c r="HT236" s="65">
        <v>938</v>
      </c>
      <c r="HU236" s="77">
        <v>20</v>
      </c>
      <c r="HV236" s="180">
        <v>340</v>
      </c>
      <c r="HW236" s="30" t="s">
        <v>761</v>
      </c>
    </row>
    <row r="237" spans="1:231" ht="15" x14ac:dyDescent="0.25">
      <c r="A237" s="27">
        <v>748</v>
      </c>
      <c r="B237" s="27" t="s">
        <v>361</v>
      </c>
      <c r="C237" s="27">
        <v>17</v>
      </c>
      <c r="D237" s="27" t="s">
        <v>117</v>
      </c>
      <c r="E237" s="27">
        <v>3</v>
      </c>
      <c r="F237" s="27" t="s">
        <v>743</v>
      </c>
      <c r="G237" s="29" t="s">
        <v>130</v>
      </c>
      <c r="H237" s="27" t="s">
        <v>98</v>
      </c>
      <c r="I237" s="31" t="s">
        <v>117</v>
      </c>
      <c r="J237" s="69">
        <v>6289</v>
      </c>
      <c r="K237" s="69">
        <v>6169</v>
      </c>
      <c r="L237" s="36">
        <v>6061</v>
      </c>
      <c r="M237" s="36">
        <v>5997</v>
      </c>
      <c r="N237" s="36">
        <v>5916</v>
      </c>
      <c r="O237" s="36">
        <v>5904</v>
      </c>
      <c r="P237" s="36">
        <v>5830</v>
      </c>
      <c r="Q237" s="36">
        <v>5808</v>
      </c>
      <c r="R237" s="69">
        <v>5827</v>
      </c>
      <c r="S237" s="69">
        <v>5823</v>
      </c>
      <c r="T237" s="71">
        <v>5759</v>
      </c>
      <c r="U237" s="36">
        <v>10384</v>
      </c>
      <c r="V237" s="36">
        <v>9092</v>
      </c>
      <c r="W237" s="36">
        <v>5802</v>
      </c>
      <c r="X237" s="36">
        <v>352.52189386332714</v>
      </c>
      <c r="Y237" s="36">
        <v>9904</v>
      </c>
      <c r="Z237" s="36">
        <v>8972</v>
      </c>
      <c r="AA237" s="36">
        <v>6137</v>
      </c>
      <c r="AB237" s="36">
        <v>828.83010160232629</v>
      </c>
      <c r="AC237" s="36">
        <v>9927</v>
      </c>
      <c r="AD237" s="36">
        <v>9537</v>
      </c>
      <c r="AE237" s="36">
        <v>5866</v>
      </c>
      <c r="AF237" s="36">
        <v>461.00310643100175</v>
      </c>
      <c r="AG237" s="36">
        <v>10770</v>
      </c>
      <c r="AH237" s="36">
        <v>11270</v>
      </c>
      <c r="AI237" s="36">
        <v>5460</v>
      </c>
      <c r="AJ237" s="36">
        <v>709.41667381465345</v>
      </c>
      <c r="AK237" s="36">
        <v>11121</v>
      </c>
      <c r="AL237" s="36">
        <v>11351</v>
      </c>
      <c r="AM237" s="36">
        <v>5664</v>
      </c>
      <c r="AN237" s="36">
        <v>566</v>
      </c>
      <c r="AO237" s="36">
        <v>10606</v>
      </c>
      <c r="AP237" s="36">
        <v>12401</v>
      </c>
      <c r="AQ237" s="36">
        <v>5618</v>
      </c>
      <c r="AR237" s="36">
        <v>531</v>
      </c>
      <c r="AS237" s="36">
        <v>11099</v>
      </c>
      <c r="AT237" s="36">
        <v>12072</v>
      </c>
      <c r="AU237" s="36">
        <v>7042</v>
      </c>
      <c r="AV237" s="36">
        <v>220</v>
      </c>
      <c r="AW237" s="36">
        <v>11269</v>
      </c>
      <c r="AX237" s="69">
        <v>12467</v>
      </c>
      <c r="AY237" s="36">
        <v>7755</v>
      </c>
      <c r="AZ237" s="36">
        <v>1101</v>
      </c>
      <c r="BA237" s="36">
        <v>11985</v>
      </c>
      <c r="BB237" s="36">
        <v>12433</v>
      </c>
      <c r="BC237" s="36">
        <v>7222</v>
      </c>
      <c r="BD237" s="36">
        <v>500</v>
      </c>
      <c r="BE237" s="70">
        <v>13309</v>
      </c>
      <c r="BF237" s="70">
        <v>13135</v>
      </c>
      <c r="BG237" s="70">
        <v>8401</v>
      </c>
      <c r="BH237" s="70">
        <v>1507</v>
      </c>
      <c r="BI237" s="36">
        <v>13607</v>
      </c>
      <c r="BJ237" s="36">
        <v>14320</v>
      </c>
      <c r="BK237" s="36">
        <v>7364</v>
      </c>
      <c r="BL237" s="36">
        <v>0</v>
      </c>
      <c r="BM237" s="36">
        <v>8680.515260531507</v>
      </c>
      <c r="BN237" s="36">
        <v>1454.3210001126859</v>
      </c>
      <c r="BO237" s="36">
        <v>248.74994323657481</v>
      </c>
      <c r="BP237" s="36">
        <v>8427.2242432804705</v>
      </c>
      <c r="BQ237" s="36">
        <v>1207.0847482142647</v>
      </c>
      <c r="BR237" s="36">
        <v>269.94162197072524</v>
      </c>
      <c r="BS237" s="36">
        <v>8283.0871903029565</v>
      </c>
      <c r="BT237" s="36">
        <v>1362.9949560440853</v>
      </c>
      <c r="BU237" s="36">
        <v>280.53746133780038</v>
      </c>
      <c r="BV237" s="36">
        <v>9445</v>
      </c>
      <c r="BW237" s="36">
        <v>1006</v>
      </c>
      <c r="BX237" s="36">
        <v>319</v>
      </c>
      <c r="BY237" s="36">
        <v>10227</v>
      </c>
      <c r="BZ237" s="36">
        <v>574</v>
      </c>
      <c r="CA237" s="36">
        <v>320</v>
      </c>
      <c r="CB237" s="36">
        <v>9892</v>
      </c>
      <c r="CC237" s="36">
        <v>374</v>
      </c>
      <c r="CD237" s="36">
        <v>340</v>
      </c>
      <c r="CE237" s="36">
        <v>10222</v>
      </c>
      <c r="CF237" s="36">
        <v>470</v>
      </c>
      <c r="CG237" s="36">
        <v>407</v>
      </c>
      <c r="CH237" s="36">
        <v>10260</v>
      </c>
      <c r="CI237" s="36">
        <v>568</v>
      </c>
      <c r="CJ237" s="70">
        <v>441</v>
      </c>
      <c r="CK237" s="70">
        <v>10838</v>
      </c>
      <c r="CL237" s="70">
        <v>616</v>
      </c>
      <c r="CM237" s="36">
        <v>531</v>
      </c>
      <c r="CN237" s="36">
        <v>12071</v>
      </c>
      <c r="CO237" s="36">
        <v>689</v>
      </c>
      <c r="CP237" s="36">
        <v>549</v>
      </c>
      <c r="CQ237" s="36">
        <v>12372</v>
      </c>
      <c r="CR237" s="36">
        <v>642</v>
      </c>
      <c r="CS237" s="36">
        <v>593</v>
      </c>
      <c r="CT237" s="36">
        <v>33.637585292302219</v>
      </c>
      <c r="CU237" s="36">
        <v>-1735.3630250000001</v>
      </c>
      <c r="CV237" s="36">
        <v>818.06607430878967</v>
      </c>
      <c r="CW237" s="36">
        <v>10475</v>
      </c>
      <c r="CX237" s="36">
        <v>-207.37571332704312</v>
      </c>
      <c r="CY237" s="36">
        <v>12144.177418000001</v>
      </c>
      <c r="CZ237" s="36">
        <v>778.20553573741154</v>
      </c>
      <c r="DA237" s="36">
        <v>10174</v>
      </c>
      <c r="DB237" s="36">
        <v>-1403.360058394848</v>
      </c>
      <c r="DC237" s="36">
        <v>-1072.1980312000001</v>
      </c>
      <c r="DD237" s="36">
        <v>840.60325645463217</v>
      </c>
      <c r="DE237" s="36">
        <v>10018</v>
      </c>
      <c r="DF237" s="36">
        <v>272.96900464703242</v>
      </c>
      <c r="DG237" s="36">
        <v>-1007</v>
      </c>
      <c r="DH237" s="36">
        <v>915.95144750938903</v>
      </c>
      <c r="DI237" s="36">
        <v>11211</v>
      </c>
      <c r="DJ237" s="36">
        <v>-207</v>
      </c>
      <c r="DK237" s="36">
        <v>-1191</v>
      </c>
      <c r="DL237" s="36">
        <v>758</v>
      </c>
      <c r="DM237" s="36">
        <v>11353</v>
      </c>
      <c r="DN237" s="36">
        <v>-305</v>
      </c>
      <c r="DO237" s="69">
        <v>-1279</v>
      </c>
      <c r="DP237" s="36">
        <v>836</v>
      </c>
      <c r="DQ237" s="36">
        <v>12041</v>
      </c>
      <c r="DR237" s="36">
        <v>-818</v>
      </c>
      <c r="DS237" s="36">
        <v>-1555</v>
      </c>
      <c r="DT237" s="36">
        <v>839</v>
      </c>
      <c r="DU237" s="36">
        <v>11569</v>
      </c>
      <c r="DV237" s="36">
        <v>28</v>
      </c>
      <c r="DW237" s="71">
        <v>-531</v>
      </c>
      <c r="DX237" s="39">
        <v>932</v>
      </c>
      <c r="DY237" s="71">
        <v>14515</v>
      </c>
      <c r="DZ237" s="70">
        <v>-548</v>
      </c>
      <c r="EA237" s="35">
        <v>188</v>
      </c>
      <c r="EB237" s="35">
        <v>888</v>
      </c>
      <c r="EC237" s="38">
        <v>13251</v>
      </c>
      <c r="ED237" s="38">
        <v>3631</v>
      </c>
      <c r="EE237" s="38">
        <v>-1658</v>
      </c>
      <c r="EF237" s="38">
        <v>878</v>
      </c>
      <c r="EG237" s="73">
        <v>10639</v>
      </c>
      <c r="EH237" s="73">
        <v>1889</v>
      </c>
      <c r="EI237" s="73">
        <v>-1130</v>
      </c>
      <c r="EJ237" s="73">
        <v>941</v>
      </c>
      <c r="EK237" s="73">
        <v>9818</v>
      </c>
      <c r="EL237" s="73">
        <v>24135.303823079754</v>
      </c>
      <c r="EM237" s="73">
        <v>-784.42848901648745</v>
      </c>
      <c r="EN237" s="73">
        <v>24592.943170981525</v>
      </c>
      <c r="EO237" s="73">
        <v>3752.9453910621569</v>
      </c>
      <c r="EP237" s="73">
        <v>25332.970047412178</v>
      </c>
      <c r="EQ237" s="73">
        <v>-2180.7246544999521</v>
      </c>
      <c r="ER237" s="73">
        <v>25921.627790027465</v>
      </c>
      <c r="ES237" s="73">
        <v>-648.86902028850955</v>
      </c>
      <c r="ET237" s="73">
        <v>27666</v>
      </c>
      <c r="EU237" s="73">
        <v>-965</v>
      </c>
      <c r="EV237" s="73">
        <v>29057</v>
      </c>
      <c r="EW237" s="73">
        <v>-1141</v>
      </c>
      <c r="EX237" s="73">
        <v>30915</v>
      </c>
      <c r="EY237" s="73">
        <v>-1485</v>
      </c>
      <c r="EZ237" s="73">
        <v>32204</v>
      </c>
      <c r="FA237" s="73">
        <v>-855</v>
      </c>
      <c r="FB237" s="73">
        <v>32072</v>
      </c>
      <c r="FC237" s="73">
        <v>-1173</v>
      </c>
      <c r="FD237" s="73">
        <v>32086</v>
      </c>
      <c r="FE237" s="73">
        <v>2753</v>
      </c>
      <c r="FF237" s="73">
        <v>33273</v>
      </c>
      <c r="FG237" s="73">
        <v>948</v>
      </c>
      <c r="FH237" s="73">
        <v>484</v>
      </c>
      <c r="FI237" s="73">
        <v>1432</v>
      </c>
      <c r="FJ237" s="79">
        <v>5776</v>
      </c>
      <c r="FK237" s="80">
        <v>13523</v>
      </c>
      <c r="FL237" s="80">
        <v>15655</v>
      </c>
      <c r="FM237" s="80">
        <v>7670</v>
      </c>
      <c r="FN237" s="76">
        <v>31</v>
      </c>
      <c r="FO237" s="80">
        <v>12401</v>
      </c>
      <c r="FP237" s="80">
        <v>512</v>
      </c>
      <c r="FQ237" s="80">
        <v>610</v>
      </c>
      <c r="FR237" s="80">
        <v>750</v>
      </c>
      <c r="FS237" s="81">
        <v>-1222</v>
      </c>
      <c r="FT237" s="76">
        <v>967</v>
      </c>
      <c r="FU237" s="76">
        <v>9765</v>
      </c>
      <c r="FV237" s="76">
        <v>1222</v>
      </c>
      <c r="FW237" s="80">
        <v>36129</v>
      </c>
      <c r="FX237" s="80">
        <v>-217</v>
      </c>
      <c r="FY237" s="73">
        <v>5682</v>
      </c>
      <c r="FZ237" s="73">
        <v>14220</v>
      </c>
      <c r="GA237" s="73">
        <v>16644</v>
      </c>
      <c r="GB237" s="73">
        <v>5364</v>
      </c>
      <c r="GC237" s="73">
        <v>462</v>
      </c>
      <c r="GD237" s="73">
        <v>12851</v>
      </c>
      <c r="GE237" s="73">
        <v>749</v>
      </c>
      <c r="GF237" s="73">
        <v>620</v>
      </c>
      <c r="GG237" s="73">
        <v>2805</v>
      </c>
      <c r="GH237" s="73">
        <v>-1410</v>
      </c>
      <c r="GI237" s="73">
        <v>1005</v>
      </c>
      <c r="GJ237" s="73">
        <v>9769</v>
      </c>
      <c r="GK237" s="73">
        <v>1410</v>
      </c>
      <c r="GL237" s="73">
        <v>33846</v>
      </c>
      <c r="GM237" s="73">
        <v>1642</v>
      </c>
      <c r="GN237" s="73">
        <v>2856</v>
      </c>
      <c r="GO237" s="77">
        <v>20</v>
      </c>
      <c r="GP237" s="78">
        <v>5639</v>
      </c>
      <c r="GQ237" s="73">
        <v>14529</v>
      </c>
      <c r="GR237" s="65">
        <v>16562</v>
      </c>
      <c r="GS237" s="65">
        <v>3988</v>
      </c>
      <c r="GT237" s="65">
        <v>248</v>
      </c>
      <c r="GU237" s="65">
        <v>12919</v>
      </c>
      <c r="GV237" s="65">
        <v>974</v>
      </c>
      <c r="GW237" s="65">
        <v>636</v>
      </c>
      <c r="GX237" s="65">
        <v>-852</v>
      </c>
      <c r="GY237" s="65">
        <v>-1293</v>
      </c>
      <c r="GZ237" s="65">
        <v>1012</v>
      </c>
      <c r="HA237" s="65">
        <v>11043</v>
      </c>
      <c r="HB237" s="65">
        <v>1293</v>
      </c>
      <c r="HC237" s="65">
        <v>35252</v>
      </c>
      <c r="HD237" s="65">
        <v>-1616</v>
      </c>
      <c r="HE237" s="78">
        <v>5597</v>
      </c>
      <c r="HF237" s="73">
        <v>15645</v>
      </c>
      <c r="HG237" s="65">
        <v>16619</v>
      </c>
      <c r="HH237" s="65">
        <v>3666</v>
      </c>
      <c r="HI237" s="65">
        <v>220</v>
      </c>
      <c r="HJ237" s="65">
        <v>14087</v>
      </c>
      <c r="HK237" s="65">
        <v>689</v>
      </c>
      <c r="HL237" s="65">
        <v>869</v>
      </c>
      <c r="HM237" s="65">
        <v>687</v>
      </c>
      <c r="HN237" s="65">
        <v>-1151</v>
      </c>
      <c r="HO237" s="65">
        <v>1258</v>
      </c>
      <c r="HP237" s="65">
        <v>12293</v>
      </c>
      <c r="HQ237" s="65">
        <v>1151</v>
      </c>
      <c r="HR237" s="65">
        <v>35444</v>
      </c>
      <c r="HS237" s="65">
        <v>-571</v>
      </c>
      <c r="HT237" s="65">
        <v>668</v>
      </c>
      <c r="HU237" s="77">
        <v>21</v>
      </c>
      <c r="HV237" s="180">
        <v>340</v>
      </c>
      <c r="HW237" s="30" t="s">
        <v>761</v>
      </c>
    </row>
    <row r="238" spans="1:231" ht="15" x14ac:dyDescent="0.25">
      <c r="A238" s="27">
        <v>791</v>
      </c>
      <c r="B238" s="27" t="s">
        <v>526</v>
      </c>
      <c r="C238" s="27">
        <v>17</v>
      </c>
      <c r="D238" s="27" t="s">
        <v>117</v>
      </c>
      <c r="E238" s="27">
        <v>3</v>
      </c>
      <c r="F238" s="27" t="s">
        <v>743</v>
      </c>
      <c r="G238" s="29" t="s">
        <v>130</v>
      </c>
      <c r="H238" s="27" t="s">
        <v>98</v>
      </c>
      <c r="I238" s="31" t="s">
        <v>117</v>
      </c>
      <c r="J238" s="69">
        <v>7356</v>
      </c>
      <c r="K238" s="69">
        <v>7255</v>
      </c>
      <c r="L238" s="36">
        <v>7146</v>
      </c>
      <c r="M238" s="36">
        <v>7083</v>
      </c>
      <c r="N238" s="36">
        <v>6984</v>
      </c>
      <c r="O238" s="36">
        <v>6888</v>
      </c>
      <c r="P238" s="36">
        <v>6782</v>
      </c>
      <c r="Q238" s="36">
        <v>6688</v>
      </c>
      <c r="R238" s="69">
        <v>6575</v>
      </c>
      <c r="S238" s="69">
        <v>6520</v>
      </c>
      <c r="T238" s="71">
        <v>6394</v>
      </c>
      <c r="U238" s="36">
        <v>12154</v>
      </c>
      <c r="V238" s="36">
        <v>11895</v>
      </c>
      <c r="W238" s="36">
        <v>5731</v>
      </c>
      <c r="X238" s="36">
        <v>392.71880828762824</v>
      </c>
      <c r="Y238" s="36">
        <v>11457</v>
      </c>
      <c r="Z238" s="36">
        <v>11624</v>
      </c>
      <c r="AA238" s="36">
        <v>5908</v>
      </c>
      <c r="AB238" s="36">
        <v>939.16138136107759</v>
      </c>
      <c r="AC238" s="36">
        <v>10929</v>
      </c>
      <c r="AD238" s="36">
        <v>12018</v>
      </c>
      <c r="AE238" s="36">
        <v>6372</v>
      </c>
      <c r="AF238" s="36">
        <v>754.82741395926155</v>
      </c>
      <c r="AG238" s="36">
        <v>11784</v>
      </c>
      <c r="AH238" s="36">
        <v>13602</v>
      </c>
      <c r="AI238" s="36">
        <v>7501</v>
      </c>
      <c r="AJ238" s="36">
        <v>555.02015732298639</v>
      </c>
      <c r="AK238" s="36">
        <v>12457</v>
      </c>
      <c r="AL238" s="36">
        <v>14975</v>
      </c>
      <c r="AM238" s="36">
        <v>8014</v>
      </c>
      <c r="AN238" s="36">
        <v>441</v>
      </c>
      <c r="AO238" s="36">
        <v>11831</v>
      </c>
      <c r="AP238" s="36">
        <v>15170</v>
      </c>
      <c r="AQ238" s="36">
        <v>7847</v>
      </c>
      <c r="AR238" s="36">
        <v>590</v>
      </c>
      <c r="AS238" s="36">
        <v>12097</v>
      </c>
      <c r="AT238" s="36">
        <v>15309</v>
      </c>
      <c r="AU238" s="36">
        <v>7884</v>
      </c>
      <c r="AV238" s="36">
        <v>692</v>
      </c>
      <c r="AW238" s="36">
        <v>12282</v>
      </c>
      <c r="AX238" s="69">
        <v>15749</v>
      </c>
      <c r="AY238" s="36">
        <v>7732</v>
      </c>
      <c r="AZ238" s="36">
        <v>1100</v>
      </c>
      <c r="BA238" s="36">
        <v>13148</v>
      </c>
      <c r="BB238" s="36">
        <v>16705</v>
      </c>
      <c r="BC238" s="36">
        <v>8127</v>
      </c>
      <c r="BD238" s="36">
        <v>702</v>
      </c>
      <c r="BE238" s="70">
        <v>14682</v>
      </c>
      <c r="BF238" s="70">
        <v>18035</v>
      </c>
      <c r="BG238" s="70">
        <v>8423</v>
      </c>
      <c r="BH238" s="70">
        <v>940</v>
      </c>
      <c r="BI238" s="36">
        <v>15863</v>
      </c>
      <c r="BJ238" s="36">
        <v>19065</v>
      </c>
      <c r="BK238" s="36">
        <v>8332</v>
      </c>
      <c r="BL238" s="36">
        <v>0</v>
      </c>
      <c r="BM238" s="36">
        <v>9698.220403550109</v>
      </c>
      <c r="BN238" s="36">
        <v>2083.8484088581217</v>
      </c>
      <c r="BO238" s="36">
        <v>372.53625711224691</v>
      </c>
      <c r="BP238" s="36">
        <v>9367.5629401267797</v>
      </c>
      <c r="BQ238" s="36">
        <v>1679.861009497572</v>
      </c>
      <c r="BR238" s="36">
        <v>409.87397678670237</v>
      </c>
      <c r="BS238" s="36">
        <v>8750.1450620865726</v>
      </c>
      <c r="BT238" s="36">
        <v>1807.515645681859</v>
      </c>
      <c r="BU238" s="36">
        <v>366.98605553901712</v>
      </c>
      <c r="BV238" s="36">
        <v>10121</v>
      </c>
      <c r="BW238" s="36">
        <v>1229</v>
      </c>
      <c r="BX238" s="36">
        <v>428</v>
      </c>
      <c r="BY238" s="36">
        <v>11297</v>
      </c>
      <c r="BZ238" s="36">
        <v>714</v>
      </c>
      <c r="CA238" s="36">
        <v>441</v>
      </c>
      <c r="CB238" s="36">
        <v>10937</v>
      </c>
      <c r="CC238" s="36">
        <v>428</v>
      </c>
      <c r="CD238" s="36">
        <v>466</v>
      </c>
      <c r="CE238" s="36">
        <v>11061</v>
      </c>
      <c r="CF238" s="36">
        <v>570</v>
      </c>
      <c r="CG238" s="36">
        <v>466</v>
      </c>
      <c r="CH238" s="36">
        <v>11005</v>
      </c>
      <c r="CI238" s="36">
        <v>793</v>
      </c>
      <c r="CJ238" s="70">
        <v>484</v>
      </c>
      <c r="CK238" s="70">
        <v>11609</v>
      </c>
      <c r="CL238" s="70">
        <v>998</v>
      </c>
      <c r="CM238" s="36">
        <v>541</v>
      </c>
      <c r="CN238" s="36">
        <v>12762</v>
      </c>
      <c r="CO238" s="36">
        <v>1313</v>
      </c>
      <c r="CP238" s="36">
        <v>607</v>
      </c>
      <c r="CQ238" s="36">
        <v>13702</v>
      </c>
      <c r="CR238" s="36">
        <v>1439</v>
      </c>
      <c r="CS238" s="36">
        <v>722</v>
      </c>
      <c r="CT238" s="36">
        <v>385.4867274497833</v>
      </c>
      <c r="CU238" s="36">
        <v>-979.19010800000001</v>
      </c>
      <c r="CV238" s="36">
        <v>781.06473048725718</v>
      </c>
      <c r="CW238" s="36">
        <v>5511</v>
      </c>
      <c r="CX238" s="36">
        <v>489.76324185592011</v>
      </c>
      <c r="CY238" s="36">
        <v>7582.7526644999998</v>
      </c>
      <c r="CZ238" s="36">
        <v>921.33346115615745</v>
      </c>
      <c r="DA238" s="36">
        <v>7716</v>
      </c>
      <c r="DB238" s="36">
        <v>-1540.7695943139024</v>
      </c>
      <c r="DC238" s="36">
        <v>-4890.7367132999998</v>
      </c>
      <c r="DD238" s="36">
        <v>946.89802597830703</v>
      </c>
      <c r="DE238" s="36">
        <v>10146</v>
      </c>
      <c r="DF238" s="36">
        <v>-637.60042921558829</v>
      </c>
      <c r="DG238" s="36">
        <v>-3481</v>
      </c>
      <c r="DH238" s="36">
        <v>1047.9789697816752</v>
      </c>
      <c r="DI238" s="36">
        <v>14130</v>
      </c>
      <c r="DJ238" s="36">
        <v>1377</v>
      </c>
      <c r="DK238" s="36">
        <v>-1947</v>
      </c>
      <c r="DL238" s="36">
        <v>1116</v>
      </c>
      <c r="DM238" s="36">
        <v>15294</v>
      </c>
      <c r="DN238" s="36">
        <v>171</v>
      </c>
      <c r="DO238" s="69">
        <v>-2269</v>
      </c>
      <c r="DP238" s="36">
        <v>1220</v>
      </c>
      <c r="DQ238" s="36">
        <v>17571</v>
      </c>
      <c r="DR238" s="36">
        <v>-851</v>
      </c>
      <c r="DS238" s="36">
        <v>-3104</v>
      </c>
      <c r="DT238" s="36">
        <v>1299</v>
      </c>
      <c r="DU238" s="36">
        <v>19898</v>
      </c>
      <c r="DV238" s="36">
        <v>-1236</v>
      </c>
      <c r="DW238" s="71">
        <v>-2804</v>
      </c>
      <c r="DX238" s="39">
        <v>1367</v>
      </c>
      <c r="DY238" s="71">
        <v>23626</v>
      </c>
      <c r="DZ238" s="70">
        <v>-262</v>
      </c>
      <c r="EA238" s="35">
        <v>-4845</v>
      </c>
      <c r="EB238" s="35">
        <v>1361</v>
      </c>
      <c r="EC238" s="38">
        <v>27669</v>
      </c>
      <c r="ED238" s="38">
        <v>1314</v>
      </c>
      <c r="EE238" s="38">
        <v>-2199</v>
      </c>
      <c r="EF238" s="38">
        <v>1466</v>
      </c>
      <c r="EG238" s="73">
        <v>25628</v>
      </c>
      <c r="EH238" s="73">
        <v>-286</v>
      </c>
      <c r="EI238" s="73">
        <v>-1109</v>
      </c>
      <c r="EJ238" s="73">
        <v>1577</v>
      </c>
      <c r="EK238" s="73">
        <v>25366</v>
      </c>
      <c r="EL238" s="73">
        <v>28323.519567824304</v>
      </c>
      <c r="EM238" s="73">
        <v>-262.54135320641871</v>
      </c>
      <c r="EN238" s="73">
        <v>27943.246666094827</v>
      </c>
      <c r="EO238" s="73">
        <v>1471.9807323911446</v>
      </c>
      <c r="EP238" s="73">
        <v>29769.09479576099</v>
      </c>
      <c r="EQ238" s="73">
        <v>-2205.2800917633326</v>
      </c>
      <c r="ER238" s="73">
        <v>31905.586025601566</v>
      </c>
      <c r="ES238" s="73">
        <v>-1604.5128184428152</v>
      </c>
      <c r="ET238" s="73">
        <v>33390</v>
      </c>
      <c r="EU238" s="73">
        <v>185</v>
      </c>
      <c r="EV238" s="73">
        <v>34941</v>
      </c>
      <c r="EW238" s="73">
        <v>-1001</v>
      </c>
      <c r="EX238" s="73">
        <v>36354</v>
      </c>
      <c r="EY238" s="73">
        <v>-2063</v>
      </c>
      <c r="EZ238" s="73">
        <v>37329</v>
      </c>
      <c r="FA238" s="73">
        <v>-2119</v>
      </c>
      <c r="FB238" s="73">
        <v>38068</v>
      </c>
      <c r="FC238" s="73">
        <v>-90</v>
      </c>
      <c r="FD238" s="73">
        <v>39468</v>
      </c>
      <c r="FE238" s="73">
        <v>2116</v>
      </c>
      <c r="FF238" s="73">
        <v>42082</v>
      </c>
      <c r="FG238" s="73">
        <v>-740</v>
      </c>
      <c r="FH238" s="73">
        <v>-4352</v>
      </c>
      <c r="FI238" s="73">
        <v>-5074</v>
      </c>
      <c r="FJ238" s="79">
        <v>6293</v>
      </c>
      <c r="FK238" s="80">
        <v>15023</v>
      </c>
      <c r="FL238" s="80">
        <v>19279</v>
      </c>
      <c r="FM238" s="80">
        <v>10712</v>
      </c>
      <c r="FN238" s="76">
        <v>431</v>
      </c>
      <c r="FO238" s="80">
        <v>13111</v>
      </c>
      <c r="FP238" s="80">
        <v>1115</v>
      </c>
      <c r="FQ238" s="80">
        <v>797</v>
      </c>
      <c r="FR238" s="80">
        <v>3160</v>
      </c>
      <c r="FS238" s="81">
        <v>-734</v>
      </c>
      <c r="FT238" s="76">
        <v>1221</v>
      </c>
      <c r="FU238" s="76">
        <v>23647</v>
      </c>
      <c r="FV238" s="76">
        <v>734</v>
      </c>
      <c r="FW238" s="80">
        <v>41819</v>
      </c>
      <c r="FX238" s="80">
        <v>2960</v>
      </c>
      <c r="FY238" s="73">
        <v>6179</v>
      </c>
      <c r="FZ238" s="73">
        <v>15152</v>
      </c>
      <c r="GA238" s="73">
        <v>19779</v>
      </c>
      <c r="GB238" s="73">
        <v>11327</v>
      </c>
      <c r="GC238" s="73">
        <v>451</v>
      </c>
      <c r="GD238" s="73">
        <v>12845</v>
      </c>
      <c r="GE238" s="73">
        <v>1456</v>
      </c>
      <c r="GF238" s="73">
        <v>851</v>
      </c>
      <c r="GG238" s="73">
        <v>2143</v>
      </c>
      <c r="GH238" s="73">
        <v>295</v>
      </c>
      <c r="GI238" s="73">
        <v>1584</v>
      </c>
      <c r="GJ238" s="73">
        <v>17084</v>
      </c>
      <c r="GK238" s="73">
        <v>-295</v>
      </c>
      <c r="GL238" s="73">
        <v>44410</v>
      </c>
      <c r="GM238" s="73">
        <v>1092</v>
      </c>
      <c r="GN238" s="73">
        <v>-1181</v>
      </c>
      <c r="GO238" s="77">
        <v>21</v>
      </c>
      <c r="GP238" s="78">
        <v>6061</v>
      </c>
      <c r="GQ238" s="73">
        <v>16098</v>
      </c>
      <c r="GR238" s="65">
        <v>20739</v>
      </c>
      <c r="GS238" s="65">
        <v>11191</v>
      </c>
      <c r="GT238" s="65">
        <v>19</v>
      </c>
      <c r="GU238" s="65">
        <v>13715</v>
      </c>
      <c r="GV238" s="65">
        <v>1477</v>
      </c>
      <c r="GW238" s="65">
        <v>906</v>
      </c>
      <c r="GX238" s="65">
        <v>2693</v>
      </c>
      <c r="GY238" s="65">
        <v>-3</v>
      </c>
      <c r="GZ238" s="65">
        <v>1100</v>
      </c>
      <c r="HA238" s="65">
        <v>12752</v>
      </c>
      <c r="HB238" s="65">
        <v>3</v>
      </c>
      <c r="HC238" s="65">
        <v>45129</v>
      </c>
      <c r="HD238" s="65">
        <v>1657</v>
      </c>
      <c r="HE238" s="78">
        <v>5983</v>
      </c>
      <c r="HF238" s="73">
        <v>16206</v>
      </c>
      <c r="HG238" s="65">
        <v>21388</v>
      </c>
      <c r="HH238" s="65">
        <v>9508</v>
      </c>
      <c r="HI238" s="65">
        <v>138</v>
      </c>
      <c r="HJ238" s="65">
        <v>14328</v>
      </c>
      <c r="HK238" s="65">
        <v>746</v>
      </c>
      <c r="HL238" s="65">
        <v>1132</v>
      </c>
      <c r="HM238" s="65">
        <v>835</v>
      </c>
      <c r="HN238" s="65">
        <v>223</v>
      </c>
      <c r="HO238" s="65">
        <v>1125</v>
      </c>
      <c r="HP238" s="65">
        <v>10904</v>
      </c>
      <c r="HQ238" s="65">
        <v>-223</v>
      </c>
      <c r="HR238" s="65">
        <v>46262</v>
      </c>
      <c r="HS238" s="65">
        <v>107</v>
      </c>
      <c r="HT238" s="65">
        <v>584</v>
      </c>
      <c r="HU238" s="77">
        <v>21.75</v>
      </c>
      <c r="HV238" s="180">
        <v>340</v>
      </c>
      <c r="HW238" s="30" t="s">
        <v>761</v>
      </c>
    </row>
    <row r="239" spans="1:231" ht="15" x14ac:dyDescent="0.25">
      <c r="A239" s="27">
        <v>749</v>
      </c>
      <c r="B239" s="27" t="s">
        <v>362</v>
      </c>
      <c r="C239" s="27">
        <v>11</v>
      </c>
      <c r="D239" s="27" t="s">
        <v>118</v>
      </c>
      <c r="E239" s="27">
        <v>5</v>
      </c>
      <c r="F239" s="27" t="s">
        <v>101</v>
      </c>
      <c r="G239" s="29" t="s">
        <v>132</v>
      </c>
      <c r="H239" s="27" t="s">
        <v>99</v>
      </c>
      <c r="I239" s="31" t="s">
        <v>118</v>
      </c>
      <c r="J239" s="69">
        <v>19595</v>
      </c>
      <c r="K239" s="69">
        <v>19584</v>
      </c>
      <c r="L239" s="36">
        <v>19742</v>
      </c>
      <c r="M239" s="36">
        <v>19760</v>
      </c>
      <c r="N239" s="36">
        <v>19885</v>
      </c>
      <c r="O239" s="36">
        <v>20119</v>
      </c>
      <c r="P239" s="36">
        <v>20234</v>
      </c>
      <c r="Q239" s="36">
        <v>20271</v>
      </c>
      <c r="R239" s="69">
        <v>20609</v>
      </c>
      <c r="S239" s="69">
        <v>20750</v>
      </c>
      <c r="T239" s="71">
        <v>20769</v>
      </c>
      <c r="U239" s="36">
        <v>37074</v>
      </c>
      <c r="V239" s="36">
        <v>11652</v>
      </c>
      <c r="W239" s="36">
        <v>7305</v>
      </c>
      <c r="X239" s="36">
        <v>245.38618470734463</v>
      </c>
      <c r="Y239" s="36">
        <v>38253</v>
      </c>
      <c r="Z239" s="36">
        <v>12863</v>
      </c>
      <c r="AA239" s="36">
        <v>8594</v>
      </c>
      <c r="AB239" s="36">
        <v>607.49479037897788</v>
      </c>
      <c r="AC239" s="36">
        <v>39309</v>
      </c>
      <c r="AD239" s="36">
        <v>13340</v>
      </c>
      <c r="AE239" s="36">
        <v>8936</v>
      </c>
      <c r="AF239" s="36">
        <v>543.07881454421909</v>
      </c>
      <c r="AG239" s="36">
        <v>45926</v>
      </c>
      <c r="AH239" s="36">
        <v>15533</v>
      </c>
      <c r="AI239" s="36">
        <v>8892</v>
      </c>
      <c r="AJ239" s="36">
        <v>573.35264130729115</v>
      </c>
      <c r="AK239" s="36">
        <v>46337</v>
      </c>
      <c r="AL239" s="36">
        <v>16632</v>
      </c>
      <c r="AM239" s="36">
        <v>9911</v>
      </c>
      <c r="AN239" s="36">
        <v>457</v>
      </c>
      <c r="AO239" s="36">
        <v>45852</v>
      </c>
      <c r="AP239" s="36">
        <v>16863</v>
      </c>
      <c r="AQ239" s="36">
        <v>9032</v>
      </c>
      <c r="AR239" s="36">
        <v>413</v>
      </c>
      <c r="AS239" s="36">
        <v>46597</v>
      </c>
      <c r="AT239" s="36">
        <v>16439</v>
      </c>
      <c r="AU239" s="36">
        <v>9485</v>
      </c>
      <c r="AV239" s="36">
        <v>749</v>
      </c>
      <c r="AW239" s="36">
        <v>48710</v>
      </c>
      <c r="AX239" s="69">
        <v>17442</v>
      </c>
      <c r="AY239" s="36">
        <v>10695</v>
      </c>
      <c r="AZ239" s="36">
        <v>587</v>
      </c>
      <c r="BA239" s="36">
        <v>52537</v>
      </c>
      <c r="BB239" s="36">
        <v>19524</v>
      </c>
      <c r="BC239" s="36">
        <v>10791</v>
      </c>
      <c r="BD239" s="36">
        <v>375</v>
      </c>
      <c r="BE239" s="70">
        <v>54977</v>
      </c>
      <c r="BF239" s="70">
        <v>20633</v>
      </c>
      <c r="BG239" s="70">
        <v>12476</v>
      </c>
      <c r="BH239" s="70">
        <v>548</v>
      </c>
      <c r="BI239" s="36">
        <v>59180</v>
      </c>
      <c r="BJ239" s="36">
        <v>23634</v>
      </c>
      <c r="BK239" s="36">
        <v>12685</v>
      </c>
      <c r="BL239" s="36">
        <v>819</v>
      </c>
      <c r="BM239" s="36">
        <v>33707.551469710197</v>
      </c>
      <c r="BN239" s="36">
        <v>2073.0843815645849</v>
      </c>
      <c r="BO239" s="36">
        <v>1271.8370999019464</v>
      </c>
      <c r="BP239" s="36">
        <v>34129.366789275664</v>
      </c>
      <c r="BQ239" s="36">
        <v>2445.4524507503702</v>
      </c>
      <c r="BR239" s="36">
        <v>1655.473760160653</v>
      </c>
      <c r="BS239" s="36">
        <v>33731.265967341271</v>
      </c>
      <c r="BT239" s="36">
        <v>3861.4266036298322</v>
      </c>
      <c r="BU239" s="36">
        <v>1693.6524194674159</v>
      </c>
      <c r="BV239" s="36">
        <v>38880</v>
      </c>
      <c r="BW239" s="36">
        <v>5290</v>
      </c>
      <c r="BX239" s="36">
        <v>1735</v>
      </c>
      <c r="BY239" s="36">
        <v>42550</v>
      </c>
      <c r="BZ239" s="36">
        <v>1985</v>
      </c>
      <c r="CA239" s="36">
        <v>1781</v>
      </c>
      <c r="CB239" s="36">
        <v>41822</v>
      </c>
      <c r="CC239" s="36">
        <v>1887</v>
      </c>
      <c r="CD239" s="36">
        <v>2119</v>
      </c>
      <c r="CE239" s="36">
        <v>42885</v>
      </c>
      <c r="CF239" s="36">
        <v>1560</v>
      </c>
      <c r="CG239" s="36">
        <v>2128</v>
      </c>
      <c r="CH239" s="36">
        <v>44845</v>
      </c>
      <c r="CI239" s="36">
        <v>1659</v>
      </c>
      <c r="CJ239" s="70">
        <v>2183</v>
      </c>
      <c r="CK239" s="70">
        <v>48306</v>
      </c>
      <c r="CL239" s="70">
        <v>1912</v>
      </c>
      <c r="CM239" s="36">
        <v>2298</v>
      </c>
      <c r="CN239" s="36">
        <v>50695</v>
      </c>
      <c r="CO239" s="36">
        <v>1883</v>
      </c>
      <c r="CP239" s="36">
        <v>2399</v>
      </c>
      <c r="CQ239" s="36">
        <v>54712</v>
      </c>
      <c r="CR239" s="36">
        <v>1947</v>
      </c>
      <c r="CS239" s="36">
        <v>2521</v>
      </c>
      <c r="CT239" s="36">
        <v>1274.023542945946</v>
      </c>
      <c r="CU239" s="36">
        <v>-2824.7162250000001</v>
      </c>
      <c r="CV239" s="36">
        <v>2676.2062858555637</v>
      </c>
      <c r="CW239" s="36">
        <v>21854</v>
      </c>
      <c r="CX239" s="36">
        <v>3125.9408012136441</v>
      </c>
      <c r="CY239" s="36">
        <v>770.13251530000002</v>
      </c>
      <c r="CZ239" s="36">
        <v>2833.6301850235377</v>
      </c>
      <c r="DA239" s="36">
        <v>19874</v>
      </c>
      <c r="DB239" s="36">
        <v>1972.5080015406013</v>
      </c>
      <c r="DC239" s="36">
        <v>-4108.4946680000003</v>
      </c>
      <c r="DD239" s="36">
        <v>3003.1636148967409</v>
      </c>
      <c r="DE239" s="36">
        <v>20745</v>
      </c>
      <c r="DF239" s="36">
        <v>5662.3829201796925</v>
      </c>
      <c r="DG239" s="36">
        <v>-5557</v>
      </c>
      <c r="DH239" s="36">
        <v>3301.3608085129999</v>
      </c>
      <c r="DI239" s="36">
        <v>22171</v>
      </c>
      <c r="DJ239" s="36">
        <v>7828</v>
      </c>
      <c r="DK239" s="36">
        <v>-5003</v>
      </c>
      <c r="DL239" s="36">
        <v>3132</v>
      </c>
      <c r="DM239" s="36">
        <v>15502</v>
      </c>
      <c r="DN239" s="36">
        <v>4750</v>
      </c>
      <c r="DO239" s="69">
        <v>-7683</v>
      </c>
      <c r="DP239" s="36">
        <v>3363</v>
      </c>
      <c r="DQ239" s="36">
        <v>19274</v>
      </c>
      <c r="DR239" s="36">
        <v>2672</v>
      </c>
      <c r="DS239" s="36">
        <v>-9060</v>
      </c>
      <c r="DT239" s="36">
        <v>3771</v>
      </c>
      <c r="DU239" s="36">
        <v>27058</v>
      </c>
      <c r="DV239" s="36">
        <v>1844</v>
      </c>
      <c r="DW239" s="71">
        <v>-6137</v>
      </c>
      <c r="DX239" s="39">
        <v>3873</v>
      </c>
      <c r="DY239" s="71">
        <v>30567</v>
      </c>
      <c r="DZ239" s="70">
        <v>7118</v>
      </c>
      <c r="EA239" s="35">
        <v>-4446</v>
      </c>
      <c r="EB239" s="35">
        <v>3833</v>
      </c>
      <c r="EC239" s="38">
        <v>30950</v>
      </c>
      <c r="ED239" s="38">
        <v>5764</v>
      </c>
      <c r="EE239" s="38">
        <v>-4463</v>
      </c>
      <c r="EF239" s="38">
        <v>3798</v>
      </c>
      <c r="EG239" s="73">
        <v>28448</v>
      </c>
      <c r="EH239" s="73">
        <v>4533</v>
      </c>
      <c r="EI239" s="73">
        <v>-9750</v>
      </c>
      <c r="EJ239" s="73">
        <v>3923</v>
      </c>
      <c r="EK239" s="73">
        <v>35852</v>
      </c>
      <c r="EL239" s="73">
        <v>50945.636616529846</v>
      </c>
      <c r="EM239" s="73">
        <v>-1222.8944133016466</v>
      </c>
      <c r="EN239" s="73">
        <v>53309.686110872841</v>
      </c>
      <c r="EO239" s="73">
        <v>1985.9630356575221</v>
      </c>
      <c r="EP239" s="73">
        <v>56059.558708518547</v>
      </c>
      <c r="EQ239" s="73">
        <v>-500.69545707591834</v>
      </c>
      <c r="ER239" s="73">
        <v>60771.007092484855</v>
      </c>
      <c r="ES239" s="73">
        <v>2892.8323351379895</v>
      </c>
      <c r="ET239" s="73">
        <v>64635</v>
      </c>
      <c r="EU239" s="73">
        <v>5692</v>
      </c>
      <c r="EV239" s="73">
        <v>66690</v>
      </c>
      <c r="EW239" s="73">
        <v>1632</v>
      </c>
      <c r="EX239" s="73">
        <v>69811</v>
      </c>
      <c r="EY239" s="73">
        <v>-1056</v>
      </c>
      <c r="EZ239" s="73">
        <v>74786</v>
      </c>
      <c r="FA239" s="73">
        <v>-2010</v>
      </c>
      <c r="FB239" s="73">
        <v>75137</v>
      </c>
      <c r="FC239" s="73">
        <v>1319</v>
      </c>
      <c r="FD239" s="73">
        <v>81700</v>
      </c>
      <c r="FE239" s="73">
        <v>1396</v>
      </c>
      <c r="FF239" s="73">
        <v>90670</v>
      </c>
      <c r="FG239" s="73">
        <v>822</v>
      </c>
      <c r="FH239" s="73">
        <v>6064</v>
      </c>
      <c r="FI239" s="73">
        <v>6887</v>
      </c>
      <c r="FJ239" s="79">
        <v>20964</v>
      </c>
      <c r="FK239" s="80">
        <v>60772</v>
      </c>
      <c r="FL239" s="80">
        <v>26024</v>
      </c>
      <c r="FM239" s="80">
        <v>13513</v>
      </c>
      <c r="FN239" s="76">
        <v>751</v>
      </c>
      <c r="FO239" s="80">
        <v>56595</v>
      </c>
      <c r="FP239" s="80">
        <v>1582</v>
      </c>
      <c r="FQ239" s="80">
        <v>2595</v>
      </c>
      <c r="FR239" s="80">
        <v>4086</v>
      </c>
      <c r="FS239" s="81">
        <v>-7908</v>
      </c>
      <c r="FT239" s="76">
        <v>4257</v>
      </c>
      <c r="FU239" s="76">
        <v>40259</v>
      </c>
      <c r="FV239" s="76">
        <v>7908</v>
      </c>
      <c r="FW239" s="80">
        <v>96073</v>
      </c>
      <c r="FX239" s="80">
        <v>164</v>
      </c>
      <c r="FY239" s="73">
        <v>21010</v>
      </c>
      <c r="FZ239" s="73">
        <v>68246</v>
      </c>
      <c r="GA239" s="73">
        <v>26801</v>
      </c>
      <c r="GB239" s="73">
        <v>56449</v>
      </c>
      <c r="GC239" s="73">
        <v>740</v>
      </c>
      <c r="GD239" s="73">
        <v>61204</v>
      </c>
      <c r="GE239" s="73">
        <v>3998</v>
      </c>
      <c r="GF239" s="73">
        <v>3044</v>
      </c>
      <c r="GG239" s="73">
        <v>8751</v>
      </c>
      <c r="GH239" s="73">
        <v>-4891</v>
      </c>
      <c r="GI239" s="73">
        <v>4634</v>
      </c>
      <c r="GJ239" s="73">
        <v>35494</v>
      </c>
      <c r="GK239" s="73">
        <v>4891</v>
      </c>
      <c r="GL239" s="73">
        <v>142447</v>
      </c>
      <c r="GM239" s="73">
        <v>3215</v>
      </c>
      <c r="GN239" s="73">
        <v>10266</v>
      </c>
      <c r="GO239" s="77">
        <v>19.5</v>
      </c>
      <c r="GP239" s="78">
        <v>21311</v>
      </c>
      <c r="GQ239" s="73">
        <v>69781</v>
      </c>
      <c r="GR239" s="65">
        <v>27339</v>
      </c>
      <c r="GS239" s="65">
        <v>60625</v>
      </c>
      <c r="GT239" s="65">
        <v>582</v>
      </c>
      <c r="GU239" s="65">
        <v>61448</v>
      </c>
      <c r="GV239" s="65">
        <v>5207</v>
      </c>
      <c r="GW239" s="65">
        <v>3126</v>
      </c>
      <c r="GX239" s="65">
        <v>5658</v>
      </c>
      <c r="GY239" s="65">
        <v>-10051</v>
      </c>
      <c r="GZ239" s="65">
        <v>4711</v>
      </c>
      <c r="HA239" s="65">
        <v>42148</v>
      </c>
      <c r="HB239" s="65">
        <v>10051</v>
      </c>
      <c r="HC239" s="65">
        <v>151782</v>
      </c>
      <c r="HD239" s="65">
        <v>499</v>
      </c>
      <c r="HE239" s="78">
        <v>21431</v>
      </c>
      <c r="HF239" s="73">
        <v>71345</v>
      </c>
      <c r="HG239" s="65">
        <v>25000</v>
      </c>
      <c r="HH239" s="65">
        <v>66368</v>
      </c>
      <c r="HI239" s="65">
        <v>650</v>
      </c>
      <c r="HJ239" s="65">
        <v>66139</v>
      </c>
      <c r="HK239" s="65">
        <v>1966</v>
      </c>
      <c r="HL239" s="65">
        <v>3240</v>
      </c>
      <c r="HM239" s="65">
        <v>-1924</v>
      </c>
      <c r="HN239" s="65">
        <v>-5873</v>
      </c>
      <c r="HO239" s="65">
        <v>4858</v>
      </c>
      <c r="HP239" s="65">
        <v>43271</v>
      </c>
      <c r="HQ239" s="65">
        <v>5873</v>
      </c>
      <c r="HR239" s="65">
        <v>164440</v>
      </c>
      <c r="HS239" s="65">
        <v>-5768</v>
      </c>
      <c r="HT239" s="65">
        <v>4997</v>
      </c>
      <c r="HU239" s="77">
        <v>20.25</v>
      </c>
      <c r="HV239" s="180">
        <v>230</v>
      </c>
      <c r="HW239" s="30" t="s">
        <v>756</v>
      </c>
    </row>
    <row r="240" spans="1:231" ht="15" x14ac:dyDescent="0.25">
      <c r="A240" s="27">
        <v>751</v>
      </c>
      <c r="B240" s="27" t="s">
        <v>363</v>
      </c>
      <c r="C240" s="27">
        <v>19</v>
      </c>
      <c r="D240" s="27" t="s">
        <v>113</v>
      </c>
      <c r="E240" s="27">
        <v>2</v>
      </c>
      <c r="F240" s="27" t="s">
        <v>744</v>
      </c>
      <c r="G240" s="29" t="s">
        <v>130</v>
      </c>
      <c r="H240" s="27" t="s">
        <v>98</v>
      </c>
      <c r="I240" s="31" t="s">
        <v>113</v>
      </c>
      <c r="J240" s="69">
        <v>4001</v>
      </c>
      <c r="K240" s="69">
        <v>3924</v>
      </c>
      <c r="L240" s="36">
        <v>3891</v>
      </c>
      <c r="M240" s="36">
        <v>3791</v>
      </c>
      <c r="N240" s="36">
        <v>3759</v>
      </c>
      <c r="O240" s="36">
        <v>3717</v>
      </c>
      <c r="P240" s="36">
        <v>3655</v>
      </c>
      <c r="Q240" s="36">
        <v>3621</v>
      </c>
      <c r="R240" s="69">
        <v>3597</v>
      </c>
      <c r="S240" s="69">
        <v>3588</v>
      </c>
      <c r="T240" s="71">
        <v>3546</v>
      </c>
      <c r="U240" s="36">
        <v>7522</v>
      </c>
      <c r="V240" s="36">
        <v>4377</v>
      </c>
      <c r="W240" s="36">
        <v>1884</v>
      </c>
      <c r="X240" s="36">
        <v>72.32080837844974</v>
      </c>
      <c r="Y240" s="36">
        <v>7333</v>
      </c>
      <c r="Z240" s="36">
        <v>4540</v>
      </c>
      <c r="AA240" s="36">
        <v>1916</v>
      </c>
      <c r="AB240" s="36">
        <v>67.611546437527437</v>
      </c>
      <c r="AC240" s="36">
        <v>7167</v>
      </c>
      <c r="AD240" s="36">
        <v>5036</v>
      </c>
      <c r="AE240" s="36">
        <v>1824</v>
      </c>
      <c r="AF240" s="36">
        <v>54.661076099991085</v>
      </c>
      <c r="AG240" s="36">
        <v>7460</v>
      </c>
      <c r="AH240" s="36">
        <v>5730</v>
      </c>
      <c r="AI240" s="36">
        <v>2015</v>
      </c>
      <c r="AJ240" s="36">
        <v>51.801881350145393</v>
      </c>
      <c r="AK240" s="36">
        <v>8057</v>
      </c>
      <c r="AL240" s="36">
        <v>6119</v>
      </c>
      <c r="AM240" s="36">
        <v>2157</v>
      </c>
      <c r="AN240" s="36">
        <v>39</v>
      </c>
      <c r="AO240" s="36">
        <v>8045</v>
      </c>
      <c r="AP240" s="36">
        <v>6144</v>
      </c>
      <c r="AQ240" s="36">
        <v>2297</v>
      </c>
      <c r="AR240" s="36">
        <v>25</v>
      </c>
      <c r="AS240" s="36">
        <v>8248</v>
      </c>
      <c r="AT240" s="36">
        <v>5973</v>
      </c>
      <c r="AU240" s="36">
        <v>2309</v>
      </c>
      <c r="AV240" s="36">
        <v>23</v>
      </c>
      <c r="AW240" s="36">
        <v>8053</v>
      </c>
      <c r="AX240" s="69">
        <v>5986</v>
      </c>
      <c r="AY240" s="36">
        <v>1895</v>
      </c>
      <c r="AZ240" s="36">
        <v>20</v>
      </c>
      <c r="BA240" s="36">
        <v>8595</v>
      </c>
      <c r="BB240" s="36">
        <v>6666</v>
      </c>
      <c r="BC240" s="36">
        <v>2092</v>
      </c>
      <c r="BD240" s="36">
        <v>41</v>
      </c>
      <c r="BE240" s="70">
        <v>9803</v>
      </c>
      <c r="BF240" s="70">
        <v>6674</v>
      </c>
      <c r="BG240" s="70">
        <v>2605</v>
      </c>
      <c r="BH240" s="70">
        <v>101</v>
      </c>
      <c r="BI240" s="36">
        <v>10214</v>
      </c>
      <c r="BJ240" s="36">
        <v>7192</v>
      </c>
      <c r="BK240" s="36">
        <v>2162</v>
      </c>
      <c r="BL240" s="36">
        <v>43</v>
      </c>
      <c r="BM240" s="36">
        <v>6864.9265943794953</v>
      </c>
      <c r="BN240" s="36">
        <v>476.14001981253773</v>
      </c>
      <c r="BO240" s="36">
        <v>180.63383301966286</v>
      </c>
      <c r="BP240" s="36">
        <v>6459.2573157543311</v>
      </c>
      <c r="BQ240" s="36">
        <v>610.69036098174649</v>
      </c>
      <c r="BR240" s="36">
        <v>263.04591698580327</v>
      </c>
      <c r="BS240" s="36">
        <v>6385.4228160377279</v>
      </c>
      <c r="BT240" s="36">
        <v>567.12968802821524</v>
      </c>
      <c r="BU240" s="36">
        <v>214.77598209134959</v>
      </c>
      <c r="BV240" s="36">
        <v>6977</v>
      </c>
      <c r="BW240" s="36">
        <v>245</v>
      </c>
      <c r="BX240" s="36">
        <v>238</v>
      </c>
      <c r="BY240" s="36">
        <v>7576</v>
      </c>
      <c r="BZ240" s="36">
        <v>238</v>
      </c>
      <c r="CA240" s="36">
        <v>243</v>
      </c>
      <c r="CB240" s="36">
        <v>7693</v>
      </c>
      <c r="CC240" s="36">
        <v>111</v>
      </c>
      <c r="CD240" s="36">
        <v>241</v>
      </c>
      <c r="CE240" s="36">
        <v>7830</v>
      </c>
      <c r="CF240" s="36">
        <v>140</v>
      </c>
      <c r="CG240" s="36">
        <v>278</v>
      </c>
      <c r="CH240" s="36">
        <v>7557</v>
      </c>
      <c r="CI240" s="36">
        <v>192</v>
      </c>
      <c r="CJ240" s="70">
        <v>304</v>
      </c>
      <c r="CK240" s="70">
        <v>8049</v>
      </c>
      <c r="CL240" s="70">
        <v>239</v>
      </c>
      <c r="CM240" s="36">
        <v>307</v>
      </c>
      <c r="CN240" s="36">
        <v>9178</v>
      </c>
      <c r="CO240" s="36">
        <v>281</v>
      </c>
      <c r="CP240" s="36">
        <v>344</v>
      </c>
      <c r="CQ240" s="36">
        <v>9580</v>
      </c>
      <c r="CR240" s="36">
        <v>271</v>
      </c>
      <c r="CS240" s="36">
        <v>363</v>
      </c>
      <c r="CT240" s="36">
        <v>-120.59074327290342</v>
      </c>
      <c r="CU240" s="36">
        <v>-727.91734570000006</v>
      </c>
      <c r="CV240" s="36">
        <v>372.19988125932389</v>
      </c>
      <c r="CW240" s="36">
        <v>3065</v>
      </c>
      <c r="CX240" s="36">
        <v>-206.19839784181252</v>
      </c>
      <c r="CY240" s="36">
        <v>-531.4738476</v>
      </c>
      <c r="CZ240" s="36">
        <v>370.51800199470881</v>
      </c>
      <c r="DA240" s="36">
        <v>3250</v>
      </c>
      <c r="DB240" s="36">
        <v>-11.604966925844261</v>
      </c>
      <c r="DC240" s="36">
        <v>-1017.536955</v>
      </c>
      <c r="DD240" s="36">
        <v>397.76444608147364</v>
      </c>
      <c r="DE240" s="36">
        <v>3586</v>
      </c>
      <c r="DF240" s="36">
        <v>550.98364708791019</v>
      </c>
      <c r="DG240" s="36">
        <v>-530</v>
      </c>
      <c r="DH240" s="36">
        <v>400.28726497839625</v>
      </c>
      <c r="DI240" s="36">
        <v>3946</v>
      </c>
      <c r="DJ240" s="36">
        <v>1459</v>
      </c>
      <c r="DK240" s="36">
        <v>-507</v>
      </c>
      <c r="DL240" s="36">
        <v>464</v>
      </c>
      <c r="DM240" s="36">
        <v>3662</v>
      </c>
      <c r="DN240" s="36">
        <v>690</v>
      </c>
      <c r="DO240" s="69">
        <v>-843</v>
      </c>
      <c r="DP240" s="36">
        <v>461</v>
      </c>
      <c r="DQ240" s="36">
        <v>3668</v>
      </c>
      <c r="DR240" s="36">
        <v>292</v>
      </c>
      <c r="DS240" s="36">
        <v>-566</v>
      </c>
      <c r="DT240" s="36">
        <v>442</v>
      </c>
      <c r="DU240" s="36">
        <v>4107</v>
      </c>
      <c r="DV240" s="36">
        <v>-922</v>
      </c>
      <c r="DW240" s="71">
        <v>-764</v>
      </c>
      <c r="DX240" s="39">
        <v>534</v>
      </c>
      <c r="DY240" s="71">
        <v>5066</v>
      </c>
      <c r="DZ240" s="70">
        <v>493</v>
      </c>
      <c r="EA240" s="35">
        <v>-609</v>
      </c>
      <c r="EB240" s="35">
        <v>553</v>
      </c>
      <c r="EC240" s="38">
        <v>5771</v>
      </c>
      <c r="ED240" s="38">
        <v>1662</v>
      </c>
      <c r="EE240" s="38">
        <v>-329</v>
      </c>
      <c r="EF240" s="38">
        <v>576</v>
      </c>
      <c r="EG240" s="73">
        <v>5948</v>
      </c>
      <c r="EH240" s="73">
        <v>1112</v>
      </c>
      <c r="EI240" s="73">
        <v>-455</v>
      </c>
      <c r="EJ240" s="73">
        <v>592</v>
      </c>
      <c r="EK240" s="73">
        <v>4794</v>
      </c>
      <c r="EL240" s="73">
        <v>13129.254103364936</v>
      </c>
      <c r="EM240" s="73">
        <v>-466.38512007777007</v>
      </c>
      <c r="EN240" s="73">
        <v>13289.537197282756</v>
      </c>
      <c r="EO240" s="73">
        <v>-538.87411638268134</v>
      </c>
      <c r="EP240" s="73">
        <v>13291.21907654737</v>
      </c>
      <c r="EQ240" s="73">
        <v>-367.32243139194009</v>
      </c>
      <c r="ER240" s="73">
        <v>13841.866347782357</v>
      </c>
      <c r="ES240" s="73">
        <v>143.63248919813043</v>
      </c>
      <c r="ET240" s="73">
        <v>14719</v>
      </c>
      <c r="EU240" s="73">
        <v>452</v>
      </c>
      <c r="EV240" s="73">
        <v>15677</v>
      </c>
      <c r="EW240" s="73">
        <v>229</v>
      </c>
      <c r="EX240" s="73">
        <v>16138</v>
      </c>
      <c r="EY240" s="73">
        <v>-177</v>
      </c>
      <c r="EZ240" s="73">
        <v>16740</v>
      </c>
      <c r="FA240" s="73">
        <v>-1456</v>
      </c>
      <c r="FB240" s="73">
        <v>16719</v>
      </c>
      <c r="FC240" s="73">
        <v>133</v>
      </c>
      <c r="FD240" s="73">
        <v>17290</v>
      </c>
      <c r="FE240" s="73">
        <v>1086</v>
      </c>
      <c r="FF240" s="73">
        <v>18360</v>
      </c>
      <c r="FG240" s="73">
        <v>520</v>
      </c>
      <c r="FH240" s="73">
        <v>411</v>
      </c>
      <c r="FI240" s="73">
        <v>932</v>
      </c>
      <c r="FJ240" s="79">
        <v>3496</v>
      </c>
      <c r="FK240" s="80">
        <v>9866</v>
      </c>
      <c r="FL240" s="80">
        <v>8041</v>
      </c>
      <c r="FM240" s="80">
        <v>2113</v>
      </c>
      <c r="FN240" s="76">
        <v>0</v>
      </c>
      <c r="FO240" s="80">
        <v>9277</v>
      </c>
      <c r="FP240" s="80">
        <v>211</v>
      </c>
      <c r="FQ240" s="80">
        <v>378</v>
      </c>
      <c r="FR240" s="80">
        <v>959</v>
      </c>
      <c r="FS240" s="81">
        <v>-391</v>
      </c>
      <c r="FT240" s="76">
        <v>675</v>
      </c>
      <c r="FU240" s="76">
        <v>4307</v>
      </c>
      <c r="FV240" s="76">
        <v>391</v>
      </c>
      <c r="FW240" s="80">
        <v>18881</v>
      </c>
      <c r="FX240" s="80">
        <v>-144</v>
      </c>
      <c r="FY240" s="73">
        <v>3489</v>
      </c>
      <c r="FZ240" s="73">
        <v>10320</v>
      </c>
      <c r="GA240" s="73">
        <v>8720</v>
      </c>
      <c r="GB240" s="73">
        <v>2448</v>
      </c>
      <c r="GC240" s="73">
        <v>20</v>
      </c>
      <c r="GD240" s="73">
        <v>9619</v>
      </c>
      <c r="GE240" s="73">
        <v>298</v>
      </c>
      <c r="GF240" s="73">
        <v>403</v>
      </c>
      <c r="GG240" s="73">
        <v>1941</v>
      </c>
      <c r="GH240" s="73">
        <v>-1614</v>
      </c>
      <c r="GI240" s="73">
        <v>623</v>
      </c>
      <c r="GJ240" s="73">
        <v>4220</v>
      </c>
      <c r="GK240" s="73">
        <v>1614</v>
      </c>
      <c r="GL240" s="73">
        <v>19426</v>
      </c>
      <c r="GM240" s="73">
        <v>1318</v>
      </c>
      <c r="GN240" s="73">
        <v>2131</v>
      </c>
      <c r="GO240" s="77">
        <v>20.75</v>
      </c>
      <c r="GP240" s="78">
        <v>3441</v>
      </c>
      <c r="GQ240" s="73">
        <v>10152</v>
      </c>
      <c r="GR240" s="65">
        <v>8744</v>
      </c>
      <c r="GS240" s="65">
        <v>1563</v>
      </c>
      <c r="GT240" s="65">
        <v>36</v>
      </c>
      <c r="GU240" s="65">
        <v>9420</v>
      </c>
      <c r="GV240" s="65">
        <v>330</v>
      </c>
      <c r="GW240" s="65">
        <v>402</v>
      </c>
      <c r="GX240" s="65">
        <v>1254</v>
      </c>
      <c r="GY240" s="65">
        <v>-1392</v>
      </c>
      <c r="GZ240" s="65">
        <v>595</v>
      </c>
      <c r="HA240" s="65">
        <v>4705</v>
      </c>
      <c r="HB240" s="65">
        <v>1392</v>
      </c>
      <c r="HC240" s="65">
        <v>19111</v>
      </c>
      <c r="HD240" s="65">
        <v>659</v>
      </c>
      <c r="HE240" s="78">
        <v>3429</v>
      </c>
      <c r="HF240" s="73">
        <v>10537</v>
      </c>
      <c r="HG240" s="65">
        <v>9101</v>
      </c>
      <c r="HH240" s="65">
        <v>1790</v>
      </c>
      <c r="HI240" s="65">
        <v>13</v>
      </c>
      <c r="HJ240" s="65">
        <v>9897</v>
      </c>
      <c r="HK240" s="65">
        <v>225</v>
      </c>
      <c r="HL240" s="65">
        <v>415</v>
      </c>
      <c r="HM240" s="65">
        <v>852</v>
      </c>
      <c r="HN240" s="65">
        <v>-936</v>
      </c>
      <c r="HO240" s="65">
        <v>654</v>
      </c>
      <c r="HP240" s="65">
        <v>4838</v>
      </c>
      <c r="HQ240" s="65">
        <v>936</v>
      </c>
      <c r="HR240" s="65">
        <v>20445</v>
      </c>
      <c r="HS240" s="65">
        <v>198</v>
      </c>
      <c r="HT240" s="65">
        <v>3028</v>
      </c>
      <c r="HU240" s="77">
        <v>20.75</v>
      </c>
      <c r="HV240" s="180">
        <v>340</v>
      </c>
      <c r="HW240" s="30" t="s">
        <v>761</v>
      </c>
    </row>
    <row r="241" spans="1:231" ht="15" x14ac:dyDescent="0.25">
      <c r="A241" s="27">
        <v>753</v>
      </c>
      <c r="B241" s="27" t="s">
        <v>364</v>
      </c>
      <c r="C241" s="27">
        <v>1</v>
      </c>
      <c r="D241" s="27" t="s">
        <v>121</v>
      </c>
      <c r="E241" s="27">
        <v>5</v>
      </c>
      <c r="F241" s="27" t="s">
        <v>101</v>
      </c>
      <c r="G241" s="29" t="s">
        <v>132</v>
      </c>
      <c r="H241" s="27" t="s">
        <v>99</v>
      </c>
      <c r="I241" s="31" t="s">
        <v>121</v>
      </c>
      <c r="J241" s="69">
        <v>16687</v>
      </c>
      <c r="K241" s="69">
        <v>17160</v>
      </c>
      <c r="L241" s="36">
        <v>17477</v>
      </c>
      <c r="M241" s="36">
        <v>17760</v>
      </c>
      <c r="N241" s="36">
        <v>18177</v>
      </c>
      <c r="O241" s="36">
        <v>18397</v>
      </c>
      <c r="P241" s="36">
        <v>18444</v>
      </c>
      <c r="Q241" s="36">
        <v>18719</v>
      </c>
      <c r="R241" s="69">
        <v>19060</v>
      </c>
      <c r="S241" s="69">
        <v>19470</v>
      </c>
      <c r="T241" s="71">
        <v>19886</v>
      </c>
      <c r="U241" s="36">
        <v>37604</v>
      </c>
      <c r="V241" s="36">
        <v>6282</v>
      </c>
      <c r="W241" s="36">
        <v>7464</v>
      </c>
      <c r="X241" s="36">
        <v>588.65774261528861</v>
      </c>
      <c r="Y241" s="36">
        <v>40564</v>
      </c>
      <c r="Z241" s="36">
        <v>6289</v>
      </c>
      <c r="AA241" s="36">
        <v>7472</v>
      </c>
      <c r="AB241" s="36">
        <v>637.26405336266532</v>
      </c>
      <c r="AC241" s="36">
        <v>43938</v>
      </c>
      <c r="AD241" s="36">
        <v>7419</v>
      </c>
      <c r="AE241" s="36">
        <v>7756</v>
      </c>
      <c r="AF241" s="36">
        <v>715.97600294665244</v>
      </c>
      <c r="AG241" s="36">
        <v>48781</v>
      </c>
      <c r="AH241" s="36">
        <v>8853</v>
      </c>
      <c r="AI241" s="36">
        <v>7842</v>
      </c>
      <c r="AJ241" s="36">
        <v>293.99249545472134</v>
      </c>
      <c r="AK241" s="36">
        <v>52206</v>
      </c>
      <c r="AL241" s="36">
        <v>9860</v>
      </c>
      <c r="AM241" s="36">
        <v>8990</v>
      </c>
      <c r="AN241" s="36">
        <v>306</v>
      </c>
      <c r="AO241" s="36">
        <v>52626</v>
      </c>
      <c r="AP241" s="36">
        <v>11349</v>
      </c>
      <c r="AQ241" s="36">
        <v>9628</v>
      </c>
      <c r="AR241" s="36">
        <v>448</v>
      </c>
      <c r="AS241" s="36">
        <v>55503</v>
      </c>
      <c r="AT241" s="36">
        <v>12821</v>
      </c>
      <c r="AU241" s="36">
        <v>12234</v>
      </c>
      <c r="AV241" s="36">
        <v>418</v>
      </c>
      <c r="AW241" s="36">
        <v>56685</v>
      </c>
      <c r="AX241" s="69">
        <v>13594</v>
      </c>
      <c r="AY241" s="36">
        <v>13038</v>
      </c>
      <c r="AZ241" s="36">
        <v>359</v>
      </c>
      <c r="BA241" s="36">
        <v>61990</v>
      </c>
      <c r="BB241" s="36">
        <v>14191</v>
      </c>
      <c r="BC241" s="36">
        <v>13356</v>
      </c>
      <c r="BD241" s="36">
        <v>280</v>
      </c>
      <c r="BE241" s="70">
        <v>67286</v>
      </c>
      <c r="BF241" s="70">
        <v>14275</v>
      </c>
      <c r="BG241" s="70">
        <v>11902</v>
      </c>
      <c r="BH241" s="70">
        <v>536</v>
      </c>
      <c r="BI241" s="36">
        <v>75351</v>
      </c>
      <c r="BJ241" s="36">
        <v>15204</v>
      </c>
      <c r="BK241" s="36">
        <v>11108</v>
      </c>
      <c r="BL241" s="36">
        <v>161</v>
      </c>
      <c r="BM241" s="36">
        <v>32006.330593552011</v>
      </c>
      <c r="BN241" s="36">
        <v>4166.6876901574742</v>
      </c>
      <c r="BO241" s="36">
        <v>1430.9428783345359</v>
      </c>
      <c r="BP241" s="36">
        <v>34688.087080980811</v>
      </c>
      <c r="BQ241" s="36">
        <v>4064.0930550159524</v>
      </c>
      <c r="BR241" s="36">
        <v>1812.2249076227815</v>
      </c>
      <c r="BS241" s="36">
        <v>38170.249910439925</v>
      </c>
      <c r="BT241" s="36">
        <v>3819.5478099409156</v>
      </c>
      <c r="BU241" s="36">
        <v>1947.7843763507592</v>
      </c>
      <c r="BV241" s="36">
        <v>42840</v>
      </c>
      <c r="BW241" s="36">
        <v>3824</v>
      </c>
      <c r="BX241" s="36">
        <v>2117</v>
      </c>
      <c r="BY241" s="36">
        <v>47795</v>
      </c>
      <c r="BZ241" s="36">
        <v>2171</v>
      </c>
      <c r="CA241" s="36">
        <v>2240</v>
      </c>
      <c r="CB241" s="36">
        <v>48923</v>
      </c>
      <c r="CC241" s="36">
        <v>1407</v>
      </c>
      <c r="CD241" s="36">
        <v>2296</v>
      </c>
      <c r="CE241" s="36">
        <v>51582</v>
      </c>
      <c r="CF241" s="36">
        <v>1556</v>
      </c>
      <c r="CG241" s="36">
        <v>2365</v>
      </c>
      <c r="CH241" s="36">
        <v>52344</v>
      </c>
      <c r="CI241" s="36">
        <v>1894</v>
      </c>
      <c r="CJ241" s="70">
        <v>2447</v>
      </c>
      <c r="CK241" s="70">
        <v>56905</v>
      </c>
      <c r="CL241" s="70">
        <v>2471</v>
      </c>
      <c r="CM241" s="36">
        <v>2614</v>
      </c>
      <c r="CN241" s="36">
        <v>60892</v>
      </c>
      <c r="CO241" s="36">
        <v>3391</v>
      </c>
      <c r="CP241" s="36">
        <v>3003</v>
      </c>
      <c r="CQ241" s="36">
        <v>68226</v>
      </c>
      <c r="CR241" s="36">
        <v>3936</v>
      </c>
      <c r="CS241" s="36">
        <v>3189</v>
      </c>
      <c r="CT241" s="36">
        <v>1788.5104099917078</v>
      </c>
      <c r="CU241" s="36">
        <v>-3324.5707419999999</v>
      </c>
      <c r="CV241" s="36">
        <v>2583.3665504488094</v>
      </c>
      <c r="CW241" s="36">
        <v>13142</v>
      </c>
      <c r="CX241" s="36">
        <v>1857.9720236203125</v>
      </c>
      <c r="CY241" s="36">
        <v>-3525.2189389999999</v>
      </c>
      <c r="CZ241" s="36">
        <v>2771.2324643063171</v>
      </c>
      <c r="DA241" s="36">
        <v>15819</v>
      </c>
      <c r="DB241" s="36">
        <v>1402.350930836079</v>
      </c>
      <c r="DC241" s="36">
        <v>-4934.9701379999997</v>
      </c>
      <c r="DD241" s="36">
        <v>2854.4854879047653</v>
      </c>
      <c r="DE241" s="36">
        <v>16814</v>
      </c>
      <c r="DF241" s="36">
        <v>2690.6704475312531</v>
      </c>
      <c r="DG241" s="36">
        <v>-7583</v>
      </c>
      <c r="DH241" s="36">
        <v>2947.4934112379806</v>
      </c>
      <c r="DI241" s="36">
        <v>23958</v>
      </c>
      <c r="DJ241" s="36">
        <v>5919</v>
      </c>
      <c r="DK241" s="36">
        <v>-9117</v>
      </c>
      <c r="DL241" s="36">
        <v>3472</v>
      </c>
      <c r="DM241" s="36">
        <v>29196</v>
      </c>
      <c r="DN241" s="36">
        <v>3972</v>
      </c>
      <c r="DO241" s="69">
        <v>-14367</v>
      </c>
      <c r="DP241" s="36">
        <v>3656</v>
      </c>
      <c r="DQ241" s="36">
        <v>34977</v>
      </c>
      <c r="DR241" s="36">
        <v>7696</v>
      </c>
      <c r="DS241" s="36">
        <v>-9092</v>
      </c>
      <c r="DT241" s="36">
        <v>4026</v>
      </c>
      <c r="DU241" s="36">
        <v>38586</v>
      </c>
      <c r="DV241" s="36">
        <v>6159</v>
      </c>
      <c r="DW241" s="71">
        <v>-4032</v>
      </c>
      <c r="DX241" s="39">
        <v>4205</v>
      </c>
      <c r="DY241" s="71">
        <v>41542</v>
      </c>
      <c r="DZ241" s="70">
        <v>8978</v>
      </c>
      <c r="EA241" s="35">
        <v>-5415</v>
      </c>
      <c r="EB241" s="35">
        <v>4386</v>
      </c>
      <c r="EC241" s="38">
        <v>42853</v>
      </c>
      <c r="ED241" s="38">
        <v>8328</v>
      </c>
      <c r="EE241" s="38">
        <v>-10337</v>
      </c>
      <c r="EF241" s="38">
        <v>4535</v>
      </c>
      <c r="EG241" s="73">
        <v>43220</v>
      </c>
      <c r="EH241" s="73">
        <v>8065</v>
      </c>
      <c r="EI241" s="73">
        <v>-15202</v>
      </c>
      <c r="EJ241" s="73">
        <v>4969</v>
      </c>
      <c r="EK241" s="73">
        <v>46313</v>
      </c>
      <c r="EL241" s="73">
        <v>46964.460209259414</v>
      </c>
      <c r="EM241" s="73">
        <v>-655.93291319989305</v>
      </c>
      <c r="EN241" s="73">
        <v>49620.65213186606</v>
      </c>
      <c r="EO241" s="73">
        <v>-913.26044068600493</v>
      </c>
      <c r="EP241" s="73">
        <v>54730.874089472614</v>
      </c>
      <c r="EQ241" s="73">
        <v>-1452.1345570686863</v>
      </c>
      <c r="ER241" s="73">
        <v>58839.032381221477</v>
      </c>
      <c r="ES241" s="73">
        <v>-198.46175322458302</v>
      </c>
      <c r="ET241" s="73">
        <v>64143</v>
      </c>
      <c r="EU241" s="73">
        <v>2925</v>
      </c>
      <c r="EV241" s="73">
        <v>68892</v>
      </c>
      <c r="EW241" s="73">
        <v>316</v>
      </c>
      <c r="EX241" s="73">
        <v>71881</v>
      </c>
      <c r="EY241" s="73">
        <v>1523</v>
      </c>
      <c r="EZ241" s="73">
        <v>76220</v>
      </c>
      <c r="FA241" s="73">
        <v>454</v>
      </c>
      <c r="FB241" s="73">
        <v>79386</v>
      </c>
      <c r="FC241" s="73">
        <v>1092</v>
      </c>
      <c r="FD241" s="73">
        <v>83944</v>
      </c>
      <c r="FE241" s="73">
        <v>793</v>
      </c>
      <c r="FF241" s="73">
        <v>91937</v>
      </c>
      <c r="FG241" s="73">
        <v>96</v>
      </c>
      <c r="FH241" s="73">
        <v>9161</v>
      </c>
      <c r="FI241" s="73">
        <v>9257</v>
      </c>
      <c r="FJ241" s="79">
        <v>18036</v>
      </c>
      <c r="FK241" s="80">
        <v>76517</v>
      </c>
      <c r="FL241" s="80">
        <v>14282</v>
      </c>
      <c r="FM241" s="80">
        <v>16718</v>
      </c>
      <c r="FN241" s="76">
        <v>100</v>
      </c>
      <c r="FO241" s="80">
        <v>70716</v>
      </c>
      <c r="FP241" s="80">
        <v>2900</v>
      </c>
      <c r="FQ241" s="80">
        <v>2901</v>
      </c>
      <c r="FR241" s="80">
        <v>13820</v>
      </c>
      <c r="FS241" s="81">
        <v>-12274</v>
      </c>
      <c r="FT241" s="76">
        <v>5419</v>
      </c>
      <c r="FU241" s="76">
        <v>51732</v>
      </c>
      <c r="FV241" s="76">
        <v>12274</v>
      </c>
      <c r="FW241" s="80">
        <v>92332</v>
      </c>
      <c r="FX241" s="80">
        <v>3528</v>
      </c>
      <c r="FY241" s="73">
        <v>18253</v>
      </c>
      <c r="FZ241" s="73">
        <v>76694</v>
      </c>
      <c r="GA241" s="73">
        <v>15429</v>
      </c>
      <c r="GB241" s="73">
        <v>17830</v>
      </c>
      <c r="GC241" s="73">
        <v>103</v>
      </c>
      <c r="GD241" s="73">
        <v>67941</v>
      </c>
      <c r="GE241" s="73">
        <v>4434</v>
      </c>
      <c r="GF241" s="73">
        <v>4319</v>
      </c>
      <c r="GG241" s="73">
        <v>10961</v>
      </c>
      <c r="GH241" s="73">
        <v>-12047</v>
      </c>
      <c r="GI241" s="73">
        <v>6944</v>
      </c>
      <c r="GJ241" s="73">
        <v>57485</v>
      </c>
      <c r="GK241" s="73">
        <v>12047</v>
      </c>
      <c r="GL241" s="73">
        <v>97980</v>
      </c>
      <c r="GM241" s="73">
        <v>1817</v>
      </c>
      <c r="GN241" s="73">
        <v>14589</v>
      </c>
      <c r="GO241" s="77">
        <v>19.25</v>
      </c>
      <c r="GP241" s="78">
        <v>18526</v>
      </c>
      <c r="GQ241" s="73">
        <v>75495</v>
      </c>
      <c r="GR241" s="65">
        <v>15860</v>
      </c>
      <c r="GS241" s="65">
        <v>19826</v>
      </c>
      <c r="GT241" s="65">
        <v>8071</v>
      </c>
      <c r="GU241" s="65">
        <v>64536</v>
      </c>
      <c r="GV241" s="65">
        <v>5838</v>
      </c>
      <c r="GW241" s="65">
        <v>5121</v>
      </c>
      <c r="GX241" s="65">
        <v>4309</v>
      </c>
      <c r="GY241" s="65">
        <v>-16391</v>
      </c>
      <c r="GZ241" s="65">
        <v>6104</v>
      </c>
      <c r="HA241" s="65">
        <v>55491</v>
      </c>
      <c r="HB241" s="65">
        <v>16391</v>
      </c>
      <c r="HC241" s="65">
        <v>105733</v>
      </c>
      <c r="HD241" s="65">
        <v>-3037</v>
      </c>
      <c r="HE241" s="78">
        <v>18739</v>
      </c>
      <c r="HF241" s="73">
        <v>78726</v>
      </c>
      <c r="HG241" s="65">
        <v>18393</v>
      </c>
      <c r="HH241" s="65">
        <v>18536</v>
      </c>
      <c r="HI241" s="65">
        <v>33371</v>
      </c>
      <c r="HJ241" s="65">
        <v>69203</v>
      </c>
      <c r="HK241" s="65">
        <v>3496</v>
      </c>
      <c r="HL241" s="65">
        <v>6027</v>
      </c>
      <c r="HM241" s="65">
        <v>6592</v>
      </c>
      <c r="HN241" s="65">
        <v>19690</v>
      </c>
      <c r="HO241" s="65">
        <v>6450</v>
      </c>
      <c r="HP241" s="65">
        <v>51054</v>
      </c>
      <c r="HQ241" s="65">
        <v>-19690</v>
      </c>
      <c r="HR241" s="65">
        <v>108226</v>
      </c>
      <c r="HS241" s="65">
        <v>833</v>
      </c>
      <c r="HT241" s="65">
        <v>12528</v>
      </c>
      <c r="HU241" s="77">
        <v>19.25</v>
      </c>
      <c r="HV241" s="180">
        <v>210</v>
      </c>
      <c r="HW241" s="30" t="s">
        <v>754</v>
      </c>
    </row>
    <row r="242" spans="1:231" ht="15" x14ac:dyDescent="0.25">
      <c r="A242" s="27">
        <v>755</v>
      </c>
      <c r="B242" s="27" t="s">
        <v>365</v>
      </c>
      <c r="C242" s="27">
        <v>1</v>
      </c>
      <c r="D242" s="27" t="s">
        <v>121</v>
      </c>
      <c r="E242" s="27">
        <v>3</v>
      </c>
      <c r="F242" s="27" t="s">
        <v>743</v>
      </c>
      <c r="G242" s="29" t="s">
        <v>130</v>
      </c>
      <c r="H242" s="27" t="s">
        <v>98</v>
      </c>
      <c r="I242" s="31" t="s">
        <v>121</v>
      </c>
      <c r="J242" s="69">
        <v>4656</v>
      </c>
      <c r="K242" s="69">
        <v>4714</v>
      </c>
      <c r="L242" s="36">
        <v>4853</v>
      </c>
      <c r="M242" s="36">
        <v>4918</v>
      </c>
      <c r="N242" s="36">
        <v>4997</v>
      </c>
      <c r="O242" s="36">
        <v>5158</v>
      </c>
      <c r="P242" s="36">
        <v>5312</v>
      </c>
      <c r="Q242" s="36">
        <v>5422</v>
      </c>
      <c r="R242" s="69">
        <v>5578</v>
      </c>
      <c r="S242" s="69">
        <v>5780</v>
      </c>
      <c r="T242" s="71">
        <v>5871</v>
      </c>
      <c r="U242" s="36">
        <v>10752</v>
      </c>
      <c r="V242" s="36">
        <v>573</v>
      </c>
      <c r="W242" s="36">
        <v>1815</v>
      </c>
      <c r="X242" s="36">
        <v>168.35611438797258</v>
      </c>
      <c r="Y242" s="36">
        <v>10559</v>
      </c>
      <c r="Z242" s="36">
        <v>663</v>
      </c>
      <c r="AA242" s="36">
        <v>1805</v>
      </c>
      <c r="AB242" s="36">
        <v>145.65074431566856</v>
      </c>
      <c r="AC242" s="36">
        <v>11749</v>
      </c>
      <c r="AD242" s="36">
        <v>1010</v>
      </c>
      <c r="AE242" s="36">
        <v>1518</v>
      </c>
      <c r="AF242" s="36">
        <v>496.82713476730356</v>
      </c>
      <c r="AG242" s="36">
        <v>13370</v>
      </c>
      <c r="AH242" s="36">
        <v>852</v>
      </c>
      <c r="AI242" s="36">
        <v>1515</v>
      </c>
      <c r="AJ242" s="36">
        <v>90.653292362754442</v>
      </c>
      <c r="AK242" s="36">
        <v>14268</v>
      </c>
      <c r="AL242" s="36">
        <v>860</v>
      </c>
      <c r="AM242" s="36">
        <v>1612</v>
      </c>
      <c r="AN242" s="36">
        <v>84</v>
      </c>
      <c r="AO242" s="36">
        <v>13761</v>
      </c>
      <c r="AP242" s="36">
        <v>2046</v>
      </c>
      <c r="AQ242" s="36">
        <v>2018</v>
      </c>
      <c r="AR242" s="36">
        <v>401</v>
      </c>
      <c r="AS242" s="36">
        <v>15407</v>
      </c>
      <c r="AT242" s="36">
        <v>2298</v>
      </c>
      <c r="AU242" s="36">
        <v>2531</v>
      </c>
      <c r="AV242" s="36">
        <v>237</v>
      </c>
      <c r="AW242" s="36">
        <v>16176</v>
      </c>
      <c r="AX242" s="69">
        <v>2488</v>
      </c>
      <c r="AY242" s="36">
        <v>2621</v>
      </c>
      <c r="AZ242" s="36">
        <v>453</v>
      </c>
      <c r="BA242" s="36">
        <v>16946</v>
      </c>
      <c r="BB242" s="36">
        <v>3106</v>
      </c>
      <c r="BC242" s="36">
        <v>2953</v>
      </c>
      <c r="BD242" s="36">
        <v>358</v>
      </c>
      <c r="BE242" s="70">
        <v>18691</v>
      </c>
      <c r="BF242" s="70">
        <v>3519</v>
      </c>
      <c r="BG242" s="70">
        <v>3361</v>
      </c>
      <c r="BH242" s="70">
        <v>88</v>
      </c>
      <c r="BI242" s="36">
        <v>20690</v>
      </c>
      <c r="BJ242" s="36">
        <v>4236</v>
      </c>
      <c r="BK242" s="36">
        <v>3252</v>
      </c>
      <c r="BL242" s="36">
        <v>39</v>
      </c>
      <c r="BM242" s="36">
        <v>9101.8260163175928</v>
      </c>
      <c r="BN242" s="36">
        <v>1289.4968321804051</v>
      </c>
      <c r="BO242" s="36">
        <v>360.59491433347966</v>
      </c>
      <c r="BP242" s="36">
        <v>9057.7607795846761</v>
      </c>
      <c r="BQ242" s="36">
        <v>1001.2227262253753</v>
      </c>
      <c r="BR242" s="36">
        <v>499.51814159068778</v>
      </c>
      <c r="BS242" s="36">
        <v>10262.659084754941</v>
      </c>
      <c r="BT242" s="36">
        <v>986.08581284383911</v>
      </c>
      <c r="BU242" s="36">
        <v>500.69545707591834</v>
      </c>
      <c r="BV242" s="36">
        <v>12037</v>
      </c>
      <c r="BW242" s="36">
        <v>747</v>
      </c>
      <c r="BX242" s="36">
        <v>586</v>
      </c>
      <c r="BY242" s="36">
        <v>13153</v>
      </c>
      <c r="BZ242" s="36">
        <v>514</v>
      </c>
      <c r="CA242" s="36">
        <v>601</v>
      </c>
      <c r="CB242" s="36">
        <v>12904</v>
      </c>
      <c r="CC242" s="36">
        <v>256</v>
      </c>
      <c r="CD242" s="36">
        <v>601</v>
      </c>
      <c r="CE242" s="36">
        <v>14283</v>
      </c>
      <c r="CF242" s="36">
        <v>339</v>
      </c>
      <c r="CG242" s="36">
        <v>785</v>
      </c>
      <c r="CH242" s="36">
        <v>15005</v>
      </c>
      <c r="CI242" s="36">
        <v>358</v>
      </c>
      <c r="CJ242" s="70">
        <v>813</v>
      </c>
      <c r="CK242" s="70">
        <v>15701</v>
      </c>
      <c r="CL242" s="70">
        <v>408</v>
      </c>
      <c r="CM242" s="36">
        <v>837</v>
      </c>
      <c r="CN242" s="36">
        <v>17325</v>
      </c>
      <c r="CO242" s="36">
        <v>460</v>
      </c>
      <c r="CP242" s="36">
        <v>906</v>
      </c>
      <c r="CQ242" s="36">
        <v>19256</v>
      </c>
      <c r="CR242" s="36">
        <v>424</v>
      </c>
      <c r="CS242" s="36">
        <v>1010</v>
      </c>
      <c r="CT242" s="36">
        <v>-55.333827805837124</v>
      </c>
      <c r="CU242" s="36">
        <v>-800.57452999999998</v>
      </c>
      <c r="CV242" s="36">
        <v>821.42983283801971</v>
      </c>
      <c r="CW242" s="36">
        <v>3709</v>
      </c>
      <c r="CX242" s="36">
        <v>-647.01895309743293</v>
      </c>
      <c r="CY242" s="36">
        <v>-187.52953800000003</v>
      </c>
      <c r="CZ242" s="36">
        <v>839.25775304293995</v>
      </c>
      <c r="DA242" s="36">
        <v>4233</v>
      </c>
      <c r="DB242" s="36">
        <v>476.47639566546076</v>
      </c>
      <c r="DC242" s="36">
        <v>-1133.4184359999999</v>
      </c>
      <c r="DD242" s="36">
        <v>868.35426432078145</v>
      </c>
      <c r="DE242" s="36">
        <v>6180</v>
      </c>
      <c r="DF242" s="36">
        <v>433.25209856485236</v>
      </c>
      <c r="DG242" s="36">
        <v>-957</v>
      </c>
      <c r="DH242" s="36">
        <v>658.96029587620023</v>
      </c>
      <c r="DI242" s="36">
        <v>6620</v>
      </c>
      <c r="DJ242" s="36">
        <v>351</v>
      </c>
      <c r="DK242" s="36">
        <v>-2424</v>
      </c>
      <c r="DL242" s="36">
        <v>696</v>
      </c>
      <c r="DM242" s="36">
        <v>7717</v>
      </c>
      <c r="DN242" s="36">
        <v>326</v>
      </c>
      <c r="DO242" s="69">
        <v>-2946</v>
      </c>
      <c r="DP242" s="36">
        <v>852</v>
      </c>
      <c r="DQ242" s="36">
        <v>11433</v>
      </c>
      <c r="DR242" s="36">
        <v>1616</v>
      </c>
      <c r="DS242" s="36">
        <v>-242</v>
      </c>
      <c r="DT242" s="36">
        <v>946</v>
      </c>
      <c r="DU242" s="36">
        <v>10967</v>
      </c>
      <c r="DV242" s="36">
        <v>756</v>
      </c>
      <c r="DW242" s="71">
        <v>-3988</v>
      </c>
      <c r="DX242" s="39">
        <v>1015</v>
      </c>
      <c r="DY242" s="71">
        <v>12525</v>
      </c>
      <c r="DZ242" s="70">
        <v>467</v>
      </c>
      <c r="EA242" s="35">
        <v>-3417</v>
      </c>
      <c r="EB242" s="35">
        <v>1182</v>
      </c>
      <c r="EC242" s="38">
        <v>16148</v>
      </c>
      <c r="ED242" s="38">
        <v>783</v>
      </c>
      <c r="EE242" s="38">
        <v>-1792</v>
      </c>
      <c r="EF242" s="38">
        <v>1298</v>
      </c>
      <c r="EG242" s="73">
        <v>18244</v>
      </c>
      <c r="EH242" s="73">
        <v>1379</v>
      </c>
      <c r="EI242" s="73">
        <v>-1226</v>
      </c>
      <c r="EJ242" s="73">
        <v>1297</v>
      </c>
      <c r="EK242" s="73">
        <v>18134</v>
      </c>
      <c r="EL242" s="73">
        <v>12263.590845867539</v>
      </c>
      <c r="EM242" s="73">
        <v>-876.76366064385695</v>
      </c>
      <c r="EN242" s="73">
        <v>12724.089388519156</v>
      </c>
      <c r="EO242" s="73">
        <v>-1486.2767061403729</v>
      </c>
      <c r="EP242" s="73">
        <v>13096.457457704941</v>
      </c>
      <c r="EQ242" s="73">
        <v>-391.8778686553207</v>
      </c>
      <c r="ER242" s="73">
        <v>14248.881129819214</v>
      </c>
      <c r="ES242" s="73">
        <v>-225.70819731134779</v>
      </c>
      <c r="ET242" s="73">
        <v>16143</v>
      </c>
      <c r="EU242" s="73">
        <v>-291</v>
      </c>
      <c r="EV242" s="73">
        <v>17210</v>
      </c>
      <c r="EW242" s="73">
        <v>-195</v>
      </c>
      <c r="EX242" s="73">
        <v>18334</v>
      </c>
      <c r="EY242" s="73">
        <v>775</v>
      </c>
      <c r="EZ242" s="73">
        <v>20248</v>
      </c>
      <c r="FA242" s="73">
        <v>121</v>
      </c>
      <c r="FB242" s="73">
        <v>22114</v>
      </c>
      <c r="FC242" s="73">
        <v>-427</v>
      </c>
      <c r="FD242" s="73">
        <v>24080</v>
      </c>
      <c r="FE242" s="73">
        <v>-515</v>
      </c>
      <c r="FF242" s="73">
        <v>25981</v>
      </c>
      <c r="FG242" s="73">
        <v>-18</v>
      </c>
      <c r="FH242" s="73">
        <v>-2545</v>
      </c>
      <c r="FI242" s="73">
        <v>-2564</v>
      </c>
      <c r="FJ242" s="79">
        <v>6024</v>
      </c>
      <c r="FK242" s="80">
        <v>22115</v>
      </c>
      <c r="FL242" s="80">
        <v>4354</v>
      </c>
      <c r="FM242" s="80">
        <v>3533</v>
      </c>
      <c r="FN242" s="76">
        <v>0</v>
      </c>
      <c r="FO242" s="80">
        <v>20636</v>
      </c>
      <c r="FP242" s="80">
        <v>357</v>
      </c>
      <c r="FQ242" s="80">
        <v>1122</v>
      </c>
      <c r="FR242" s="80">
        <v>2095</v>
      </c>
      <c r="FS242" s="81">
        <v>-1067</v>
      </c>
      <c r="FT242" s="76">
        <v>1474</v>
      </c>
      <c r="FU242" s="76">
        <v>20024</v>
      </c>
      <c r="FV242" s="76">
        <v>1067</v>
      </c>
      <c r="FW242" s="80">
        <v>27368</v>
      </c>
      <c r="FX242" s="80">
        <v>621</v>
      </c>
      <c r="FY242" s="73">
        <v>6104</v>
      </c>
      <c r="FZ242" s="73">
        <v>23548</v>
      </c>
      <c r="GA242" s="73">
        <v>5172</v>
      </c>
      <c r="GB242" s="73">
        <v>3877</v>
      </c>
      <c r="GC242" s="73">
        <v>-6</v>
      </c>
      <c r="GD242" s="73">
        <v>21464</v>
      </c>
      <c r="GE242" s="73">
        <v>457</v>
      </c>
      <c r="GF242" s="73">
        <v>1627</v>
      </c>
      <c r="GG242" s="73">
        <v>2160</v>
      </c>
      <c r="GH242" s="73">
        <v>-191</v>
      </c>
      <c r="GI242" s="73">
        <v>1167</v>
      </c>
      <c r="GJ242" s="73">
        <v>16809</v>
      </c>
      <c r="GK242" s="73">
        <v>191</v>
      </c>
      <c r="GL242" s="73">
        <v>30121</v>
      </c>
      <c r="GM242" s="73">
        <v>993</v>
      </c>
      <c r="GN242" s="73">
        <v>-950</v>
      </c>
      <c r="GO242" s="77">
        <v>20.5</v>
      </c>
      <c r="GP242" s="78">
        <v>6148</v>
      </c>
      <c r="GQ242" s="73">
        <v>25030</v>
      </c>
      <c r="GR242" s="65">
        <v>5294</v>
      </c>
      <c r="GS242" s="65">
        <v>4387</v>
      </c>
      <c r="GT242" s="65">
        <v>2</v>
      </c>
      <c r="GU242" s="65">
        <v>22721</v>
      </c>
      <c r="GV242" s="65">
        <v>574</v>
      </c>
      <c r="GW242" s="65">
        <v>1735</v>
      </c>
      <c r="GX242" s="65">
        <v>2593</v>
      </c>
      <c r="GY242" s="65">
        <v>-1643</v>
      </c>
      <c r="GZ242" s="65">
        <v>1137</v>
      </c>
      <c r="HA242" s="65">
        <v>15768</v>
      </c>
      <c r="HB242" s="65">
        <v>1643</v>
      </c>
      <c r="HC242" s="65">
        <v>31768</v>
      </c>
      <c r="HD242" s="65">
        <v>1456</v>
      </c>
      <c r="HE242" s="78">
        <v>6170</v>
      </c>
      <c r="HF242" s="73">
        <v>24761</v>
      </c>
      <c r="HG242" s="65">
        <v>5244</v>
      </c>
      <c r="HH242" s="65">
        <v>4348</v>
      </c>
      <c r="HI242" s="65">
        <v>6</v>
      </c>
      <c r="HJ242" s="65">
        <v>22997</v>
      </c>
      <c r="HK242" s="65">
        <v>434</v>
      </c>
      <c r="HL242" s="65">
        <v>1330</v>
      </c>
      <c r="HM242" s="65">
        <v>-388</v>
      </c>
      <c r="HN242" s="65">
        <v>-3249</v>
      </c>
      <c r="HO242" s="65">
        <v>1233</v>
      </c>
      <c r="HP242" s="65">
        <v>18634</v>
      </c>
      <c r="HQ242" s="65">
        <v>3249</v>
      </c>
      <c r="HR242" s="65">
        <v>34393</v>
      </c>
      <c r="HS242" s="65">
        <v>-1621</v>
      </c>
      <c r="HT242" s="65">
        <v>-1115</v>
      </c>
      <c r="HU242" s="77">
        <v>21</v>
      </c>
      <c r="HV242" s="180">
        <v>330</v>
      </c>
      <c r="HW242" s="30" t="s">
        <v>760</v>
      </c>
    </row>
    <row r="243" spans="1:231" ht="15" x14ac:dyDescent="0.25">
      <c r="A243" s="27">
        <v>758</v>
      </c>
      <c r="B243" s="27" t="s">
        <v>366</v>
      </c>
      <c r="C243" s="27">
        <v>19</v>
      </c>
      <c r="D243" s="27" t="s">
        <v>113</v>
      </c>
      <c r="E243" s="27">
        <v>3</v>
      </c>
      <c r="F243" s="27" t="s">
        <v>743</v>
      </c>
      <c r="G243" s="29" t="s">
        <v>132</v>
      </c>
      <c r="H243" s="27" t="s">
        <v>99</v>
      </c>
      <c r="I243" s="31" t="s">
        <v>113</v>
      </c>
      <c r="J243" s="69">
        <v>10283</v>
      </c>
      <c r="K243" s="69">
        <v>10105</v>
      </c>
      <c r="L243" s="36">
        <v>9922</v>
      </c>
      <c r="M243" s="36">
        <v>9674</v>
      </c>
      <c r="N243" s="36">
        <v>9489</v>
      </c>
      <c r="O243" s="36">
        <v>9373</v>
      </c>
      <c r="P243" s="36">
        <v>9336</v>
      </c>
      <c r="Q243" s="36">
        <v>9216</v>
      </c>
      <c r="R243" s="69">
        <v>9081</v>
      </c>
      <c r="S243" s="69">
        <v>8982</v>
      </c>
      <c r="T243" s="71">
        <v>8872</v>
      </c>
      <c r="U243" s="36">
        <v>22368</v>
      </c>
      <c r="V243" s="36">
        <v>15199</v>
      </c>
      <c r="W243" s="36">
        <v>5264</v>
      </c>
      <c r="X243" s="36">
        <v>370.18162614178578</v>
      </c>
      <c r="Y243" s="36">
        <v>21131</v>
      </c>
      <c r="Z243" s="36">
        <v>14705</v>
      </c>
      <c r="AA243" s="36">
        <v>5265</v>
      </c>
      <c r="AB243" s="36">
        <v>570.32525863098385</v>
      </c>
      <c r="AC243" s="36">
        <v>20747</v>
      </c>
      <c r="AD243" s="36">
        <v>16340</v>
      </c>
      <c r="AE243" s="36">
        <v>4856</v>
      </c>
      <c r="AF243" s="36">
        <v>245.3861847073446</v>
      </c>
      <c r="AG243" s="36">
        <v>20729</v>
      </c>
      <c r="AH243" s="36">
        <v>18353</v>
      </c>
      <c r="AI243" s="36">
        <v>5488</v>
      </c>
      <c r="AJ243" s="36">
        <v>315.52055004179471</v>
      </c>
      <c r="AK243" s="36">
        <v>22362</v>
      </c>
      <c r="AL243" s="36">
        <v>20648</v>
      </c>
      <c r="AM243" s="36">
        <v>6139</v>
      </c>
      <c r="AN243" s="36">
        <v>149</v>
      </c>
      <c r="AO243" s="36">
        <v>20642</v>
      </c>
      <c r="AP243" s="36">
        <v>20412</v>
      </c>
      <c r="AQ243" s="36">
        <v>6578</v>
      </c>
      <c r="AR243" s="36">
        <v>2780</v>
      </c>
      <c r="AS243" s="36">
        <v>21085</v>
      </c>
      <c r="AT243" s="36">
        <v>20459</v>
      </c>
      <c r="AU243" s="36">
        <v>7863</v>
      </c>
      <c r="AV243" s="36">
        <v>369</v>
      </c>
      <c r="AW243" s="36">
        <v>22231</v>
      </c>
      <c r="AX243" s="69">
        <v>21022</v>
      </c>
      <c r="AY243" s="36">
        <v>8005</v>
      </c>
      <c r="AZ243" s="36">
        <v>269</v>
      </c>
      <c r="BA243" s="36">
        <v>24017</v>
      </c>
      <c r="BB243" s="36">
        <v>20797</v>
      </c>
      <c r="BC243" s="36">
        <v>8586</v>
      </c>
      <c r="BD243" s="36">
        <v>1417</v>
      </c>
      <c r="BE243" s="70">
        <v>25427</v>
      </c>
      <c r="BF243" s="70">
        <v>17971</v>
      </c>
      <c r="BG243" s="70">
        <v>7925</v>
      </c>
      <c r="BH243" s="70">
        <v>1298</v>
      </c>
      <c r="BI243" s="36">
        <v>27195</v>
      </c>
      <c r="BJ243" s="36">
        <v>19020</v>
      </c>
      <c r="BK243" s="36">
        <v>8619</v>
      </c>
      <c r="BL243" s="36">
        <v>1515</v>
      </c>
      <c r="BM243" s="36">
        <v>16113.076106718603</v>
      </c>
      <c r="BN243" s="36">
        <v>4381.9682360282086</v>
      </c>
      <c r="BO243" s="36">
        <v>1872.6043732224639</v>
      </c>
      <c r="BP243" s="36">
        <v>15764.422535163891</v>
      </c>
      <c r="BQ243" s="36">
        <v>3434.733834196978</v>
      </c>
      <c r="BR243" s="36">
        <v>1931.9747112633772</v>
      </c>
      <c r="BS243" s="36">
        <v>15258.008688588279</v>
      </c>
      <c r="BT243" s="36">
        <v>3653.2099506704812</v>
      </c>
      <c r="BU243" s="36">
        <v>1835.7712173273928</v>
      </c>
      <c r="BV243" s="36">
        <v>17023</v>
      </c>
      <c r="BW243" s="36">
        <v>1873</v>
      </c>
      <c r="BX243" s="36">
        <v>1833</v>
      </c>
      <c r="BY243" s="36">
        <v>18291</v>
      </c>
      <c r="BZ243" s="36">
        <v>1288</v>
      </c>
      <c r="CA243" s="36">
        <v>2783</v>
      </c>
      <c r="CB243" s="36">
        <v>17500</v>
      </c>
      <c r="CC243" s="36">
        <v>652</v>
      </c>
      <c r="CD243" s="36">
        <v>2490</v>
      </c>
      <c r="CE243" s="36">
        <v>17787</v>
      </c>
      <c r="CF243" s="36">
        <v>879</v>
      </c>
      <c r="CG243" s="36">
        <v>2419</v>
      </c>
      <c r="CH243" s="36">
        <v>18942</v>
      </c>
      <c r="CI243" s="36">
        <v>1236</v>
      </c>
      <c r="CJ243" s="70">
        <v>2053</v>
      </c>
      <c r="CK243" s="70">
        <v>18814</v>
      </c>
      <c r="CL243" s="70">
        <v>1566</v>
      </c>
      <c r="CM243" s="36">
        <v>3637</v>
      </c>
      <c r="CN243" s="36">
        <v>19848</v>
      </c>
      <c r="CO243" s="36">
        <v>1855</v>
      </c>
      <c r="CP243" s="36">
        <v>3724</v>
      </c>
      <c r="CQ243" s="36">
        <v>21463</v>
      </c>
      <c r="CR243" s="36">
        <v>1760</v>
      </c>
      <c r="CS243" s="36">
        <v>3972</v>
      </c>
      <c r="CT243" s="36">
        <v>1536.7330840788263</v>
      </c>
      <c r="CU243" s="36">
        <v>-4145.1596360000012</v>
      </c>
      <c r="CV243" s="36">
        <v>1525.4644930059051</v>
      </c>
      <c r="CW243" s="36">
        <v>12867</v>
      </c>
      <c r="CX243" s="36">
        <v>1376.1136143080832</v>
      </c>
      <c r="CY243" s="36">
        <v>-3149.655299</v>
      </c>
      <c r="CZ243" s="36">
        <v>1845.1897412092376</v>
      </c>
      <c r="DA243" s="36">
        <v>13945</v>
      </c>
      <c r="DB243" s="36">
        <v>-187.69772593104628</v>
      </c>
      <c r="DC243" s="36">
        <v>-2407.2737910000001</v>
      </c>
      <c r="DD243" s="36">
        <v>1817.6069212695497</v>
      </c>
      <c r="DE243" s="36">
        <v>15463</v>
      </c>
      <c r="DF243" s="36">
        <v>-269.77343404426369</v>
      </c>
      <c r="DG243" s="36">
        <v>-2495</v>
      </c>
      <c r="DH243" s="36">
        <v>1777.4100068452485</v>
      </c>
      <c r="DI243" s="36">
        <v>15740</v>
      </c>
      <c r="DJ243" s="36">
        <v>4445</v>
      </c>
      <c r="DK243" s="36">
        <v>-2399</v>
      </c>
      <c r="DL243" s="36">
        <v>1823</v>
      </c>
      <c r="DM243" s="36">
        <v>17069</v>
      </c>
      <c r="DN243" s="36">
        <v>3286</v>
      </c>
      <c r="DO243" s="69">
        <v>694</v>
      </c>
      <c r="DP243" s="36">
        <v>2009</v>
      </c>
      <c r="DQ243" s="36">
        <v>14533</v>
      </c>
      <c r="DR243" s="36">
        <v>833</v>
      </c>
      <c r="DS243" s="36">
        <v>-1811</v>
      </c>
      <c r="DT243" s="36">
        <v>1859</v>
      </c>
      <c r="DU243" s="36">
        <v>14865</v>
      </c>
      <c r="DV243" s="36">
        <v>214</v>
      </c>
      <c r="DW243" s="71">
        <v>-2310</v>
      </c>
      <c r="DX243" s="39">
        <v>1904</v>
      </c>
      <c r="DY243" s="71">
        <v>15541</v>
      </c>
      <c r="DZ243" s="70">
        <v>1432</v>
      </c>
      <c r="EA243" s="35">
        <v>-2018</v>
      </c>
      <c r="EB243" s="35">
        <v>1883</v>
      </c>
      <c r="EC243" s="38">
        <v>16306</v>
      </c>
      <c r="ED243" s="38">
        <v>1446</v>
      </c>
      <c r="EE243" s="38">
        <v>-3197</v>
      </c>
      <c r="EF243" s="38">
        <v>1806</v>
      </c>
      <c r="EG243" s="73">
        <v>16743</v>
      </c>
      <c r="EH243" s="73">
        <v>2000</v>
      </c>
      <c r="EI243" s="73">
        <v>-1777</v>
      </c>
      <c r="EJ243" s="73">
        <v>1934</v>
      </c>
      <c r="EK243" s="73">
        <v>17081</v>
      </c>
      <c r="EL243" s="73">
        <v>39629.784736272923</v>
      </c>
      <c r="EM243" s="73">
        <v>-387.67317049378295</v>
      </c>
      <c r="EN243" s="73">
        <v>38275.703740331293</v>
      </c>
      <c r="EO243" s="73">
        <v>-849.18084070416921</v>
      </c>
      <c r="EP243" s="73">
        <v>40069.09160019039</v>
      </c>
      <c r="EQ243" s="73">
        <v>-1815.2522902990886</v>
      </c>
      <c r="ER243" s="73">
        <v>42004.093694130068</v>
      </c>
      <c r="ES243" s="73">
        <v>-1653.9600688224994</v>
      </c>
      <c r="ET243" s="73">
        <v>43487</v>
      </c>
      <c r="EU243" s="73">
        <v>2326</v>
      </c>
      <c r="EV243" s="73">
        <v>44600</v>
      </c>
      <c r="EW243" s="73">
        <v>2747</v>
      </c>
      <c r="EX243" s="73">
        <v>48495</v>
      </c>
      <c r="EY243" s="73">
        <v>-968</v>
      </c>
      <c r="EZ243" s="73">
        <v>50883</v>
      </c>
      <c r="FA243" s="73">
        <v>-1420</v>
      </c>
      <c r="FB243" s="73">
        <v>52197</v>
      </c>
      <c r="FC243" s="73">
        <v>333</v>
      </c>
      <c r="FD243" s="73">
        <v>50175</v>
      </c>
      <c r="FE243" s="73">
        <v>-398</v>
      </c>
      <c r="FF243" s="73">
        <v>52929</v>
      </c>
      <c r="FG243" s="73">
        <v>1172</v>
      </c>
      <c r="FH243" s="73">
        <v>-18</v>
      </c>
      <c r="FI243" s="73">
        <v>1154</v>
      </c>
      <c r="FJ243" s="79">
        <v>8801</v>
      </c>
      <c r="FK243" s="80">
        <v>26926</v>
      </c>
      <c r="FL243" s="80">
        <v>19888</v>
      </c>
      <c r="FM243" s="80">
        <v>10239</v>
      </c>
      <c r="FN243" s="76">
        <v>396</v>
      </c>
      <c r="FO243" s="80">
        <v>21393</v>
      </c>
      <c r="FP243" s="80">
        <v>1395</v>
      </c>
      <c r="FQ243" s="80">
        <v>4138</v>
      </c>
      <c r="FR243" s="80">
        <v>1051</v>
      </c>
      <c r="FS243" s="81">
        <v>-2269</v>
      </c>
      <c r="FT243" s="76">
        <v>1979</v>
      </c>
      <c r="FU243" s="76">
        <v>19681</v>
      </c>
      <c r="FV243" s="76">
        <v>2269</v>
      </c>
      <c r="FW243" s="80">
        <v>56003</v>
      </c>
      <c r="FX243" s="80">
        <v>-838</v>
      </c>
      <c r="FY243" s="73">
        <v>8779</v>
      </c>
      <c r="FZ243" s="73">
        <v>28442</v>
      </c>
      <c r="GA243" s="73">
        <v>23787</v>
      </c>
      <c r="GB243" s="73">
        <v>10109</v>
      </c>
      <c r="GC243" s="73">
        <v>1372</v>
      </c>
      <c r="GD243" s="73">
        <v>22015</v>
      </c>
      <c r="GE243" s="73">
        <v>1969</v>
      </c>
      <c r="GF243" s="73">
        <v>4458</v>
      </c>
      <c r="GG243" s="73">
        <v>5513</v>
      </c>
      <c r="GH243" s="73">
        <v>-2743</v>
      </c>
      <c r="GI243" s="73">
        <v>2018</v>
      </c>
      <c r="GJ243" s="73">
        <v>16356</v>
      </c>
      <c r="GK243" s="73">
        <v>2743</v>
      </c>
      <c r="GL243" s="73">
        <v>57521</v>
      </c>
      <c r="GM243" s="73">
        <v>1972</v>
      </c>
      <c r="GN243" s="73">
        <v>2287</v>
      </c>
      <c r="GO243" s="77">
        <v>19.5</v>
      </c>
      <c r="GP243" s="78">
        <v>8806</v>
      </c>
      <c r="GQ243" s="73">
        <v>29002</v>
      </c>
      <c r="GR243" s="65">
        <v>23460</v>
      </c>
      <c r="GS243" s="65">
        <v>10467</v>
      </c>
      <c r="GT243" s="65">
        <v>1176</v>
      </c>
      <c r="GU243" s="65">
        <v>22146</v>
      </c>
      <c r="GV243" s="65">
        <v>2261</v>
      </c>
      <c r="GW243" s="65">
        <v>4595</v>
      </c>
      <c r="GX243" s="65">
        <v>3192</v>
      </c>
      <c r="GY243" s="65">
        <v>-2691</v>
      </c>
      <c r="GZ243" s="65">
        <v>2031</v>
      </c>
      <c r="HA243" s="65">
        <v>17135</v>
      </c>
      <c r="HB243" s="65">
        <v>2691</v>
      </c>
      <c r="HC243" s="65">
        <v>60585</v>
      </c>
      <c r="HD243" s="65">
        <v>483</v>
      </c>
      <c r="HE243" s="78">
        <v>8834</v>
      </c>
      <c r="HF243" s="73">
        <v>29674</v>
      </c>
      <c r="HG243" s="65">
        <v>24911</v>
      </c>
      <c r="HH243" s="65">
        <v>9949</v>
      </c>
      <c r="HI243" s="65">
        <v>1377</v>
      </c>
      <c r="HJ243" s="65">
        <v>23373</v>
      </c>
      <c r="HK243" s="65">
        <v>1452</v>
      </c>
      <c r="HL243" s="65">
        <v>4849</v>
      </c>
      <c r="HM243" s="65">
        <v>377</v>
      </c>
      <c r="HN243" s="65">
        <v>-6661</v>
      </c>
      <c r="HO243" s="65">
        <v>2055</v>
      </c>
      <c r="HP243" s="65">
        <v>20347</v>
      </c>
      <c r="HQ243" s="65">
        <v>6661</v>
      </c>
      <c r="HR243" s="65">
        <v>65088</v>
      </c>
      <c r="HS243" s="65">
        <v>-1381</v>
      </c>
      <c r="HT243" s="65">
        <v>1390</v>
      </c>
      <c r="HU243" s="77">
        <v>19.5</v>
      </c>
      <c r="HV243" s="180">
        <v>240</v>
      </c>
      <c r="HW243" s="30" t="s">
        <v>757</v>
      </c>
    </row>
    <row r="244" spans="1:231" ht="15" x14ac:dyDescent="0.25">
      <c r="A244" s="27">
        <v>759</v>
      </c>
      <c r="B244" s="27" t="s">
        <v>367</v>
      </c>
      <c r="C244" s="27">
        <v>14</v>
      </c>
      <c r="D244" s="27" t="s">
        <v>106</v>
      </c>
      <c r="E244" s="27">
        <v>2</v>
      </c>
      <c r="F244" s="27" t="s">
        <v>744</v>
      </c>
      <c r="G244" s="29" t="s">
        <v>130</v>
      </c>
      <c r="H244" s="27" t="s">
        <v>98</v>
      </c>
      <c r="I244" s="31" t="s">
        <v>106</v>
      </c>
      <c r="J244" s="69">
        <v>2820</v>
      </c>
      <c r="K244" s="69">
        <v>2813</v>
      </c>
      <c r="L244" s="36">
        <v>2799</v>
      </c>
      <c r="M244" s="36">
        <v>2733</v>
      </c>
      <c r="N244" s="36">
        <v>2717</v>
      </c>
      <c r="O244" s="36">
        <v>2682</v>
      </c>
      <c r="P244" s="36">
        <v>2667</v>
      </c>
      <c r="Q244" s="36">
        <v>2614</v>
      </c>
      <c r="R244" s="69">
        <v>2580</v>
      </c>
      <c r="S244" s="69">
        <v>2526</v>
      </c>
      <c r="T244" s="71">
        <v>2455</v>
      </c>
      <c r="U244" s="36">
        <v>4422</v>
      </c>
      <c r="V244" s="36">
        <v>4327</v>
      </c>
      <c r="W244" s="36">
        <v>1532</v>
      </c>
      <c r="X244" s="36">
        <v>166.00148341751139</v>
      </c>
      <c r="Y244" s="36">
        <v>4289</v>
      </c>
      <c r="Z244" s="36">
        <v>4135</v>
      </c>
      <c r="AA244" s="36">
        <v>1638</v>
      </c>
      <c r="AB244" s="36">
        <v>311.48403980671844</v>
      </c>
      <c r="AC244" s="36">
        <v>4127</v>
      </c>
      <c r="AD244" s="36">
        <v>4682</v>
      </c>
      <c r="AE244" s="36">
        <v>1807</v>
      </c>
      <c r="AF244" s="36">
        <v>274.81907183810904</v>
      </c>
      <c r="AG244" s="36">
        <v>4467</v>
      </c>
      <c r="AH244" s="36">
        <v>4919</v>
      </c>
      <c r="AI244" s="36">
        <v>1920</v>
      </c>
      <c r="AJ244" s="36">
        <v>348.8217594811739</v>
      </c>
      <c r="AK244" s="36">
        <v>4449</v>
      </c>
      <c r="AL244" s="36">
        <v>5657</v>
      </c>
      <c r="AM244" s="36">
        <v>1922</v>
      </c>
      <c r="AN244" s="36">
        <v>108</v>
      </c>
      <c r="AO244" s="36">
        <v>4035</v>
      </c>
      <c r="AP244" s="36">
        <v>6135</v>
      </c>
      <c r="AQ244" s="36">
        <v>2180</v>
      </c>
      <c r="AR244" s="36">
        <v>387</v>
      </c>
      <c r="AS244" s="36">
        <v>4225</v>
      </c>
      <c r="AT244" s="36">
        <v>6044</v>
      </c>
      <c r="AU244" s="36">
        <v>3534</v>
      </c>
      <c r="AV244" s="36">
        <v>610</v>
      </c>
      <c r="AW244" s="36">
        <v>4575</v>
      </c>
      <c r="AX244" s="69">
        <v>6014</v>
      </c>
      <c r="AY244" s="36">
        <v>2761</v>
      </c>
      <c r="AZ244" s="36">
        <v>438</v>
      </c>
      <c r="BA244" s="36">
        <v>4775</v>
      </c>
      <c r="BB244" s="36">
        <v>6353</v>
      </c>
      <c r="BC244" s="36">
        <v>3135</v>
      </c>
      <c r="BD244" s="36">
        <v>282</v>
      </c>
      <c r="BE244" s="70">
        <v>5236</v>
      </c>
      <c r="BF244" s="70">
        <v>6344</v>
      </c>
      <c r="BG244" s="70">
        <v>2115</v>
      </c>
      <c r="BH244" s="70">
        <v>779</v>
      </c>
      <c r="BI244" s="36">
        <v>5540</v>
      </c>
      <c r="BJ244" s="36">
        <v>6414</v>
      </c>
      <c r="BK244" s="36">
        <v>2127</v>
      </c>
      <c r="BL244" s="36">
        <v>92</v>
      </c>
      <c r="BM244" s="36">
        <v>3373.5134289649882</v>
      </c>
      <c r="BN244" s="36">
        <v>890.72325854016242</v>
      </c>
      <c r="BO244" s="36">
        <v>153.21920100643655</v>
      </c>
      <c r="BP244" s="36">
        <v>3334.1574541729951</v>
      </c>
      <c r="BQ244" s="36">
        <v>794.51976460417802</v>
      </c>
      <c r="BR244" s="36">
        <v>155.06926819751317</v>
      </c>
      <c r="BS244" s="36">
        <v>3098.8625450533409</v>
      </c>
      <c r="BT244" s="36">
        <v>829.16647745524949</v>
      </c>
      <c r="BU244" s="36">
        <v>194.42524298950676</v>
      </c>
      <c r="BV244" s="36">
        <v>3645</v>
      </c>
      <c r="BW244" s="36">
        <v>612</v>
      </c>
      <c r="BX244" s="36">
        <v>205</v>
      </c>
      <c r="BY244" s="36">
        <v>3883</v>
      </c>
      <c r="BZ244" s="36">
        <v>353</v>
      </c>
      <c r="CA244" s="36">
        <v>208</v>
      </c>
      <c r="CB244" s="36">
        <v>3594</v>
      </c>
      <c r="CC244" s="36">
        <v>224</v>
      </c>
      <c r="CD244" s="36">
        <v>212</v>
      </c>
      <c r="CE244" s="36">
        <v>3750</v>
      </c>
      <c r="CF244" s="36">
        <v>258</v>
      </c>
      <c r="CG244" s="36">
        <v>212</v>
      </c>
      <c r="CH244" s="36">
        <v>3978</v>
      </c>
      <c r="CI244" s="36">
        <v>375</v>
      </c>
      <c r="CJ244" s="70">
        <v>217</v>
      </c>
      <c r="CK244" s="70">
        <v>4039</v>
      </c>
      <c r="CL244" s="70">
        <v>512</v>
      </c>
      <c r="CM244" s="36">
        <v>224</v>
      </c>
      <c r="CN244" s="36">
        <v>4388</v>
      </c>
      <c r="CO244" s="36">
        <v>564</v>
      </c>
      <c r="CP244" s="36">
        <v>284</v>
      </c>
      <c r="CQ244" s="36">
        <v>4685</v>
      </c>
      <c r="CR244" s="36">
        <v>558</v>
      </c>
      <c r="CS244" s="36">
        <v>297</v>
      </c>
      <c r="CT244" s="36">
        <v>576.21183605713679</v>
      </c>
      <c r="CU244" s="36">
        <v>-756.17291739999996</v>
      </c>
      <c r="CV244" s="36">
        <v>321.23893954148605</v>
      </c>
      <c r="CW244" s="36">
        <v>1632</v>
      </c>
      <c r="CX244" s="36">
        <v>-317.0342413799483</v>
      </c>
      <c r="CY244" s="36">
        <v>-1265.277771</v>
      </c>
      <c r="CZ244" s="36">
        <v>354.03558520148073</v>
      </c>
      <c r="DA244" s="36">
        <v>2559</v>
      </c>
      <c r="DB244" s="36">
        <v>-576.54821191005976</v>
      </c>
      <c r="DC244" s="36">
        <v>6664.446586</v>
      </c>
      <c r="DD244" s="36">
        <v>389.85961353778259</v>
      </c>
      <c r="DE244" s="36">
        <v>2084</v>
      </c>
      <c r="DF244" s="36">
        <v>-678.47009534573544</v>
      </c>
      <c r="DG244" s="36">
        <v>-1500</v>
      </c>
      <c r="DH244" s="36">
        <v>571.16619826329145</v>
      </c>
      <c r="DI244" s="36">
        <v>3895</v>
      </c>
      <c r="DJ244" s="36">
        <v>-472</v>
      </c>
      <c r="DK244" s="36">
        <v>-571</v>
      </c>
      <c r="DL244" s="36">
        <v>435</v>
      </c>
      <c r="DM244" s="36">
        <v>5618</v>
      </c>
      <c r="DN244" s="36">
        <v>251</v>
      </c>
      <c r="DO244" s="69">
        <v>-870</v>
      </c>
      <c r="DP244" s="36">
        <v>446</v>
      </c>
      <c r="DQ244" s="36">
        <v>6615</v>
      </c>
      <c r="DR244" s="36">
        <v>176</v>
      </c>
      <c r="DS244" s="36">
        <v>-1380</v>
      </c>
      <c r="DT244" s="36">
        <v>455</v>
      </c>
      <c r="DU244" s="36">
        <v>7257</v>
      </c>
      <c r="DV244" s="36">
        <v>-455</v>
      </c>
      <c r="DW244" s="71">
        <v>-890</v>
      </c>
      <c r="DX244" s="39">
        <v>494</v>
      </c>
      <c r="DY244" s="71">
        <v>7764</v>
      </c>
      <c r="DZ244" s="70">
        <v>-441</v>
      </c>
      <c r="EA244" s="35">
        <v>-3618</v>
      </c>
      <c r="EB244" s="35">
        <v>474</v>
      </c>
      <c r="EC244" s="38">
        <v>12180</v>
      </c>
      <c r="ED244" s="38">
        <v>602</v>
      </c>
      <c r="EE244" s="38">
        <v>-1921</v>
      </c>
      <c r="EF244" s="38">
        <v>587</v>
      </c>
      <c r="EG244" s="73">
        <v>10597</v>
      </c>
      <c r="EH244" s="73">
        <v>-186</v>
      </c>
      <c r="EI244" s="73">
        <v>-260</v>
      </c>
      <c r="EJ244" s="73">
        <v>750</v>
      </c>
      <c r="EK244" s="73">
        <v>10474</v>
      </c>
      <c r="EL244" s="73">
        <v>9301.296897100945</v>
      </c>
      <c r="EM244" s="73">
        <v>254.97289651565072</v>
      </c>
      <c r="EN244" s="73">
        <v>10150.309549878652</v>
      </c>
      <c r="EO244" s="73">
        <v>-671.06982658142897</v>
      </c>
      <c r="EP244" s="73">
        <v>10625.945005911804</v>
      </c>
      <c r="EQ244" s="73">
        <v>6747.0268579299764</v>
      </c>
      <c r="ER244" s="73">
        <v>11354.198727490149</v>
      </c>
      <c r="ES244" s="73">
        <v>-1249.636293609027</v>
      </c>
      <c r="ET244" s="73">
        <v>12130</v>
      </c>
      <c r="EU244" s="73">
        <v>-907</v>
      </c>
      <c r="EV244" s="73">
        <v>12286</v>
      </c>
      <c r="EW244" s="73">
        <v>-195</v>
      </c>
      <c r="EX244" s="73">
        <v>13796</v>
      </c>
      <c r="EY244" s="73">
        <v>-76</v>
      </c>
      <c r="EZ244" s="73">
        <v>14024</v>
      </c>
      <c r="FA244" s="73">
        <v>-949</v>
      </c>
      <c r="FB244" s="73">
        <v>14651</v>
      </c>
      <c r="FC244" s="73">
        <v>-915</v>
      </c>
      <c r="FD244" s="73">
        <v>13403</v>
      </c>
      <c r="FE244" s="73">
        <v>15</v>
      </c>
      <c r="FF244" s="73">
        <v>14049</v>
      </c>
      <c r="FG244" s="73">
        <v>-936</v>
      </c>
      <c r="FH244" s="73">
        <v>2961</v>
      </c>
      <c r="FI244" s="73">
        <v>2025</v>
      </c>
      <c r="FJ244" s="79">
        <v>2429</v>
      </c>
      <c r="FK244" s="80">
        <v>5482</v>
      </c>
      <c r="FL244" s="80">
        <v>6943</v>
      </c>
      <c r="FM244" s="80">
        <v>13459</v>
      </c>
      <c r="FN244" s="76">
        <v>0</v>
      </c>
      <c r="FO244" s="80">
        <v>4727</v>
      </c>
      <c r="FP244" s="80">
        <v>441</v>
      </c>
      <c r="FQ244" s="80">
        <v>314</v>
      </c>
      <c r="FR244" s="80">
        <v>-83</v>
      </c>
      <c r="FS244" s="81">
        <v>-43</v>
      </c>
      <c r="FT244" s="76">
        <v>728</v>
      </c>
      <c r="FU244" s="76">
        <v>8604</v>
      </c>
      <c r="FV244" s="76">
        <v>43</v>
      </c>
      <c r="FW244" s="80">
        <v>25730</v>
      </c>
      <c r="FX244" s="80">
        <v>-811</v>
      </c>
      <c r="FY244" s="73">
        <v>2391</v>
      </c>
      <c r="FZ244" s="73">
        <v>5592</v>
      </c>
      <c r="GA244" s="73">
        <v>7623</v>
      </c>
      <c r="GB244" s="73">
        <v>14697</v>
      </c>
      <c r="GC244" s="73">
        <v>-69</v>
      </c>
      <c r="GD244" s="73">
        <v>4673</v>
      </c>
      <c r="GE244" s="73">
        <v>614</v>
      </c>
      <c r="GF244" s="73">
        <v>305</v>
      </c>
      <c r="GG244" s="73">
        <v>1138</v>
      </c>
      <c r="GH244" s="73">
        <v>370</v>
      </c>
      <c r="GI244" s="73">
        <v>744</v>
      </c>
      <c r="GJ244" s="73">
        <v>8303</v>
      </c>
      <c r="GK244" s="73">
        <v>-370</v>
      </c>
      <c r="GL244" s="73">
        <v>26552</v>
      </c>
      <c r="GM244" s="73">
        <v>394</v>
      </c>
      <c r="GN244" s="73">
        <v>1609</v>
      </c>
      <c r="GO244" s="77">
        <v>20.75</v>
      </c>
      <c r="GP244" s="78">
        <v>2360</v>
      </c>
      <c r="GQ244" s="73">
        <v>5439</v>
      </c>
      <c r="GR244" s="65">
        <v>7318</v>
      </c>
      <c r="GS244" s="65">
        <v>14887</v>
      </c>
      <c r="GT244" s="65">
        <v>0</v>
      </c>
      <c r="GU244" s="65">
        <v>4401</v>
      </c>
      <c r="GV244" s="65">
        <v>669</v>
      </c>
      <c r="GW244" s="65">
        <v>369</v>
      </c>
      <c r="GX244" s="65">
        <v>-297</v>
      </c>
      <c r="GY244" s="65">
        <v>-1735</v>
      </c>
      <c r="GZ244" s="65">
        <v>702</v>
      </c>
      <c r="HA244" s="65">
        <v>10137</v>
      </c>
      <c r="HB244" s="65">
        <v>1735</v>
      </c>
      <c r="HC244" s="65">
        <v>27676</v>
      </c>
      <c r="HD244" s="65">
        <v>-999</v>
      </c>
      <c r="HE244" s="78">
        <v>2329</v>
      </c>
      <c r="HF244" s="73">
        <v>5534</v>
      </c>
      <c r="HG244" s="65">
        <v>8058</v>
      </c>
      <c r="HH244" s="65">
        <v>16133</v>
      </c>
      <c r="HI244" s="65">
        <v>0</v>
      </c>
      <c r="HJ244" s="65">
        <v>4763</v>
      </c>
      <c r="HK244" s="65">
        <v>394</v>
      </c>
      <c r="HL244" s="65">
        <v>377</v>
      </c>
      <c r="HM244" s="65">
        <v>947</v>
      </c>
      <c r="HN244" s="65">
        <v>-540</v>
      </c>
      <c r="HO244" s="65">
        <v>674</v>
      </c>
      <c r="HP244" s="65">
        <v>10055</v>
      </c>
      <c r="HQ244" s="65">
        <v>540</v>
      </c>
      <c r="HR244" s="65">
        <v>28182</v>
      </c>
      <c r="HS244" s="65">
        <v>273</v>
      </c>
      <c r="HT244" s="65">
        <v>883</v>
      </c>
      <c r="HU244" s="77">
        <v>21</v>
      </c>
      <c r="HV244" s="180">
        <v>340</v>
      </c>
      <c r="HW244" s="30" t="s">
        <v>761</v>
      </c>
    </row>
    <row r="245" spans="1:231" ht="15" x14ac:dyDescent="0.25">
      <c r="A245" s="27">
        <v>761</v>
      </c>
      <c r="B245" s="27" t="s">
        <v>368</v>
      </c>
      <c r="C245" s="27">
        <v>2</v>
      </c>
      <c r="D245" s="27" t="s">
        <v>122</v>
      </c>
      <c r="E245" s="27">
        <v>3</v>
      </c>
      <c r="F245" s="27" t="s">
        <v>743</v>
      </c>
      <c r="G245" s="29" t="s">
        <v>130</v>
      </c>
      <c r="H245" s="27" t="s">
        <v>98</v>
      </c>
      <c r="I245" s="31" t="s">
        <v>122</v>
      </c>
      <c r="J245" s="69">
        <v>9779</v>
      </c>
      <c r="K245" s="69">
        <v>9799</v>
      </c>
      <c r="L245" s="36">
        <v>9789</v>
      </c>
      <c r="M245" s="36">
        <v>9676</v>
      </c>
      <c r="N245" s="36">
        <v>9676</v>
      </c>
      <c r="O245" s="36">
        <v>9680</v>
      </c>
      <c r="P245" s="36">
        <v>9684</v>
      </c>
      <c r="Q245" s="36">
        <v>9606</v>
      </c>
      <c r="R245" s="69">
        <v>9524</v>
      </c>
      <c r="S245" s="69">
        <v>9491</v>
      </c>
      <c r="T245" s="71">
        <v>9465</v>
      </c>
      <c r="U245" s="36">
        <v>17937</v>
      </c>
      <c r="V245" s="36">
        <v>7834</v>
      </c>
      <c r="W245" s="36">
        <v>5255</v>
      </c>
      <c r="X245" s="36">
        <v>711.26674100573018</v>
      </c>
      <c r="Y245" s="36">
        <v>17287</v>
      </c>
      <c r="Z245" s="36">
        <v>8184</v>
      </c>
      <c r="AA245" s="36">
        <v>5498</v>
      </c>
      <c r="AB245" s="36">
        <v>587.81680298298102</v>
      </c>
      <c r="AC245" s="36">
        <v>18600</v>
      </c>
      <c r="AD245" s="36">
        <v>9731</v>
      </c>
      <c r="AE245" s="36">
        <v>5639</v>
      </c>
      <c r="AF245" s="36">
        <v>457.97572375469451</v>
      </c>
      <c r="AG245" s="36">
        <v>19286</v>
      </c>
      <c r="AH245" s="36">
        <v>10825</v>
      </c>
      <c r="AI245" s="36">
        <v>6040</v>
      </c>
      <c r="AJ245" s="36">
        <v>491.78149697345822</v>
      </c>
      <c r="AK245" s="36">
        <v>19176</v>
      </c>
      <c r="AL245" s="36">
        <v>12037</v>
      </c>
      <c r="AM245" s="36">
        <v>6354</v>
      </c>
      <c r="AN245" s="36">
        <v>322</v>
      </c>
      <c r="AO245" s="36">
        <v>18707</v>
      </c>
      <c r="AP245" s="36">
        <v>13708</v>
      </c>
      <c r="AQ245" s="36">
        <v>6521</v>
      </c>
      <c r="AR245" s="36">
        <v>402</v>
      </c>
      <c r="AS245" s="36">
        <v>18408</v>
      </c>
      <c r="AT245" s="36">
        <v>13630</v>
      </c>
      <c r="AU245" s="36">
        <v>6493</v>
      </c>
      <c r="AV245" s="36">
        <v>274</v>
      </c>
      <c r="AW245" s="36">
        <v>19567</v>
      </c>
      <c r="AX245" s="69">
        <v>14924</v>
      </c>
      <c r="AY245" s="36">
        <v>6614</v>
      </c>
      <c r="AZ245" s="36">
        <v>251</v>
      </c>
      <c r="BA245" s="36">
        <v>20255</v>
      </c>
      <c r="BB245" s="36">
        <v>15613</v>
      </c>
      <c r="BC245" s="36">
        <v>7531</v>
      </c>
      <c r="BD245" s="36">
        <v>215</v>
      </c>
      <c r="BE245" s="70">
        <v>21156</v>
      </c>
      <c r="BF245" s="70">
        <v>16711</v>
      </c>
      <c r="BG245" s="70">
        <v>7537</v>
      </c>
      <c r="BH245" s="70">
        <v>388</v>
      </c>
      <c r="BI245" s="36">
        <v>23466</v>
      </c>
      <c r="BJ245" s="36">
        <v>18878</v>
      </c>
      <c r="BK245" s="36">
        <v>8085</v>
      </c>
      <c r="BL245" s="36">
        <v>334</v>
      </c>
      <c r="BM245" s="36">
        <v>13552.751302195022</v>
      </c>
      <c r="BN245" s="36">
        <v>3839.5621731898354</v>
      </c>
      <c r="BO245" s="36">
        <v>544.25613002944965</v>
      </c>
      <c r="BP245" s="36">
        <v>13444.77465340673</v>
      </c>
      <c r="BQ245" s="36">
        <v>3283.7010762345417</v>
      </c>
      <c r="BR245" s="36">
        <v>558.21572792575512</v>
      </c>
      <c r="BS245" s="36">
        <v>14264.018043200751</v>
      </c>
      <c r="BT245" s="36">
        <v>3582.4028336301849</v>
      </c>
      <c r="BU245" s="36">
        <v>753.65009847403087</v>
      </c>
      <c r="BV245" s="36">
        <v>16437</v>
      </c>
      <c r="BW245" s="36">
        <v>2047</v>
      </c>
      <c r="BX245" s="36">
        <v>802</v>
      </c>
      <c r="BY245" s="36">
        <v>17263</v>
      </c>
      <c r="BZ245" s="36">
        <v>1082</v>
      </c>
      <c r="CA245" s="36">
        <v>831</v>
      </c>
      <c r="CB245" s="36">
        <v>17145</v>
      </c>
      <c r="CC245" s="36">
        <v>732</v>
      </c>
      <c r="CD245" s="36">
        <v>830</v>
      </c>
      <c r="CE245" s="36">
        <v>16786</v>
      </c>
      <c r="CF245" s="36">
        <v>804</v>
      </c>
      <c r="CG245" s="36">
        <v>818</v>
      </c>
      <c r="CH245" s="36">
        <v>17668</v>
      </c>
      <c r="CI245" s="36">
        <v>1043</v>
      </c>
      <c r="CJ245" s="70">
        <v>856</v>
      </c>
      <c r="CK245" s="70">
        <v>18197</v>
      </c>
      <c r="CL245" s="70">
        <v>1169</v>
      </c>
      <c r="CM245" s="36">
        <v>889</v>
      </c>
      <c r="CN245" s="36">
        <v>19010</v>
      </c>
      <c r="CO245" s="36">
        <v>1229</v>
      </c>
      <c r="CP245" s="36">
        <v>917</v>
      </c>
      <c r="CQ245" s="36">
        <v>21320</v>
      </c>
      <c r="CR245" s="36">
        <v>1175</v>
      </c>
      <c r="CS245" s="36">
        <v>971</v>
      </c>
      <c r="CT245" s="36">
        <v>1040.0741372379841</v>
      </c>
      <c r="CU245" s="36">
        <v>-1852.7581979999998</v>
      </c>
      <c r="CV245" s="36">
        <v>904.8510443629292</v>
      </c>
      <c r="CW245" s="36">
        <v>4975</v>
      </c>
      <c r="CX245" s="36">
        <v>-449.90270328454199</v>
      </c>
      <c r="CY245" s="36">
        <v>-1905.569207</v>
      </c>
      <c r="CZ245" s="36">
        <v>905.52379606877537</v>
      </c>
      <c r="DA245" s="36">
        <v>6255</v>
      </c>
      <c r="DB245" s="36">
        <v>2064.6749852415096</v>
      </c>
      <c r="DC245" s="36">
        <v>-1212.6349499999999</v>
      </c>
      <c r="DD245" s="36">
        <v>934.28393149369379</v>
      </c>
      <c r="DE245" s="36">
        <v>5896</v>
      </c>
      <c r="DF245" s="36">
        <v>1752.0136299495607</v>
      </c>
      <c r="DG245" s="36">
        <v>-1801</v>
      </c>
      <c r="DH245" s="36">
        <v>982.72205431460895</v>
      </c>
      <c r="DI245" s="36">
        <v>4374</v>
      </c>
      <c r="DJ245" s="36">
        <v>4425</v>
      </c>
      <c r="DK245" s="36">
        <v>-3072</v>
      </c>
      <c r="DL245" s="36">
        <v>1055</v>
      </c>
      <c r="DM245" s="36">
        <v>3998</v>
      </c>
      <c r="DN245" s="36">
        <v>4520</v>
      </c>
      <c r="DO245" s="69">
        <v>-1989</v>
      </c>
      <c r="DP245" s="36">
        <v>1196</v>
      </c>
      <c r="DQ245" s="36">
        <v>3792</v>
      </c>
      <c r="DR245" s="36">
        <v>458</v>
      </c>
      <c r="DS245" s="36">
        <v>-4236</v>
      </c>
      <c r="DT245" s="36">
        <v>1228</v>
      </c>
      <c r="DU245" s="36">
        <v>5318</v>
      </c>
      <c r="DV245" s="36">
        <v>2404</v>
      </c>
      <c r="DW245" s="71">
        <v>-2883</v>
      </c>
      <c r="DX245" s="39">
        <v>1348</v>
      </c>
      <c r="DY245" s="71">
        <v>5854</v>
      </c>
      <c r="DZ245" s="70">
        <v>2217</v>
      </c>
      <c r="EA245" s="35">
        <v>-3291</v>
      </c>
      <c r="EB245" s="35">
        <v>1532</v>
      </c>
      <c r="EC245" s="38">
        <v>5386</v>
      </c>
      <c r="ED245" s="38">
        <v>2759</v>
      </c>
      <c r="EE245" s="38">
        <v>-3768</v>
      </c>
      <c r="EF245" s="38">
        <v>1764</v>
      </c>
      <c r="EG245" s="73">
        <v>4867</v>
      </c>
      <c r="EH245" s="73">
        <v>4206</v>
      </c>
      <c r="EI245" s="73">
        <v>-3053</v>
      </c>
      <c r="EJ245" s="73">
        <v>1809</v>
      </c>
      <c r="EK245" s="73">
        <v>4261</v>
      </c>
      <c r="EL245" s="73">
        <v>28695.383073230703</v>
      </c>
      <c r="EM245" s="73">
        <v>150.69638210951388</v>
      </c>
      <c r="EN245" s="73">
        <v>29871.016679196666</v>
      </c>
      <c r="EO245" s="73">
        <v>-1222.0534736693392</v>
      </c>
      <c r="EP245" s="73">
        <v>30286.609045483059</v>
      </c>
      <c r="EQ245" s="73">
        <v>1233.9948164481063</v>
      </c>
      <c r="ER245" s="73">
        <v>32847.942977565413</v>
      </c>
      <c r="ES245" s="73">
        <v>769.29157563495141</v>
      </c>
      <c r="ET245" s="73">
        <v>33221</v>
      </c>
      <c r="EU245" s="73">
        <v>3370</v>
      </c>
      <c r="EV245" s="73">
        <v>34615</v>
      </c>
      <c r="EW245" s="73">
        <v>3324</v>
      </c>
      <c r="EX245" s="73">
        <v>38200</v>
      </c>
      <c r="EY245" s="73">
        <v>-770</v>
      </c>
      <c r="EZ245" s="73">
        <v>38793</v>
      </c>
      <c r="FA245" s="73">
        <v>1056</v>
      </c>
      <c r="FB245" s="73">
        <v>41305</v>
      </c>
      <c r="FC245" s="73">
        <v>685</v>
      </c>
      <c r="FD245" s="73">
        <v>42819</v>
      </c>
      <c r="FE245" s="73">
        <v>995</v>
      </c>
      <c r="FF245" s="73">
        <v>46483</v>
      </c>
      <c r="FG245" s="73">
        <v>2397</v>
      </c>
      <c r="FH245" s="73">
        <v>11873</v>
      </c>
      <c r="FI245" s="73">
        <v>14270</v>
      </c>
      <c r="FJ245" s="79">
        <v>9402</v>
      </c>
      <c r="FK245" s="80">
        <v>22991</v>
      </c>
      <c r="FL245" s="80">
        <v>20973</v>
      </c>
      <c r="FM245" s="80">
        <v>8708</v>
      </c>
      <c r="FN245" s="76">
        <v>193</v>
      </c>
      <c r="FO245" s="80">
        <v>21118</v>
      </c>
      <c r="FP245" s="80">
        <v>850</v>
      </c>
      <c r="FQ245" s="80">
        <v>1023</v>
      </c>
      <c r="FR245" s="80">
        <v>4485</v>
      </c>
      <c r="FS245" s="81">
        <v>-4881</v>
      </c>
      <c r="FT245" s="76">
        <v>1908</v>
      </c>
      <c r="FU245" s="76">
        <v>3642</v>
      </c>
      <c r="FV245" s="76">
        <v>4881</v>
      </c>
      <c r="FW245" s="80">
        <v>48219</v>
      </c>
      <c r="FX245" s="80">
        <v>2577</v>
      </c>
      <c r="FY245" s="73">
        <v>9330</v>
      </c>
      <c r="FZ245" s="73">
        <v>22745</v>
      </c>
      <c r="GA245" s="73">
        <v>21912</v>
      </c>
      <c r="GB245" s="73">
        <v>8963</v>
      </c>
      <c r="GC245" s="73">
        <v>191</v>
      </c>
      <c r="GD245" s="73">
        <v>20586</v>
      </c>
      <c r="GE245" s="73">
        <v>991</v>
      </c>
      <c r="GF245" s="73">
        <v>1168</v>
      </c>
      <c r="GG245" s="73">
        <v>4104</v>
      </c>
      <c r="GH245" s="73">
        <v>691</v>
      </c>
      <c r="GI245" s="73">
        <v>1955</v>
      </c>
      <c r="GJ245" s="73">
        <v>3178</v>
      </c>
      <c r="GK245" s="73">
        <v>-691</v>
      </c>
      <c r="GL245" s="73">
        <v>49629</v>
      </c>
      <c r="GM245" s="73">
        <v>2150</v>
      </c>
      <c r="GN245" s="73">
        <v>18997</v>
      </c>
      <c r="GO245" s="77">
        <v>18.5</v>
      </c>
      <c r="GP245" s="78">
        <v>9268</v>
      </c>
      <c r="GQ245" s="73">
        <v>22708</v>
      </c>
      <c r="GR245" s="65">
        <v>22995</v>
      </c>
      <c r="GS245" s="65">
        <v>7449</v>
      </c>
      <c r="GT245" s="65">
        <v>324</v>
      </c>
      <c r="GU245" s="65">
        <v>20337</v>
      </c>
      <c r="GV245" s="65">
        <v>1195</v>
      </c>
      <c r="GW245" s="65">
        <v>1176</v>
      </c>
      <c r="GX245" s="65">
        <v>3321</v>
      </c>
      <c r="GY245" s="65">
        <v>-5564</v>
      </c>
      <c r="GZ245" s="65">
        <v>1733</v>
      </c>
      <c r="HA245" s="65">
        <v>2693</v>
      </c>
      <c r="HB245" s="65">
        <v>5564</v>
      </c>
      <c r="HC245" s="65">
        <v>50126</v>
      </c>
      <c r="HD245" s="65">
        <v>1588</v>
      </c>
      <c r="HE245" s="78">
        <v>9229</v>
      </c>
      <c r="HF245" s="73">
        <v>23307</v>
      </c>
      <c r="HG245" s="65">
        <v>24384</v>
      </c>
      <c r="HH245" s="65">
        <v>7703</v>
      </c>
      <c r="HI245" s="65">
        <v>276</v>
      </c>
      <c r="HJ245" s="65">
        <v>21236</v>
      </c>
      <c r="HK245" s="65">
        <v>872</v>
      </c>
      <c r="HL245" s="65">
        <v>1199</v>
      </c>
      <c r="HM245" s="65">
        <v>2249</v>
      </c>
      <c r="HN245" s="65">
        <v>-7818</v>
      </c>
      <c r="HO245" s="65">
        <v>1954</v>
      </c>
      <c r="HP245" s="65">
        <v>7217</v>
      </c>
      <c r="HQ245" s="65">
        <v>7818</v>
      </c>
      <c r="HR245" s="65">
        <v>53179</v>
      </c>
      <c r="HS245" s="65">
        <v>392</v>
      </c>
      <c r="HT245" s="65">
        <v>20788</v>
      </c>
      <c r="HU245" s="77">
        <v>18.5</v>
      </c>
      <c r="HV245" s="180">
        <v>340</v>
      </c>
      <c r="HW245" s="30" t="s">
        <v>761</v>
      </c>
    </row>
    <row r="246" spans="1:231" ht="15" x14ac:dyDescent="0.25">
      <c r="A246" s="27">
        <v>762</v>
      </c>
      <c r="B246" s="27" t="s">
        <v>369</v>
      </c>
      <c r="C246" s="27">
        <v>11</v>
      </c>
      <c r="D246" s="27" t="s">
        <v>118</v>
      </c>
      <c r="E246" s="27">
        <v>2</v>
      </c>
      <c r="F246" s="27" t="s">
        <v>744</v>
      </c>
      <c r="G246" s="29" t="s">
        <v>130</v>
      </c>
      <c r="H246" s="27" t="s">
        <v>98</v>
      </c>
      <c r="I246" s="31" t="s">
        <v>118</v>
      </c>
      <c r="J246" s="69">
        <v>5498</v>
      </c>
      <c r="K246" s="69">
        <v>5396</v>
      </c>
      <c r="L246" s="36">
        <v>5272</v>
      </c>
      <c r="M246" s="36">
        <v>5155</v>
      </c>
      <c r="N246" s="36">
        <v>5070</v>
      </c>
      <c r="O246" s="36">
        <v>5007</v>
      </c>
      <c r="P246" s="36">
        <v>4995</v>
      </c>
      <c r="Q246" s="36">
        <v>4951</v>
      </c>
      <c r="R246" s="69">
        <v>4900</v>
      </c>
      <c r="S246" s="69">
        <v>4825</v>
      </c>
      <c r="T246" s="71">
        <v>4706</v>
      </c>
      <c r="U246" s="36">
        <v>9586</v>
      </c>
      <c r="V246" s="36">
        <v>7121</v>
      </c>
      <c r="W246" s="36">
        <v>3217</v>
      </c>
      <c r="X246" s="36">
        <v>145.31436846274553</v>
      </c>
      <c r="Y246" s="36">
        <v>9585</v>
      </c>
      <c r="Z246" s="36">
        <v>7301</v>
      </c>
      <c r="AA246" s="36">
        <v>3264</v>
      </c>
      <c r="AB246" s="36">
        <v>311.98860358610295</v>
      </c>
      <c r="AC246" s="36">
        <v>9035</v>
      </c>
      <c r="AD246" s="36">
        <v>6985</v>
      </c>
      <c r="AE246" s="36">
        <v>3379</v>
      </c>
      <c r="AF246" s="36">
        <v>263.21410491226476</v>
      </c>
      <c r="AG246" s="36">
        <v>9256</v>
      </c>
      <c r="AH246" s="36">
        <v>8285</v>
      </c>
      <c r="AI246" s="36">
        <v>3546</v>
      </c>
      <c r="AJ246" s="36">
        <v>367.1542434654786</v>
      </c>
      <c r="AK246" s="36">
        <v>9210</v>
      </c>
      <c r="AL246" s="36">
        <v>8870</v>
      </c>
      <c r="AM246" s="36">
        <v>3613</v>
      </c>
      <c r="AN246" s="36">
        <v>269</v>
      </c>
      <c r="AO246" s="36">
        <v>8846</v>
      </c>
      <c r="AP246" s="36">
        <v>9742</v>
      </c>
      <c r="AQ246" s="36">
        <v>3748</v>
      </c>
      <c r="AR246" s="36">
        <v>438</v>
      </c>
      <c r="AS246" s="36">
        <v>8911</v>
      </c>
      <c r="AT246" s="36">
        <v>10214</v>
      </c>
      <c r="AU246" s="36">
        <v>4073</v>
      </c>
      <c r="AV246" s="36">
        <v>341</v>
      </c>
      <c r="AW246" s="36">
        <v>9474</v>
      </c>
      <c r="AX246" s="69">
        <v>10438</v>
      </c>
      <c r="AY246" s="36">
        <v>4248</v>
      </c>
      <c r="AZ246" s="36">
        <v>1861</v>
      </c>
      <c r="BA246" s="36">
        <v>9686</v>
      </c>
      <c r="BB246" s="36">
        <v>11032</v>
      </c>
      <c r="BC246" s="36">
        <v>3266</v>
      </c>
      <c r="BD246" s="36">
        <v>477</v>
      </c>
      <c r="BE246" s="70">
        <v>10917</v>
      </c>
      <c r="BF246" s="70">
        <v>10966</v>
      </c>
      <c r="BG246" s="70">
        <v>3475</v>
      </c>
      <c r="BH246" s="70">
        <v>329</v>
      </c>
      <c r="BI246" s="36">
        <v>11618</v>
      </c>
      <c r="BJ246" s="36">
        <v>11788</v>
      </c>
      <c r="BK246" s="36">
        <v>3558</v>
      </c>
      <c r="BL246" s="36">
        <v>560</v>
      </c>
      <c r="BM246" s="36">
        <v>6599.1896705703075</v>
      </c>
      <c r="BN246" s="36">
        <v>2617.8450753734191</v>
      </c>
      <c r="BO246" s="36">
        <v>369.34068650947825</v>
      </c>
      <c r="BP246" s="36">
        <v>7067.7612336920783</v>
      </c>
      <c r="BQ246" s="36">
        <v>2073.420757417508</v>
      </c>
      <c r="BR246" s="36">
        <v>443.51156207900459</v>
      </c>
      <c r="BS246" s="36">
        <v>6445.4659057844874</v>
      </c>
      <c r="BT246" s="36">
        <v>2165.251365265493</v>
      </c>
      <c r="BU246" s="36">
        <v>424.67451431531532</v>
      </c>
      <c r="BV246" s="36">
        <v>7477</v>
      </c>
      <c r="BW246" s="36">
        <v>1328</v>
      </c>
      <c r="BX246" s="36">
        <v>451</v>
      </c>
      <c r="BY246" s="36">
        <v>7888</v>
      </c>
      <c r="BZ246" s="36">
        <v>858</v>
      </c>
      <c r="CA246" s="36">
        <v>464</v>
      </c>
      <c r="CB246" s="36">
        <v>7934</v>
      </c>
      <c r="CC246" s="36">
        <v>456</v>
      </c>
      <c r="CD246" s="36">
        <v>456</v>
      </c>
      <c r="CE246" s="36">
        <v>7800</v>
      </c>
      <c r="CF246" s="36">
        <v>657</v>
      </c>
      <c r="CG246" s="36">
        <v>454</v>
      </c>
      <c r="CH246" s="36">
        <v>8131</v>
      </c>
      <c r="CI246" s="36">
        <v>855</v>
      </c>
      <c r="CJ246" s="70">
        <v>488</v>
      </c>
      <c r="CK246" s="70">
        <v>8129</v>
      </c>
      <c r="CL246" s="70">
        <v>1023</v>
      </c>
      <c r="CM246" s="36">
        <v>534</v>
      </c>
      <c r="CN246" s="36">
        <v>9006</v>
      </c>
      <c r="CO246" s="36">
        <v>1501</v>
      </c>
      <c r="CP246" s="36">
        <v>410</v>
      </c>
      <c r="CQ246" s="36">
        <v>9376</v>
      </c>
      <c r="CR246" s="36">
        <v>1743</v>
      </c>
      <c r="CS246" s="36">
        <v>499</v>
      </c>
      <c r="CT246" s="36">
        <v>28.087383719072342</v>
      </c>
      <c r="CU246" s="36">
        <v>-1393.268783</v>
      </c>
      <c r="CV246" s="36">
        <v>644.49613420051026</v>
      </c>
      <c r="CW246" s="36">
        <v>3595</v>
      </c>
      <c r="CX246" s="36">
        <v>1473.9989875086826</v>
      </c>
      <c r="CY246" s="36">
        <v>2171.9788819999999</v>
      </c>
      <c r="CZ246" s="36">
        <v>717.65788221126763</v>
      </c>
      <c r="DA246" s="36">
        <v>2255</v>
      </c>
      <c r="DB246" s="36">
        <v>-241.01329861934531</v>
      </c>
      <c r="DC246" s="36">
        <v>-1177.8200489999999</v>
      </c>
      <c r="DD246" s="36">
        <v>734.81305071034171</v>
      </c>
      <c r="DE246" s="36">
        <v>1918</v>
      </c>
      <c r="DF246" s="36">
        <v>1011.6503776659888</v>
      </c>
      <c r="DG246" s="36">
        <v>-1871</v>
      </c>
      <c r="DH246" s="36">
        <v>855.90835776262963</v>
      </c>
      <c r="DI246" s="36">
        <v>2681</v>
      </c>
      <c r="DJ246" s="36">
        <v>1558</v>
      </c>
      <c r="DK246" s="36">
        <v>-2343</v>
      </c>
      <c r="DL246" s="36">
        <v>858</v>
      </c>
      <c r="DM246" s="36">
        <v>3753</v>
      </c>
      <c r="DN246" s="36">
        <v>1392</v>
      </c>
      <c r="DO246" s="69">
        <v>-1433</v>
      </c>
      <c r="DP246" s="36">
        <v>878</v>
      </c>
      <c r="DQ246" s="36">
        <v>4177</v>
      </c>
      <c r="DR246" s="36">
        <v>1398</v>
      </c>
      <c r="DS246" s="36">
        <v>-2188</v>
      </c>
      <c r="DT246" s="36">
        <v>1107</v>
      </c>
      <c r="DU246" s="36">
        <v>4329</v>
      </c>
      <c r="DV246" s="36">
        <v>1280</v>
      </c>
      <c r="DW246" s="71">
        <v>-3199</v>
      </c>
      <c r="DX246" s="39">
        <v>1199</v>
      </c>
      <c r="DY246" s="71">
        <v>4799</v>
      </c>
      <c r="DZ246" s="70">
        <v>433</v>
      </c>
      <c r="EA246" s="35">
        <v>-608</v>
      </c>
      <c r="EB246" s="35">
        <v>1291</v>
      </c>
      <c r="EC246" s="38">
        <v>4189</v>
      </c>
      <c r="ED246" s="38">
        <v>596</v>
      </c>
      <c r="EE246" s="38">
        <v>-487</v>
      </c>
      <c r="EF246" s="38">
        <v>1143</v>
      </c>
      <c r="EG246" s="73">
        <v>3597</v>
      </c>
      <c r="EH246" s="73">
        <v>1474</v>
      </c>
      <c r="EI246" s="73">
        <v>-988</v>
      </c>
      <c r="EJ246" s="73">
        <v>1096</v>
      </c>
      <c r="EK246" s="73">
        <v>3078</v>
      </c>
      <c r="EL246" s="73">
        <v>19034.164013502126</v>
      </c>
      <c r="EM246" s="73">
        <v>-428.87921247685313</v>
      </c>
      <c r="EN246" s="73">
        <v>18019.654441086292</v>
      </c>
      <c r="EO246" s="73">
        <v>1091.2032668822835</v>
      </c>
      <c r="EP246" s="73">
        <v>18865.303335334767</v>
      </c>
      <c r="EQ246" s="73">
        <v>-1209.7757550376489</v>
      </c>
      <c r="ER246" s="73">
        <v>19315.878790325154</v>
      </c>
      <c r="ES246" s="73">
        <v>-57.18389499691375</v>
      </c>
      <c r="ET246" s="73">
        <v>20160</v>
      </c>
      <c r="EU246" s="73">
        <v>1345</v>
      </c>
      <c r="EV246" s="73">
        <v>21073</v>
      </c>
      <c r="EW246" s="73">
        <v>732</v>
      </c>
      <c r="EX246" s="73">
        <v>21961</v>
      </c>
      <c r="EY246" s="73">
        <v>519</v>
      </c>
      <c r="EZ246" s="73">
        <v>23257</v>
      </c>
      <c r="FA246" s="73">
        <v>1340</v>
      </c>
      <c r="FB246" s="73">
        <v>23756</v>
      </c>
      <c r="FC246" s="73">
        <v>-632</v>
      </c>
      <c r="FD246" s="73">
        <v>24846</v>
      </c>
      <c r="FE246" s="73">
        <v>-360</v>
      </c>
      <c r="FF246" s="73">
        <v>25884</v>
      </c>
      <c r="FG246" s="73">
        <v>532</v>
      </c>
      <c r="FH246" s="73">
        <v>3579</v>
      </c>
      <c r="FI246" s="73">
        <v>4112</v>
      </c>
      <c r="FJ246" s="79">
        <v>4694</v>
      </c>
      <c r="FK246" s="80">
        <v>11859</v>
      </c>
      <c r="FL246" s="80">
        <v>12473</v>
      </c>
      <c r="FM246" s="80">
        <v>3832</v>
      </c>
      <c r="FN246" s="76">
        <v>454</v>
      </c>
      <c r="FO246" s="80">
        <v>9918</v>
      </c>
      <c r="FP246" s="80">
        <v>1425</v>
      </c>
      <c r="FQ246" s="80">
        <v>516</v>
      </c>
      <c r="FR246" s="80">
        <v>1035</v>
      </c>
      <c r="FS246" s="81">
        <v>-1969</v>
      </c>
      <c r="FT246" s="76">
        <v>1077</v>
      </c>
      <c r="FU246" s="76">
        <v>4568</v>
      </c>
      <c r="FV246" s="76">
        <v>1969</v>
      </c>
      <c r="FW246" s="80">
        <v>27509</v>
      </c>
      <c r="FX246" s="80">
        <v>49</v>
      </c>
      <c r="FY246" s="73">
        <v>4671</v>
      </c>
      <c r="FZ246" s="73">
        <v>11978</v>
      </c>
      <c r="GA246" s="73">
        <v>13110</v>
      </c>
      <c r="GB246" s="73">
        <v>3322</v>
      </c>
      <c r="GC246" s="73">
        <v>369</v>
      </c>
      <c r="GD246" s="73">
        <v>9644</v>
      </c>
      <c r="GE246" s="73">
        <v>1736</v>
      </c>
      <c r="GF246" s="73">
        <v>598</v>
      </c>
      <c r="GG246" s="73">
        <v>885</v>
      </c>
      <c r="GH246" s="73">
        <v>-3084</v>
      </c>
      <c r="GI246" s="73">
        <v>1119</v>
      </c>
      <c r="GJ246" s="73">
        <v>6821</v>
      </c>
      <c r="GK246" s="73">
        <v>3084</v>
      </c>
      <c r="GL246" s="73">
        <v>27813</v>
      </c>
      <c r="GM246" s="73">
        <v>-171</v>
      </c>
      <c r="GN246" s="73">
        <v>3989</v>
      </c>
      <c r="GO246" s="77">
        <v>19.75</v>
      </c>
      <c r="GP246" s="78">
        <v>4600</v>
      </c>
      <c r="GQ246" s="73">
        <v>12085</v>
      </c>
      <c r="GR246" s="65">
        <v>12941</v>
      </c>
      <c r="GS246" s="65">
        <v>3302</v>
      </c>
      <c r="GT246" s="65">
        <v>335</v>
      </c>
      <c r="GU246" s="65">
        <v>9772</v>
      </c>
      <c r="GV246" s="65">
        <v>1712</v>
      </c>
      <c r="GW246" s="65">
        <v>601</v>
      </c>
      <c r="GX246" s="65">
        <v>446</v>
      </c>
      <c r="GY246" s="65">
        <v>-2698</v>
      </c>
      <c r="GZ246" s="65">
        <v>1133</v>
      </c>
      <c r="HA246" s="65">
        <v>8216</v>
      </c>
      <c r="HB246" s="65">
        <v>2698</v>
      </c>
      <c r="HC246" s="65">
        <v>28006</v>
      </c>
      <c r="HD246" s="65">
        <v>-579</v>
      </c>
      <c r="HE246" s="78">
        <v>4493</v>
      </c>
      <c r="HF246" s="73">
        <v>11401</v>
      </c>
      <c r="HG246" s="65">
        <v>13273</v>
      </c>
      <c r="HH246" s="65">
        <v>3386</v>
      </c>
      <c r="HI246" s="65">
        <v>348</v>
      </c>
      <c r="HJ246" s="65">
        <v>9740</v>
      </c>
      <c r="HK246" s="65">
        <v>1042</v>
      </c>
      <c r="HL246" s="65">
        <v>619</v>
      </c>
      <c r="HM246" s="65">
        <v>-729</v>
      </c>
      <c r="HN246" s="65">
        <v>-2839</v>
      </c>
      <c r="HO246" s="65">
        <v>2666</v>
      </c>
      <c r="HP246" s="65">
        <v>11710</v>
      </c>
      <c r="HQ246" s="65">
        <v>2839</v>
      </c>
      <c r="HR246" s="65">
        <v>28957</v>
      </c>
      <c r="HS246" s="65">
        <v>-3314</v>
      </c>
      <c r="HT246" s="65">
        <v>97</v>
      </c>
      <c r="HU246" s="77">
        <v>19.75</v>
      </c>
      <c r="HV246" s="180">
        <v>340</v>
      </c>
      <c r="HW246" s="30" t="s">
        <v>761</v>
      </c>
    </row>
    <row r="247" spans="1:231" ht="15" x14ac:dyDescent="0.25">
      <c r="A247" s="27">
        <v>765</v>
      </c>
      <c r="B247" s="27" t="s">
        <v>370</v>
      </c>
      <c r="C247" s="27">
        <v>18</v>
      </c>
      <c r="D247" s="27" t="s">
        <v>108</v>
      </c>
      <c r="E247" s="27">
        <v>4</v>
      </c>
      <c r="F247" s="27" t="s">
        <v>100</v>
      </c>
      <c r="G247" s="29" t="s">
        <v>130</v>
      </c>
      <c r="H247" s="27" t="s">
        <v>98</v>
      </c>
      <c r="I247" s="31" t="s">
        <v>108</v>
      </c>
      <c r="J247" s="69">
        <v>11289</v>
      </c>
      <c r="K247" s="69">
        <v>11237</v>
      </c>
      <c r="L247" s="36">
        <v>11106</v>
      </c>
      <c r="M247" s="36">
        <v>10894</v>
      </c>
      <c r="N247" s="36">
        <v>10766</v>
      </c>
      <c r="O247" s="36">
        <v>10715</v>
      </c>
      <c r="P247" s="36">
        <v>10701</v>
      </c>
      <c r="Q247" s="36">
        <v>10713</v>
      </c>
      <c r="R247" s="69">
        <v>10738</v>
      </c>
      <c r="S247" s="69">
        <v>10716</v>
      </c>
      <c r="T247" s="71">
        <v>10719</v>
      </c>
      <c r="U247" s="36">
        <v>22108</v>
      </c>
      <c r="V247" s="36">
        <v>12939</v>
      </c>
      <c r="W247" s="36">
        <v>8698</v>
      </c>
      <c r="X247" s="36">
        <v>641.97331530358758</v>
      </c>
      <c r="Y247" s="36">
        <v>21867</v>
      </c>
      <c r="Z247" s="36">
        <v>13267</v>
      </c>
      <c r="AA247" s="36">
        <v>8782</v>
      </c>
      <c r="AB247" s="36">
        <v>868.522452247243</v>
      </c>
      <c r="AC247" s="36">
        <v>21219</v>
      </c>
      <c r="AD247" s="36">
        <v>13715</v>
      </c>
      <c r="AE247" s="36">
        <v>8136</v>
      </c>
      <c r="AF247" s="36">
        <v>633.73210690697351</v>
      </c>
      <c r="AG247" s="36">
        <v>21613</v>
      </c>
      <c r="AH247" s="36">
        <v>15638</v>
      </c>
      <c r="AI247" s="36">
        <v>8516</v>
      </c>
      <c r="AJ247" s="36">
        <v>722.70352000511286</v>
      </c>
      <c r="AK247" s="36">
        <v>22746</v>
      </c>
      <c r="AL247" s="36">
        <v>16393</v>
      </c>
      <c r="AM247" s="36">
        <v>7981</v>
      </c>
      <c r="AN247" s="36">
        <v>534</v>
      </c>
      <c r="AO247" s="36">
        <v>21327</v>
      </c>
      <c r="AP247" s="36">
        <v>16732</v>
      </c>
      <c r="AQ247" s="36">
        <v>7852</v>
      </c>
      <c r="AR247" s="36">
        <v>697</v>
      </c>
      <c r="AS247" s="36">
        <v>22510</v>
      </c>
      <c r="AT247" s="36">
        <v>17433</v>
      </c>
      <c r="AU247" s="36">
        <v>8962</v>
      </c>
      <c r="AV247" s="36">
        <v>879</v>
      </c>
      <c r="AW247" s="36">
        <v>22961</v>
      </c>
      <c r="AX247" s="69">
        <v>16415</v>
      </c>
      <c r="AY247" s="36">
        <v>9507</v>
      </c>
      <c r="AZ247" s="36">
        <v>888</v>
      </c>
      <c r="BA247" s="36">
        <v>24567</v>
      </c>
      <c r="BB247" s="36">
        <v>17019</v>
      </c>
      <c r="BC247" s="36">
        <v>9440</v>
      </c>
      <c r="BD247" s="36">
        <v>750</v>
      </c>
      <c r="BE247" s="70">
        <v>26784</v>
      </c>
      <c r="BF247" s="70">
        <v>17250</v>
      </c>
      <c r="BG247" s="70">
        <v>10050</v>
      </c>
      <c r="BH247" s="70">
        <v>755</v>
      </c>
      <c r="BI247" s="36">
        <v>28493</v>
      </c>
      <c r="BJ247" s="36">
        <v>17814</v>
      </c>
      <c r="BK247" s="36">
        <v>9884</v>
      </c>
      <c r="BL247" s="36">
        <v>475</v>
      </c>
      <c r="BM247" s="36">
        <v>16693.492640937278</v>
      </c>
      <c r="BN247" s="36">
        <v>4586.8211304583292</v>
      </c>
      <c r="BO247" s="36">
        <v>827.82097404355716</v>
      </c>
      <c r="BP247" s="36">
        <v>17166.437090147047</v>
      </c>
      <c r="BQ247" s="36">
        <v>3760.0092839735407</v>
      </c>
      <c r="BR247" s="36">
        <v>940.17050891984661</v>
      </c>
      <c r="BS247" s="36">
        <v>16145.368188599214</v>
      </c>
      <c r="BT247" s="36">
        <v>4116.5676880719438</v>
      </c>
      <c r="BU247" s="36">
        <v>956.65292571307475</v>
      </c>
      <c r="BV247" s="36">
        <v>18034</v>
      </c>
      <c r="BW247" s="36">
        <v>2561</v>
      </c>
      <c r="BX247" s="36">
        <v>1018</v>
      </c>
      <c r="BY247" s="36">
        <v>19762</v>
      </c>
      <c r="BZ247" s="36">
        <v>1932</v>
      </c>
      <c r="CA247" s="36">
        <v>1052</v>
      </c>
      <c r="CB247" s="36">
        <v>19171</v>
      </c>
      <c r="CC247" s="36">
        <v>1003</v>
      </c>
      <c r="CD247" s="36">
        <v>1153</v>
      </c>
      <c r="CE247" s="36">
        <v>19916</v>
      </c>
      <c r="CF247" s="36">
        <v>1412</v>
      </c>
      <c r="CG247" s="36">
        <v>1182</v>
      </c>
      <c r="CH247" s="36">
        <v>19741</v>
      </c>
      <c r="CI247" s="36">
        <v>1978</v>
      </c>
      <c r="CJ247" s="70">
        <v>1242</v>
      </c>
      <c r="CK247" s="70">
        <v>20875</v>
      </c>
      <c r="CL247" s="70">
        <v>2362</v>
      </c>
      <c r="CM247" s="36">
        <v>1330</v>
      </c>
      <c r="CN247" s="36">
        <v>22609</v>
      </c>
      <c r="CO247" s="36">
        <v>2674</v>
      </c>
      <c r="CP247" s="36">
        <v>1501</v>
      </c>
      <c r="CQ247" s="36">
        <v>24173</v>
      </c>
      <c r="CR247" s="36">
        <v>2683</v>
      </c>
      <c r="CS247" s="36">
        <v>1637</v>
      </c>
      <c r="CT247" s="36">
        <v>2443.0978197799091</v>
      </c>
      <c r="CU247" s="36">
        <v>-4306.9564209999999</v>
      </c>
      <c r="CV247" s="36">
        <v>1920.3697443375331</v>
      </c>
      <c r="CW247" s="36">
        <v>2103</v>
      </c>
      <c r="CX247" s="36">
        <v>3126.2771770665672</v>
      </c>
      <c r="CY247" s="36">
        <v>-3256.9591959999993</v>
      </c>
      <c r="CZ247" s="36">
        <v>2130.7728403408832</v>
      </c>
      <c r="DA247" s="36">
        <v>1414</v>
      </c>
      <c r="DB247" s="36">
        <v>1311.6976384733246</v>
      </c>
      <c r="DC247" s="36">
        <v>-3337.0166490000001</v>
      </c>
      <c r="DD247" s="36">
        <v>2277.0963363623978</v>
      </c>
      <c r="DE247" s="36">
        <v>884</v>
      </c>
      <c r="DF247" s="36">
        <v>1320.779786502246</v>
      </c>
      <c r="DG247" s="36">
        <v>-2269</v>
      </c>
      <c r="DH247" s="36">
        <v>2205.4482796897942</v>
      </c>
      <c r="DI247" s="36">
        <v>3486</v>
      </c>
      <c r="DJ247" s="36">
        <v>3615</v>
      </c>
      <c r="DK247" s="36">
        <v>-1556</v>
      </c>
      <c r="DL247" s="36">
        <v>2206</v>
      </c>
      <c r="DM247" s="36">
        <v>3202</v>
      </c>
      <c r="DN247" s="36">
        <v>1653</v>
      </c>
      <c r="DO247" s="69">
        <v>-984</v>
      </c>
      <c r="DP247" s="36">
        <v>2217</v>
      </c>
      <c r="DQ247" s="36">
        <v>2758</v>
      </c>
      <c r="DR247" s="36">
        <v>1654</v>
      </c>
      <c r="DS247" s="36">
        <v>-1918</v>
      </c>
      <c r="DT247" s="36">
        <v>2213</v>
      </c>
      <c r="DU247" s="36">
        <v>2373</v>
      </c>
      <c r="DV247" s="36">
        <v>1298</v>
      </c>
      <c r="DW247" s="71">
        <v>-4322</v>
      </c>
      <c r="DX247" s="39">
        <v>2077</v>
      </c>
      <c r="DY247" s="71">
        <v>5036</v>
      </c>
      <c r="DZ247" s="70">
        <v>1949</v>
      </c>
      <c r="EA247" s="35">
        <v>-2398</v>
      </c>
      <c r="EB247" s="35">
        <v>2057</v>
      </c>
      <c r="EC247" s="38">
        <v>4277</v>
      </c>
      <c r="ED247" s="38">
        <v>2212</v>
      </c>
      <c r="EE247" s="38">
        <v>-662</v>
      </c>
      <c r="EF247" s="38">
        <v>2148</v>
      </c>
      <c r="EG247" s="73">
        <v>3648</v>
      </c>
      <c r="EH247" s="73">
        <v>475</v>
      </c>
      <c r="EI247" s="73">
        <v>-3685</v>
      </c>
      <c r="EJ247" s="73">
        <v>2103</v>
      </c>
      <c r="EK247" s="73">
        <v>4515</v>
      </c>
      <c r="EL247" s="73">
        <v>40003.666496796861</v>
      </c>
      <c r="EM247" s="73">
        <v>193.92067921012222</v>
      </c>
      <c r="EN247" s="73">
        <v>39851.288235422733</v>
      </c>
      <c r="EO247" s="73">
        <v>289.4514214402605</v>
      </c>
      <c r="EP247" s="73">
        <v>40531.776585886008</v>
      </c>
      <c r="EQ247" s="73">
        <v>-750.95909165064677</v>
      </c>
      <c r="ER247" s="73">
        <v>43138.016694333579</v>
      </c>
      <c r="ES247" s="73">
        <v>-357.56753165717242</v>
      </c>
      <c r="ET247" s="73">
        <v>43839</v>
      </c>
      <c r="EU247" s="73">
        <v>1676</v>
      </c>
      <c r="EV247" s="73">
        <v>44818</v>
      </c>
      <c r="EW247" s="73">
        <v>-297</v>
      </c>
      <c r="EX247" s="73">
        <v>48023</v>
      </c>
      <c r="EY247" s="73">
        <v>-279</v>
      </c>
      <c r="EZ247" s="73">
        <v>48361</v>
      </c>
      <c r="FA247" s="73">
        <v>-543</v>
      </c>
      <c r="FB247" s="73">
        <v>49827</v>
      </c>
      <c r="FC247" s="73">
        <v>105</v>
      </c>
      <c r="FD247" s="73">
        <v>52410</v>
      </c>
      <c r="FE247" s="73">
        <v>282</v>
      </c>
      <c r="FF247" s="73">
        <v>56191</v>
      </c>
      <c r="FG247" s="73">
        <v>-1409</v>
      </c>
      <c r="FH247" s="73">
        <v>1259</v>
      </c>
      <c r="FI247" s="73">
        <v>-150</v>
      </c>
      <c r="FJ247" s="79">
        <v>10703</v>
      </c>
      <c r="FK247" s="80">
        <v>29280</v>
      </c>
      <c r="FL247" s="80">
        <v>19887</v>
      </c>
      <c r="FM247" s="80">
        <v>10060</v>
      </c>
      <c r="FN247" s="76">
        <v>751</v>
      </c>
      <c r="FO247" s="80">
        <v>25330</v>
      </c>
      <c r="FP247" s="80">
        <v>2109</v>
      </c>
      <c r="FQ247" s="80">
        <v>1841</v>
      </c>
      <c r="FR247" s="80">
        <v>490</v>
      </c>
      <c r="FS247" s="81">
        <v>-1648</v>
      </c>
      <c r="FT247" s="76">
        <v>2237</v>
      </c>
      <c r="FU247" s="76">
        <v>6714</v>
      </c>
      <c r="FV247" s="76">
        <v>1648</v>
      </c>
      <c r="FW247" s="80">
        <v>59415</v>
      </c>
      <c r="FX247" s="80">
        <v>-1523</v>
      </c>
      <c r="FY247" s="73">
        <v>10702</v>
      </c>
      <c r="FZ247" s="73">
        <v>30931</v>
      </c>
      <c r="GA247" s="73">
        <v>20366</v>
      </c>
      <c r="GB247" s="73">
        <v>10373</v>
      </c>
      <c r="GC247" s="73">
        <v>679</v>
      </c>
      <c r="GD247" s="73">
        <v>25750</v>
      </c>
      <c r="GE247" s="73">
        <v>2798</v>
      </c>
      <c r="GF247" s="73">
        <v>2383</v>
      </c>
      <c r="GG247" s="73">
        <v>2404</v>
      </c>
      <c r="GH247" s="73">
        <v>-1760</v>
      </c>
      <c r="GI247" s="73">
        <v>2178</v>
      </c>
      <c r="GJ247" s="73">
        <v>7132</v>
      </c>
      <c r="GK247" s="73">
        <v>1760</v>
      </c>
      <c r="GL247" s="73">
        <v>59890</v>
      </c>
      <c r="GM247" s="73">
        <v>433</v>
      </c>
      <c r="GN247" s="73">
        <v>-399</v>
      </c>
      <c r="GO247" s="77">
        <v>19.75</v>
      </c>
      <c r="GP247" s="78">
        <v>10697</v>
      </c>
      <c r="GQ247" s="73">
        <v>32880</v>
      </c>
      <c r="GR247" s="65">
        <v>20596</v>
      </c>
      <c r="GS247" s="65">
        <v>10538</v>
      </c>
      <c r="GT247" s="65">
        <v>989</v>
      </c>
      <c r="GU247" s="65">
        <v>27351</v>
      </c>
      <c r="GV247" s="65">
        <v>3110</v>
      </c>
      <c r="GW247" s="65">
        <v>2419</v>
      </c>
      <c r="GX247" s="65">
        <v>854</v>
      </c>
      <c r="GY247" s="65">
        <v>-3020</v>
      </c>
      <c r="GZ247" s="65">
        <v>2222</v>
      </c>
      <c r="HA247" s="65">
        <v>6986</v>
      </c>
      <c r="HB247" s="65">
        <v>3020</v>
      </c>
      <c r="HC247" s="65">
        <v>64063</v>
      </c>
      <c r="HD247" s="65">
        <v>-1161</v>
      </c>
      <c r="HE247" s="78">
        <v>10682</v>
      </c>
      <c r="HF247" s="73">
        <v>32031</v>
      </c>
      <c r="HG247" s="65">
        <v>20548</v>
      </c>
      <c r="HH247" s="65">
        <v>10753</v>
      </c>
      <c r="HI247" s="65">
        <v>1269</v>
      </c>
      <c r="HJ247" s="65">
        <v>27600</v>
      </c>
      <c r="HK247" s="65">
        <v>1911</v>
      </c>
      <c r="HL247" s="65">
        <v>2520</v>
      </c>
      <c r="HM247" s="65">
        <v>-1885</v>
      </c>
      <c r="HN247" s="65">
        <v>-5002</v>
      </c>
      <c r="HO247" s="65">
        <v>2260</v>
      </c>
      <c r="HP247" s="65">
        <v>11840</v>
      </c>
      <c r="HQ247" s="65">
        <v>5002</v>
      </c>
      <c r="HR247" s="65">
        <v>66367</v>
      </c>
      <c r="HS247" s="65">
        <v>-3938</v>
      </c>
      <c r="HT247" s="65">
        <v>-5499</v>
      </c>
      <c r="HU247" s="77">
        <v>19.75</v>
      </c>
      <c r="HV247" s="180">
        <v>330</v>
      </c>
      <c r="HW247" s="30" t="s">
        <v>760</v>
      </c>
    </row>
    <row r="248" spans="1:231" ht="15" x14ac:dyDescent="0.25">
      <c r="A248" s="27">
        <v>768</v>
      </c>
      <c r="B248" s="27" t="s">
        <v>371</v>
      </c>
      <c r="C248" s="27">
        <v>10</v>
      </c>
      <c r="D248" s="27" t="s">
        <v>107</v>
      </c>
      <c r="E248" s="27">
        <v>2</v>
      </c>
      <c r="F248" s="27" t="s">
        <v>744</v>
      </c>
      <c r="G248" s="29" t="s">
        <v>130</v>
      </c>
      <c r="H248" s="27" t="s">
        <v>98</v>
      </c>
      <c r="I248" s="31" t="s">
        <v>107</v>
      </c>
      <c r="J248" s="69">
        <v>3562</v>
      </c>
      <c r="K248" s="69">
        <v>3523</v>
      </c>
      <c r="L248" s="36">
        <v>3456</v>
      </c>
      <c r="M248" s="36">
        <v>3413</v>
      </c>
      <c r="N248" s="36">
        <v>3363</v>
      </c>
      <c r="O248" s="36">
        <v>3306</v>
      </c>
      <c r="P248" s="36">
        <v>3257</v>
      </c>
      <c r="Q248" s="36">
        <v>3196</v>
      </c>
      <c r="R248" s="69">
        <v>3149</v>
      </c>
      <c r="S248" s="69">
        <v>3087</v>
      </c>
      <c r="T248" s="71">
        <v>3033</v>
      </c>
      <c r="U248" s="36">
        <v>7036</v>
      </c>
      <c r="V248" s="36">
        <v>4637</v>
      </c>
      <c r="W248" s="36">
        <v>3798</v>
      </c>
      <c r="X248" s="36">
        <v>276.66913902918566</v>
      </c>
      <c r="Y248" s="36">
        <v>6640</v>
      </c>
      <c r="Z248" s="36">
        <v>4489</v>
      </c>
      <c r="AA248" s="36">
        <v>3583</v>
      </c>
      <c r="AB248" s="36">
        <v>260.52309808888054</v>
      </c>
      <c r="AC248" s="36">
        <v>6538</v>
      </c>
      <c r="AD248" s="36">
        <v>4813</v>
      </c>
      <c r="AE248" s="36">
        <v>4230</v>
      </c>
      <c r="AF248" s="36">
        <v>189.88416897504595</v>
      </c>
      <c r="AG248" s="36">
        <v>6601</v>
      </c>
      <c r="AH248" s="36">
        <v>4979</v>
      </c>
      <c r="AI248" s="36">
        <v>2719</v>
      </c>
      <c r="AJ248" s="36">
        <v>167.01061097628045</v>
      </c>
      <c r="AK248" s="36">
        <v>6667</v>
      </c>
      <c r="AL248" s="36">
        <v>5996</v>
      </c>
      <c r="AM248" s="36">
        <v>3646</v>
      </c>
      <c r="AN248" s="36">
        <v>102</v>
      </c>
      <c r="AO248" s="36">
        <v>6207</v>
      </c>
      <c r="AP248" s="36">
        <v>6673</v>
      </c>
      <c r="AQ248" s="36">
        <v>3373</v>
      </c>
      <c r="AR248" s="36">
        <v>123</v>
      </c>
      <c r="AS248" s="36">
        <v>6402</v>
      </c>
      <c r="AT248" s="36">
        <v>6475</v>
      </c>
      <c r="AU248" s="36">
        <v>2389</v>
      </c>
      <c r="AV248" s="36">
        <v>138</v>
      </c>
      <c r="AW248" s="36">
        <v>6646</v>
      </c>
      <c r="AX248" s="69">
        <v>6594</v>
      </c>
      <c r="AY248" s="36">
        <v>2219</v>
      </c>
      <c r="AZ248" s="36">
        <v>136</v>
      </c>
      <c r="BA248" s="36">
        <v>7106</v>
      </c>
      <c r="BB248" s="36">
        <v>7077</v>
      </c>
      <c r="BC248" s="36">
        <v>2409</v>
      </c>
      <c r="BD248" s="36">
        <v>90</v>
      </c>
      <c r="BE248" s="70">
        <v>7303</v>
      </c>
      <c r="BF248" s="70">
        <v>7023</v>
      </c>
      <c r="BG248" s="70">
        <v>3230</v>
      </c>
      <c r="BH248" s="70">
        <v>166</v>
      </c>
      <c r="BI248" s="36">
        <v>7645</v>
      </c>
      <c r="BJ248" s="36">
        <v>7533</v>
      </c>
      <c r="BK248" s="36">
        <v>2114</v>
      </c>
      <c r="BL248" s="36">
        <v>751</v>
      </c>
      <c r="BM248" s="36">
        <v>4598.9306611635575</v>
      </c>
      <c r="BN248" s="36">
        <v>2260.2775437162468</v>
      </c>
      <c r="BO248" s="36">
        <v>176.76551071104808</v>
      </c>
      <c r="BP248" s="36">
        <v>4615.4130779567859</v>
      </c>
      <c r="BQ248" s="36">
        <v>1842.1623585329303</v>
      </c>
      <c r="BR248" s="36">
        <v>182.48390021073948</v>
      </c>
      <c r="BS248" s="36">
        <v>4298.0424607239147</v>
      </c>
      <c r="BT248" s="36">
        <v>1941.3932351452218</v>
      </c>
      <c r="BU248" s="36">
        <v>298.53356946918205</v>
      </c>
      <c r="BV248" s="36">
        <v>4954</v>
      </c>
      <c r="BW248" s="36">
        <v>1333</v>
      </c>
      <c r="BX248" s="36">
        <v>315</v>
      </c>
      <c r="BY248" s="36">
        <v>5429</v>
      </c>
      <c r="BZ248" s="36">
        <v>914</v>
      </c>
      <c r="CA248" s="36">
        <v>324</v>
      </c>
      <c r="CB248" s="36">
        <v>5325</v>
      </c>
      <c r="CC248" s="36">
        <v>491</v>
      </c>
      <c r="CD248" s="36">
        <v>391</v>
      </c>
      <c r="CE248" s="36">
        <v>5310</v>
      </c>
      <c r="CF248" s="36">
        <v>713</v>
      </c>
      <c r="CG248" s="36">
        <v>379</v>
      </c>
      <c r="CH248" s="36">
        <v>5303</v>
      </c>
      <c r="CI248" s="36">
        <v>938</v>
      </c>
      <c r="CJ248" s="70">
        <v>405</v>
      </c>
      <c r="CK248" s="70">
        <v>5499</v>
      </c>
      <c r="CL248" s="70">
        <v>1112</v>
      </c>
      <c r="CM248" s="36">
        <v>495</v>
      </c>
      <c r="CN248" s="36">
        <v>5574</v>
      </c>
      <c r="CO248" s="36">
        <v>1231</v>
      </c>
      <c r="CP248" s="36">
        <v>498</v>
      </c>
      <c r="CQ248" s="36">
        <v>6018</v>
      </c>
      <c r="CR248" s="36">
        <v>1092</v>
      </c>
      <c r="CS248" s="36">
        <v>535</v>
      </c>
      <c r="CT248" s="36">
        <v>403.14645972824195</v>
      </c>
      <c r="CU248" s="36">
        <v>-550.98364709999998</v>
      </c>
      <c r="CV248" s="36">
        <v>895.26433255462325</v>
      </c>
      <c r="CW248" s="36">
        <v>205</v>
      </c>
      <c r="CX248" s="36">
        <v>-606.48566282020874</v>
      </c>
      <c r="CY248" s="36">
        <v>-949.58903280000004</v>
      </c>
      <c r="CZ248" s="36">
        <v>922.84715249431099</v>
      </c>
      <c r="DA248" s="36">
        <v>162</v>
      </c>
      <c r="DB248" s="36">
        <v>-7.568456690767996</v>
      </c>
      <c r="DC248" s="36">
        <v>-687.04767960000004</v>
      </c>
      <c r="DD248" s="36">
        <v>938.15225380230856</v>
      </c>
      <c r="DE248" s="36">
        <v>120</v>
      </c>
      <c r="DF248" s="36">
        <v>-1140.4823293355064</v>
      </c>
      <c r="DG248" s="36">
        <v>-897</v>
      </c>
      <c r="DH248" s="36">
        <v>407.85572166916427</v>
      </c>
      <c r="DI248" s="36">
        <v>89</v>
      </c>
      <c r="DJ248" s="36">
        <v>165</v>
      </c>
      <c r="DK248" s="36">
        <v>-497</v>
      </c>
      <c r="DL248" s="36">
        <v>349</v>
      </c>
      <c r="DM248" s="36">
        <v>1013</v>
      </c>
      <c r="DN248" s="36">
        <v>527</v>
      </c>
      <c r="DO248" s="69">
        <v>-591</v>
      </c>
      <c r="DP248" s="36">
        <v>418</v>
      </c>
      <c r="DQ248" s="36">
        <v>1238</v>
      </c>
      <c r="DR248" s="36">
        <v>-142</v>
      </c>
      <c r="DS248" s="36">
        <v>-109</v>
      </c>
      <c r="DT248" s="36">
        <v>370</v>
      </c>
      <c r="DU248" s="36">
        <v>913</v>
      </c>
      <c r="DV248" s="36">
        <v>-505</v>
      </c>
      <c r="DW248" s="71">
        <v>-39</v>
      </c>
      <c r="DX248" s="39">
        <v>373</v>
      </c>
      <c r="DY248" s="71">
        <v>1600</v>
      </c>
      <c r="DZ248" s="70">
        <v>313</v>
      </c>
      <c r="EA248" s="35">
        <v>-616</v>
      </c>
      <c r="EB248" s="35">
        <v>342</v>
      </c>
      <c r="EC248" s="38">
        <v>2217</v>
      </c>
      <c r="ED248" s="38">
        <v>2114</v>
      </c>
      <c r="EE248" s="38">
        <v>-717</v>
      </c>
      <c r="EF248" s="38">
        <v>359</v>
      </c>
      <c r="EG248" s="73">
        <v>1800</v>
      </c>
      <c r="EH248" s="73">
        <v>361</v>
      </c>
      <c r="EI248" s="73">
        <v>-370</v>
      </c>
      <c r="EJ248" s="73">
        <v>220</v>
      </c>
      <c r="EK248" s="73">
        <v>1584</v>
      </c>
      <c r="EL248" s="73">
        <v>14757.985983218208</v>
      </c>
      <c r="EM248" s="73">
        <v>-470.9261940922309</v>
      </c>
      <c r="EN248" s="73">
        <v>15026.918477630164</v>
      </c>
      <c r="EO248" s="73">
        <v>-1565.8295953566676</v>
      </c>
      <c r="EP248" s="73">
        <v>15199.815666032599</v>
      </c>
      <c r="EQ248" s="73">
        <v>-803.93828848602277</v>
      </c>
      <c r="ER248" s="73">
        <v>14978.648542735711</v>
      </c>
      <c r="ES248" s="73">
        <v>-1531.0146945791348</v>
      </c>
      <c r="ET248" s="73">
        <v>16208</v>
      </c>
      <c r="EU248" s="73">
        <v>-164</v>
      </c>
      <c r="EV248" s="73">
        <v>15793</v>
      </c>
      <c r="EW248" s="73">
        <v>169</v>
      </c>
      <c r="EX248" s="73">
        <v>15502</v>
      </c>
      <c r="EY248" s="73">
        <v>-494</v>
      </c>
      <c r="EZ248" s="73">
        <v>16056</v>
      </c>
      <c r="FA248" s="73">
        <v>-860</v>
      </c>
      <c r="FB248" s="73">
        <v>16341</v>
      </c>
      <c r="FC248" s="73">
        <v>-24</v>
      </c>
      <c r="FD248" s="73">
        <v>15523</v>
      </c>
      <c r="FE248" s="73">
        <v>1613</v>
      </c>
      <c r="FF248" s="73">
        <v>17052</v>
      </c>
      <c r="FG248" s="73">
        <v>607</v>
      </c>
      <c r="FH248" s="73">
        <v>486</v>
      </c>
      <c r="FI248" s="73">
        <v>1092</v>
      </c>
      <c r="FJ248" s="79">
        <v>2965</v>
      </c>
      <c r="FK248" s="80">
        <v>7559</v>
      </c>
      <c r="FL248" s="80">
        <v>8105</v>
      </c>
      <c r="FM248" s="80">
        <v>1994</v>
      </c>
      <c r="FN248" s="76">
        <v>74</v>
      </c>
      <c r="FO248" s="80">
        <v>6127</v>
      </c>
      <c r="FP248" s="80">
        <v>852</v>
      </c>
      <c r="FQ248" s="80">
        <v>580</v>
      </c>
      <c r="FR248" s="80">
        <v>218</v>
      </c>
      <c r="FS248" s="81">
        <v>-1786</v>
      </c>
      <c r="FT248" s="76">
        <v>256</v>
      </c>
      <c r="FU248" s="76">
        <v>3773</v>
      </c>
      <c r="FV248" s="76">
        <v>1786</v>
      </c>
      <c r="FW248" s="80">
        <v>17461</v>
      </c>
      <c r="FX248" s="80">
        <v>-33</v>
      </c>
      <c r="FY248" s="73">
        <v>2938</v>
      </c>
      <c r="FZ248" s="73">
        <v>7835</v>
      </c>
      <c r="GA248" s="73">
        <v>8783</v>
      </c>
      <c r="GB248" s="73">
        <v>2356</v>
      </c>
      <c r="GC248" s="73">
        <v>191</v>
      </c>
      <c r="GD248" s="73">
        <v>6082</v>
      </c>
      <c r="GE248" s="73">
        <v>1076</v>
      </c>
      <c r="GF248" s="73">
        <v>677</v>
      </c>
      <c r="GG248" s="73">
        <v>768</v>
      </c>
      <c r="GH248" s="73">
        <v>-2190</v>
      </c>
      <c r="GI248" s="73">
        <v>308</v>
      </c>
      <c r="GJ248" s="73">
        <v>3456</v>
      </c>
      <c r="GK248" s="73">
        <v>2190</v>
      </c>
      <c r="GL248" s="73">
        <v>18308</v>
      </c>
      <c r="GM248" s="73">
        <v>465</v>
      </c>
      <c r="GN248" s="73">
        <v>1524</v>
      </c>
      <c r="GO248" s="77">
        <v>20.5</v>
      </c>
      <c r="GP248" s="78">
        <v>2876</v>
      </c>
      <c r="GQ248" s="73">
        <v>7896</v>
      </c>
      <c r="GR248" s="65">
        <v>9035</v>
      </c>
      <c r="GS248" s="65">
        <v>2665</v>
      </c>
      <c r="GT248" s="65">
        <v>250</v>
      </c>
      <c r="GU248" s="65">
        <v>6078</v>
      </c>
      <c r="GV248" s="65">
        <v>1128</v>
      </c>
      <c r="GW248" s="65">
        <v>690</v>
      </c>
      <c r="GX248" s="65">
        <v>660</v>
      </c>
      <c r="GY248" s="65">
        <v>-506</v>
      </c>
      <c r="GZ248" s="65">
        <v>381</v>
      </c>
      <c r="HA248" s="65">
        <v>3138</v>
      </c>
      <c r="HB248" s="65">
        <v>506</v>
      </c>
      <c r="HC248" s="65">
        <v>19102</v>
      </c>
      <c r="HD248" s="65">
        <v>284</v>
      </c>
      <c r="HE248" s="78">
        <v>2844</v>
      </c>
      <c r="HF248" s="73">
        <v>7655</v>
      </c>
      <c r="HG248" s="65">
        <v>9539</v>
      </c>
      <c r="HH248" s="65">
        <v>2896</v>
      </c>
      <c r="HI248" s="65">
        <v>207</v>
      </c>
      <c r="HJ248" s="65">
        <v>6198</v>
      </c>
      <c r="HK248" s="65">
        <v>757</v>
      </c>
      <c r="HL248" s="65">
        <v>700</v>
      </c>
      <c r="HM248" s="65">
        <v>-425</v>
      </c>
      <c r="HN248" s="65">
        <v>-462</v>
      </c>
      <c r="HO248" s="65">
        <v>395</v>
      </c>
      <c r="HP248" s="65">
        <v>3521</v>
      </c>
      <c r="HQ248" s="65">
        <v>462</v>
      </c>
      <c r="HR248" s="65">
        <v>20640</v>
      </c>
      <c r="HS248" s="65">
        <v>-815</v>
      </c>
      <c r="HT248" s="65">
        <v>993</v>
      </c>
      <c r="HU248" s="77">
        <v>20.5</v>
      </c>
      <c r="HV248" s="180">
        <v>340</v>
      </c>
      <c r="HW248" s="30" t="s">
        <v>761</v>
      </c>
    </row>
    <row r="249" spans="1:231" ht="15" x14ac:dyDescent="0.25">
      <c r="A249" s="27">
        <v>777</v>
      </c>
      <c r="B249" s="27" t="s">
        <v>372</v>
      </c>
      <c r="C249" s="27">
        <v>18</v>
      </c>
      <c r="D249" s="27" t="s">
        <v>108</v>
      </c>
      <c r="E249" s="27">
        <v>3</v>
      </c>
      <c r="F249" s="27" t="s">
        <v>743</v>
      </c>
      <c r="G249" s="29" t="s">
        <v>130</v>
      </c>
      <c r="H249" s="27" t="s">
        <v>98</v>
      </c>
      <c r="I249" s="31" t="s">
        <v>108</v>
      </c>
      <c r="J249" s="69">
        <v>11411</v>
      </c>
      <c r="K249" s="69">
        <v>11236</v>
      </c>
      <c r="L249" s="36">
        <v>11003</v>
      </c>
      <c r="M249" s="36">
        <v>10740</v>
      </c>
      <c r="N249" s="36">
        <v>10548</v>
      </c>
      <c r="O249" s="36">
        <v>10376</v>
      </c>
      <c r="P249" s="36">
        <v>10248</v>
      </c>
      <c r="Q249" s="36">
        <v>10071</v>
      </c>
      <c r="R249" s="69">
        <v>9848</v>
      </c>
      <c r="S249" s="69">
        <v>9632</v>
      </c>
      <c r="T249" s="71">
        <v>9435</v>
      </c>
      <c r="U249" s="36">
        <v>21620</v>
      </c>
      <c r="V249" s="36">
        <v>15922</v>
      </c>
      <c r="W249" s="36">
        <v>11669</v>
      </c>
      <c r="X249" s="36">
        <v>712.61224441742218</v>
      </c>
      <c r="Y249" s="36">
        <v>20736</v>
      </c>
      <c r="Z249" s="36">
        <v>15195</v>
      </c>
      <c r="AA249" s="36">
        <v>14833</v>
      </c>
      <c r="AB249" s="36">
        <v>761.38674309126031</v>
      </c>
      <c r="AC249" s="36">
        <v>21410</v>
      </c>
      <c r="AD249" s="36">
        <v>15542</v>
      </c>
      <c r="AE249" s="36">
        <v>16211</v>
      </c>
      <c r="AF249" s="36">
        <v>639.61868433312645</v>
      </c>
      <c r="AG249" s="36">
        <v>21802</v>
      </c>
      <c r="AH249" s="36">
        <v>15968</v>
      </c>
      <c r="AI249" s="36">
        <v>10759</v>
      </c>
      <c r="AJ249" s="36">
        <v>478.99921456238343</v>
      </c>
      <c r="AK249" s="36">
        <v>20582</v>
      </c>
      <c r="AL249" s="36">
        <v>18967</v>
      </c>
      <c r="AM249" s="36">
        <v>11497</v>
      </c>
      <c r="AN249" s="36">
        <v>345</v>
      </c>
      <c r="AO249" s="36">
        <v>19616</v>
      </c>
      <c r="AP249" s="36">
        <v>21515</v>
      </c>
      <c r="AQ249" s="36">
        <v>21222</v>
      </c>
      <c r="AR249" s="36">
        <v>893</v>
      </c>
      <c r="AS249" s="36">
        <v>19916</v>
      </c>
      <c r="AT249" s="36">
        <v>20915</v>
      </c>
      <c r="AU249" s="36">
        <v>21675</v>
      </c>
      <c r="AV249" s="36">
        <v>394</v>
      </c>
      <c r="AW249" s="36">
        <v>20781</v>
      </c>
      <c r="AX249" s="69">
        <v>20062</v>
      </c>
      <c r="AY249" s="36">
        <v>8217</v>
      </c>
      <c r="AZ249" s="36">
        <v>533</v>
      </c>
      <c r="BA249" s="36">
        <v>22108</v>
      </c>
      <c r="BB249" s="36">
        <v>22541</v>
      </c>
      <c r="BC249" s="36">
        <v>8752</v>
      </c>
      <c r="BD249" s="36">
        <v>430</v>
      </c>
      <c r="BE249" s="70">
        <v>23175</v>
      </c>
      <c r="BF249" s="70">
        <v>23298</v>
      </c>
      <c r="BG249" s="70">
        <v>9246</v>
      </c>
      <c r="BH249" s="70">
        <v>1006</v>
      </c>
      <c r="BI249" s="36">
        <v>24626</v>
      </c>
      <c r="BJ249" s="36">
        <v>25170</v>
      </c>
      <c r="BK249" s="36">
        <v>9656</v>
      </c>
      <c r="BL249" s="36">
        <v>0</v>
      </c>
      <c r="BM249" s="36">
        <v>16212.138795404433</v>
      </c>
      <c r="BN249" s="36">
        <v>4489.4403210371138</v>
      </c>
      <c r="BO249" s="36">
        <v>918.4742664063117</v>
      </c>
      <c r="BP249" s="36">
        <v>16053.369392824767</v>
      </c>
      <c r="BQ249" s="36">
        <v>3632.1864598627926</v>
      </c>
      <c r="BR249" s="36">
        <v>1049.9972248992133</v>
      </c>
      <c r="BS249" s="36">
        <v>14506.208657305326</v>
      </c>
      <c r="BT249" s="36">
        <v>5704.7662776479929</v>
      </c>
      <c r="BU249" s="36">
        <v>1199.011727744112</v>
      </c>
      <c r="BV249" s="36">
        <v>16635</v>
      </c>
      <c r="BW249" s="36">
        <v>3917</v>
      </c>
      <c r="BX249" s="36">
        <v>1250</v>
      </c>
      <c r="BY249" s="36">
        <v>17586</v>
      </c>
      <c r="BZ249" s="36">
        <v>1755</v>
      </c>
      <c r="CA249" s="36">
        <v>1241</v>
      </c>
      <c r="CB249" s="36">
        <v>17101</v>
      </c>
      <c r="CC249" s="36">
        <v>1297</v>
      </c>
      <c r="CD249" s="36">
        <v>1218</v>
      </c>
      <c r="CE249" s="36">
        <v>17409</v>
      </c>
      <c r="CF249" s="36">
        <v>1208</v>
      </c>
      <c r="CG249" s="36">
        <v>1299</v>
      </c>
      <c r="CH249" s="36">
        <v>17653</v>
      </c>
      <c r="CI249" s="36">
        <v>1894</v>
      </c>
      <c r="CJ249" s="70">
        <v>1234</v>
      </c>
      <c r="CK249" s="70">
        <v>18201</v>
      </c>
      <c r="CL249" s="70">
        <v>2302</v>
      </c>
      <c r="CM249" s="36">
        <v>1605</v>
      </c>
      <c r="CN249" s="36">
        <v>18852</v>
      </c>
      <c r="CO249" s="36">
        <v>2668</v>
      </c>
      <c r="CP249" s="36">
        <v>1655</v>
      </c>
      <c r="CQ249" s="36">
        <v>20248</v>
      </c>
      <c r="CR249" s="36">
        <v>2654</v>
      </c>
      <c r="CS249" s="36">
        <v>1724</v>
      </c>
      <c r="CT249" s="36">
        <v>3127.7908684047211</v>
      </c>
      <c r="CU249" s="36">
        <v>-3358.3765159999998</v>
      </c>
      <c r="CV249" s="36">
        <v>2622.8907131672645</v>
      </c>
      <c r="CW249" s="36">
        <v>2911</v>
      </c>
      <c r="CX249" s="36">
        <v>2935.2156926062903</v>
      </c>
      <c r="CY249" s="36">
        <v>-5669.1104370000003</v>
      </c>
      <c r="CZ249" s="36">
        <v>2639.877693739877</v>
      </c>
      <c r="DA249" s="36">
        <v>5788</v>
      </c>
      <c r="DB249" s="36">
        <v>2692.8568905752531</v>
      </c>
      <c r="DC249" s="36">
        <v>-3896.4096920000002</v>
      </c>
      <c r="DD249" s="36">
        <v>3090.7895245831883</v>
      </c>
      <c r="DE249" s="36">
        <v>4680</v>
      </c>
      <c r="DF249" s="36">
        <v>2073.5889453439695</v>
      </c>
      <c r="DG249" s="36">
        <v>-3772</v>
      </c>
      <c r="DH249" s="36">
        <v>2982.4764999419749</v>
      </c>
      <c r="DI249" s="36">
        <v>4146</v>
      </c>
      <c r="DJ249" s="36">
        <v>3951</v>
      </c>
      <c r="DK249" s="36">
        <v>-2944</v>
      </c>
      <c r="DL249" s="36">
        <v>3242</v>
      </c>
      <c r="DM249" s="36">
        <v>4189</v>
      </c>
      <c r="DN249" s="36">
        <v>4256</v>
      </c>
      <c r="DO249" s="69">
        <v>-4386</v>
      </c>
      <c r="DP249" s="36">
        <v>3352</v>
      </c>
      <c r="DQ249" s="36">
        <v>5351</v>
      </c>
      <c r="DR249" s="36">
        <v>1678</v>
      </c>
      <c r="DS249" s="36">
        <v>-3244</v>
      </c>
      <c r="DT249" s="36">
        <v>3865</v>
      </c>
      <c r="DU249" s="36">
        <v>5701</v>
      </c>
      <c r="DV249" s="36">
        <v>3457</v>
      </c>
      <c r="DW249" s="71">
        <v>-3975</v>
      </c>
      <c r="DX249" s="39">
        <v>3146</v>
      </c>
      <c r="DY249" s="71">
        <v>9791</v>
      </c>
      <c r="DZ249" s="70">
        <v>5648</v>
      </c>
      <c r="EA249" s="35">
        <v>-2125</v>
      </c>
      <c r="EB249" s="35">
        <v>2751</v>
      </c>
      <c r="EC249" s="38">
        <v>8696</v>
      </c>
      <c r="ED249" s="38">
        <v>3984</v>
      </c>
      <c r="EE249" s="38">
        <v>-4132</v>
      </c>
      <c r="EF249" s="38">
        <v>2734</v>
      </c>
      <c r="EG249" s="73">
        <v>7615</v>
      </c>
      <c r="EH249" s="73">
        <v>3799</v>
      </c>
      <c r="EI249" s="73">
        <v>-3613</v>
      </c>
      <c r="EJ249" s="73">
        <v>2694</v>
      </c>
      <c r="EK249" s="73">
        <v>6533</v>
      </c>
      <c r="EL249" s="73">
        <v>44144.11687042634</v>
      </c>
      <c r="EM249" s="73">
        <v>490.60418148822765</v>
      </c>
      <c r="EN249" s="73">
        <v>46475.033343256422</v>
      </c>
      <c r="EO249" s="73">
        <v>210.73947185627333</v>
      </c>
      <c r="EP249" s="73">
        <v>48696.795851812982</v>
      </c>
      <c r="EQ249" s="73">
        <v>-301.05638836610473</v>
      </c>
      <c r="ER249" s="73">
        <v>44582.078230932115</v>
      </c>
      <c r="ES249" s="73">
        <v>-901.82366168662213</v>
      </c>
      <c r="ET249" s="73">
        <v>46759</v>
      </c>
      <c r="EU249" s="73">
        <v>184</v>
      </c>
      <c r="EV249" s="73">
        <v>58203</v>
      </c>
      <c r="EW249" s="73">
        <v>1291</v>
      </c>
      <c r="EX249" s="73">
        <v>60957</v>
      </c>
      <c r="EY249" s="73">
        <v>-2121</v>
      </c>
      <c r="EZ249" s="73">
        <v>45785</v>
      </c>
      <c r="FA249" s="73">
        <v>257</v>
      </c>
      <c r="FB249" s="73">
        <v>48106</v>
      </c>
      <c r="FC249" s="73">
        <v>2602</v>
      </c>
      <c r="FD249" s="73">
        <v>52158</v>
      </c>
      <c r="FE249" s="73">
        <v>969</v>
      </c>
      <c r="FF249" s="73">
        <v>54565</v>
      </c>
      <c r="FG249" s="73">
        <v>1078</v>
      </c>
      <c r="FH249" s="73">
        <v>5050</v>
      </c>
      <c r="FI249" s="73">
        <v>6127</v>
      </c>
      <c r="FJ249" s="79">
        <v>9332</v>
      </c>
      <c r="FK249" s="80">
        <v>24232</v>
      </c>
      <c r="FL249" s="80">
        <v>26841</v>
      </c>
      <c r="FM249" s="80">
        <v>10164</v>
      </c>
      <c r="FN249" s="76">
        <v>886</v>
      </c>
      <c r="FO249" s="80">
        <v>20037</v>
      </c>
      <c r="FP249" s="80">
        <v>2275</v>
      </c>
      <c r="FQ249" s="80">
        <v>1920</v>
      </c>
      <c r="FR249" s="80">
        <v>4919</v>
      </c>
      <c r="FS249" s="81">
        <v>-4745</v>
      </c>
      <c r="FT249" s="76">
        <v>3187</v>
      </c>
      <c r="FU249" s="76">
        <v>9554</v>
      </c>
      <c r="FV249" s="76">
        <v>4745</v>
      </c>
      <c r="FW249" s="80">
        <v>57039</v>
      </c>
      <c r="FX249" s="80">
        <v>1733</v>
      </c>
      <c r="FY249" s="73">
        <v>9156</v>
      </c>
      <c r="FZ249" s="73">
        <v>25313</v>
      </c>
      <c r="GA249" s="73">
        <v>30325</v>
      </c>
      <c r="GB249" s="73">
        <v>10735</v>
      </c>
      <c r="GC249" s="73">
        <v>336</v>
      </c>
      <c r="GD249" s="73">
        <v>20275</v>
      </c>
      <c r="GE249" s="73">
        <v>3057</v>
      </c>
      <c r="GF249" s="73">
        <v>1981</v>
      </c>
      <c r="GG249" s="73">
        <v>6944</v>
      </c>
      <c r="GH249" s="73">
        <v>-7306</v>
      </c>
      <c r="GI249" s="73">
        <v>3254</v>
      </c>
      <c r="GJ249" s="73">
        <v>8775</v>
      </c>
      <c r="GK249" s="73">
        <v>7306</v>
      </c>
      <c r="GL249" s="73">
        <v>59675</v>
      </c>
      <c r="GM249" s="73">
        <v>3502</v>
      </c>
      <c r="GN249" s="73">
        <v>11362</v>
      </c>
      <c r="GO249" s="77">
        <v>19.5</v>
      </c>
      <c r="GP249" s="78">
        <v>8943</v>
      </c>
      <c r="GQ249" s="73">
        <v>25227</v>
      </c>
      <c r="GR249" s="65">
        <v>29945</v>
      </c>
      <c r="GS249" s="65">
        <v>11590</v>
      </c>
      <c r="GT249" s="65">
        <v>0</v>
      </c>
      <c r="GU249" s="65">
        <v>20120</v>
      </c>
      <c r="GV249" s="65">
        <v>3139</v>
      </c>
      <c r="GW249" s="65">
        <v>1968</v>
      </c>
      <c r="GX249" s="65">
        <v>3815</v>
      </c>
      <c r="GY249" s="65">
        <v>-3944</v>
      </c>
      <c r="GZ249" s="65">
        <v>3416</v>
      </c>
      <c r="HA249" s="65">
        <v>8255</v>
      </c>
      <c r="HB249" s="65">
        <v>3944</v>
      </c>
      <c r="HC249" s="65">
        <v>62288</v>
      </c>
      <c r="HD249" s="65">
        <v>401</v>
      </c>
      <c r="HE249" s="78">
        <v>8813</v>
      </c>
      <c r="HF249" s="73">
        <v>24145</v>
      </c>
      <c r="HG249" s="65">
        <v>30820</v>
      </c>
      <c r="HH249" s="65">
        <v>12611</v>
      </c>
      <c r="HI249" s="65">
        <v>790</v>
      </c>
      <c r="HJ249" s="65">
        <v>20273</v>
      </c>
      <c r="HK249" s="65">
        <v>1876</v>
      </c>
      <c r="HL249" s="65">
        <v>1996</v>
      </c>
      <c r="HM249" s="65">
        <v>4224</v>
      </c>
      <c r="HN249" s="65">
        <v>-4537</v>
      </c>
      <c r="HO249" s="65">
        <v>3876</v>
      </c>
      <c r="HP249" s="65">
        <v>11137</v>
      </c>
      <c r="HQ249" s="65">
        <v>4537</v>
      </c>
      <c r="HR249" s="65">
        <v>63991</v>
      </c>
      <c r="HS249" s="65">
        <v>358</v>
      </c>
      <c r="HT249" s="65">
        <v>12120</v>
      </c>
      <c r="HU249" s="77">
        <v>19.5</v>
      </c>
      <c r="HV249" s="180">
        <v>240</v>
      </c>
      <c r="HW249" s="30" t="s">
        <v>757</v>
      </c>
    </row>
    <row r="250" spans="1:231" ht="15" x14ac:dyDescent="0.25">
      <c r="A250" s="27">
        <v>778</v>
      </c>
      <c r="B250" s="27" t="s">
        <v>373</v>
      </c>
      <c r="C250" s="27">
        <v>11</v>
      </c>
      <c r="D250" s="27" t="s">
        <v>118</v>
      </c>
      <c r="E250" s="27">
        <v>3</v>
      </c>
      <c r="F250" s="27" t="s">
        <v>743</v>
      </c>
      <c r="G250" s="29" t="s">
        <v>132</v>
      </c>
      <c r="H250" s="27" t="s">
        <v>99</v>
      </c>
      <c r="I250" s="31" t="s">
        <v>118</v>
      </c>
      <c r="J250" s="69">
        <v>8297</v>
      </c>
      <c r="K250" s="69">
        <v>8203</v>
      </c>
      <c r="L250" s="36">
        <v>8048</v>
      </c>
      <c r="M250" s="36">
        <v>7992</v>
      </c>
      <c r="N250" s="36">
        <v>7886</v>
      </c>
      <c r="O250" s="36">
        <v>7787</v>
      </c>
      <c r="P250" s="36">
        <v>7836</v>
      </c>
      <c r="Q250" s="36">
        <v>7766</v>
      </c>
      <c r="R250" s="69">
        <v>7741</v>
      </c>
      <c r="S250" s="69">
        <v>7678</v>
      </c>
      <c r="T250" s="71">
        <v>7607</v>
      </c>
      <c r="U250" s="36">
        <v>15140</v>
      </c>
      <c r="V250" s="36">
        <v>9388</v>
      </c>
      <c r="W250" s="36">
        <v>3953</v>
      </c>
      <c r="X250" s="36">
        <v>442.16605866731248</v>
      </c>
      <c r="Y250" s="36">
        <v>14874</v>
      </c>
      <c r="Z250" s="36">
        <v>9623</v>
      </c>
      <c r="AA250" s="36">
        <v>4027</v>
      </c>
      <c r="AB250" s="36">
        <v>590.50780980636523</v>
      </c>
      <c r="AC250" s="36">
        <v>14017</v>
      </c>
      <c r="AD250" s="36">
        <v>10060</v>
      </c>
      <c r="AE250" s="36">
        <v>4412</v>
      </c>
      <c r="AF250" s="36">
        <v>596.5625751589796</v>
      </c>
      <c r="AG250" s="36">
        <v>15466</v>
      </c>
      <c r="AH250" s="36">
        <v>12012</v>
      </c>
      <c r="AI250" s="36">
        <v>4765</v>
      </c>
      <c r="AJ250" s="36">
        <v>511.96404814883959</v>
      </c>
      <c r="AK250" s="36">
        <v>15522</v>
      </c>
      <c r="AL250" s="36">
        <v>12441</v>
      </c>
      <c r="AM250" s="36">
        <v>5036</v>
      </c>
      <c r="AN250" s="36">
        <v>444</v>
      </c>
      <c r="AO250" s="36">
        <v>15271</v>
      </c>
      <c r="AP250" s="36">
        <v>13583</v>
      </c>
      <c r="AQ250" s="36">
        <v>5421</v>
      </c>
      <c r="AR250" s="36">
        <v>280</v>
      </c>
      <c r="AS250" s="36">
        <v>15532</v>
      </c>
      <c r="AT250" s="36">
        <v>13769</v>
      </c>
      <c r="AU250" s="36">
        <v>5492</v>
      </c>
      <c r="AV250" s="36">
        <v>372</v>
      </c>
      <c r="AW250" s="36">
        <v>16327</v>
      </c>
      <c r="AX250" s="69">
        <v>14993</v>
      </c>
      <c r="AY250" s="36">
        <v>5533</v>
      </c>
      <c r="AZ250" s="36">
        <v>389</v>
      </c>
      <c r="BA250" s="36">
        <v>17187</v>
      </c>
      <c r="BB250" s="36">
        <v>16209</v>
      </c>
      <c r="BC250" s="36">
        <v>6261</v>
      </c>
      <c r="BD250" s="36">
        <v>1299</v>
      </c>
      <c r="BE250" s="70">
        <v>18451</v>
      </c>
      <c r="BF250" s="70">
        <v>16437</v>
      </c>
      <c r="BG250" s="70">
        <v>6345</v>
      </c>
      <c r="BH250" s="70">
        <v>500</v>
      </c>
      <c r="BI250" s="36">
        <v>19131</v>
      </c>
      <c r="BJ250" s="36">
        <v>18404</v>
      </c>
      <c r="BK250" s="36">
        <v>7078</v>
      </c>
      <c r="BL250" s="36">
        <v>934</v>
      </c>
      <c r="BM250" s="36">
        <v>11655.591491709176</v>
      </c>
      <c r="BN250" s="36">
        <v>2924.9562290921385</v>
      </c>
      <c r="BO250" s="36">
        <v>559.39304341098568</v>
      </c>
      <c r="BP250" s="36">
        <v>11572.506656037189</v>
      </c>
      <c r="BQ250" s="36">
        <v>2658.0419897977204</v>
      </c>
      <c r="BR250" s="36">
        <v>643.15063078881815</v>
      </c>
      <c r="BS250" s="36">
        <v>10553.792385459818</v>
      </c>
      <c r="BT250" s="36">
        <v>2836.3211918469219</v>
      </c>
      <c r="BU250" s="36">
        <v>627.17277777497463</v>
      </c>
      <c r="BV250" s="36">
        <v>12449</v>
      </c>
      <c r="BW250" s="36">
        <v>2365</v>
      </c>
      <c r="BX250" s="36">
        <v>651</v>
      </c>
      <c r="BY250" s="36">
        <v>13524</v>
      </c>
      <c r="BZ250" s="36">
        <v>1322</v>
      </c>
      <c r="CA250" s="36">
        <v>676</v>
      </c>
      <c r="CB250" s="36">
        <v>13768</v>
      </c>
      <c r="CC250" s="36">
        <v>632</v>
      </c>
      <c r="CD250" s="36">
        <v>871</v>
      </c>
      <c r="CE250" s="36">
        <v>13618</v>
      </c>
      <c r="CF250" s="36">
        <v>1197</v>
      </c>
      <c r="CG250" s="36">
        <v>717</v>
      </c>
      <c r="CH250" s="36">
        <v>14077</v>
      </c>
      <c r="CI250" s="36">
        <v>1514</v>
      </c>
      <c r="CJ250" s="70">
        <v>736</v>
      </c>
      <c r="CK250" s="70">
        <v>14848</v>
      </c>
      <c r="CL250" s="70">
        <v>1601</v>
      </c>
      <c r="CM250" s="36">
        <v>738</v>
      </c>
      <c r="CN250" s="36">
        <v>15960</v>
      </c>
      <c r="CO250" s="36">
        <v>1728</v>
      </c>
      <c r="CP250" s="36">
        <v>763</v>
      </c>
      <c r="CQ250" s="36">
        <v>16742</v>
      </c>
      <c r="CR250" s="36">
        <v>1472</v>
      </c>
      <c r="CS250" s="36">
        <v>917</v>
      </c>
      <c r="CT250" s="36">
        <v>1579.2846294735887</v>
      </c>
      <c r="CU250" s="36">
        <v>-806.62929529999997</v>
      </c>
      <c r="CV250" s="36">
        <v>1294.2060941213274</v>
      </c>
      <c r="CW250" s="36">
        <v>7649</v>
      </c>
      <c r="CX250" s="36">
        <v>1363.835895676393</v>
      </c>
      <c r="CY250" s="36">
        <v>2200.5708300000001</v>
      </c>
      <c r="CZ250" s="36">
        <v>1336.0848878102436</v>
      </c>
      <c r="DA250" s="36">
        <v>7707</v>
      </c>
      <c r="DB250" s="36">
        <v>-184.50215532827761</v>
      </c>
      <c r="DC250" s="36">
        <v>-963.8850066</v>
      </c>
      <c r="DD250" s="36">
        <v>1382.8411313665438</v>
      </c>
      <c r="DE250" s="36">
        <v>6110</v>
      </c>
      <c r="DF250" s="36">
        <v>1829.7164519747785</v>
      </c>
      <c r="DG250" s="36">
        <v>-2349</v>
      </c>
      <c r="DH250" s="36">
        <v>1454.993751818532</v>
      </c>
      <c r="DI250" s="36">
        <v>6418</v>
      </c>
      <c r="DJ250" s="36">
        <v>2189</v>
      </c>
      <c r="DK250" s="36">
        <v>-3069</v>
      </c>
      <c r="DL250" s="36">
        <v>1529</v>
      </c>
      <c r="DM250" s="36">
        <v>5504</v>
      </c>
      <c r="DN250" s="36">
        <v>1380</v>
      </c>
      <c r="DO250" s="69">
        <v>-2121</v>
      </c>
      <c r="DP250" s="36">
        <v>1563</v>
      </c>
      <c r="DQ250" s="36">
        <v>4902</v>
      </c>
      <c r="DR250" s="36">
        <v>-909</v>
      </c>
      <c r="DS250" s="36">
        <v>-5094</v>
      </c>
      <c r="DT250" s="36">
        <v>1598</v>
      </c>
      <c r="DU250" s="36">
        <v>10470</v>
      </c>
      <c r="DV250" s="36">
        <v>-328</v>
      </c>
      <c r="DW250" s="71">
        <v>-4916</v>
      </c>
      <c r="DX250" s="39">
        <v>1822</v>
      </c>
      <c r="DY250" s="71">
        <v>14937</v>
      </c>
      <c r="DZ250" s="70">
        <v>1766</v>
      </c>
      <c r="EA250" s="35">
        <v>-3332</v>
      </c>
      <c r="EB250" s="35">
        <v>1862</v>
      </c>
      <c r="EC250" s="38">
        <v>16576</v>
      </c>
      <c r="ED250" s="38">
        <v>832</v>
      </c>
      <c r="EE250" s="38">
        <v>-2066</v>
      </c>
      <c r="EF250" s="38">
        <v>1967</v>
      </c>
      <c r="EG250" s="73">
        <v>17357</v>
      </c>
      <c r="EH250" s="73">
        <v>2536</v>
      </c>
      <c r="EI250" s="73">
        <v>-4502</v>
      </c>
      <c r="EJ250" s="73">
        <v>2074</v>
      </c>
      <c r="EK250" s="73">
        <v>19231</v>
      </c>
      <c r="EL250" s="73">
        <v>25576.674352854905</v>
      </c>
      <c r="EM250" s="73">
        <v>452.08914632854163</v>
      </c>
      <c r="EN250" s="73">
        <v>26064.251151666827</v>
      </c>
      <c r="EO250" s="73">
        <v>4312.5066223996046</v>
      </c>
      <c r="EP250" s="73">
        <v>27567.010274600427</v>
      </c>
      <c r="EQ250" s="73">
        <v>-1706.098326025568</v>
      </c>
      <c r="ER250" s="73">
        <v>29181.95074448386</v>
      </c>
      <c r="ES250" s="73">
        <v>374.72270015624656</v>
      </c>
      <c r="ET250" s="73">
        <v>30951</v>
      </c>
      <c r="EU250" s="73">
        <v>1709</v>
      </c>
      <c r="EV250" s="73">
        <v>32961</v>
      </c>
      <c r="EW250" s="73">
        <v>-183</v>
      </c>
      <c r="EX250" s="73">
        <v>35851</v>
      </c>
      <c r="EY250" s="73">
        <v>-2507</v>
      </c>
      <c r="EZ250" s="73">
        <v>37295</v>
      </c>
      <c r="FA250" s="73">
        <v>-2150</v>
      </c>
      <c r="FB250" s="73">
        <v>37927</v>
      </c>
      <c r="FC250" s="73">
        <v>731</v>
      </c>
      <c r="FD250" s="73">
        <v>40054</v>
      </c>
      <c r="FE250" s="73">
        <v>-945</v>
      </c>
      <c r="FF250" s="73">
        <v>42206</v>
      </c>
      <c r="FG250" s="73">
        <v>644</v>
      </c>
      <c r="FH250" s="73">
        <v>-4677</v>
      </c>
      <c r="FI250" s="73">
        <v>-3033</v>
      </c>
      <c r="FJ250" s="79">
        <v>7611</v>
      </c>
      <c r="FK250" s="80">
        <v>18889</v>
      </c>
      <c r="FL250" s="80">
        <v>19998</v>
      </c>
      <c r="FM250" s="80">
        <v>7319</v>
      </c>
      <c r="FN250" s="76">
        <v>720</v>
      </c>
      <c r="FO250" s="80">
        <v>16845</v>
      </c>
      <c r="FP250" s="80">
        <v>1072</v>
      </c>
      <c r="FQ250" s="80">
        <v>972</v>
      </c>
      <c r="FR250" s="80">
        <v>2253</v>
      </c>
      <c r="FS250" s="81">
        <v>-6415</v>
      </c>
      <c r="FT250" s="76">
        <v>2205</v>
      </c>
      <c r="FU250" s="76">
        <v>22689</v>
      </c>
      <c r="FV250" s="76">
        <v>6415</v>
      </c>
      <c r="FW250" s="80">
        <v>44131</v>
      </c>
      <c r="FX250" s="80">
        <v>48</v>
      </c>
      <c r="FY250" s="73">
        <v>7598</v>
      </c>
      <c r="FZ250" s="73">
        <v>19655</v>
      </c>
      <c r="GA250" s="73">
        <v>21875</v>
      </c>
      <c r="GB250" s="73">
        <v>8624</v>
      </c>
      <c r="GC250" s="73">
        <v>620</v>
      </c>
      <c r="GD250" s="73">
        <v>16938</v>
      </c>
      <c r="GE250" s="73">
        <v>1461</v>
      </c>
      <c r="GF250" s="73">
        <v>1256</v>
      </c>
      <c r="GG250" s="73">
        <v>3083</v>
      </c>
      <c r="GH250" s="73">
        <v>-4406</v>
      </c>
      <c r="GI250" s="73">
        <v>2264</v>
      </c>
      <c r="GJ250" s="73">
        <v>23418</v>
      </c>
      <c r="GK250" s="73">
        <v>4406</v>
      </c>
      <c r="GL250" s="73">
        <v>47188</v>
      </c>
      <c r="GM250" s="73">
        <v>819</v>
      </c>
      <c r="GN250" s="73">
        <v>-2166</v>
      </c>
      <c r="GO250" s="77">
        <v>19.5</v>
      </c>
      <c r="GP250" s="78">
        <v>7577</v>
      </c>
      <c r="GQ250" s="73">
        <v>20103</v>
      </c>
      <c r="GR250" s="65">
        <v>22249</v>
      </c>
      <c r="GS250" s="65">
        <v>9825</v>
      </c>
      <c r="GT250" s="65">
        <v>462</v>
      </c>
      <c r="GU250" s="65">
        <v>17035</v>
      </c>
      <c r="GV250" s="65">
        <v>1757</v>
      </c>
      <c r="GW250" s="65">
        <v>1311</v>
      </c>
      <c r="GX250" s="65">
        <v>1090</v>
      </c>
      <c r="GY250" s="65">
        <v>-4464</v>
      </c>
      <c r="GZ250" s="65">
        <v>2334</v>
      </c>
      <c r="HA250" s="65">
        <v>25944</v>
      </c>
      <c r="HB250" s="65">
        <v>4464</v>
      </c>
      <c r="HC250" s="65">
        <v>50891</v>
      </c>
      <c r="HD250" s="65">
        <v>-1244</v>
      </c>
      <c r="HE250" s="78">
        <v>7496</v>
      </c>
      <c r="HF250" s="73">
        <v>21286</v>
      </c>
      <c r="HG250" s="65">
        <v>23404</v>
      </c>
      <c r="HH250" s="65">
        <v>9721</v>
      </c>
      <c r="HI250" s="65">
        <v>538</v>
      </c>
      <c r="HJ250" s="65">
        <v>18549</v>
      </c>
      <c r="HK250" s="65">
        <v>1301</v>
      </c>
      <c r="HL250" s="65">
        <v>1436</v>
      </c>
      <c r="HM250" s="65">
        <v>1749</v>
      </c>
      <c r="HN250" s="65">
        <v>-2772</v>
      </c>
      <c r="HO250" s="65">
        <v>2481</v>
      </c>
      <c r="HP250" s="65">
        <v>28562</v>
      </c>
      <c r="HQ250" s="65">
        <v>2772</v>
      </c>
      <c r="HR250" s="65">
        <v>52511</v>
      </c>
      <c r="HS250" s="65">
        <v>-732</v>
      </c>
      <c r="HT250" s="65">
        <v>-4142</v>
      </c>
      <c r="HU250" s="77">
        <v>20</v>
      </c>
      <c r="HV250" s="180">
        <v>240</v>
      </c>
      <c r="HW250" s="30" t="s">
        <v>757</v>
      </c>
    </row>
    <row r="251" spans="1:231" ht="15" x14ac:dyDescent="0.25">
      <c r="A251" s="27">
        <v>781</v>
      </c>
      <c r="B251" s="27" t="s">
        <v>374</v>
      </c>
      <c r="C251" s="27">
        <v>7</v>
      </c>
      <c r="D251" s="27" t="s">
        <v>119</v>
      </c>
      <c r="E251" s="27">
        <v>2</v>
      </c>
      <c r="F251" s="27" t="s">
        <v>744</v>
      </c>
      <c r="G251" s="29" t="s">
        <v>130</v>
      </c>
      <c r="H251" s="27" t="s">
        <v>98</v>
      </c>
      <c r="I251" s="31" t="s">
        <v>119</v>
      </c>
      <c r="J251" s="69">
        <v>5091</v>
      </c>
      <c r="K251" s="69">
        <v>5003</v>
      </c>
      <c r="L251" s="36">
        <v>4915</v>
      </c>
      <c r="M251" s="36">
        <v>4851</v>
      </c>
      <c r="N251" s="36">
        <v>4780</v>
      </c>
      <c r="O251" s="36">
        <v>4716</v>
      </c>
      <c r="P251" s="36">
        <v>4697</v>
      </c>
      <c r="Q251" s="36">
        <v>4655</v>
      </c>
      <c r="R251" s="69">
        <v>4629</v>
      </c>
      <c r="S251" s="69">
        <v>4578</v>
      </c>
      <c r="T251" s="71">
        <v>4509</v>
      </c>
      <c r="U251" s="36">
        <v>9308</v>
      </c>
      <c r="V251" s="36">
        <v>4658</v>
      </c>
      <c r="W251" s="36">
        <v>3545</v>
      </c>
      <c r="X251" s="36">
        <v>276.33276317626263</v>
      </c>
      <c r="Y251" s="36">
        <v>8954</v>
      </c>
      <c r="Z251" s="36">
        <v>4792</v>
      </c>
      <c r="AA251" s="36">
        <v>3697</v>
      </c>
      <c r="AB251" s="36">
        <v>300.38363666025867</v>
      </c>
      <c r="AC251" s="36">
        <v>9740</v>
      </c>
      <c r="AD251" s="36">
        <v>4628</v>
      </c>
      <c r="AE251" s="36">
        <v>3963</v>
      </c>
      <c r="AF251" s="36">
        <v>194.9298067688913</v>
      </c>
      <c r="AG251" s="36">
        <v>9246</v>
      </c>
      <c r="AH251" s="36">
        <v>5697</v>
      </c>
      <c r="AI251" s="36">
        <v>4083</v>
      </c>
      <c r="AJ251" s="36">
        <v>179.62470546089378</v>
      </c>
      <c r="AK251" s="36">
        <v>9447</v>
      </c>
      <c r="AL251" s="36">
        <v>6282</v>
      </c>
      <c r="AM251" s="36">
        <v>5066</v>
      </c>
      <c r="AN251" s="36">
        <v>96</v>
      </c>
      <c r="AO251" s="36">
        <v>8718</v>
      </c>
      <c r="AP251" s="36">
        <v>7457</v>
      </c>
      <c r="AQ251" s="36">
        <v>6116</v>
      </c>
      <c r="AR251" s="36">
        <v>127</v>
      </c>
      <c r="AS251" s="36">
        <v>8874</v>
      </c>
      <c r="AT251" s="36">
        <v>7946</v>
      </c>
      <c r="AU251" s="36">
        <v>6591</v>
      </c>
      <c r="AV251" s="36">
        <v>75</v>
      </c>
      <c r="AW251" s="36">
        <v>9507</v>
      </c>
      <c r="AX251" s="69">
        <v>8180</v>
      </c>
      <c r="AY251" s="36">
        <v>6089</v>
      </c>
      <c r="AZ251" s="36">
        <v>54</v>
      </c>
      <c r="BA251" s="36">
        <v>10287</v>
      </c>
      <c r="BB251" s="36">
        <v>8560</v>
      </c>
      <c r="BC251" s="36">
        <v>6926</v>
      </c>
      <c r="BD251" s="36">
        <v>23</v>
      </c>
      <c r="BE251" s="70">
        <v>11036</v>
      </c>
      <c r="BF251" s="70">
        <v>8914</v>
      </c>
      <c r="BG251" s="70">
        <v>5774</v>
      </c>
      <c r="BH251" s="70">
        <v>124</v>
      </c>
      <c r="BI251" s="36">
        <v>11774</v>
      </c>
      <c r="BJ251" s="36">
        <v>9279</v>
      </c>
      <c r="BK251" s="36">
        <v>6548</v>
      </c>
      <c r="BL251" s="36">
        <v>52</v>
      </c>
      <c r="BM251" s="36">
        <v>5700.7297674129177</v>
      </c>
      <c r="BN251" s="36">
        <v>2910.1556915635251</v>
      </c>
      <c r="BO251" s="36">
        <v>689.40231056573373</v>
      </c>
      <c r="BP251" s="36">
        <v>6006.6636056464058</v>
      </c>
      <c r="BQ251" s="36">
        <v>2246.3179458199411</v>
      </c>
      <c r="BR251" s="36">
        <v>693.60700872727148</v>
      </c>
      <c r="BS251" s="36">
        <v>6001.7861557790211</v>
      </c>
      <c r="BT251" s="36">
        <v>2864.5767634924555</v>
      </c>
      <c r="BU251" s="36">
        <v>867.176948835551</v>
      </c>
      <c r="BV251" s="36">
        <v>7046</v>
      </c>
      <c r="BW251" s="36">
        <v>1275</v>
      </c>
      <c r="BX251" s="36">
        <v>919</v>
      </c>
      <c r="BY251" s="36">
        <v>7487</v>
      </c>
      <c r="BZ251" s="36">
        <v>1020</v>
      </c>
      <c r="CA251" s="36">
        <v>940</v>
      </c>
      <c r="CB251" s="36">
        <v>7276</v>
      </c>
      <c r="CC251" s="36">
        <v>498</v>
      </c>
      <c r="CD251" s="36">
        <v>944</v>
      </c>
      <c r="CE251" s="36">
        <v>7229</v>
      </c>
      <c r="CF251" s="36">
        <v>704</v>
      </c>
      <c r="CG251" s="36">
        <v>941</v>
      </c>
      <c r="CH251" s="36">
        <v>7581</v>
      </c>
      <c r="CI251" s="36">
        <v>931</v>
      </c>
      <c r="CJ251" s="70">
        <v>995</v>
      </c>
      <c r="CK251" s="70">
        <v>7533</v>
      </c>
      <c r="CL251" s="70">
        <v>1716</v>
      </c>
      <c r="CM251" s="36">
        <v>1038</v>
      </c>
      <c r="CN251" s="36">
        <v>7862</v>
      </c>
      <c r="CO251" s="36">
        <v>2135</v>
      </c>
      <c r="CP251" s="36">
        <v>1039</v>
      </c>
      <c r="CQ251" s="36">
        <v>9179</v>
      </c>
      <c r="CR251" s="36">
        <v>1427</v>
      </c>
      <c r="CS251" s="36">
        <v>1168</v>
      </c>
      <c r="CT251" s="36">
        <v>753.81828640049241</v>
      </c>
      <c r="CU251" s="36">
        <v>-1346.344351</v>
      </c>
      <c r="CV251" s="36">
        <v>547.61988855867992</v>
      </c>
      <c r="CW251" s="36">
        <v>2186</v>
      </c>
      <c r="CX251" s="36">
        <v>349.66269911348144</v>
      </c>
      <c r="CY251" s="36">
        <v>-828.99828950000017</v>
      </c>
      <c r="CZ251" s="36">
        <v>584.95760823313537</v>
      </c>
      <c r="DA251" s="36">
        <v>1958</v>
      </c>
      <c r="DB251" s="36">
        <v>578.56646702759792</v>
      </c>
      <c r="DC251" s="36">
        <v>-267.41880309999999</v>
      </c>
      <c r="DD251" s="36">
        <v>612.37224024636168</v>
      </c>
      <c r="DE251" s="36">
        <v>1290</v>
      </c>
      <c r="DF251" s="36">
        <v>113.19047450859692</v>
      </c>
      <c r="DG251" s="36">
        <v>-849</v>
      </c>
      <c r="DH251" s="36">
        <v>597.40351479128719</v>
      </c>
      <c r="DI251" s="36">
        <v>1227</v>
      </c>
      <c r="DJ251" s="36">
        <v>819</v>
      </c>
      <c r="DK251" s="36">
        <v>-450</v>
      </c>
      <c r="DL251" s="36">
        <v>647</v>
      </c>
      <c r="DM251" s="36">
        <v>1128</v>
      </c>
      <c r="DN251" s="36">
        <v>572</v>
      </c>
      <c r="DO251" s="69">
        <v>100</v>
      </c>
      <c r="DP251" s="36">
        <v>710</v>
      </c>
      <c r="DQ251" s="36">
        <v>1026</v>
      </c>
      <c r="DR251" s="36">
        <v>587</v>
      </c>
      <c r="DS251" s="36">
        <v>-1126</v>
      </c>
      <c r="DT251" s="36">
        <v>588</v>
      </c>
      <c r="DU251" s="36">
        <v>2594</v>
      </c>
      <c r="DV251" s="36">
        <v>691</v>
      </c>
      <c r="DW251" s="71">
        <v>-867</v>
      </c>
      <c r="DX251" s="39">
        <v>607</v>
      </c>
      <c r="DY251" s="71">
        <v>3601</v>
      </c>
      <c r="DZ251" s="70">
        <v>882</v>
      </c>
      <c r="EA251" s="35">
        <v>245</v>
      </c>
      <c r="EB251" s="35">
        <v>628</v>
      </c>
      <c r="EC251" s="38">
        <v>3311</v>
      </c>
      <c r="ED251" s="38">
        <v>1841</v>
      </c>
      <c r="EE251" s="38">
        <v>-19</v>
      </c>
      <c r="EF251" s="38">
        <v>599</v>
      </c>
      <c r="EG251" s="73">
        <v>2912</v>
      </c>
      <c r="EH251" s="73">
        <v>735</v>
      </c>
      <c r="EI251" s="73">
        <v>-842</v>
      </c>
      <c r="EJ251" s="73">
        <v>287</v>
      </c>
      <c r="EK251" s="73">
        <v>2528</v>
      </c>
      <c r="EL251" s="73">
        <v>16073.551944000148</v>
      </c>
      <c r="EM251" s="73">
        <v>206.19839784181252</v>
      </c>
      <c r="EN251" s="73">
        <v>16504.449411594538</v>
      </c>
      <c r="EO251" s="73">
        <v>-62.397720717220594</v>
      </c>
      <c r="EP251" s="73">
        <v>17040.296145300912</v>
      </c>
      <c r="EQ251" s="73">
        <v>21.528054587073413</v>
      </c>
      <c r="ER251" s="73">
        <v>18149.663708241042</v>
      </c>
      <c r="ES251" s="73">
        <v>-484.21304028269026</v>
      </c>
      <c r="ET251" s="73">
        <v>19999</v>
      </c>
      <c r="EU251" s="73">
        <v>172</v>
      </c>
      <c r="EV251" s="73">
        <v>21791</v>
      </c>
      <c r="EW251" s="73">
        <v>-138</v>
      </c>
      <c r="EX251" s="73">
        <v>22844</v>
      </c>
      <c r="EY251" s="73">
        <v>-1</v>
      </c>
      <c r="EZ251" s="73">
        <v>23064</v>
      </c>
      <c r="FA251" s="73">
        <v>84</v>
      </c>
      <c r="FB251" s="73">
        <v>24869</v>
      </c>
      <c r="FC251" s="73">
        <v>590</v>
      </c>
      <c r="FD251" s="73">
        <v>23874</v>
      </c>
      <c r="FE251" s="73">
        <v>1242</v>
      </c>
      <c r="FF251" s="73">
        <v>26881</v>
      </c>
      <c r="FG251" s="73">
        <v>448</v>
      </c>
      <c r="FH251" s="73">
        <v>2034</v>
      </c>
      <c r="FI251" s="73">
        <v>2483</v>
      </c>
      <c r="FJ251" s="79">
        <v>4391</v>
      </c>
      <c r="FK251" s="80">
        <v>11171</v>
      </c>
      <c r="FL251" s="80">
        <v>10183</v>
      </c>
      <c r="FM251" s="80">
        <v>9683</v>
      </c>
      <c r="FN251" s="76">
        <v>35</v>
      </c>
      <c r="FO251" s="80">
        <v>8905</v>
      </c>
      <c r="FP251" s="80">
        <v>984</v>
      </c>
      <c r="FQ251" s="80">
        <v>1282</v>
      </c>
      <c r="FR251" s="80">
        <v>1138</v>
      </c>
      <c r="FS251" s="81">
        <v>-1151</v>
      </c>
      <c r="FT251" s="76">
        <v>317</v>
      </c>
      <c r="FU251" s="76">
        <v>3059</v>
      </c>
      <c r="FV251" s="76">
        <v>1151</v>
      </c>
      <c r="FW251" s="80">
        <v>29934</v>
      </c>
      <c r="FX251" s="80">
        <v>121</v>
      </c>
      <c r="FY251" s="73">
        <v>4305</v>
      </c>
      <c r="FZ251" s="73">
        <v>11407</v>
      </c>
      <c r="GA251" s="73">
        <v>12058</v>
      </c>
      <c r="GB251" s="73">
        <v>10321</v>
      </c>
      <c r="GC251" s="73">
        <v>42</v>
      </c>
      <c r="GD251" s="73">
        <v>8578</v>
      </c>
      <c r="GE251" s="73">
        <v>1250</v>
      </c>
      <c r="GF251" s="73">
        <v>1579</v>
      </c>
      <c r="GG251" s="73">
        <v>3063</v>
      </c>
      <c r="GH251" s="73">
        <v>-1022</v>
      </c>
      <c r="GI251" s="73">
        <v>331</v>
      </c>
      <c r="GJ251" s="73">
        <v>2590</v>
      </c>
      <c r="GK251" s="73">
        <v>1022</v>
      </c>
      <c r="GL251" s="73">
        <v>30765</v>
      </c>
      <c r="GM251" s="73">
        <v>-435</v>
      </c>
      <c r="GN251" s="73">
        <v>2169</v>
      </c>
      <c r="GO251" s="77">
        <v>19</v>
      </c>
      <c r="GP251" s="78">
        <v>4261</v>
      </c>
      <c r="GQ251" s="73">
        <v>11317</v>
      </c>
      <c r="GR251" s="65">
        <v>12262</v>
      </c>
      <c r="GS251" s="65">
        <v>10476</v>
      </c>
      <c r="GT251" s="65">
        <v>50</v>
      </c>
      <c r="GU251" s="65">
        <v>8368</v>
      </c>
      <c r="GV251" s="65">
        <v>1270</v>
      </c>
      <c r="GW251" s="65">
        <v>1679</v>
      </c>
      <c r="GX251" s="65">
        <v>3002</v>
      </c>
      <c r="GY251" s="65">
        <v>-1073</v>
      </c>
      <c r="GZ251" s="65">
        <v>2356</v>
      </c>
      <c r="HA251" s="65">
        <v>2059</v>
      </c>
      <c r="HB251" s="65">
        <v>1073</v>
      </c>
      <c r="HC251" s="65">
        <v>31103</v>
      </c>
      <c r="HD251" s="65">
        <v>646</v>
      </c>
      <c r="HE251" s="78">
        <v>4178</v>
      </c>
      <c r="HF251" s="73">
        <v>11349</v>
      </c>
      <c r="HG251" s="65">
        <v>13162</v>
      </c>
      <c r="HH251" s="65">
        <v>10362</v>
      </c>
      <c r="HI251" s="65">
        <v>91</v>
      </c>
      <c r="HJ251" s="65">
        <v>8874</v>
      </c>
      <c r="HK251" s="65">
        <v>768</v>
      </c>
      <c r="HL251" s="65">
        <v>1707</v>
      </c>
      <c r="HM251" s="65">
        <v>2597</v>
      </c>
      <c r="HN251" s="65">
        <v>-657</v>
      </c>
      <c r="HO251" s="65">
        <v>422</v>
      </c>
      <c r="HP251" s="65">
        <v>1600</v>
      </c>
      <c r="HQ251" s="65">
        <v>657</v>
      </c>
      <c r="HR251" s="65">
        <v>32367</v>
      </c>
      <c r="HS251" s="65">
        <v>175</v>
      </c>
      <c r="HT251" s="65">
        <v>2990</v>
      </c>
      <c r="HU251" s="77">
        <v>19</v>
      </c>
      <c r="HV251" s="180">
        <v>340</v>
      </c>
      <c r="HW251" s="30" t="s">
        <v>761</v>
      </c>
    </row>
    <row r="252" spans="1:231" ht="15" x14ac:dyDescent="0.25">
      <c r="A252" s="27">
        <v>783</v>
      </c>
      <c r="B252" s="27" t="s">
        <v>375</v>
      </c>
      <c r="C252" s="27">
        <v>4</v>
      </c>
      <c r="D252" s="27" t="s">
        <v>120</v>
      </c>
      <c r="E252" s="27">
        <v>3</v>
      </c>
      <c r="F252" s="27" t="s">
        <v>743</v>
      </c>
      <c r="G252" s="29" t="s">
        <v>130</v>
      </c>
      <c r="H252" s="27" t="s">
        <v>98</v>
      </c>
      <c r="I252" s="31" t="s">
        <v>120</v>
      </c>
      <c r="J252" s="82">
        <v>8327</v>
      </c>
      <c r="K252" s="82">
        <v>8262</v>
      </c>
      <c r="L252" s="82">
        <v>8118</v>
      </c>
      <c r="M252" s="82">
        <v>7981</v>
      </c>
      <c r="N252" s="82">
        <v>7932</v>
      </c>
      <c r="O252" s="82">
        <v>7896</v>
      </c>
      <c r="P252" s="82">
        <v>7882</v>
      </c>
      <c r="Q252" s="82">
        <v>7885</v>
      </c>
      <c r="R252" s="82">
        <v>7795</v>
      </c>
      <c r="S252" s="82">
        <v>7685</v>
      </c>
      <c r="T252" s="82">
        <v>7624</v>
      </c>
      <c r="U252" s="82">
        <v>17539</v>
      </c>
      <c r="V252" s="82">
        <v>4060</v>
      </c>
      <c r="W252" s="82">
        <v>3395</v>
      </c>
      <c r="X252" s="82">
        <v>611.69948854051574</v>
      </c>
      <c r="Y252" s="82">
        <v>18175</v>
      </c>
      <c r="Z252" s="82">
        <v>3984</v>
      </c>
      <c r="AA252" s="82">
        <v>3549</v>
      </c>
      <c r="AB252" s="82">
        <v>621.28620034882181</v>
      </c>
      <c r="AC252" s="82">
        <v>17385</v>
      </c>
      <c r="AD252" s="82">
        <v>4301</v>
      </c>
      <c r="AE252" s="82">
        <v>3230</v>
      </c>
      <c r="AF252" s="82">
        <v>420.97437993316214</v>
      </c>
      <c r="AG252" s="82">
        <v>18143</v>
      </c>
      <c r="AH252" s="82">
        <v>5161</v>
      </c>
      <c r="AI252" s="82">
        <v>3396</v>
      </c>
      <c r="AJ252" s="82">
        <v>426.86095735931497</v>
      </c>
      <c r="AK252" s="82">
        <v>19483</v>
      </c>
      <c r="AL252" s="82">
        <v>6350</v>
      </c>
      <c r="AM252" s="82">
        <v>3166</v>
      </c>
      <c r="AN252" s="82">
        <v>273</v>
      </c>
      <c r="AO252" s="82">
        <v>18791</v>
      </c>
      <c r="AP252" s="82">
        <v>6588</v>
      </c>
      <c r="AQ252" s="82">
        <v>3310</v>
      </c>
      <c r="AR252" s="82">
        <v>891</v>
      </c>
      <c r="AS252" s="82">
        <v>18751</v>
      </c>
      <c r="AT252" s="82">
        <v>6795</v>
      </c>
      <c r="AU252" s="82">
        <v>3189</v>
      </c>
      <c r="AV252" s="82">
        <v>267</v>
      </c>
      <c r="AW252" s="82">
        <v>19244</v>
      </c>
      <c r="AX252" s="82">
        <v>7466</v>
      </c>
      <c r="AY252" s="82">
        <v>3819</v>
      </c>
      <c r="AZ252" s="82">
        <v>223</v>
      </c>
      <c r="BA252" s="82">
        <v>20669</v>
      </c>
      <c r="BB252" s="82">
        <v>7634</v>
      </c>
      <c r="BC252" s="82">
        <v>4084</v>
      </c>
      <c r="BD252" s="82">
        <v>1526</v>
      </c>
      <c r="BE252" s="82">
        <v>21813</v>
      </c>
      <c r="BF252" s="82">
        <v>7863</v>
      </c>
      <c r="BG252" s="82">
        <v>4256</v>
      </c>
      <c r="BH252" s="82">
        <v>458</v>
      </c>
      <c r="BI252" s="82">
        <v>23478</v>
      </c>
      <c r="BJ252" s="82">
        <v>8970</v>
      </c>
      <c r="BK252" s="82">
        <v>4539</v>
      </c>
      <c r="BL252" s="82">
        <v>172</v>
      </c>
      <c r="BM252" s="82">
        <v>13094.271014660941</v>
      </c>
      <c r="BN252" s="82">
        <v>4067.4568135451827</v>
      </c>
      <c r="BO252" s="82">
        <v>377.41370697963072</v>
      </c>
      <c r="BP252" s="82">
        <v>14000.635750362024</v>
      </c>
      <c r="BQ252" s="82">
        <v>3679.9518309778618</v>
      </c>
      <c r="BR252" s="82">
        <v>494.64069172330392</v>
      </c>
      <c r="BS252" s="82">
        <v>13787.541647535289</v>
      </c>
      <c r="BT252" s="82">
        <v>2914.3603897250632</v>
      </c>
      <c r="BU252" s="82">
        <v>672.91989377250559</v>
      </c>
      <c r="BV252" s="82">
        <v>15233</v>
      </c>
      <c r="BW252" s="82">
        <v>2175</v>
      </c>
      <c r="BX252" s="82">
        <v>725</v>
      </c>
      <c r="BY252" s="82">
        <v>17238</v>
      </c>
      <c r="BZ252" s="82">
        <v>1401</v>
      </c>
      <c r="CA252" s="82">
        <v>835</v>
      </c>
      <c r="CB252" s="82">
        <v>17228</v>
      </c>
      <c r="CC252" s="82">
        <v>720</v>
      </c>
      <c r="CD252" s="82">
        <v>835</v>
      </c>
      <c r="CE252" s="82">
        <v>17057</v>
      </c>
      <c r="CF252" s="82">
        <v>876</v>
      </c>
      <c r="CG252" s="82">
        <v>818</v>
      </c>
      <c r="CH252" s="82">
        <v>17417</v>
      </c>
      <c r="CI252" s="82">
        <v>977</v>
      </c>
      <c r="CJ252" s="82">
        <v>850</v>
      </c>
      <c r="CK252" s="82">
        <v>18542</v>
      </c>
      <c r="CL252" s="82">
        <v>1245</v>
      </c>
      <c r="CM252" s="82">
        <v>882</v>
      </c>
      <c r="CN252" s="82">
        <v>19286</v>
      </c>
      <c r="CO252" s="82">
        <v>1631</v>
      </c>
      <c r="CP252" s="82">
        <v>896</v>
      </c>
      <c r="CQ252" s="82">
        <v>21038</v>
      </c>
      <c r="CR252" s="82">
        <v>1464</v>
      </c>
      <c r="CS252" s="82">
        <v>976</v>
      </c>
      <c r="CT252" s="82">
        <v>-385.31853952332176</v>
      </c>
      <c r="CU252" s="82">
        <v>-2023.1325670000001</v>
      </c>
      <c r="CV252" s="82">
        <v>1290.5059597391742</v>
      </c>
      <c r="CW252" s="82">
        <v>2700</v>
      </c>
      <c r="CX252" s="82">
        <v>620.61344864297564</v>
      </c>
      <c r="CY252" s="82">
        <v>-935.62943489999998</v>
      </c>
      <c r="CZ252" s="82">
        <v>1284.1148185336367</v>
      </c>
      <c r="DA252" s="82">
        <v>2521</v>
      </c>
      <c r="DB252" s="82">
        <v>-568.64337936636878</v>
      </c>
      <c r="DC252" s="82">
        <v>-851.36728380000022</v>
      </c>
      <c r="DD252" s="82">
        <v>1183.5384385096531</v>
      </c>
      <c r="DE252" s="82">
        <v>2480</v>
      </c>
      <c r="DF252" s="82">
        <v>-373.88176052393908</v>
      </c>
      <c r="DG252" s="82">
        <v>-333</v>
      </c>
      <c r="DH252" s="82">
        <v>1142.8369603059675</v>
      </c>
      <c r="DI252" s="82">
        <v>3292</v>
      </c>
      <c r="DJ252" s="82">
        <v>3173</v>
      </c>
      <c r="DK252" s="82">
        <v>-87</v>
      </c>
      <c r="DL252" s="82">
        <v>1076</v>
      </c>
      <c r="DM252" s="82">
        <v>2655</v>
      </c>
      <c r="DN252" s="82">
        <v>1714</v>
      </c>
      <c r="DO252" s="82">
        <v>-591</v>
      </c>
      <c r="DP252" s="82">
        <v>1035</v>
      </c>
      <c r="DQ252" s="82">
        <v>1584</v>
      </c>
      <c r="DR252" s="82">
        <v>-217</v>
      </c>
      <c r="DS252" s="82">
        <v>-1643</v>
      </c>
      <c r="DT252" s="82">
        <v>1167</v>
      </c>
      <c r="DU252" s="82">
        <v>1180</v>
      </c>
      <c r="DV252" s="82">
        <v>270</v>
      </c>
      <c r="DW252" s="82">
        <v>-1233</v>
      </c>
      <c r="DX252" s="82">
        <v>1199</v>
      </c>
      <c r="DY252" s="82">
        <v>1836</v>
      </c>
      <c r="DZ252" s="82">
        <v>834</v>
      </c>
      <c r="EA252" s="82">
        <v>-616</v>
      </c>
      <c r="EB252" s="82">
        <v>1270</v>
      </c>
      <c r="EC252" s="82">
        <v>1228</v>
      </c>
      <c r="ED252" s="82">
        <v>771</v>
      </c>
      <c r="EE252" s="82">
        <v>-1560</v>
      </c>
      <c r="EF252" s="82">
        <v>1533</v>
      </c>
      <c r="EG252" s="82">
        <v>1349</v>
      </c>
      <c r="EH252" s="82">
        <v>398</v>
      </c>
      <c r="EI252" s="82">
        <v>-1252</v>
      </c>
      <c r="EJ252" s="82">
        <v>1435</v>
      </c>
      <c r="EK252" s="82">
        <v>547</v>
      </c>
      <c r="EL252" s="82">
        <v>24556.110015086459</v>
      </c>
      <c r="EM252" s="82">
        <v>-682.33841765435022</v>
      </c>
      <c r="EN252" s="82">
        <v>24340.829469215721</v>
      </c>
      <c r="EO252" s="82">
        <v>-597.06713893836422</v>
      </c>
      <c r="EP252" s="82">
        <v>24216.538591560668</v>
      </c>
      <c r="EQ252" s="82">
        <v>-1758.2365832286364</v>
      </c>
      <c r="ER252" s="82">
        <v>25935.755575850231</v>
      </c>
      <c r="ES252" s="82">
        <v>-1126.1863555862778</v>
      </c>
      <c r="ET252" s="82">
        <v>25937</v>
      </c>
      <c r="EU252" s="82">
        <v>2464</v>
      </c>
      <c r="EV252" s="82">
        <v>27141</v>
      </c>
      <c r="EW252" s="82">
        <v>1028</v>
      </c>
      <c r="EX252" s="82">
        <v>29178</v>
      </c>
      <c r="EY252" s="82">
        <v>-1384</v>
      </c>
      <c r="EZ252" s="82">
        <v>30438</v>
      </c>
      <c r="FA252" s="82">
        <v>-929</v>
      </c>
      <c r="FB252" s="82">
        <v>31717</v>
      </c>
      <c r="FC252" s="82">
        <v>926</v>
      </c>
      <c r="FD252" s="82">
        <v>33323</v>
      </c>
      <c r="FE252" s="82">
        <v>-502</v>
      </c>
      <c r="FF252" s="82">
        <v>36702</v>
      </c>
      <c r="FG252" s="82">
        <v>-970</v>
      </c>
      <c r="FH252" s="82">
        <v>-981</v>
      </c>
      <c r="FI252" s="82">
        <v>-1952</v>
      </c>
      <c r="FJ252" s="82">
        <v>7573</v>
      </c>
      <c r="FK252" s="82">
        <v>23459</v>
      </c>
      <c r="FL252" s="82">
        <v>9667</v>
      </c>
      <c r="FM252" s="82">
        <v>5067</v>
      </c>
      <c r="FN252" s="82">
        <v>255</v>
      </c>
      <c r="FO252" s="82">
        <v>21506</v>
      </c>
      <c r="FP252" s="82">
        <v>952</v>
      </c>
      <c r="FQ252" s="82">
        <v>1001</v>
      </c>
      <c r="FR252" s="82">
        <v>-750</v>
      </c>
      <c r="FS252" s="82">
        <v>-1912</v>
      </c>
      <c r="FT252" s="82">
        <v>1443</v>
      </c>
      <c r="FU252" s="82">
        <v>3632</v>
      </c>
      <c r="FV252" s="82">
        <v>1912</v>
      </c>
      <c r="FW252" s="82">
        <v>39028</v>
      </c>
      <c r="FX252" s="82">
        <v>-2048</v>
      </c>
      <c r="FY252" s="82">
        <v>7527</v>
      </c>
      <c r="FZ252" s="82">
        <v>25019</v>
      </c>
      <c r="GA252" s="82">
        <v>11580</v>
      </c>
      <c r="GB252" s="82">
        <v>5421</v>
      </c>
      <c r="GC252" s="82">
        <v>344</v>
      </c>
      <c r="GD252" s="82">
        <v>22106</v>
      </c>
      <c r="GE252" s="82">
        <v>1521</v>
      </c>
      <c r="GF252" s="82">
        <v>1392</v>
      </c>
      <c r="GG252" s="82">
        <v>2689</v>
      </c>
      <c r="GH252" s="82">
        <v>-3235</v>
      </c>
      <c r="GI252" s="82">
        <v>1282</v>
      </c>
      <c r="GJ252" s="82">
        <v>4667</v>
      </c>
      <c r="GK252" s="82">
        <v>3235</v>
      </c>
      <c r="GL252" s="82">
        <v>39394</v>
      </c>
      <c r="GM252" s="82">
        <v>1696</v>
      </c>
      <c r="GN252" s="82">
        <v>-2304</v>
      </c>
      <c r="GO252" s="83">
        <v>20</v>
      </c>
      <c r="GP252" s="82">
        <v>7477</v>
      </c>
      <c r="GQ252" s="82">
        <v>25475</v>
      </c>
      <c r="GR252" s="82">
        <v>11215</v>
      </c>
      <c r="GS252" s="82">
        <v>6261</v>
      </c>
      <c r="GT252" s="82">
        <v>158</v>
      </c>
      <c r="GU252" s="82">
        <v>21865</v>
      </c>
      <c r="GV252" s="82">
        <v>2219</v>
      </c>
      <c r="GW252" s="82">
        <v>1391</v>
      </c>
      <c r="GX252" s="82">
        <v>1697</v>
      </c>
      <c r="GY252" s="82">
        <v>-3466</v>
      </c>
      <c r="GZ252" s="82">
        <v>1441</v>
      </c>
      <c r="HA252" s="82">
        <v>8339</v>
      </c>
      <c r="HB252" s="82">
        <v>3466</v>
      </c>
      <c r="HC252" s="82">
        <v>41281</v>
      </c>
      <c r="HD252" s="82">
        <v>303</v>
      </c>
      <c r="HE252" s="82">
        <v>7381</v>
      </c>
      <c r="HF252" s="82">
        <v>25361</v>
      </c>
      <c r="HG252" s="82">
        <v>11763</v>
      </c>
      <c r="HH252" s="82">
        <v>6414</v>
      </c>
      <c r="HI252" s="82">
        <v>108</v>
      </c>
      <c r="HJ252" s="82">
        <v>22366</v>
      </c>
      <c r="HK252" s="82">
        <v>1568</v>
      </c>
      <c r="HL252" s="82">
        <v>1427</v>
      </c>
      <c r="HM252" s="82">
        <v>695</v>
      </c>
      <c r="HN252" s="82">
        <v>-901</v>
      </c>
      <c r="HO252" s="82">
        <v>1432</v>
      </c>
      <c r="HP252" s="82">
        <v>7986</v>
      </c>
      <c r="HQ252" s="82">
        <v>901</v>
      </c>
      <c r="HR252" s="82">
        <v>42782</v>
      </c>
      <c r="HS252" s="82">
        <v>-717</v>
      </c>
      <c r="HT252" s="82">
        <v>-2719</v>
      </c>
      <c r="HU252" s="83">
        <v>20</v>
      </c>
      <c r="HV252" s="180">
        <v>340</v>
      </c>
      <c r="HW252" s="30" t="s">
        <v>761</v>
      </c>
    </row>
    <row r="253" spans="1:231" ht="15" x14ac:dyDescent="0.25">
      <c r="A253" s="32">
        <v>831</v>
      </c>
      <c r="B253" s="32" t="s">
        <v>376</v>
      </c>
      <c r="C253" s="32">
        <v>9</v>
      </c>
      <c r="D253" s="32" t="s">
        <v>105</v>
      </c>
      <c r="E253" s="27">
        <v>2</v>
      </c>
      <c r="F253" s="27" t="s">
        <v>744</v>
      </c>
      <c r="G253" s="43" t="s">
        <v>130</v>
      </c>
      <c r="H253" s="32" t="s">
        <v>98</v>
      </c>
      <c r="I253" s="31" t="s">
        <v>105</v>
      </c>
      <c r="J253" s="69">
        <v>4708</v>
      </c>
      <c r="K253" s="69">
        <v>4704</v>
      </c>
      <c r="L253" s="36">
        <v>4712</v>
      </c>
      <c r="M253" s="36">
        <v>4701</v>
      </c>
      <c r="N253" s="36">
        <v>4723</v>
      </c>
      <c r="O253" s="36">
        <v>4802</v>
      </c>
      <c r="P253" s="36">
        <v>4844</v>
      </c>
      <c r="Q253" s="36">
        <v>4895</v>
      </c>
      <c r="R253" s="69">
        <v>4962</v>
      </c>
      <c r="S253" s="69">
        <v>4964</v>
      </c>
      <c r="T253" s="71">
        <v>4914</v>
      </c>
      <c r="U253" s="36">
        <v>9596</v>
      </c>
      <c r="V253" s="36">
        <v>1291</v>
      </c>
      <c r="W253" s="36">
        <v>2475</v>
      </c>
      <c r="X253" s="36">
        <v>120.75893119936492</v>
      </c>
      <c r="Y253" s="36">
        <v>9368</v>
      </c>
      <c r="Z253" s="36">
        <v>1370</v>
      </c>
      <c r="AA253" s="36">
        <v>2525</v>
      </c>
      <c r="AB253" s="36">
        <v>216.79423720888772</v>
      </c>
      <c r="AC253" s="36">
        <v>9202</v>
      </c>
      <c r="AD253" s="36">
        <v>1628</v>
      </c>
      <c r="AE253" s="36">
        <v>2570</v>
      </c>
      <c r="AF253" s="36">
        <v>85.607654568909112</v>
      </c>
      <c r="AG253" s="36">
        <v>10389</v>
      </c>
      <c r="AH253" s="36">
        <v>2549</v>
      </c>
      <c r="AI253" s="36">
        <v>2841</v>
      </c>
      <c r="AJ253" s="36">
        <v>68.957049849219516</v>
      </c>
      <c r="AK253" s="36">
        <v>11115</v>
      </c>
      <c r="AL253" s="36">
        <v>3193</v>
      </c>
      <c r="AM253" s="36">
        <v>2549</v>
      </c>
      <c r="AN253" s="36">
        <v>60</v>
      </c>
      <c r="AO253" s="36">
        <v>10674</v>
      </c>
      <c r="AP253" s="36">
        <v>3689</v>
      </c>
      <c r="AQ253" s="36">
        <v>2560</v>
      </c>
      <c r="AR253" s="36">
        <v>60</v>
      </c>
      <c r="AS253" s="36">
        <v>11078</v>
      </c>
      <c r="AT253" s="36">
        <v>3720</v>
      </c>
      <c r="AU253" s="36">
        <v>2979</v>
      </c>
      <c r="AV253" s="36">
        <v>29</v>
      </c>
      <c r="AW253" s="36">
        <v>11866</v>
      </c>
      <c r="AX253" s="69">
        <v>3948</v>
      </c>
      <c r="AY253" s="36">
        <v>2750</v>
      </c>
      <c r="AZ253" s="36">
        <v>39</v>
      </c>
      <c r="BA253" s="36">
        <v>12269</v>
      </c>
      <c r="BB253" s="36">
        <v>3852</v>
      </c>
      <c r="BC253" s="36">
        <v>3265</v>
      </c>
      <c r="BD253" s="36">
        <v>0</v>
      </c>
      <c r="BE253" s="70">
        <v>13180</v>
      </c>
      <c r="BF253" s="70">
        <v>3898</v>
      </c>
      <c r="BG253" s="70">
        <v>3336</v>
      </c>
      <c r="BH253" s="70">
        <v>50</v>
      </c>
      <c r="BI253" s="36">
        <v>13982</v>
      </c>
      <c r="BJ253" s="36">
        <v>4266</v>
      </c>
      <c r="BK253" s="36">
        <v>3972</v>
      </c>
      <c r="BL253" s="36">
        <v>0</v>
      </c>
      <c r="BM253" s="36">
        <v>8055.0243620211468</v>
      </c>
      <c r="BN253" s="36">
        <v>1113.0676973222801</v>
      </c>
      <c r="BO253" s="36">
        <v>428.37464869746861</v>
      </c>
      <c r="BP253" s="36">
        <v>8059.2290601826844</v>
      </c>
      <c r="BQ253" s="36">
        <v>848.67627692478459</v>
      </c>
      <c r="BR253" s="36">
        <v>460.16216679869416</v>
      </c>
      <c r="BS253" s="36">
        <v>7785.7554917562684</v>
      </c>
      <c r="BT253" s="36">
        <v>924.36084383246464</v>
      </c>
      <c r="BU253" s="36">
        <v>492.11787282638124</v>
      </c>
      <c r="BV253" s="36">
        <v>9232</v>
      </c>
      <c r="BW253" s="36">
        <v>605</v>
      </c>
      <c r="BX253" s="36">
        <v>552</v>
      </c>
      <c r="BY253" s="36">
        <v>10195</v>
      </c>
      <c r="BZ253" s="36">
        <v>355</v>
      </c>
      <c r="CA253" s="36">
        <v>565</v>
      </c>
      <c r="CB253" s="36">
        <v>9906</v>
      </c>
      <c r="CC253" s="36">
        <v>200</v>
      </c>
      <c r="CD253" s="36">
        <v>568</v>
      </c>
      <c r="CE253" s="36">
        <v>10200</v>
      </c>
      <c r="CF253" s="36">
        <v>296</v>
      </c>
      <c r="CG253" s="36">
        <v>582</v>
      </c>
      <c r="CH253" s="36">
        <v>10812</v>
      </c>
      <c r="CI253" s="36">
        <v>438</v>
      </c>
      <c r="CJ253" s="70">
        <v>616</v>
      </c>
      <c r="CK253" s="70">
        <v>11133</v>
      </c>
      <c r="CL253" s="70">
        <v>510</v>
      </c>
      <c r="CM253" s="36">
        <v>626</v>
      </c>
      <c r="CN253" s="36">
        <v>11976</v>
      </c>
      <c r="CO253" s="36">
        <v>549</v>
      </c>
      <c r="CP253" s="36">
        <v>655</v>
      </c>
      <c r="CQ253" s="36">
        <v>12750</v>
      </c>
      <c r="CR253" s="36">
        <v>542</v>
      </c>
      <c r="CS253" s="36">
        <v>690</v>
      </c>
      <c r="CT253" s="36">
        <v>495.14525550268849</v>
      </c>
      <c r="CU253" s="36">
        <v>-456.12565660000001</v>
      </c>
      <c r="CV253" s="36">
        <v>593.8715683355955</v>
      </c>
      <c r="CW253" s="36">
        <v>1586</v>
      </c>
      <c r="CX253" s="36">
        <v>343.1033699814825</v>
      </c>
      <c r="CY253" s="36">
        <v>-561.41129850000004</v>
      </c>
      <c r="CZ253" s="36">
        <v>433.58847441777544</v>
      </c>
      <c r="DA253" s="36">
        <v>2154</v>
      </c>
      <c r="DB253" s="36">
        <v>335.70310121717603</v>
      </c>
      <c r="DC253" s="36">
        <v>-530.29653210000004</v>
      </c>
      <c r="DD253" s="36">
        <v>442.67062244669705</v>
      </c>
      <c r="DE253" s="36">
        <v>1033</v>
      </c>
      <c r="DF253" s="36">
        <v>1446.4161675689948</v>
      </c>
      <c r="DG253" s="36">
        <v>-2107</v>
      </c>
      <c r="DH253" s="36">
        <v>525.41908226576049</v>
      </c>
      <c r="DI253" s="36">
        <v>1730</v>
      </c>
      <c r="DJ253" s="36">
        <v>2303</v>
      </c>
      <c r="DK253" s="36">
        <v>-1642</v>
      </c>
      <c r="DL253" s="36">
        <v>580</v>
      </c>
      <c r="DM253" s="36">
        <v>2044</v>
      </c>
      <c r="DN253" s="36">
        <v>1348</v>
      </c>
      <c r="DO253" s="69">
        <v>-1575</v>
      </c>
      <c r="DP253" s="36">
        <v>631</v>
      </c>
      <c r="DQ253" s="36">
        <v>1820</v>
      </c>
      <c r="DR253" s="36">
        <v>1192</v>
      </c>
      <c r="DS253" s="36">
        <v>-1121</v>
      </c>
      <c r="DT253" s="36">
        <v>771</v>
      </c>
      <c r="DU253" s="36">
        <v>2195</v>
      </c>
      <c r="DV253" s="36">
        <v>1147</v>
      </c>
      <c r="DW253" s="71">
        <v>-1527</v>
      </c>
      <c r="DX253" s="39">
        <v>822</v>
      </c>
      <c r="DY253" s="71">
        <v>2029</v>
      </c>
      <c r="DZ253" s="70">
        <v>177</v>
      </c>
      <c r="EA253" s="35">
        <v>-2519</v>
      </c>
      <c r="EB253" s="35">
        <v>858</v>
      </c>
      <c r="EC253" s="38">
        <v>4140</v>
      </c>
      <c r="ED253" s="38">
        <v>-83</v>
      </c>
      <c r="EE253" s="38">
        <v>-711</v>
      </c>
      <c r="EF253" s="38">
        <v>1044</v>
      </c>
      <c r="EG253" s="73">
        <v>3856</v>
      </c>
      <c r="EH253" s="73">
        <v>369</v>
      </c>
      <c r="EI253" s="73">
        <v>-2619</v>
      </c>
      <c r="EJ253" s="73">
        <v>841</v>
      </c>
      <c r="EK253" s="73">
        <v>6866</v>
      </c>
      <c r="EL253" s="73">
        <v>12181.010573974936</v>
      </c>
      <c r="EM253" s="73">
        <v>-98.72631283290697</v>
      </c>
      <c r="EN253" s="73">
        <v>12351.889507259832</v>
      </c>
      <c r="EO253" s="73">
        <v>-34.814900777532785</v>
      </c>
      <c r="EP253" s="73">
        <v>12345.161990201372</v>
      </c>
      <c r="EQ253" s="73">
        <v>-106.96752122952101</v>
      </c>
      <c r="ER253" s="73">
        <v>13533.746066504867</v>
      </c>
      <c r="ES253" s="73">
        <v>668.71519561096784</v>
      </c>
      <c r="ET253" s="73">
        <v>14539</v>
      </c>
      <c r="EU253" s="73">
        <v>802</v>
      </c>
      <c r="EV253" s="73">
        <v>15566</v>
      </c>
      <c r="EW253" s="73">
        <v>772</v>
      </c>
      <c r="EX253" s="73">
        <v>16558</v>
      </c>
      <c r="EY253" s="73">
        <v>476</v>
      </c>
      <c r="EZ253" s="73">
        <v>17434</v>
      </c>
      <c r="FA253" s="73">
        <v>380</v>
      </c>
      <c r="FB253" s="73">
        <v>19134</v>
      </c>
      <c r="FC253" s="73">
        <v>-597</v>
      </c>
      <c r="FD253" s="73">
        <v>20378</v>
      </c>
      <c r="FE253" s="73">
        <v>-1021</v>
      </c>
      <c r="FF253" s="73">
        <v>21627</v>
      </c>
      <c r="FG253" s="73">
        <v>-399</v>
      </c>
      <c r="FH253" s="73">
        <v>1626</v>
      </c>
      <c r="FI253" s="73">
        <v>1228</v>
      </c>
      <c r="FJ253" s="79">
        <v>4888</v>
      </c>
      <c r="FK253" s="80">
        <v>14524</v>
      </c>
      <c r="FL253" s="80">
        <v>4878</v>
      </c>
      <c r="FM253" s="80">
        <v>3560</v>
      </c>
      <c r="FN253" s="76">
        <v>0</v>
      </c>
      <c r="FO253" s="80">
        <v>13111</v>
      </c>
      <c r="FP253" s="80">
        <v>485</v>
      </c>
      <c r="FQ253" s="80">
        <v>928</v>
      </c>
      <c r="FR253" s="80">
        <v>414</v>
      </c>
      <c r="FS253" s="81">
        <v>294</v>
      </c>
      <c r="FT253" s="76">
        <v>1065</v>
      </c>
      <c r="FU253" s="76">
        <v>7518</v>
      </c>
      <c r="FV253" s="76">
        <v>-294</v>
      </c>
      <c r="FW253" s="80">
        <v>22299</v>
      </c>
      <c r="FX253" s="80">
        <v>-577</v>
      </c>
      <c r="FY253" s="73">
        <v>4911</v>
      </c>
      <c r="FZ253" s="73">
        <v>15633</v>
      </c>
      <c r="GA253" s="73">
        <v>5945</v>
      </c>
      <c r="GB253" s="73">
        <v>2785</v>
      </c>
      <c r="GC253" s="73">
        <v>-2</v>
      </c>
      <c r="GD253" s="73">
        <v>13956</v>
      </c>
      <c r="GE253" s="73">
        <v>646</v>
      </c>
      <c r="GF253" s="73">
        <v>1031</v>
      </c>
      <c r="GG253" s="73">
        <v>1536</v>
      </c>
      <c r="GH253" s="73">
        <v>-268</v>
      </c>
      <c r="GI253" s="73">
        <v>684</v>
      </c>
      <c r="GJ253" s="73">
        <v>7151</v>
      </c>
      <c r="GK253" s="73">
        <v>268</v>
      </c>
      <c r="GL253" s="73">
        <v>22710</v>
      </c>
      <c r="GM253" s="73">
        <v>931</v>
      </c>
      <c r="GN253" s="73">
        <v>1581</v>
      </c>
      <c r="GO253" s="77">
        <v>19.75</v>
      </c>
      <c r="GP253" s="78">
        <v>4855</v>
      </c>
      <c r="GQ253" s="73">
        <v>16259</v>
      </c>
      <c r="GR253" s="65">
        <v>6330</v>
      </c>
      <c r="GS253" s="65">
        <v>2703</v>
      </c>
      <c r="GT253" s="65">
        <v>0</v>
      </c>
      <c r="GU253" s="65">
        <v>14501</v>
      </c>
      <c r="GV253" s="65">
        <v>664</v>
      </c>
      <c r="GW253" s="65">
        <v>1094</v>
      </c>
      <c r="GX253" s="65">
        <v>1690</v>
      </c>
      <c r="GY253" s="65">
        <v>-909</v>
      </c>
      <c r="GZ253" s="65">
        <v>667</v>
      </c>
      <c r="HA253" s="65">
        <v>6533</v>
      </c>
      <c r="HB253" s="65">
        <v>909</v>
      </c>
      <c r="HC253" s="65">
        <v>23485</v>
      </c>
      <c r="HD253" s="65">
        <v>1101</v>
      </c>
      <c r="HE253" s="78">
        <v>4840</v>
      </c>
      <c r="HF253" s="73">
        <v>16659</v>
      </c>
      <c r="HG253" s="65">
        <v>6697</v>
      </c>
      <c r="HH253" s="65">
        <v>3507</v>
      </c>
      <c r="HI253" s="65">
        <v>245</v>
      </c>
      <c r="HJ253" s="65">
        <v>15108</v>
      </c>
      <c r="HK253" s="65">
        <v>431</v>
      </c>
      <c r="HL253" s="65">
        <v>1120</v>
      </c>
      <c r="HM253" s="65">
        <v>2301</v>
      </c>
      <c r="HN253" s="65">
        <v>-1463</v>
      </c>
      <c r="HO253" s="65">
        <v>1647</v>
      </c>
      <c r="HP253" s="65">
        <v>5918</v>
      </c>
      <c r="HQ253" s="65">
        <v>1463</v>
      </c>
      <c r="HR253" s="65">
        <v>24490</v>
      </c>
      <c r="HS253" s="65">
        <v>977</v>
      </c>
      <c r="HT253" s="65">
        <v>3640</v>
      </c>
      <c r="HU253" s="77">
        <v>19.75</v>
      </c>
      <c r="HV253" s="180">
        <v>340</v>
      </c>
      <c r="HW253" s="30" t="s">
        <v>761</v>
      </c>
    </row>
    <row r="254" spans="1:231" ht="15" x14ac:dyDescent="0.25">
      <c r="A254" s="27">
        <v>832</v>
      </c>
      <c r="B254" s="27" t="s">
        <v>377</v>
      </c>
      <c r="C254" s="27">
        <v>17</v>
      </c>
      <c r="D254" s="27" t="s">
        <v>117</v>
      </c>
      <c r="E254" s="27">
        <v>2</v>
      </c>
      <c r="F254" s="27" t="s">
        <v>744</v>
      </c>
      <c r="G254" s="29" t="s">
        <v>130</v>
      </c>
      <c r="H254" s="27" t="s">
        <v>98</v>
      </c>
      <c r="I254" s="31" t="s">
        <v>117</v>
      </c>
      <c r="J254" s="69">
        <v>5317</v>
      </c>
      <c r="K254" s="69">
        <v>5224</v>
      </c>
      <c r="L254" s="36">
        <v>5127</v>
      </c>
      <c r="M254" s="36">
        <v>5031</v>
      </c>
      <c r="N254" s="36">
        <v>4940</v>
      </c>
      <c r="O254" s="36">
        <v>4869</v>
      </c>
      <c r="P254" s="36">
        <v>4779</v>
      </c>
      <c r="Q254" s="36">
        <v>4728</v>
      </c>
      <c r="R254" s="69">
        <v>4663</v>
      </c>
      <c r="S254" s="69">
        <v>4621</v>
      </c>
      <c r="T254" s="71">
        <v>4546</v>
      </c>
      <c r="U254" s="36">
        <v>8663</v>
      </c>
      <c r="V254" s="36">
        <v>8677</v>
      </c>
      <c r="W254" s="36">
        <v>3743</v>
      </c>
      <c r="X254" s="36">
        <v>197.62081359227543</v>
      </c>
      <c r="Y254" s="36">
        <v>8393</v>
      </c>
      <c r="Z254" s="36">
        <v>8760</v>
      </c>
      <c r="AA254" s="36">
        <v>3994</v>
      </c>
      <c r="AB254" s="36">
        <v>111.3404073175203</v>
      </c>
      <c r="AC254" s="36">
        <v>7945</v>
      </c>
      <c r="AD254" s="36">
        <v>9566</v>
      </c>
      <c r="AE254" s="36">
        <v>3734</v>
      </c>
      <c r="AF254" s="36">
        <v>42.383357468300787</v>
      </c>
      <c r="AG254" s="36">
        <v>8263</v>
      </c>
      <c r="AH254" s="36">
        <v>9986</v>
      </c>
      <c r="AI254" s="36">
        <v>3789</v>
      </c>
      <c r="AJ254" s="36">
        <v>50.792753791376327</v>
      </c>
      <c r="AK254" s="36">
        <v>8600</v>
      </c>
      <c r="AL254" s="36">
        <v>11867</v>
      </c>
      <c r="AM254" s="36">
        <v>4181</v>
      </c>
      <c r="AN254" s="36">
        <v>52</v>
      </c>
      <c r="AO254" s="36">
        <v>8293</v>
      </c>
      <c r="AP254" s="36">
        <v>11667</v>
      </c>
      <c r="AQ254" s="36">
        <v>4086</v>
      </c>
      <c r="AR254" s="36">
        <v>51</v>
      </c>
      <c r="AS254" s="36">
        <v>8227</v>
      </c>
      <c r="AT254" s="36">
        <v>11465</v>
      </c>
      <c r="AU254" s="36">
        <v>3743</v>
      </c>
      <c r="AV254" s="36">
        <v>46</v>
      </c>
      <c r="AW254" s="36">
        <v>8716</v>
      </c>
      <c r="AX254" s="69">
        <v>11587</v>
      </c>
      <c r="AY254" s="36">
        <v>3825</v>
      </c>
      <c r="AZ254" s="36">
        <v>52</v>
      </c>
      <c r="BA254" s="36">
        <v>9316</v>
      </c>
      <c r="BB254" s="36">
        <v>12292</v>
      </c>
      <c r="BC254" s="36">
        <v>4332</v>
      </c>
      <c r="BD254" s="36">
        <v>15</v>
      </c>
      <c r="BE254" s="70">
        <v>10012</v>
      </c>
      <c r="BF254" s="70">
        <v>13042</v>
      </c>
      <c r="BG254" s="70">
        <v>4550</v>
      </c>
      <c r="BH254" s="70">
        <v>164</v>
      </c>
      <c r="BI254" s="36">
        <v>10823</v>
      </c>
      <c r="BJ254" s="36">
        <v>14647</v>
      </c>
      <c r="BK254" s="36">
        <v>4383</v>
      </c>
      <c r="BL254" s="36">
        <v>18</v>
      </c>
      <c r="BM254" s="36">
        <v>7012.7637817391633</v>
      </c>
      <c r="BN254" s="36">
        <v>1340.9623376776274</v>
      </c>
      <c r="BO254" s="36">
        <v>309.2975967627188</v>
      </c>
      <c r="BP254" s="36">
        <v>6938.2565303167148</v>
      </c>
      <c r="BQ254" s="36">
        <v>1141.9960206736598</v>
      </c>
      <c r="BR254" s="36">
        <v>312.32497943902598</v>
      </c>
      <c r="BS254" s="36">
        <v>6473.5532895035594</v>
      </c>
      <c r="BT254" s="36">
        <v>1113.2358852487414</v>
      </c>
      <c r="BU254" s="36">
        <v>358.5766592159415</v>
      </c>
      <c r="BV254" s="36">
        <v>7084</v>
      </c>
      <c r="BW254" s="36">
        <v>800</v>
      </c>
      <c r="BX254" s="36">
        <v>380</v>
      </c>
      <c r="BY254" s="36">
        <v>7695</v>
      </c>
      <c r="BZ254" s="36">
        <v>518</v>
      </c>
      <c r="CA254" s="36">
        <v>387</v>
      </c>
      <c r="CB254" s="36">
        <v>7557</v>
      </c>
      <c r="CC254" s="36">
        <v>287</v>
      </c>
      <c r="CD254" s="36">
        <v>449</v>
      </c>
      <c r="CE254" s="36">
        <v>7351</v>
      </c>
      <c r="CF254" s="36">
        <v>436</v>
      </c>
      <c r="CG254" s="36">
        <v>440</v>
      </c>
      <c r="CH254" s="36">
        <v>7573</v>
      </c>
      <c r="CI254" s="36">
        <v>686</v>
      </c>
      <c r="CJ254" s="70">
        <v>457</v>
      </c>
      <c r="CK254" s="70">
        <v>7970</v>
      </c>
      <c r="CL254" s="70">
        <v>818</v>
      </c>
      <c r="CM254" s="36">
        <v>528</v>
      </c>
      <c r="CN254" s="36">
        <v>8528</v>
      </c>
      <c r="CO254" s="36">
        <v>938</v>
      </c>
      <c r="CP254" s="36">
        <v>546</v>
      </c>
      <c r="CQ254" s="36">
        <v>9260</v>
      </c>
      <c r="CR254" s="36">
        <v>975</v>
      </c>
      <c r="CS254" s="36">
        <v>588</v>
      </c>
      <c r="CT254" s="36">
        <v>339.73961145225229</v>
      </c>
      <c r="CU254" s="36">
        <v>-611.69948850000003</v>
      </c>
      <c r="CV254" s="36">
        <v>929.0701057733869</v>
      </c>
      <c r="CW254" s="36">
        <v>4801</v>
      </c>
      <c r="CX254" s="36">
        <v>-167.85155060858804</v>
      </c>
      <c r="CY254" s="36">
        <v>-1966.9577999999999</v>
      </c>
      <c r="CZ254" s="36">
        <v>1071.6934674127483</v>
      </c>
      <c r="DA254" s="36">
        <v>3101</v>
      </c>
      <c r="DB254" s="36">
        <v>-161.46040940305059</v>
      </c>
      <c r="DC254" s="36">
        <v>-1081.7847429999999</v>
      </c>
      <c r="DD254" s="36">
        <v>878.61372783493357</v>
      </c>
      <c r="DE254" s="36">
        <v>3205</v>
      </c>
      <c r="DF254" s="36">
        <v>-116.38604511136563</v>
      </c>
      <c r="DG254" s="36">
        <v>-1079</v>
      </c>
      <c r="DH254" s="36">
        <v>923.85628005308013</v>
      </c>
      <c r="DI254" s="36">
        <v>3753</v>
      </c>
      <c r="DJ254" s="36">
        <v>2280</v>
      </c>
      <c r="DK254" s="36">
        <v>-1228</v>
      </c>
      <c r="DL254" s="36">
        <v>1034</v>
      </c>
      <c r="DM254" s="36">
        <v>4094</v>
      </c>
      <c r="DN254" s="36">
        <v>1514</v>
      </c>
      <c r="DO254" s="69">
        <v>-1151</v>
      </c>
      <c r="DP254" s="36">
        <v>1016</v>
      </c>
      <c r="DQ254" s="36">
        <v>3322</v>
      </c>
      <c r="DR254" s="36">
        <v>342</v>
      </c>
      <c r="DS254" s="36">
        <v>-1882</v>
      </c>
      <c r="DT254" s="36">
        <v>1133</v>
      </c>
      <c r="DU254" s="36">
        <v>3834</v>
      </c>
      <c r="DV254" s="36">
        <v>957</v>
      </c>
      <c r="DW254" s="71">
        <v>-1202</v>
      </c>
      <c r="DX254" s="39">
        <v>1191</v>
      </c>
      <c r="DY254" s="71">
        <v>4966</v>
      </c>
      <c r="DZ254" s="70">
        <v>1228</v>
      </c>
      <c r="EA254" s="35">
        <v>-1312</v>
      </c>
      <c r="EB254" s="35">
        <v>1199</v>
      </c>
      <c r="EC254" s="38">
        <v>4872</v>
      </c>
      <c r="ED254" s="38">
        <v>1870</v>
      </c>
      <c r="EE254" s="38">
        <v>-1918</v>
      </c>
      <c r="EF254" s="38">
        <v>1225</v>
      </c>
      <c r="EG254" s="73">
        <v>4918</v>
      </c>
      <c r="EH254" s="73">
        <v>3488</v>
      </c>
      <c r="EI254" s="73">
        <v>-2035</v>
      </c>
      <c r="EJ254" s="73">
        <v>1174</v>
      </c>
      <c r="EK254" s="73">
        <v>4757</v>
      </c>
      <c r="EL254" s="73">
        <v>19708.597598612785</v>
      </c>
      <c r="EM254" s="73">
        <v>0</v>
      </c>
      <c r="EN254" s="73">
        <v>20352.589169033912</v>
      </c>
      <c r="EO254" s="73">
        <v>125.1318172873642</v>
      </c>
      <c r="EP254" s="73">
        <v>20407.082057207441</v>
      </c>
      <c r="EQ254" s="73">
        <v>-999.20447110783698</v>
      </c>
      <c r="ER254" s="73">
        <v>21114.144100051632</v>
      </c>
      <c r="ES254" s="73">
        <v>-1028.1327944592169</v>
      </c>
      <c r="ET254" s="73">
        <v>22171</v>
      </c>
      <c r="EU254" s="73">
        <v>907</v>
      </c>
      <c r="EV254" s="73">
        <v>22427</v>
      </c>
      <c r="EW254" s="73">
        <v>518</v>
      </c>
      <c r="EX254" s="73">
        <v>23034</v>
      </c>
      <c r="EY254" s="73">
        <v>-556</v>
      </c>
      <c r="EZ254" s="73">
        <v>23092</v>
      </c>
      <c r="FA254" s="73">
        <v>-453</v>
      </c>
      <c r="FB254" s="73">
        <v>24629</v>
      </c>
      <c r="FC254" s="73">
        <v>47</v>
      </c>
      <c r="FD254" s="73">
        <v>25571</v>
      </c>
      <c r="FE254" s="73">
        <v>765</v>
      </c>
      <c r="FF254" s="73">
        <v>26228</v>
      </c>
      <c r="FG254" s="73">
        <v>2330</v>
      </c>
      <c r="FH254" s="73">
        <v>812</v>
      </c>
      <c r="FI254" s="73">
        <v>3142</v>
      </c>
      <c r="FJ254" s="79">
        <v>4491</v>
      </c>
      <c r="FK254" s="80">
        <v>10707</v>
      </c>
      <c r="FL254" s="80">
        <v>15527</v>
      </c>
      <c r="FM254" s="80">
        <v>5300</v>
      </c>
      <c r="FN254" s="76">
        <v>109</v>
      </c>
      <c r="FO254" s="80">
        <v>9341</v>
      </c>
      <c r="FP254" s="80">
        <v>796</v>
      </c>
      <c r="FQ254" s="80">
        <v>570</v>
      </c>
      <c r="FR254" s="80">
        <v>3132</v>
      </c>
      <c r="FS254" s="81">
        <v>-1522</v>
      </c>
      <c r="FT254" s="76">
        <v>1552</v>
      </c>
      <c r="FU254" s="76">
        <v>2597</v>
      </c>
      <c r="FV254" s="76">
        <v>1522</v>
      </c>
      <c r="FW254" s="80">
        <v>28337</v>
      </c>
      <c r="FX254" s="80">
        <v>1701</v>
      </c>
      <c r="FY254" s="73">
        <v>4459</v>
      </c>
      <c r="FZ254" s="73">
        <v>10396</v>
      </c>
      <c r="GA254" s="73">
        <v>16783</v>
      </c>
      <c r="GB254" s="73">
        <v>5633</v>
      </c>
      <c r="GC254" s="73">
        <v>17</v>
      </c>
      <c r="GD254" s="73">
        <v>8648</v>
      </c>
      <c r="GE254" s="73">
        <v>1076</v>
      </c>
      <c r="GF254" s="73">
        <v>672</v>
      </c>
      <c r="GG254" s="73">
        <v>3046</v>
      </c>
      <c r="GH254" s="73">
        <v>-1538</v>
      </c>
      <c r="GI254" s="73">
        <v>1553</v>
      </c>
      <c r="GJ254" s="73">
        <v>1741</v>
      </c>
      <c r="GK254" s="73">
        <v>1538</v>
      </c>
      <c r="GL254" s="73">
        <v>29779</v>
      </c>
      <c r="GM254" s="73">
        <v>1533</v>
      </c>
      <c r="GN254" s="73">
        <v>6376</v>
      </c>
      <c r="GO254" s="77">
        <v>19.75</v>
      </c>
      <c r="GP254" s="78">
        <v>4422</v>
      </c>
      <c r="GQ254" s="73">
        <v>10770</v>
      </c>
      <c r="GR254" s="65">
        <v>17219</v>
      </c>
      <c r="GS254" s="65">
        <v>5900</v>
      </c>
      <c r="GT254" s="65">
        <v>52</v>
      </c>
      <c r="GU254" s="65">
        <v>8921</v>
      </c>
      <c r="GV254" s="65">
        <v>1171</v>
      </c>
      <c r="GW254" s="65">
        <v>678</v>
      </c>
      <c r="GX254" s="65">
        <v>2038</v>
      </c>
      <c r="GY254" s="65">
        <v>-2352</v>
      </c>
      <c r="GZ254" s="65">
        <v>1542</v>
      </c>
      <c r="HA254" s="65">
        <v>969</v>
      </c>
      <c r="HB254" s="65">
        <v>2352</v>
      </c>
      <c r="HC254" s="65">
        <v>31903</v>
      </c>
      <c r="HD254" s="65">
        <v>509</v>
      </c>
      <c r="HE254" s="78">
        <v>4313</v>
      </c>
      <c r="HF254" s="73">
        <v>10566</v>
      </c>
      <c r="HG254" s="65">
        <v>17534</v>
      </c>
      <c r="HH254" s="65">
        <v>6162</v>
      </c>
      <c r="HI254" s="65">
        <v>30</v>
      </c>
      <c r="HJ254" s="65">
        <v>9113</v>
      </c>
      <c r="HK254" s="65">
        <v>750</v>
      </c>
      <c r="HL254" s="65">
        <v>703</v>
      </c>
      <c r="HM254" s="65">
        <v>1821</v>
      </c>
      <c r="HN254" s="65">
        <v>-3276</v>
      </c>
      <c r="HO254" s="65">
        <v>1604</v>
      </c>
      <c r="HP254" s="65">
        <v>1913</v>
      </c>
      <c r="HQ254" s="65">
        <v>3276</v>
      </c>
      <c r="HR254" s="65">
        <v>32471</v>
      </c>
      <c r="HS254" s="65">
        <v>230</v>
      </c>
      <c r="HT254" s="65">
        <v>7115</v>
      </c>
      <c r="HU254" s="77">
        <v>19.75</v>
      </c>
      <c r="HV254" s="180">
        <v>340</v>
      </c>
      <c r="HW254" s="30" t="s">
        <v>761</v>
      </c>
    </row>
    <row r="255" spans="1:231" ht="15" x14ac:dyDescent="0.25">
      <c r="A255" s="27">
        <v>833</v>
      </c>
      <c r="B255" s="27" t="s">
        <v>378</v>
      </c>
      <c r="C255" s="27">
        <v>2</v>
      </c>
      <c r="D255" s="27" t="s">
        <v>122</v>
      </c>
      <c r="E255" s="27">
        <v>1</v>
      </c>
      <c r="F255" s="27" t="s">
        <v>103</v>
      </c>
      <c r="G255" s="29" t="s">
        <v>130</v>
      </c>
      <c r="H255" s="27" t="s">
        <v>98</v>
      </c>
      <c r="I255" s="31" t="s">
        <v>122</v>
      </c>
      <c r="J255" s="69">
        <v>1840</v>
      </c>
      <c r="K255" s="69">
        <v>1846</v>
      </c>
      <c r="L255" s="36">
        <v>1821</v>
      </c>
      <c r="M255" s="36">
        <v>1778</v>
      </c>
      <c r="N255" s="36">
        <v>1759</v>
      </c>
      <c r="O255" s="36">
        <v>1766</v>
      </c>
      <c r="P255" s="36">
        <v>1762</v>
      </c>
      <c r="Q255" s="36">
        <v>1742</v>
      </c>
      <c r="R255" s="69">
        <v>1748</v>
      </c>
      <c r="S255" s="69">
        <v>1730</v>
      </c>
      <c r="T255" s="71">
        <v>1708</v>
      </c>
      <c r="U255" s="36">
        <v>3461</v>
      </c>
      <c r="V255" s="36">
        <v>1792</v>
      </c>
      <c r="W255" s="36">
        <v>1061</v>
      </c>
      <c r="X255" s="36">
        <v>80.057452995679256</v>
      </c>
      <c r="Y255" s="36">
        <v>3352</v>
      </c>
      <c r="Z255" s="36">
        <v>1804</v>
      </c>
      <c r="AA255" s="36">
        <v>1191</v>
      </c>
      <c r="AB255" s="36">
        <v>103.43557477382929</v>
      </c>
      <c r="AC255" s="36">
        <v>3088</v>
      </c>
      <c r="AD255" s="36">
        <v>2094</v>
      </c>
      <c r="AE255" s="36">
        <v>1012</v>
      </c>
      <c r="AF255" s="36">
        <v>77.36644617229507</v>
      </c>
      <c r="AG255" s="36">
        <v>3486</v>
      </c>
      <c r="AH255" s="36">
        <v>2683</v>
      </c>
      <c r="AI255" s="36">
        <v>1027</v>
      </c>
      <c r="AJ255" s="36">
        <v>72.152620451988227</v>
      </c>
      <c r="AK255" s="36">
        <v>3676</v>
      </c>
      <c r="AL255" s="36">
        <v>2789</v>
      </c>
      <c r="AM255" s="36">
        <v>1104</v>
      </c>
      <c r="AN255" s="36">
        <v>40</v>
      </c>
      <c r="AO255" s="36">
        <v>3686</v>
      </c>
      <c r="AP255" s="36">
        <v>3028</v>
      </c>
      <c r="AQ255" s="36">
        <v>1121</v>
      </c>
      <c r="AR255" s="36">
        <v>29</v>
      </c>
      <c r="AS255" s="36">
        <v>3625</v>
      </c>
      <c r="AT255" s="36">
        <v>2701</v>
      </c>
      <c r="AU255" s="36">
        <v>1291</v>
      </c>
      <c r="AV255" s="36">
        <v>36</v>
      </c>
      <c r="AW255" s="36">
        <v>3755</v>
      </c>
      <c r="AX255" s="69">
        <v>2993</v>
      </c>
      <c r="AY255" s="36">
        <v>1345</v>
      </c>
      <c r="AZ255" s="36">
        <v>30</v>
      </c>
      <c r="BA255" s="36">
        <v>3995</v>
      </c>
      <c r="BB255" s="36">
        <v>3096</v>
      </c>
      <c r="BC255" s="36">
        <v>1616</v>
      </c>
      <c r="BD255" s="36">
        <v>6</v>
      </c>
      <c r="BE255" s="70">
        <v>4366</v>
      </c>
      <c r="BF255" s="70">
        <v>3139</v>
      </c>
      <c r="BG255" s="70">
        <v>1518</v>
      </c>
      <c r="BH255" s="70">
        <v>63</v>
      </c>
      <c r="BI255" s="36">
        <v>4929</v>
      </c>
      <c r="BJ255" s="36">
        <v>3455</v>
      </c>
      <c r="BK255" s="36">
        <v>1568</v>
      </c>
      <c r="BL255" s="36">
        <v>6</v>
      </c>
      <c r="BM255" s="36">
        <v>2528.3690984958953</v>
      </c>
      <c r="BN255" s="36">
        <v>625.82727436328253</v>
      </c>
      <c r="BO255" s="36">
        <v>303.74739518948894</v>
      </c>
      <c r="BP255" s="36">
        <v>2532.0692328780488</v>
      </c>
      <c r="BQ255" s="36">
        <v>495.48163135561157</v>
      </c>
      <c r="BR255" s="36">
        <v>321.74350332087062</v>
      </c>
      <c r="BS255" s="36">
        <v>2304.174592522701</v>
      </c>
      <c r="BT255" s="36">
        <v>414.41505080116315</v>
      </c>
      <c r="BU255" s="36">
        <v>365.97692798024798</v>
      </c>
      <c r="BV255" s="36">
        <v>2838</v>
      </c>
      <c r="BW255" s="36">
        <v>263</v>
      </c>
      <c r="BX255" s="36">
        <v>381</v>
      </c>
      <c r="BY255" s="36">
        <v>3161</v>
      </c>
      <c r="BZ255" s="36">
        <v>88</v>
      </c>
      <c r="CA255" s="36">
        <v>424</v>
      </c>
      <c r="CB255" s="36">
        <v>3190</v>
      </c>
      <c r="CC255" s="36">
        <v>63</v>
      </c>
      <c r="CD255" s="36">
        <v>433</v>
      </c>
      <c r="CE255" s="36">
        <v>3112</v>
      </c>
      <c r="CF255" s="36">
        <v>69</v>
      </c>
      <c r="CG255" s="36">
        <v>444</v>
      </c>
      <c r="CH255" s="36">
        <v>3222</v>
      </c>
      <c r="CI255" s="36">
        <v>77</v>
      </c>
      <c r="CJ255" s="70">
        <v>456</v>
      </c>
      <c r="CK255" s="70">
        <v>3389</v>
      </c>
      <c r="CL255" s="70">
        <v>100</v>
      </c>
      <c r="CM255" s="36">
        <v>506</v>
      </c>
      <c r="CN255" s="36">
        <v>3690</v>
      </c>
      <c r="CO255" s="36">
        <v>148</v>
      </c>
      <c r="CP255" s="36">
        <v>528</v>
      </c>
      <c r="CQ255" s="36">
        <v>4141</v>
      </c>
      <c r="CR255" s="36">
        <v>178</v>
      </c>
      <c r="CS255" s="36">
        <v>610</v>
      </c>
      <c r="CT255" s="36">
        <v>345.79437680486666</v>
      </c>
      <c r="CU255" s="36">
        <v>-213.0941028</v>
      </c>
      <c r="CV255" s="36">
        <v>217.97155269411829</v>
      </c>
      <c r="CW255" s="36">
        <v>1082</v>
      </c>
      <c r="CX255" s="36">
        <v>-112.18134694982786</v>
      </c>
      <c r="CY255" s="36">
        <v>117.3951727</v>
      </c>
      <c r="CZ255" s="36">
        <v>226.21276109073233</v>
      </c>
      <c r="DA255" s="36">
        <v>864</v>
      </c>
      <c r="DB255" s="36">
        <v>-449.22995157869593</v>
      </c>
      <c r="DC255" s="36">
        <v>-181.64296060000001</v>
      </c>
      <c r="DD255" s="36">
        <v>223.68994219380966</v>
      </c>
      <c r="DE255" s="36">
        <v>895</v>
      </c>
      <c r="DF255" s="36">
        <v>0.16818792646151104</v>
      </c>
      <c r="DG255" s="36">
        <v>-382</v>
      </c>
      <c r="DH255" s="36">
        <v>226.21276109073233</v>
      </c>
      <c r="DI255" s="36">
        <v>1312</v>
      </c>
      <c r="DJ255" s="36">
        <v>387</v>
      </c>
      <c r="DK255" s="36">
        <v>-137</v>
      </c>
      <c r="DL255" s="36">
        <v>219</v>
      </c>
      <c r="DM255" s="36">
        <v>1441</v>
      </c>
      <c r="DN255" s="36">
        <v>505</v>
      </c>
      <c r="DO255" s="69">
        <v>-266</v>
      </c>
      <c r="DP255" s="36">
        <v>235</v>
      </c>
      <c r="DQ255" s="36">
        <v>1463</v>
      </c>
      <c r="DR255" s="36">
        <v>-411</v>
      </c>
      <c r="DS255" s="36">
        <v>-944</v>
      </c>
      <c r="DT255" s="36">
        <v>246</v>
      </c>
      <c r="DU255" s="36">
        <v>1906</v>
      </c>
      <c r="DV255" s="36">
        <v>-227</v>
      </c>
      <c r="DW255" s="71">
        <v>-171</v>
      </c>
      <c r="DX255" s="39">
        <v>361</v>
      </c>
      <c r="DY255" s="71">
        <v>2864</v>
      </c>
      <c r="DZ255" s="70">
        <v>310</v>
      </c>
      <c r="EA255" s="35">
        <v>49</v>
      </c>
      <c r="EB255" s="35">
        <v>367</v>
      </c>
      <c r="EC255" s="38">
        <v>2904</v>
      </c>
      <c r="ED255" s="38">
        <v>301</v>
      </c>
      <c r="EE255" s="38">
        <v>-101</v>
      </c>
      <c r="EF255" s="38">
        <v>369</v>
      </c>
      <c r="EG255" s="73">
        <v>2860</v>
      </c>
      <c r="EH255" s="73">
        <v>272</v>
      </c>
      <c r="EI255" s="73">
        <v>-155</v>
      </c>
      <c r="EJ255" s="73">
        <v>366</v>
      </c>
      <c r="EK255" s="73">
        <v>2855</v>
      </c>
      <c r="EL255" s="73">
        <v>5718.2213117649135</v>
      </c>
      <c r="EM255" s="73">
        <v>127.82282411074839</v>
      </c>
      <c r="EN255" s="73">
        <v>6246.4995887805198</v>
      </c>
      <c r="EO255" s="73">
        <v>-257.6639033390349</v>
      </c>
      <c r="EP255" s="73">
        <v>6358.5127478038858</v>
      </c>
      <c r="EQ255" s="73">
        <v>-721.86258037280538</v>
      </c>
      <c r="ER255" s="73">
        <v>6869.131292541033</v>
      </c>
      <c r="ES255" s="73">
        <v>-226.04457316427082</v>
      </c>
      <c r="ET255" s="73">
        <v>7152</v>
      </c>
      <c r="EU255" s="73">
        <v>176</v>
      </c>
      <c r="EV255" s="73">
        <v>7299</v>
      </c>
      <c r="EW255" s="73">
        <v>270</v>
      </c>
      <c r="EX255" s="73">
        <v>7995</v>
      </c>
      <c r="EY255" s="73">
        <v>-657</v>
      </c>
      <c r="EZ255" s="73">
        <v>8244</v>
      </c>
      <c r="FA255" s="73">
        <v>-588</v>
      </c>
      <c r="FB255" s="73">
        <v>8323</v>
      </c>
      <c r="FC255" s="73">
        <v>-240</v>
      </c>
      <c r="FD255" s="73">
        <v>8661</v>
      </c>
      <c r="FE255" s="73">
        <v>-68</v>
      </c>
      <c r="FF255" s="73">
        <v>9599</v>
      </c>
      <c r="FG255" s="73">
        <v>-94</v>
      </c>
      <c r="FH255" s="73">
        <v>-1599</v>
      </c>
      <c r="FI255" s="73">
        <v>-1693</v>
      </c>
      <c r="FJ255" s="79">
        <v>1692</v>
      </c>
      <c r="FK255" s="80">
        <v>4933</v>
      </c>
      <c r="FL255" s="80">
        <v>3717</v>
      </c>
      <c r="FM255" s="80">
        <v>1641</v>
      </c>
      <c r="FN255" s="76">
        <v>6</v>
      </c>
      <c r="FO255" s="80">
        <v>4104</v>
      </c>
      <c r="FP255" s="80">
        <v>153</v>
      </c>
      <c r="FQ255" s="80">
        <v>676</v>
      </c>
      <c r="FR255" s="80">
        <v>441</v>
      </c>
      <c r="FS255" s="81">
        <v>-24</v>
      </c>
      <c r="FT255" s="76">
        <v>229</v>
      </c>
      <c r="FU255" s="76">
        <v>2313</v>
      </c>
      <c r="FV255" s="76">
        <v>24</v>
      </c>
      <c r="FW255" s="80">
        <v>9801</v>
      </c>
      <c r="FX255" s="80">
        <v>212</v>
      </c>
      <c r="FY255" s="73">
        <v>1700</v>
      </c>
      <c r="FZ255" s="73">
        <v>4882</v>
      </c>
      <c r="GA255" s="73">
        <v>3431</v>
      </c>
      <c r="GB255" s="73">
        <v>2088</v>
      </c>
      <c r="GC255" s="73">
        <v>14</v>
      </c>
      <c r="GD255" s="73">
        <v>3864</v>
      </c>
      <c r="GE255" s="73">
        <v>190</v>
      </c>
      <c r="GF255" s="73">
        <v>828</v>
      </c>
      <c r="GG255" s="73">
        <v>580</v>
      </c>
      <c r="GH255" s="73">
        <v>-18</v>
      </c>
      <c r="GI255" s="73">
        <v>205</v>
      </c>
      <c r="GJ255" s="73">
        <v>1967</v>
      </c>
      <c r="GK255" s="73">
        <v>18</v>
      </c>
      <c r="GL255" s="73">
        <v>9783</v>
      </c>
      <c r="GM255" s="73">
        <v>374</v>
      </c>
      <c r="GN255" s="73">
        <v>-1108</v>
      </c>
      <c r="GO255" s="77">
        <v>20</v>
      </c>
      <c r="GP255" s="78">
        <v>1690</v>
      </c>
      <c r="GQ255" s="73">
        <v>5296</v>
      </c>
      <c r="GR255" s="65">
        <v>3642</v>
      </c>
      <c r="GS255" s="65">
        <v>2367</v>
      </c>
      <c r="GT255" s="65">
        <v>14</v>
      </c>
      <c r="GU255" s="65">
        <v>4216</v>
      </c>
      <c r="GV255" s="65">
        <v>234</v>
      </c>
      <c r="GW255" s="65">
        <v>846</v>
      </c>
      <c r="GX255" s="65">
        <v>1116</v>
      </c>
      <c r="GY255" s="65">
        <v>-1627</v>
      </c>
      <c r="GZ255" s="65">
        <v>185</v>
      </c>
      <c r="HA255" s="65">
        <v>2848</v>
      </c>
      <c r="HB255" s="65">
        <v>1627</v>
      </c>
      <c r="HC255" s="65">
        <v>10154</v>
      </c>
      <c r="HD255" s="65">
        <v>931</v>
      </c>
      <c r="HE255" s="78">
        <v>1682</v>
      </c>
      <c r="HF255" s="73">
        <v>5172</v>
      </c>
      <c r="HG255" s="65">
        <v>4077</v>
      </c>
      <c r="HH255" s="65">
        <v>2578</v>
      </c>
      <c r="HI255" s="65">
        <v>6</v>
      </c>
      <c r="HJ255" s="65">
        <v>4170</v>
      </c>
      <c r="HK255" s="65">
        <v>159</v>
      </c>
      <c r="HL255" s="65">
        <v>843</v>
      </c>
      <c r="HM255" s="65">
        <v>807</v>
      </c>
      <c r="HN255" s="65">
        <v>-1536</v>
      </c>
      <c r="HO255" s="65">
        <v>211</v>
      </c>
      <c r="HP255" s="65">
        <v>4813</v>
      </c>
      <c r="HQ255" s="65">
        <v>1536</v>
      </c>
      <c r="HR255" s="65">
        <v>10937</v>
      </c>
      <c r="HS255" s="65">
        <v>596</v>
      </c>
      <c r="HT255" s="65">
        <v>414</v>
      </c>
      <c r="HU255" s="77">
        <v>20</v>
      </c>
      <c r="HV255" s="180">
        <v>310</v>
      </c>
      <c r="HW255" s="30" t="s">
        <v>758</v>
      </c>
    </row>
    <row r="256" spans="1:231" ht="15" x14ac:dyDescent="0.25">
      <c r="A256" s="27">
        <v>834</v>
      </c>
      <c r="B256" s="27" t="s">
        <v>379</v>
      </c>
      <c r="C256" s="27">
        <v>5</v>
      </c>
      <c r="D256" s="27" t="s">
        <v>109</v>
      </c>
      <c r="E256" s="27">
        <v>3</v>
      </c>
      <c r="F256" s="27" t="s">
        <v>743</v>
      </c>
      <c r="G256" s="29" t="s">
        <v>130</v>
      </c>
      <c r="H256" s="27" t="s">
        <v>98</v>
      </c>
      <c r="I256" s="31" t="s">
        <v>109</v>
      </c>
      <c r="J256" s="69">
        <v>6334</v>
      </c>
      <c r="K256" s="69">
        <v>6357</v>
      </c>
      <c r="L256" s="36">
        <v>6362</v>
      </c>
      <c r="M256" s="36">
        <v>6424</v>
      </c>
      <c r="N256" s="36">
        <v>6451</v>
      </c>
      <c r="O256" s="36">
        <v>6440</v>
      </c>
      <c r="P256" s="36">
        <v>6484</v>
      </c>
      <c r="Q256" s="36">
        <v>6505</v>
      </c>
      <c r="R256" s="69">
        <v>6582</v>
      </c>
      <c r="S256" s="69">
        <v>6650</v>
      </c>
      <c r="T256" s="71">
        <v>6617</v>
      </c>
      <c r="U256" s="36">
        <v>12122</v>
      </c>
      <c r="V256" s="36">
        <v>4038</v>
      </c>
      <c r="W256" s="36">
        <v>2367</v>
      </c>
      <c r="X256" s="36">
        <v>297.69262983687452</v>
      </c>
      <c r="Y256" s="36">
        <v>12066</v>
      </c>
      <c r="Z256" s="36">
        <v>4426</v>
      </c>
      <c r="AA256" s="36">
        <v>2711</v>
      </c>
      <c r="AB256" s="36">
        <v>337.72135633471413</v>
      </c>
      <c r="AC256" s="36">
        <v>12556</v>
      </c>
      <c r="AD256" s="36">
        <v>4778</v>
      </c>
      <c r="AE256" s="36">
        <v>2726</v>
      </c>
      <c r="AF256" s="36">
        <v>124.79544143444119</v>
      </c>
      <c r="AG256" s="36">
        <v>13102</v>
      </c>
      <c r="AH256" s="36">
        <v>6134</v>
      </c>
      <c r="AI256" s="36">
        <v>2955</v>
      </c>
      <c r="AJ256" s="36">
        <v>170.8789332848952</v>
      </c>
      <c r="AK256" s="36">
        <v>14177</v>
      </c>
      <c r="AL256" s="36">
        <v>6831</v>
      </c>
      <c r="AM256" s="36">
        <v>3091</v>
      </c>
      <c r="AN256" s="36">
        <v>88</v>
      </c>
      <c r="AO256" s="36">
        <v>13365</v>
      </c>
      <c r="AP256" s="36">
        <v>7228</v>
      </c>
      <c r="AQ256" s="36">
        <v>4705</v>
      </c>
      <c r="AR256" s="36">
        <v>92</v>
      </c>
      <c r="AS256" s="36">
        <v>13916</v>
      </c>
      <c r="AT256" s="36">
        <v>8046</v>
      </c>
      <c r="AU256" s="36">
        <v>3774</v>
      </c>
      <c r="AV256" s="36">
        <v>108</v>
      </c>
      <c r="AW256" s="36">
        <v>14372</v>
      </c>
      <c r="AX256" s="69">
        <v>8307</v>
      </c>
      <c r="AY256" s="36">
        <v>3781</v>
      </c>
      <c r="AZ256" s="36">
        <v>79</v>
      </c>
      <c r="BA256" s="36">
        <v>15140</v>
      </c>
      <c r="BB256" s="36">
        <v>8652</v>
      </c>
      <c r="BC256" s="36">
        <v>3522</v>
      </c>
      <c r="BD256" s="36">
        <v>52</v>
      </c>
      <c r="BE256" s="70">
        <v>16457</v>
      </c>
      <c r="BF256" s="70">
        <v>8895</v>
      </c>
      <c r="BG256" s="70">
        <v>4487</v>
      </c>
      <c r="BH256" s="70">
        <v>67</v>
      </c>
      <c r="BI256" s="36">
        <v>17478</v>
      </c>
      <c r="BJ256" s="36">
        <v>9510</v>
      </c>
      <c r="BK256" s="36">
        <v>3456</v>
      </c>
      <c r="BL256" s="36">
        <v>92</v>
      </c>
      <c r="BM256" s="36">
        <v>9305.5015952624817</v>
      </c>
      <c r="BN256" s="36">
        <v>2339.4940570796184</v>
      </c>
      <c r="BO256" s="36">
        <v>477.48552322422972</v>
      </c>
      <c r="BP256" s="36">
        <v>9717.0574513137999</v>
      </c>
      <c r="BQ256" s="36">
        <v>1861.1675942230813</v>
      </c>
      <c r="BR256" s="36">
        <v>487.9131746648435</v>
      </c>
      <c r="BS256" s="36">
        <v>9931.8334334051488</v>
      </c>
      <c r="BT256" s="36">
        <v>2020.105184729209</v>
      </c>
      <c r="BU256" s="36">
        <v>604.29921977620916</v>
      </c>
      <c r="BV256" s="36">
        <v>10971</v>
      </c>
      <c r="BW256" s="36">
        <v>1476</v>
      </c>
      <c r="BX256" s="36">
        <v>655</v>
      </c>
      <c r="BY256" s="36">
        <v>12427</v>
      </c>
      <c r="BZ256" s="36">
        <v>1081</v>
      </c>
      <c r="CA256" s="36">
        <v>669</v>
      </c>
      <c r="CB256" s="36">
        <v>12078</v>
      </c>
      <c r="CC256" s="36">
        <v>547</v>
      </c>
      <c r="CD256" s="36">
        <v>740</v>
      </c>
      <c r="CE256" s="36">
        <v>12327</v>
      </c>
      <c r="CF256" s="36">
        <v>851</v>
      </c>
      <c r="CG256" s="36">
        <v>738</v>
      </c>
      <c r="CH256" s="36">
        <v>12438</v>
      </c>
      <c r="CI256" s="36">
        <v>1146</v>
      </c>
      <c r="CJ256" s="70">
        <v>788</v>
      </c>
      <c r="CK256" s="70">
        <v>13057</v>
      </c>
      <c r="CL256" s="70">
        <v>1279</v>
      </c>
      <c r="CM256" s="36">
        <v>804</v>
      </c>
      <c r="CN256" s="36">
        <v>14138</v>
      </c>
      <c r="CO256" s="36">
        <v>1493</v>
      </c>
      <c r="CP256" s="36">
        <v>826</v>
      </c>
      <c r="CQ256" s="36">
        <v>15082</v>
      </c>
      <c r="CR256" s="36">
        <v>1526</v>
      </c>
      <c r="CS256" s="36">
        <v>870</v>
      </c>
      <c r="CT256" s="36">
        <v>1004.9228606075285</v>
      </c>
      <c r="CU256" s="36">
        <v>-2499.2725869999999</v>
      </c>
      <c r="CV256" s="36">
        <v>650.38271162666319</v>
      </c>
      <c r="CW256" s="36">
        <v>3990</v>
      </c>
      <c r="CX256" s="36">
        <v>732.1220438869575</v>
      </c>
      <c r="CY256" s="36">
        <v>-1885.0502799999997</v>
      </c>
      <c r="CZ256" s="36">
        <v>722.19895622572835</v>
      </c>
      <c r="DA256" s="36">
        <v>4342</v>
      </c>
      <c r="DB256" s="36">
        <v>543.75156625006514</v>
      </c>
      <c r="DC256" s="36">
        <v>-2925.7971689999999</v>
      </c>
      <c r="DD256" s="36">
        <v>861.4585593358596</v>
      </c>
      <c r="DE256" s="36">
        <v>6457</v>
      </c>
      <c r="DF256" s="36">
        <v>1164.5332028195023</v>
      </c>
      <c r="DG256" s="36">
        <v>-2636</v>
      </c>
      <c r="DH256" s="36">
        <v>828.49372574940332</v>
      </c>
      <c r="DI256" s="36">
        <v>7105</v>
      </c>
      <c r="DJ256" s="36">
        <v>2919</v>
      </c>
      <c r="DK256" s="36">
        <v>-2687</v>
      </c>
      <c r="DL256" s="36">
        <v>829</v>
      </c>
      <c r="DM256" s="36">
        <v>7535</v>
      </c>
      <c r="DN256" s="36">
        <v>1647</v>
      </c>
      <c r="DO256" s="69">
        <v>-1407</v>
      </c>
      <c r="DP256" s="36">
        <v>899</v>
      </c>
      <c r="DQ256" s="36">
        <v>6634</v>
      </c>
      <c r="DR256" s="36">
        <v>1822</v>
      </c>
      <c r="DS256" s="36">
        <v>-1478</v>
      </c>
      <c r="DT256" s="36">
        <v>924</v>
      </c>
      <c r="DU256" s="36">
        <v>5574</v>
      </c>
      <c r="DV256" s="36">
        <v>1468</v>
      </c>
      <c r="DW256" s="71">
        <v>-1842</v>
      </c>
      <c r="DX256" s="39">
        <v>968</v>
      </c>
      <c r="DY256" s="71">
        <v>6091</v>
      </c>
      <c r="DZ256" s="70">
        <v>1550</v>
      </c>
      <c r="EA256" s="35">
        <v>-2697</v>
      </c>
      <c r="EB256" s="35">
        <v>989</v>
      </c>
      <c r="EC256" s="38">
        <v>6959</v>
      </c>
      <c r="ED256" s="38">
        <v>2081</v>
      </c>
      <c r="EE256" s="38">
        <v>-1934</v>
      </c>
      <c r="EF256" s="38">
        <v>1154</v>
      </c>
      <c r="EG256" s="73">
        <v>6721</v>
      </c>
      <c r="EH256" s="73">
        <v>1953</v>
      </c>
      <c r="EI256" s="73">
        <v>-1617</v>
      </c>
      <c r="EJ256" s="73">
        <v>1200</v>
      </c>
      <c r="EK256" s="73">
        <v>5976</v>
      </c>
      <c r="EL256" s="73">
        <v>16612.762436235753</v>
      </c>
      <c r="EM256" s="73">
        <v>18.164296057843192</v>
      </c>
      <c r="EN256" s="73">
        <v>17655.191204444196</v>
      </c>
      <c r="EO256" s="73">
        <v>384.81397574393725</v>
      </c>
      <c r="EP256" s="73">
        <v>18350.984656215467</v>
      </c>
      <c r="EQ256" s="73">
        <v>-330.32108757040766</v>
      </c>
      <c r="ER256" s="73">
        <v>19721.043505170939</v>
      </c>
      <c r="ES256" s="73">
        <v>23.041745925227012</v>
      </c>
      <c r="ET256" s="73">
        <v>20917</v>
      </c>
      <c r="EU256" s="73">
        <v>2130</v>
      </c>
      <c r="EV256" s="73">
        <v>23473</v>
      </c>
      <c r="EW256" s="73">
        <v>93</v>
      </c>
      <c r="EX256" s="73">
        <v>23775</v>
      </c>
      <c r="EY256" s="73">
        <v>19</v>
      </c>
      <c r="EZ256" s="73">
        <v>24837</v>
      </c>
      <c r="FA256" s="73">
        <v>95</v>
      </c>
      <c r="FB256" s="73">
        <v>25580</v>
      </c>
      <c r="FC256" s="73">
        <v>177</v>
      </c>
      <c r="FD256" s="73">
        <v>27533</v>
      </c>
      <c r="FE256" s="73">
        <v>276</v>
      </c>
      <c r="FF256" s="73">
        <v>28343</v>
      </c>
      <c r="FG256" s="73">
        <v>261</v>
      </c>
      <c r="FH256" s="73">
        <v>3106</v>
      </c>
      <c r="FI256" s="73">
        <v>3367</v>
      </c>
      <c r="FJ256" s="79">
        <v>6628</v>
      </c>
      <c r="FK256" s="80">
        <v>17699</v>
      </c>
      <c r="FL256" s="80">
        <v>10544</v>
      </c>
      <c r="FM256" s="80">
        <v>3933</v>
      </c>
      <c r="FN256" s="76">
        <v>45</v>
      </c>
      <c r="FO256" s="80">
        <v>15467</v>
      </c>
      <c r="FP256" s="80">
        <v>1304</v>
      </c>
      <c r="FQ256" s="80">
        <v>928</v>
      </c>
      <c r="FR256" s="80">
        <v>3438</v>
      </c>
      <c r="FS256" s="81">
        <v>-1836</v>
      </c>
      <c r="FT256" s="76">
        <v>1241</v>
      </c>
      <c r="FU256" s="76">
        <v>5558</v>
      </c>
      <c r="FV256" s="76">
        <v>1836</v>
      </c>
      <c r="FW256" s="80">
        <v>28592</v>
      </c>
      <c r="FX256" s="80">
        <v>2361</v>
      </c>
      <c r="FY256" s="73">
        <v>6591</v>
      </c>
      <c r="FZ256" s="73">
        <v>17986</v>
      </c>
      <c r="GA256" s="73">
        <v>11179</v>
      </c>
      <c r="GB256" s="73">
        <v>4587</v>
      </c>
      <c r="GC256" s="73">
        <v>25</v>
      </c>
      <c r="GD256" s="73">
        <v>15467</v>
      </c>
      <c r="GE256" s="73">
        <v>1504</v>
      </c>
      <c r="GF256" s="73">
        <v>1015</v>
      </c>
      <c r="GG256" s="73">
        <v>3342</v>
      </c>
      <c r="GH256" s="73">
        <v>-4075</v>
      </c>
      <c r="GI256" s="73">
        <v>1326</v>
      </c>
      <c r="GJ256" s="73">
        <v>4567</v>
      </c>
      <c r="GK256" s="73">
        <v>4075</v>
      </c>
      <c r="GL256" s="73">
        <v>30343</v>
      </c>
      <c r="GM256" s="73">
        <v>2174</v>
      </c>
      <c r="GN256" s="73">
        <v>7902</v>
      </c>
      <c r="GO256" s="77">
        <v>18.5</v>
      </c>
      <c r="GP256" s="78">
        <v>6554</v>
      </c>
      <c r="GQ256" s="73">
        <v>18131</v>
      </c>
      <c r="GR256" s="65">
        <v>11582</v>
      </c>
      <c r="GS256" s="65">
        <v>4616</v>
      </c>
      <c r="GT256" s="65">
        <v>57</v>
      </c>
      <c r="GU256" s="65">
        <v>15682</v>
      </c>
      <c r="GV256" s="65">
        <v>1430</v>
      </c>
      <c r="GW256" s="65">
        <v>1019</v>
      </c>
      <c r="GX256" s="65">
        <v>1822</v>
      </c>
      <c r="GY256" s="65">
        <v>-1560</v>
      </c>
      <c r="GZ256" s="65">
        <v>1410</v>
      </c>
      <c r="HA256" s="65">
        <v>3727</v>
      </c>
      <c r="HB256" s="65">
        <v>1560</v>
      </c>
      <c r="HC256" s="65">
        <v>32482</v>
      </c>
      <c r="HD256" s="65">
        <v>560</v>
      </c>
      <c r="HE256" s="78">
        <v>6542</v>
      </c>
      <c r="HF256" s="73">
        <v>17954</v>
      </c>
      <c r="HG256" s="65">
        <v>12385</v>
      </c>
      <c r="HH256" s="65">
        <v>4717</v>
      </c>
      <c r="HI256" s="65">
        <v>48</v>
      </c>
      <c r="HJ256" s="65">
        <v>15979</v>
      </c>
      <c r="HK256" s="65">
        <v>942</v>
      </c>
      <c r="HL256" s="65">
        <v>1033</v>
      </c>
      <c r="HM256" s="65">
        <v>364</v>
      </c>
      <c r="HN256" s="65">
        <v>-3343</v>
      </c>
      <c r="HO256" s="65">
        <v>1692</v>
      </c>
      <c r="HP256" s="65">
        <v>6550</v>
      </c>
      <c r="HQ256" s="65">
        <v>3343</v>
      </c>
      <c r="HR256" s="65">
        <v>34669</v>
      </c>
      <c r="HS256" s="65">
        <v>-1178</v>
      </c>
      <c r="HT256" s="65">
        <v>7284</v>
      </c>
      <c r="HU256" s="77">
        <v>18.5</v>
      </c>
      <c r="HV256" s="180">
        <v>340</v>
      </c>
      <c r="HW256" s="30" t="s">
        <v>761</v>
      </c>
    </row>
    <row r="257" spans="1:231" ht="15" x14ac:dyDescent="0.25">
      <c r="A257" s="27">
        <v>837</v>
      </c>
      <c r="B257" s="27" t="s">
        <v>380</v>
      </c>
      <c r="C257" s="27">
        <v>6</v>
      </c>
      <c r="D257" s="27" t="s">
        <v>114</v>
      </c>
      <c r="E257" s="27">
        <v>7</v>
      </c>
      <c r="F257" s="27" t="s">
        <v>104</v>
      </c>
      <c r="G257" s="29" t="s">
        <v>141</v>
      </c>
      <c r="H257" s="27" t="s">
        <v>97</v>
      </c>
      <c r="I257" s="31" t="s">
        <v>114</v>
      </c>
      <c r="J257" s="69">
        <v>191254</v>
      </c>
      <c r="K257" s="69">
        <v>193173</v>
      </c>
      <c r="L257" s="36">
        <v>195468</v>
      </c>
      <c r="M257" s="36">
        <v>197774</v>
      </c>
      <c r="N257" s="36">
        <v>199823</v>
      </c>
      <c r="O257" s="36">
        <v>200966</v>
      </c>
      <c r="P257" s="36">
        <v>202932</v>
      </c>
      <c r="Q257" s="36">
        <v>204337</v>
      </c>
      <c r="R257" s="69">
        <v>206368</v>
      </c>
      <c r="S257" s="69">
        <v>207866</v>
      </c>
      <c r="T257" s="71">
        <v>209547</v>
      </c>
      <c r="U257" s="36">
        <v>438495</v>
      </c>
      <c r="V257" s="36">
        <v>93973</v>
      </c>
      <c r="W257" s="36">
        <v>282059</v>
      </c>
      <c r="X257" s="36">
        <v>17221.939105879344</v>
      </c>
      <c r="Y257" s="36">
        <v>464416</v>
      </c>
      <c r="Z257" s="36">
        <v>104009</v>
      </c>
      <c r="AA257" s="36">
        <v>292186</v>
      </c>
      <c r="AB257" s="36">
        <v>15051.810290746467</v>
      </c>
      <c r="AC257" s="36">
        <v>497017</v>
      </c>
      <c r="AD257" s="36">
        <v>108060</v>
      </c>
      <c r="AE257" s="36">
        <v>362106</v>
      </c>
      <c r="AF257" s="36">
        <v>18677.101045624338</v>
      </c>
      <c r="AG257" s="36">
        <v>569746</v>
      </c>
      <c r="AH257" s="36">
        <v>107135</v>
      </c>
      <c r="AI257" s="36">
        <v>394641</v>
      </c>
      <c r="AJ257" s="36">
        <v>13938.742593424187</v>
      </c>
      <c r="AK257" s="36">
        <v>569263</v>
      </c>
      <c r="AL257" s="36">
        <v>111585</v>
      </c>
      <c r="AM257" s="36">
        <v>396560</v>
      </c>
      <c r="AN257" s="36">
        <v>10252</v>
      </c>
      <c r="AO257" s="36">
        <v>536558</v>
      </c>
      <c r="AP257" s="36">
        <v>120427</v>
      </c>
      <c r="AQ257" s="36">
        <v>441977</v>
      </c>
      <c r="AR257" s="36">
        <v>9640</v>
      </c>
      <c r="AS257" s="36">
        <v>562642</v>
      </c>
      <c r="AT257" s="36">
        <v>140783</v>
      </c>
      <c r="AU257" s="36">
        <v>458890</v>
      </c>
      <c r="AV257" s="36">
        <v>10283</v>
      </c>
      <c r="AW257" s="36">
        <v>590661</v>
      </c>
      <c r="AX257" s="69">
        <v>156070</v>
      </c>
      <c r="AY257" s="36">
        <v>373069</v>
      </c>
      <c r="AZ257" s="36">
        <v>74351</v>
      </c>
      <c r="BA257" s="36">
        <v>630503</v>
      </c>
      <c r="BB257" s="36">
        <v>173411</v>
      </c>
      <c r="BC257" s="36">
        <v>480053</v>
      </c>
      <c r="BD257" s="36">
        <v>22966</v>
      </c>
      <c r="BE257" s="70">
        <v>666587</v>
      </c>
      <c r="BF257" s="70">
        <v>180144</v>
      </c>
      <c r="BG257" s="70">
        <v>518944</v>
      </c>
      <c r="BH257" s="70">
        <v>23571</v>
      </c>
      <c r="BI257" s="36">
        <v>720600</v>
      </c>
      <c r="BJ257" s="36">
        <v>202173</v>
      </c>
      <c r="BK257" s="36">
        <v>603794</v>
      </c>
      <c r="BL257" s="36">
        <v>151423</v>
      </c>
      <c r="BM257" s="36">
        <v>361605.55558358686</v>
      </c>
      <c r="BN257" s="36">
        <v>60397.798083666756</v>
      </c>
      <c r="BO257" s="36">
        <v>16287.318798532728</v>
      </c>
      <c r="BP257" s="36">
        <v>366557.84907824604</v>
      </c>
      <c r="BQ257" s="36">
        <v>75584.495091435369</v>
      </c>
      <c r="BR257" s="36">
        <v>22074.497160146861</v>
      </c>
      <c r="BS257" s="36">
        <v>369998.30130194273</v>
      </c>
      <c r="BT257" s="36">
        <v>103381.25007358221</v>
      </c>
      <c r="BU257" s="36">
        <v>23446.406076293406</v>
      </c>
      <c r="BV257" s="36">
        <v>433163</v>
      </c>
      <c r="BW257" s="36">
        <v>112738</v>
      </c>
      <c r="BX257" s="36">
        <v>23657</v>
      </c>
      <c r="BY257" s="36">
        <v>473897</v>
      </c>
      <c r="BZ257" s="36">
        <v>70694</v>
      </c>
      <c r="CA257" s="36">
        <v>24489</v>
      </c>
      <c r="CB257" s="36">
        <v>462513</v>
      </c>
      <c r="CC257" s="36">
        <v>49176</v>
      </c>
      <c r="CD257" s="36">
        <v>24690</v>
      </c>
      <c r="CE257" s="36">
        <v>483395</v>
      </c>
      <c r="CF257" s="36">
        <v>54306</v>
      </c>
      <c r="CG257" s="36">
        <v>24770</v>
      </c>
      <c r="CH257" s="36">
        <v>499611</v>
      </c>
      <c r="CI257" s="36">
        <v>64681</v>
      </c>
      <c r="CJ257" s="70">
        <v>26206</v>
      </c>
      <c r="CK257" s="70">
        <v>535354</v>
      </c>
      <c r="CL257" s="70">
        <v>66178</v>
      </c>
      <c r="CM257" s="36">
        <v>28817</v>
      </c>
      <c r="CN257" s="36">
        <v>560886</v>
      </c>
      <c r="CO257" s="36">
        <v>74120</v>
      </c>
      <c r="CP257" s="36">
        <v>31429</v>
      </c>
      <c r="CQ257" s="36">
        <v>609961</v>
      </c>
      <c r="CR257" s="36">
        <v>76643</v>
      </c>
      <c r="CS257" s="36">
        <v>33844</v>
      </c>
      <c r="CT257" s="36">
        <v>84687.834799091113</v>
      </c>
      <c r="CU257" s="36">
        <v>-81261.173989999996</v>
      </c>
      <c r="CV257" s="36">
        <v>56022.220988844092</v>
      </c>
      <c r="CW257" s="36">
        <v>93002</v>
      </c>
      <c r="CX257" s="36">
        <v>83233.345611051962</v>
      </c>
      <c r="CY257" s="36">
        <v>-92156.724239999996</v>
      </c>
      <c r="CZ257" s="36">
        <v>59044.389839430987</v>
      </c>
      <c r="DA257" s="36">
        <v>102109</v>
      </c>
      <c r="DB257" s="36">
        <v>94062.125256276355</v>
      </c>
      <c r="DC257" s="36">
        <v>-108758.21810000001</v>
      </c>
      <c r="DD257" s="36">
        <v>63699.831643885605</v>
      </c>
      <c r="DE257" s="36">
        <v>72986</v>
      </c>
      <c r="DF257" s="36">
        <v>111221.49845351202</v>
      </c>
      <c r="DG257" s="36">
        <v>-130917</v>
      </c>
      <c r="DH257" s="36">
        <v>67780.40711569479</v>
      </c>
      <c r="DI257" s="36">
        <v>81483</v>
      </c>
      <c r="DJ257" s="36">
        <v>126729</v>
      </c>
      <c r="DK257" s="36">
        <v>-116001</v>
      </c>
      <c r="DL257" s="36">
        <v>74588</v>
      </c>
      <c r="DM257" s="36">
        <v>81525</v>
      </c>
      <c r="DN257" s="36">
        <v>77775</v>
      </c>
      <c r="DO257" s="69">
        <v>-114717</v>
      </c>
      <c r="DP257" s="36">
        <v>79852</v>
      </c>
      <c r="DQ257" s="36">
        <v>141904</v>
      </c>
      <c r="DR257" s="36">
        <v>89068</v>
      </c>
      <c r="DS257" s="36">
        <v>-120430</v>
      </c>
      <c r="DT257" s="36">
        <v>82326</v>
      </c>
      <c r="DU257" s="36">
        <v>166926</v>
      </c>
      <c r="DV257" s="36">
        <v>86168</v>
      </c>
      <c r="DW257" s="71">
        <v>-6032</v>
      </c>
      <c r="DX257" s="39">
        <v>80498</v>
      </c>
      <c r="DY257" s="71">
        <v>202642</v>
      </c>
      <c r="DZ257" s="70">
        <v>90394</v>
      </c>
      <c r="EA257" s="35">
        <v>-77123</v>
      </c>
      <c r="EB257" s="35">
        <v>79725</v>
      </c>
      <c r="EC257" s="38">
        <v>218263</v>
      </c>
      <c r="ED257" s="38">
        <v>116832</v>
      </c>
      <c r="EE257" s="38">
        <v>-95912</v>
      </c>
      <c r="EF257" s="38">
        <v>85242</v>
      </c>
      <c r="EG257" s="73">
        <v>199329</v>
      </c>
      <c r="EH257" s="73">
        <v>129423</v>
      </c>
      <c r="EI257" s="73">
        <v>67806</v>
      </c>
      <c r="EJ257" s="73">
        <v>92277</v>
      </c>
      <c r="EK257" s="73">
        <v>196657</v>
      </c>
      <c r="EL257" s="73">
        <v>714849.48021521326</v>
      </c>
      <c r="EM257" s="73">
        <v>38995.716253513026</v>
      </c>
      <c r="EN257" s="73">
        <v>758687.66324740613</v>
      </c>
      <c r="EO257" s="73">
        <v>23701.715348661979</v>
      </c>
      <c r="EP257" s="73">
        <v>855611.33788449864</v>
      </c>
      <c r="EQ257" s="73">
        <v>27894.303979494529</v>
      </c>
      <c r="ER257" s="73">
        <v>934533.69056448911</v>
      </c>
      <c r="ES257" s="73">
        <v>42192.800547619889</v>
      </c>
      <c r="ET257" s="73">
        <v>965713</v>
      </c>
      <c r="EU257" s="73">
        <v>53259</v>
      </c>
      <c r="EV257" s="73">
        <v>1025226</v>
      </c>
      <c r="EW257" s="73">
        <v>-533</v>
      </c>
      <c r="EX257" s="73">
        <v>1076292</v>
      </c>
      <c r="EY257" s="73">
        <v>4884</v>
      </c>
      <c r="EZ257" s="73">
        <v>1116396</v>
      </c>
      <c r="FA257" s="73">
        <v>61168</v>
      </c>
      <c r="FB257" s="73">
        <v>1207369</v>
      </c>
      <c r="FC257" s="73">
        <v>6347</v>
      </c>
      <c r="FD257" s="73">
        <v>1263548</v>
      </c>
      <c r="FE257" s="73">
        <v>21722</v>
      </c>
      <c r="FF257" s="73">
        <v>1395640</v>
      </c>
      <c r="FG257" s="73">
        <v>178344</v>
      </c>
      <c r="FH257" s="73">
        <v>309507</v>
      </c>
      <c r="FI257" s="73">
        <v>621366</v>
      </c>
      <c r="FJ257" s="79">
        <v>211507</v>
      </c>
      <c r="FK257" s="80">
        <v>716907</v>
      </c>
      <c r="FL257" s="80">
        <v>217507</v>
      </c>
      <c r="FM257" s="80">
        <v>393142</v>
      </c>
      <c r="FN257" s="76">
        <v>32260</v>
      </c>
      <c r="FO257" s="80">
        <v>618603</v>
      </c>
      <c r="FP257" s="80">
        <v>62744</v>
      </c>
      <c r="FQ257" s="80">
        <v>35413</v>
      </c>
      <c r="FR257" s="80">
        <v>69744</v>
      </c>
      <c r="FS257" s="81">
        <v>-116431</v>
      </c>
      <c r="FT257" s="76">
        <v>83717</v>
      </c>
      <c r="FU257" s="76">
        <v>282986</v>
      </c>
      <c r="FV257" s="76">
        <v>116431</v>
      </c>
      <c r="FW257" s="80">
        <v>1290072</v>
      </c>
      <c r="FX257" s="80">
        <v>-16684</v>
      </c>
      <c r="FY257" s="73">
        <v>213217</v>
      </c>
      <c r="FZ257" s="73">
        <v>758120</v>
      </c>
      <c r="GA257" s="73">
        <v>210618</v>
      </c>
      <c r="GB257" s="73">
        <v>399472</v>
      </c>
      <c r="GC257" s="73">
        <v>45954</v>
      </c>
      <c r="GD257" s="73">
        <v>642671</v>
      </c>
      <c r="GE257" s="73">
        <v>73392</v>
      </c>
      <c r="GF257" s="73">
        <v>41917</v>
      </c>
      <c r="GG257" s="73">
        <v>104517</v>
      </c>
      <c r="GH257" s="73">
        <v>-100746</v>
      </c>
      <c r="GI257" s="73">
        <v>80685</v>
      </c>
      <c r="GJ257" s="73">
        <v>312102</v>
      </c>
      <c r="GK257" s="73">
        <v>100746</v>
      </c>
      <c r="GL257" s="73">
        <v>1294055</v>
      </c>
      <c r="GM257" s="73">
        <v>35625</v>
      </c>
      <c r="GN257" s="73">
        <v>636206</v>
      </c>
      <c r="GO257" s="77">
        <v>19</v>
      </c>
      <c r="GP257" s="78">
        <v>215168</v>
      </c>
      <c r="GQ257" s="73">
        <v>765591</v>
      </c>
      <c r="GR257" s="65">
        <v>223070</v>
      </c>
      <c r="GS257" s="65">
        <v>431332</v>
      </c>
      <c r="GT257" s="65">
        <v>23763</v>
      </c>
      <c r="GU257" s="65">
        <v>651243</v>
      </c>
      <c r="GV257" s="65">
        <v>71697</v>
      </c>
      <c r="GW257" s="65">
        <v>42514</v>
      </c>
      <c r="GX257" s="65">
        <v>67989</v>
      </c>
      <c r="GY257" s="65">
        <v>-99999</v>
      </c>
      <c r="GZ257" s="65">
        <v>80464</v>
      </c>
      <c r="HA257" s="65">
        <v>323123</v>
      </c>
      <c r="HB257" s="65">
        <v>99999</v>
      </c>
      <c r="HC257" s="65">
        <v>1375767</v>
      </c>
      <c r="HD257" s="65">
        <v>-13846</v>
      </c>
      <c r="HE257" s="78">
        <v>217421</v>
      </c>
      <c r="HF257" s="73">
        <v>781806</v>
      </c>
      <c r="HG257" s="65">
        <v>239700</v>
      </c>
      <c r="HH257" s="65">
        <v>445169</v>
      </c>
      <c r="HI257" s="65">
        <v>39553</v>
      </c>
      <c r="HJ257" s="65">
        <v>685661</v>
      </c>
      <c r="HK257" s="65">
        <v>43837</v>
      </c>
      <c r="HL257" s="65">
        <v>52175</v>
      </c>
      <c r="HM257" s="65">
        <v>40650</v>
      </c>
      <c r="HN257" s="65">
        <v>-118594</v>
      </c>
      <c r="HO257" s="65">
        <v>83014</v>
      </c>
      <c r="HP257" s="65">
        <v>364085</v>
      </c>
      <c r="HQ257" s="65">
        <v>118594</v>
      </c>
      <c r="HR257" s="65">
        <v>1451577</v>
      </c>
      <c r="HS257" s="65">
        <v>-27436</v>
      </c>
      <c r="HT257" s="65">
        <v>594925</v>
      </c>
      <c r="HU257" s="77">
        <v>19</v>
      </c>
      <c r="HV257" s="180">
        <v>110</v>
      </c>
      <c r="HW257" s="30" t="s">
        <v>750</v>
      </c>
    </row>
    <row r="258" spans="1:231" ht="15" x14ac:dyDescent="0.25">
      <c r="A258" s="27">
        <v>844</v>
      </c>
      <c r="B258" s="27" t="s">
        <v>381</v>
      </c>
      <c r="C258" s="27">
        <v>11</v>
      </c>
      <c r="D258" s="27" t="s">
        <v>118</v>
      </c>
      <c r="E258" s="27">
        <v>1</v>
      </c>
      <c r="F258" s="27" t="s">
        <v>103</v>
      </c>
      <c r="G258" s="29" t="s">
        <v>130</v>
      </c>
      <c r="H258" s="27" t="s">
        <v>98</v>
      </c>
      <c r="I258" s="27" t="s">
        <v>118</v>
      </c>
      <c r="J258" s="69">
        <v>2064</v>
      </c>
      <c r="K258" s="69">
        <v>2010</v>
      </c>
      <c r="L258" s="36">
        <v>1994</v>
      </c>
      <c r="M258" s="36">
        <v>1951</v>
      </c>
      <c r="N258" s="36">
        <v>1925</v>
      </c>
      <c r="O258" s="36">
        <v>1920</v>
      </c>
      <c r="P258" s="36">
        <v>1890</v>
      </c>
      <c r="Q258" s="36">
        <v>1835</v>
      </c>
      <c r="R258" s="69">
        <v>1790</v>
      </c>
      <c r="S258" s="69">
        <v>1792</v>
      </c>
      <c r="T258" s="71">
        <v>1750</v>
      </c>
      <c r="U258" s="36">
        <v>3795</v>
      </c>
      <c r="V258" s="36">
        <v>2986</v>
      </c>
      <c r="W258" s="36">
        <v>1004</v>
      </c>
      <c r="X258" s="36">
        <v>279.86470963195433</v>
      </c>
      <c r="Y258" s="36">
        <v>3493</v>
      </c>
      <c r="Z258" s="36">
        <v>2893</v>
      </c>
      <c r="AA258" s="36">
        <v>1122</v>
      </c>
      <c r="AB258" s="36">
        <v>376.06820356793867</v>
      </c>
      <c r="AC258" s="36">
        <v>3344</v>
      </c>
      <c r="AD258" s="36">
        <v>2829</v>
      </c>
      <c r="AE258" s="36">
        <v>1019</v>
      </c>
      <c r="AF258" s="36">
        <v>361.77222981871023</v>
      </c>
      <c r="AG258" s="36">
        <v>3310</v>
      </c>
      <c r="AH258" s="36">
        <v>3470</v>
      </c>
      <c r="AI258" s="36">
        <v>1005</v>
      </c>
      <c r="AJ258" s="36">
        <v>278.51920622026228</v>
      </c>
      <c r="AK258" s="36">
        <v>3470</v>
      </c>
      <c r="AL258" s="36">
        <v>3589</v>
      </c>
      <c r="AM258" s="36">
        <v>1192</v>
      </c>
      <c r="AN258" s="36">
        <v>202</v>
      </c>
      <c r="AO258" s="36">
        <v>3066</v>
      </c>
      <c r="AP258" s="36">
        <v>4031</v>
      </c>
      <c r="AQ258" s="36">
        <v>1247</v>
      </c>
      <c r="AR258" s="36">
        <v>273</v>
      </c>
      <c r="AS258" s="36">
        <v>3338</v>
      </c>
      <c r="AT258" s="36">
        <v>4020</v>
      </c>
      <c r="AU258" s="36">
        <v>1175</v>
      </c>
      <c r="AV258" s="36">
        <v>226</v>
      </c>
      <c r="AW258" s="36">
        <v>3571</v>
      </c>
      <c r="AX258" s="69">
        <v>4027</v>
      </c>
      <c r="AY258" s="36">
        <v>1353</v>
      </c>
      <c r="AZ258" s="36">
        <v>207</v>
      </c>
      <c r="BA258" s="36">
        <v>3656</v>
      </c>
      <c r="BB258" s="36">
        <v>3917</v>
      </c>
      <c r="BC258" s="36">
        <v>1300</v>
      </c>
      <c r="BD258" s="36">
        <v>446</v>
      </c>
      <c r="BE258" s="70">
        <v>3923</v>
      </c>
      <c r="BF258" s="70">
        <v>3903</v>
      </c>
      <c r="BG258" s="70">
        <v>1292</v>
      </c>
      <c r="BH258" s="70">
        <v>260</v>
      </c>
      <c r="BI258" s="36">
        <v>3884</v>
      </c>
      <c r="BJ258" s="36">
        <v>4416</v>
      </c>
      <c r="BK258" s="36">
        <v>1481</v>
      </c>
      <c r="BL258" s="36">
        <v>163</v>
      </c>
      <c r="BM258" s="36">
        <v>2436.2021147949872</v>
      </c>
      <c r="BN258" s="36">
        <v>1225.7536080514924</v>
      </c>
      <c r="BO258" s="36">
        <v>133.03664983105523</v>
      </c>
      <c r="BP258" s="36">
        <v>2388.2685557534564</v>
      </c>
      <c r="BQ258" s="36">
        <v>947.40258975769166</v>
      </c>
      <c r="BR258" s="36">
        <v>157.59208709443584</v>
      </c>
      <c r="BS258" s="36">
        <v>2192.8341852051808</v>
      </c>
      <c r="BT258" s="36">
        <v>995.3361487992222</v>
      </c>
      <c r="BU258" s="36">
        <v>155.74201990335922</v>
      </c>
      <c r="BV258" s="36">
        <v>2502</v>
      </c>
      <c r="BW258" s="36">
        <v>647</v>
      </c>
      <c r="BX258" s="36">
        <v>160</v>
      </c>
      <c r="BY258" s="36">
        <v>2932</v>
      </c>
      <c r="BZ258" s="36">
        <v>359</v>
      </c>
      <c r="CA258" s="36">
        <v>179</v>
      </c>
      <c r="CB258" s="36">
        <v>2687</v>
      </c>
      <c r="CC258" s="36">
        <v>196</v>
      </c>
      <c r="CD258" s="36">
        <v>183</v>
      </c>
      <c r="CE258" s="36">
        <v>2773</v>
      </c>
      <c r="CF258" s="36">
        <v>383</v>
      </c>
      <c r="CG258" s="36">
        <v>182</v>
      </c>
      <c r="CH258" s="36">
        <v>2861</v>
      </c>
      <c r="CI258" s="36">
        <v>522</v>
      </c>
      <c r="CJ258" s="70">
        <v>188</v>
      </c>
      <c r="CK258" s="70">
        <v>2973</v>
      </c>
      <c r="CL258" s="70">
        <v>473</v>
      </c>
      <c r="CM258" s="36">
        <v>210</v>
      </c>
      <c r="CN258" s="36">
        <v>3219</v>
      </c>
      <c r="CO258" s="36">
        <v>477</v>
      </c>
      <c r="CP258" s="36">
        <v>227</v>
      </c>
      <c r="CQ258" s="36">
        <v>3222</v>
      </c>
      <c r="CR258" s="36">
        <v>419</v>
      </c>
      <c r="CS258" s="36">
        <v>243</v>
      </c>
      <c r="CT258" s="36">
        <v>439.30686391746679</v>
      </c>
      <c r="CU258" s="36">
        <v>-640.62781189999998</v>
      </c>
      <c r="CV258" s="36">
        <v>315.85692589471773</v>
      </c>
      <c r="CW258" s="36">
        <v>1016</v>
      </c>
      <c r="CX258" s="36">
        <v>490.43599356176617</v>
      </c>
      <c r="CY258" s="36">
        <v>1250.9817969999999</v>
      </c>
      <c r="CZ258" s="36">
        <v>349.66269911348144</v>
      </c>
      <c r="DA258" s="36">
        <v>913</v>
      </c>
      <c r="DB258" s="36">
        <v>-177.27007449043262</v>
      </c>
      <c r="DC258" s="36">
        <v>-208.72121670000001</v>
      </c>
      <c r="DD258" s="36">
        <v>297.86081776333606</v>
      </c>
      <c r="DE258" s="36">
        <v>469</v>
      </c>
      <c r="DF258" s="36">
        <v>-127.8228241107484</v>
      </c>
      <c r="DG258" s="36">
        <v>-803</v>
      </c>
      <c r="DH258" s="36">
        <v>311.48403980671844</v>
      </c>
      <c r="DI258" s="36">
        <v>734</v>
      </c>
      <c r="DJ258" s="36">
        <v>355</v>
      </c>
      <c r="DK258" s="36">
        <v>-545</v>
      </c>
      <c r="DL258" s="36">
        <v>321</v>
      </c>
      <c r="DM258" s="36">
        <v>1080</v>
      </c>
      <c r="DN258" s="36">
        <v>95</v>
      </c>
      <c r="DO258" s="69">
        <v>-390</v>
      </c>
      <c r="DP258" s="36">
        <v>310</v>
      </c>
      <c r="DQ258" s="36">
        <v>1055</v>
      </c>
      <c r="DR258" s="36">
        <v>62</v>
      </c>
      <c r="DS258" s="36">
        <v>-887</v>
      </c>
      <c r="DT258" s="36">
        <v>329</v>
      </c>
      <c r="DU258" s="36">
        <v>1620</v>
      </c>
      <c r="DV258" s="36">
        <v>154</v>
      </c>
      <c r="DW258" s="71">
        <v>-488</v>
      </c>
      <c r="DX258" s="39">
        <v>349</v>
      </c>
      <c r="DY258" s="71">
        <v>1827</v>
      </c>
      <c r="DZ258" s="70">
        <v>543</v>
      </c>
      <c r="EA258" s="35">
        <v>16</v>
      </c>
      <c r="EB258" s="35">
        <v>373</v>
      </c>
      <c r="EC258" s="38">
        <v>1632</v>
      </c>
      <c r="ED258" s="38">
        <v>611</v>
      </c>
      <c r="EE258" s="38">
        <v>-985</v>
      </c>
      <c r="EF258" s="38">
        <v>375</v>
      </c>
      <c r="EG258" s="73">
        <v>2001</v>
      </c>
      <c r="EH258" s="73">
        <v>564</v>
      </c>
      <c r="EI258" s="73">
        <v>-95</v>
      </c>
      <c r="EJ258" s="73">
        <v>383</v>
      </c>
      <c r="EK258" s="73">
        <v>1480</v>
      </c>
      <c r="EL258" s="73">
        <v>7250.076945976356</v>
      </c>
      <c r="EM258" s="73">
        <v>68.45248606983499</v>
      </c>
      <c r="EN258" s="73">
        <v>7014.6138489302402</v>
      </c>
      <c r="EO258" s="73">
        <v>496.32257098791905</v>
      </c>
      <c r="EP258" s="73">
        <v>7342.0757417508021</v>
      </c>
      <c r="EQ258" s="73">
        <v>-389.35504975839802</v>
      </c>
      <c r="ER258" s="73">
        <v>7807.1153584168806</v>
      </c>
      <c r="ES258" s="73">
        <v>-153.21920100643655</v>
      </c>
      <c r="ET258" s="73">
        <v>8026</v>
      </c>
      <c r="EU258" s="73">
        <v>78</v>
      </c>
      <c r="EV258" s="73">
        <v>8381</v>
      </c>
      <c r="EW258" s="73">
        <v>-94</v>
      </c>
      <c r="EX258" s="73">
        <v>8643</v>
      </c>
      <c r="EY258" s="73">
        <v>-224</v>
      </c>
      <c r="EZ258" s="73">
        <v>8945</v>
      </c>
      <c r="FA258" s="73">
        <v>-151</v>
      </c>
      <c r="FB258" s="73">
        <v>8579</v>
      </c>
      <c r="FC258" s="73">
        <v>205</v>
      </c>
      <c r="FD258" s="73">
        <v>8693</v>
      </c>
      <c r="FE258" s="73">
        <v>178</v>
      </c>
      <c r="FF258" s="73">
        <v>9297</v>
      </c>
      <c r="FG258" s="73">
        <v>277</v>
      </c>
      <c r="FH258" s="73">
        <v>704</v>
      </c>
      <c r="FI258" s="73">
        <v>982</v>
      </c>
      <c r="FJ258" s="79">
        <v>1744</v>
      </c>
      <c r="FK258" s="80">
        <v>3865</v>
      </c>
      <c r="FL258" s="80">
        <v>4753</v>
      </c>
      <c r="FM258" s="80">
        <v>1352</v>
      </c>
      <c r="FN258" s="76">
        <v>438</v>
      </c>
      <c r="FO258" s="80">
        <v>3276</v>
      </c>
      <c r="FP258" s="80">
        <v>330</v>
      </c>
      <c r="FQ258" s="80">
        <v>259</v>
      </c>
      <c r="FR258" s="80">
        <v>379</v>
      </c>
      <c r="FS258" s="81">
        <v>-322</v>
      </c>
      <c r="FT258" s="76">
        <v>369</v>
      </c>
      <c r="FU258" s="76">
        <v>1219</v>
      </c>
      <c r="FV258" s="76">
        <v>322</v>
      </c>
      <c r="FW258" s="80">
        <v>10028</v>
      </c>
      <c r="FX258" s="80">
        <v>56</v>
      </c>
      <c r="FY258" s="73">
        <v>1706</v>
      </c>
      <c r="FZ258" s="73">
        <v>3955</v>
      </c>
      <c r="GA258" s="73">
        <v>4993</v>
      </c>
      <c r="GB258" s="73">
        <v>1541</v>
      </c>
      <c r="GC258" s="73">
        <v>283</v>
      </c>
      <c r="GD258" s="73">
        <v>3282</v>
      </c>
      <c r="GE258" s="73">
        <v>414</v>
      </c>
      <c r="GF258" s="73">
        <v>259</v>
      </c>
      <c r="GG258" s="73">
        <v>64</v>
      </c>
      <c r="GH258" s="73">
        <v>-356</v>
      </c>
      <c r="GI258" s="73">
        <v>351</v>
      </c>
      <c r="GJ258" s="73">
        <v>989</v>
      </c>
      <c r="GK258" s="73">
        <v>356</v>
      </c>
      <c r="GL258" s="73">
        <v>10693</v>
      </c>
      <c r="GM258" s="73">
        <v>-242</v>
      </c>
      <c r="GN258" s="73">
        <v>796</v>
      </c>
      <c r="GO258" s="77">
        <v>19.75</v>
      </c>
      <c r="GP258" s="78">
        <v>1700</v>
      </c>
      <c r="GQ258" s="73">
        <v>3778</v>
      </c>
      <c r="GR258" s="65">
        <v>5134</v>
      </c>
      <c r="GS258" s="65">
        <v>1568</v>
      </c>
      <c r="GT258" s="65">
        <v>69</v>
      </c>
      <c r="GU258" s="65">
        <v>3144</v>
      </c>
      <c r="GV258" s="65">
        <v>401</v>
      </c>
      <c r="GW258" s="65">
        <v>233</v>
      </c>
      <c r="GX258" s="65">
        <v>-334</v>
      </c>
      <c r="GY258" s="65">
        <v>-1784</v>
      </c>
      <c r="GZ258" s="65">
        <v>373</v>
      </c>
      <c r="HA258" s="65">
        <v>2529</v>
      </c>
      <c r="HB258" s="65">
        <v>1784</v>
      </c>
      <c r="HC258" s="65">
        <v>10856</v>
      </c>
      <c r="HD258" s="65">
        <v>-342</v>
      </c>
      <c r="HE258" s="78">
        <v>1704</v>
      </c>
      <c r="HF258" s="73">
        <v>3885</v>
      </c>
      <c r="HG258" s="65">
        <v>6066</v>
      </c>
      <c r="HH258" s="65">
        <v>3151</v>
      </c>
      <c r="HI258" s="65">
        <v>311</v>
      </c>
      <c r="HJ258" s="65">
        <v>3287</v>
      </c>
      <c r="HK258" s="65">
        <v>225</v>
      </c>
      <c r="HL258" s="65">
        <v>373</v>
      </c>
      <c r="HM258" s="65">
        <v>430</v>
      </c>
      <c r="HN258" s="65">
        <v>-1344</v>
      </c>
      <c r="HO258" s="65">
        <v>383</v>
      </c>
      <c r="HP258" s="65">
        <v>3628</v>
      </c>
      <c r="HQ258" s="65">
        <v>1344</v>
      </c>
      <c r="HR258" s="65">
        <v>12912</v>
      </c>
      <c r="HS258" s="65">
        <v>123</v>
      </c>
      <c r="HT258" s="65">
        <v>605</v>
      </c>
      <c r="HU258" s="77">
        <v>19.75</v>
      </c>
      <c r="HV258" s="180">
        <v>340</v>
      </c>
      <c r="HW258" s="30" t="s">
        <v>761</v>
      </c>
    </row>
    <row r="259" spans="1:231" ht="15" x14ac:dyDescent="0.25">
      <c r="A259" s="27">
        <v>845</v>
      </c>
      <c r="B259" s="27" t="s">
        <v>382</v>
      </c>
      <c r="C259" s="27">
        <v>19</v>
      </c>
      <c r="D259" s="27" t="s">
        <v>113</v>
      </c>
      <c r="E259" s="27">
        <v>2</v>
      </c>
      <c r="F259" s="27" t="s">
        <v>744</v>
      </c>
      <c r="G259" s="29" t="s">
        <v>130</v>
      </c>
      <c r="H259" s="27" t="s">
        <v>98</v>
      </c>
      <c r="I259" s="31" t="s">
        <v>113</v>
      </c>
      <c r="J259" s="69">
        <v>4032</v>
      </c>
      <c r="K259" s="69">
        <v>3953</v>
      </c>
      <c r="L259" s="36">
        <v>3895</v>
      </c>
      <c r="M259" s="36">
        <v>3864</v>
      </c>
      <c r="N259" s="36">
        <v>3781</v>
      </c>
      <c r="O259" s="36">
        <v>3729</v>
      </c>
      <c r="P259" s="36">
        <v>3710</v>
      </c>
      <c r="Q259" s="36">
        <v>3679</v>
      </c>
      <c r="R259" s="69">
        <v>3659</v>
      </c>
      <c r="S259" s="69">
        <v>3550</v>
      </c>
      <c r="T259" s="71">
        <v>3476</v>
      </c>
      <c r="U259" s="36">
        <v>7644</v>
      </c>
      <c r="V259" s="36">
        <v>5777</v>
      </c>
      <c r="W259" s="36">
        <v>4544</v>
      </c>
      <c r="X259" s="36">
        <v>235.29490911965394</v>
      </c>
      <c r="Y259" s="36">
        <v>7649</v>
      </c>
      <c r="Z259" s="36">
        <v>5529</v>
      </c>
      <c r="AA259" s="36">
        <v>4728</v>
      </c>
      <c r="AB259" s="36">
        <v>218.30792854704131</v>
      </c>
      <c r="AC259" s="36">
        <v>7196</v>
      </c>
      <c r="AD259" s="36">
        <v>5608</v>
      </c>
      <c r="AE259" s="36">
        <v>4549</v>
      </c>
      <c r="AF259" s="36">
        <v>186.35222251935423</v>
      </c>
      <c r="AG259" s="36">
        <v>7546</v>
      </c>
      <c r="AH259" s="36">
        <v>6559</v>
      </c>
      <c r="AI259" s="36">
        <v>4333</v>
      </c>
      <c r="AJ259" s="36">
        <v>197.78900151873697</v>
      </c>
      <c r="AK259" s="36">
        <v>8321</v>
      </c>
      <c r="AL259" s="36">
        <v>7170</v>
      </c>
      <c r="AM259" s="36">
        <v>4286</v>
      </c>
      <c r="AN259" s="36">
        <v>162</v>
      </c>
      <c r="AO259" s="36">
        <v>7981</v>
      </c>
      <c r="AP259" s="36">
        <v>6535</v>
      </c>
      <c r="AQ259" s="36">
        <v>4309</v>
      </c>
      <c r="AR259" s="36">
        <v>357</v>
      </c>
      <c r="AS259" s="36">
        <v>7898</v>
      </c>
      <c r="AT259" s="36">
        <v>6905</v>
      </c>
      <c r="AU259" s="36">
        <v>6276</v>
      </c>
      <c r="AV259" s="36">
        <v>2911</v>
      </c>
      <c r="AW259" s="36">
        <v>8139</v>
      </c>
      <c r="AX259" s="69">
        <v>7099</v>
      </c>
      <c r="AY259" s="36">
        <v>6326</v>
      </c>
      <c r="AZ259" s="36">
        <v>336</v>
      </c>
      <c r="BA259" s="36">
        <v>9096</v>
      </c>
      <c r="BB259" s="36">
        <v>8043</v>
      </c>
      <c r="BC259" s="36">
        <v>6573</v>
      </c>
      <c r="BD259" s="36">
        <v>315</v>
      </c>
      <c r="BE259" s="70">
        <v>9903</v>
      </c>
      <c r="BF259" s="70">
        <v>8599</v>
      </c>
      <c r="BG259" s="70">
        <v>7691</v>
      </c>
      <c r="BH259" s="70">
        <v>418</v>
      </c>
      <c r="BI259" s="36">
        <v>10066</v>
      </c>
      <c r="BJ259" s="36">
        <v>9241</v>
      </c>
      <c r="BK259" s="36">
        <v>8214</v>
      </c>
      <c r="BL259" s="36">
        <v>504</v>
      </c>
      <c r="BM259" s="36">
        <v>5414.642104501886</v>
      </c>
      <c r="BN259" s="36">
        <v>1421.1879785997683</v>
      </c>
      <c r="BO259" s="36">
        <v>808.64755042694492</v>
      </c>
      <c r="BP259" s="36">
        <v>5569.8795606258609</v>
      </c>
      <c r="BQ259" s="36">
        <v>1035.028499444139</v>
      </c>
      <c r="BR259" s="36">
        <v>1044.278835399522</v>
      </c>
      <c r="BS259" s="36">
        <v>5162.3602148096197</v>
      </c>
      <c r="BT259" s="36">
        <v>989.78594722599235</v>
      </c>
      <c r="BU259" s="36">
        <v>1043.4378957672145</v>
      </c>
      <c r="BV259" s="36">
        <v>5691</v>
      </c>
      <c r="BW259" s="36">
        <v>799</v>
      </c>
      <c r="BX259" s="36">
        <v>1056</v>
      </c>
      <c r="BY259" s="36">
        <v>6853</v>
      </c>
      <c r="BZ259" s="36">
        <v>400</v>
      </c>
      <c r="CA259" s="36">
        <v>1068</v>
      </c>
      <c r="CB259" s="36">
        <v>6607</v>
      </c>
      <c r="CC259" s="36">
        <v>243</v>
      </c>
      <c r="CD259" s="36">
        <v>1131</v>
      </c>
      <c r="CE259" s="36">
        <v>6440</v>
      </c>
      <c r="CF259" s="36">
        <v>341</v>
      </c>
      <c r="CG259" s="36">
        <v>1117</v>
      </c>
      <c r="CH259" s="36">
        <v>6494</v>
      </c>
      <c r="CI259" s="36">
        <v>488</v>
      </c>
      <c r="CJ259" s="70">
        <v>1157</v>
      </c>
      <c r="CK259" s="70">
        <v>6675</v>
      </c>
      <c r="CL259" s="70">
        <v>638</v>
      </c>
      <c r="CM259" s="36">
        <v>1783</v>
      </c>
      <c r="CN259" s="36">
        <v>7437</v>
      </c>
      <c r="CO259" s="36">
        <v>653</v>
      </c>
      <c r="CP259" s="36">
        <v>1813</v>
      </c>
      <c r="CQ259" s="36">
        <v>7683</v>
      </c>
      <c r="CR259" s="36">
        <v>491</v>
      </c>
      <c r="CS259" s="36">
        <v>1892</v>
      </c>
      <c r="CT259" s="36">
        <v>758.1911724884917</v>
      </c>
      <c r="CU259" s="36">
        <v>-1403.0236829999999</v>
      </c>
      <c r="CV259" s="36">
        <v>817.39332260294361</v>
      </c>
      <c r="CW259" s="36">
        <v>1484</v>
      </c>
      <c r="CX259" s="36">
        <v>745.57707800387834</v>
      </c>
      <c r="CY259" s="36">
        <v>-1348.6989819999999</v>
      </c>
      <c r="CZ259" s="36">
        <v>1009.9684984013738</v>
      </c>
      <c r="DA259" s="36">
        <v>1869</v>
      </c>
      <c r="DB259" s="36">
        <v>-796.87439557463927</v>
      </c>
      <c r="DC259" s="36">
        <v>-1830.221016</v>
      </c>
      <c r="DD259" s="36">
        <v>1053.6973592813665</v>
      </c>
      <c r="DE259" s="36">
        <v>3584</v>
      </c>
      <c r="DF259" s="36">
        <v>1.6818792646151104</v>
      </c>
      <c r="DG259" s="36">
        <v>-1851</v>
      </c>
      <c r="DH259" s="36">
        <v>1008.7911829161433</v>
      </c>
      <c r="DI259" s="36">
        <v>5058</v>
      </c>
      <c r="DJ259" s="36">
        <v>1795</v>
      </c>
      <c r="DK259" s="36">
        <v>-677</v>
      </c>
      <c r="DL259" s="36">
        <v>1056</v>
      </c>
      <c r="DM259" s="36">
        <v>5032</v>
      </c>
      <c r="DN259" s="36">
        <v>322</v>
      </c>
      <c r="DO259" s="69">
        <v>-755</v>
      </c>
      <c r="DP259" s="36">
        <v>1251</v>
      </c>
      <c r="DQ259" s="36">
        <v>4313</v>
      </c>
      <c r="DR259" s="36">
        <v>166</v>
      </c>
      <c r="DS259" s="36">
        <v>-1294</v>
      </c>
      <c r="DT259" s="36">
        <v>999</v>
      </c>
      <c r="DU259" s="36">
        <v>5938</v>
      </c>
      <c r="DV259" s="36">
        <v>11</v>
      </c>
      <c r="DW259" s="71">
        <v>-896</v>
      </c>
      <c r="DX259" s="39">
        <v>1126</v>
      </c>
      <c r="DY259" s="71">
        <v>5203</v>
      </c>
      <c r="DZ259" s="70">
        <v>950</v>
      </c>
      <c r="EA259" s="35">
        <v>-1203</v>
      </c>
      <c r="EB259" s="35">
        <v>957</v>
      </c>
      <c r="EC259" s="38">
        <v>5375</v>
      </c>
      <c r="ED259" s="38">
        <v>1610</v>
      </c>
      <c r="EE259" s="38">
        <v>-854</v>
      </c>
      <c r="EF259" s="38">
        <v>950</v>
      </c>
      <c r="EG259" s="73">
        <v>5330</v>
      </c>
      <c r="EH259" s="73">
        <v>1573</v>
      </c>
      <c r="EI259" s="73">
        <v>-1520</v>
      </c>
      <c r="EJ259" s="73">
        <v>940</v>
      </c>
      <c r="EK259" s="73">
        <v>5235</v>
      </c>
      <c r="EL259" s="73">
        <v>16596.616395295448</v>
      </c>
      <c r="EM259" s="73">
        <v>85.103090789524586</v>
      </c>
      <c r="EN259" s="73">
        <v>16610.071429412368</v>
      </c>
      <c r="EO259" s="73">
        <v>-131.0183947135171</v>
      </c>
      <c r="EP259" s="73">
        <v>17429.987570912235</v>
      </c>
      <c r="EQ259" s="73">
        <v>-1794.0606115649382</v>
      </c>
      <c r="ER259" s="73">
        <v>17570.424489507597</v>
      </c>
      <c r="ES259" s="73">
        <v>-418.61974896270095</v>
      </c>
      <c r="ET259" s="73">
        <v>17845</v>
      </c>
      <c r="EU259" s="73">
        <v>796</v>
      </c>
      <c r="EV259" s="73">
        <v>18451</v>
      </c>
      <c r="EW259" s="73">
        <v>-672</v>
      </c>
      <c r="EX259" s="73">
        <v>20970</v>
      </c>
      <c r="EY259" s="73">
        <v>1806</v>
      </c>
      <c r="EZ259" s="73">
        <v>21645</v>
      </c>
      <c r="FA259" s="73">
        <v>-1058</v>
      </c>
      <c r="FB259" s="73">
        <v>22885</v>
      </c>
      <c r="FC259" s="73">
        <v>50</v>
      </c>
      <c r="FD259" s="73">
        <v>24603</v>
      </c>
      <c r="FE259" s="73">
        <v>717</v>
      </c>
      <c r="FF259" s="73">
        <v>26206</v>
      </c>
      <c r="FG259" s="73">
        <v>690</v>
      </c>
      <c r="FH259" s="73">
        <v>669</v>
      </c>
      <c r="FI259" s="73">
        <v>1360</v>
      </c>
      <c r="FJ259" s="79">
        <v>3462</v>
      </c>
      <c r="FK259" s="80">
        <v>10014</v>
      </c>
      <c r="FL259" s="80">
        <v>10077</v>
      </c>
      <c r="FM259" s="80">
        <v>8288</v>
      </c>
      <c r="FN259" s="76">
        <v>310</v>
      </c>
      <c r="FO259" s="80">
        <v>7704</v>
      </c>
      <c r="FP259" s="80">
        <v>363</v>
      </c>
      <c r="FQ259" s="80">
        <v>1947</v>
      </c>
      <c r="FR259" s="80">
        <v>1549</v>
      </c>
      <c r="FS259" s="81">
        <v>-792</v>
      </c>
      <c r="FT259" s="76">
        <v>871</v>
      </c>
      <c r="FU259" s="76">
        <v>5488</v>
      </c>
      <c r="FV259" s="76">
        <v>792</v>
      </c>
      <c r="FW259" s="80">
        <v>27024</v>
      </c>
      <c r="FX259" s="80">
        <v>847</v>
      </c>
      <c r="FY259" s="73">
        <v>3444</v>
      </c>
      <c r="FZ259" s="73">
        <v>10465</v>
      </c>
      <c r="GA259" s="73">
        <v>10609</v>
      </c>
      <c r="GB259" s="73">
        <v>8794</v>
      </c>
      <c r="GC259" s="73">
        <v>459</v>
      </c>
      <c r="GD259" s="73">
        <v>7697</v>
      </c>
      <c r="GE259" s="73">
        <v>501</v>
      </c>
      <c r="GF259" s="73">
        <v>2267</v>
      </c>
      <c r="GG259" s="73">
        <v>3529</v>
      </c>
      <c r="GH259" s="73">
        <v>-2616</v>
      </c>
      <c r="GI259" s="73">
        <v>981</v>
      </c>
      <c r="GJ259" s="73">
        <v>5163</v>
      </c>
      <c r="GK259" s="73">
        <v>2616</v>
      </c>
      <c r="GL259" s="73">
        <v>26798</v>
      </c>
      <c r="GM259" s="73">
        <v>1085</v>
      </c>
      <c r="GN259" s="73">
        <v>3293</v>
      </c>
      <c r="GO259" s="77">
        <v>19.5</v>
      </c>
      <c r="GP259" s="78">
        <v>3387</v>
      </c>
      <c r="GQ259" s="73">
        <v>10379</v>
      </c>
      <c r="GR259" s="65">
        <v>10982</v>
      </c>
      <c r="GS259" s="65">
        <v>8846</v>
      </c>
      <c r="GT259" s="65">
        <v>402</v>
      </c>
      <c r="GU259" s="65">
        <v>7573</v>
      </c>
      <c r="GV259" s="65">
        <v>591</v>
      </c>
      <c r="GW259" s="65">
        <v>2215</v>
      </c>
      <c r="GX259" s="65">
        <v>3314</v>
      </c>
      <c r="GY259" s="65">
        <v>-1545</v>
      </c>
      <c r="GZ259" s="65">
        <v>908</v>
      </c>
      <c r="HA259" s="65">
        <v>4361</v>
      </c>
      <c r="HB259" s="65">
        <v>1545</v>
      </c>
      <c r="HC259" s="65">
        <v>27295</v>
      </c>
      <c r="HD259" s="65">
        <v>2463</v>
      </c>
      <c r="HE259" s="78">
        <v>3339</v>
      </c>
      <c r="HF259" s="73">
        <v>10615</v>
      </c>
      <c r="HG259" s="65">
        <v>11954</v>
      </c>
      <c r="HH259" s="65">
        <v>8770</v>
      </c>
      <c r="HI259" s="65">
        <v>374</v>
      </c>
      <c r="HJ259" s="65">
        <v>7856</v>
      </c>
      <c r="HK259" s="65">
        <v>458</v>
      </c>
      <c r="HL259" s="65">
        <v>2301</v>
      </c>
      <c r="HM259" s="65">
        <v>2937</v>
      </c>
      <c r="HN259" s="65">
        <v>-1170</v>
      </c>
      <c r="HO259" s="65">
        <v>931</v>
      </c>
      <c r="HP259" s="65">
        <v>3700</v>
      </c>
      <c r="HQ259" s="65">
        <v>1170</v>
      </c>
      <c r="HR259" s="65">
        <v>28776</v>
      </c>
      <c r="HS259" s="65">
        <v>2069</v>
      </c>
      <c r="HT259" s="65">
        <v>7825</v>
      </c>
      <c r="HU259" s="77">
        <v>19.5</v>
      </c>
      <c r="HV259" s="180">
        <v>330</v>
      </c>
      <c r="HW259" s="30" t="s">
        <v>760</v>
      </c>
    </row>
    <row r="260" spans="1:231" ht="15" x14ac:dyDescent="0.25">
      <c r="A260" s="27">
        <v>846</v>
      </c>
      <c r="B260" s="27" t="s">
        <v>383</v>
      </c>
      <c r="C260" s="27">
        <v>14</v>
      </c>
      <c r="D260" s="27" t="s">
        <v>106</v>
      </c>
      <c r="E260" s="27">
        <v>3</v>
      </c>
      <c r="F260" s="27" t="s">
        <v>743</v>
      </c>
      <c r="G260" s="29" t="s">
        <v>130</v>
      </c>
      <c r="H260" s="27" t="s">
        <v>98</v>
      </c>
      <c r="I260" s="31" t="s">
        <v>106</v>
      </c>
      <c r="J260" s="69">
        <v>6782</v>
      </c>
      <c r="K260" s="69">
        <v>6686</v>
      </c>
      <c r="L260" s="36">
        <v>6620</v>
      </c>
      <c r="M260" s="36">
        <v>6508</v>
      </c>
      <c r="N260" s="36">
        <v>6403</v>
      </c>
      <c r="O260" s="36">
        <v>6340</v>
      </c>
      <c r="P260" s="36">
        <v>6307</v>
      </c>
      <c r="Q260" s="36">
        <v>6220</v>
      </c>
      <c r="R260" s="69">
        <v>6158</v>
      </c>
      <c r="S260" s="69">
        <v>6158</v>
      </c>
      <c r="T260" s="71">
        <v>6077</v>
      </c>
      <c r="U260" s="36">
        <v>12068</v>
      </c>
      <c r="V260" s="36">
        <v>7653</v>
      </c>
      <c r="W260" s="36">
        <v>5106</v>
      </c>
      <c r="X260" s="36">
        <v>455.62109278423338</v>
      </c>
      <c r="Y260" s="36">
        <v>11764</v>
      </c>
      <c r="Z260" s="36">
        <v>7841</v>
      </c>
      <c r="AA260" s="36">
        <v>5251</v>
      </c>
      <c r="AB260" s="36">
        <v>304.58833482179648</v>
      </c>
      <c r="AC260" s="36">
        <v>11356</v>
      </c>
      <c r="AD260" s="36">
        <v>9020</v>
      </c>
      <c r="AE260" s="36">
        <v>5573</v>
      </c>
      <c r="AF260" s="36">
        <v>311.82041565964153</v>
      </c>
      <c r="AG260" s="36">
        <v>12770</v>
      </c>
      <c r="AH260" s="36">
        <v>9379</v>
      </c>
      <c r="AI260" s="36">
        <v>5583</v>
      </c>
      <c r="AJ260" s="36">
        <v>341.25330279040588</v>
      </c>
      <c r="AK260" s="36">
        <v>12821</v>
      </c>
      <c r="AL260" s="36">
        <v>9958</v>
      </c>
      <c r="AM260" s="36">
        <v>5730</v>
      </c>
      <c r="AN260" s="36">
        <v>288</v>
      </c>
      <c r="AO260" s="36">
        <v>12187</v>
      </c>
      <c r="AP260" s="36">
        <v>10661</v>
      </c>
      <c r="AQ260" s="36">
        <v>6209</v>
      </c>
      <c r="AR260" s="36">
        <v>278</v>
      </c>
      <c r="AS260" s="36">
        <v>12379</v>
      </c>
      <c r="AT260" s="36">
        <v>11152</v>
      </c>
      <c r="AU260" s="36">
        <v>5824</v>
      </c>
      <c r="AV260" s="36">
        <v>198</v>
      </c>
      <c r="AW260" s="36">
        <v>12636</v>
      </c>
      <c r="AX260" s="69">
        <v>11697</v>
      </c>
      <c r="AY260" s="36">
        <v>6087</v>
      </c>
      <c r="AZ260" s="36">
        <v>177</v>
      </c>
      <c r="BA260" s="36">
        <v>13284</v>
      </c>
      <c r="BB260" s="36">
        <v>12063</v>
      </c>
      <c r="BC260" s="36">
        <v>6241</v>
      </c>
      <c r="BD260" s="36">
        <v>95</v>
      </c>
      <c r="BE260" s="70">
        <v>14125</v>
      </c>
      <c r="BF260" s="70">
        <v>12533</v>
      </c>
      <c r="BG260" s="70">
        <v>6571</v>
      </c>
      <c r="BH260" s="70">
        <v>229</v>
      </c>
      <c r="BI260" s="36">
        <v>15291</v>
      </c>
      <c r="BJ260" s="36">
        <v>13748</v>
      </c>
      <c r="BK260" s="36">
        <v>7121</v>
      </c>
      <c r="BL260" s="36">
        <v>182</v>
      </c>
      <c r="BM260" s="36">
        <v>10007.013436533445</v>
      </c>
      <c r="BN260" s="36">
        <v>1911.2875963086112</v>
      </c>
      <c r="BO260" s="36">
        <v>149.85544247720634</v>
      </c>
      <c r="BP260" s="36">
        <v>9946.9703467866857</v>
      </c>
      <c r="BQ260" s="36">
        <v>1557.2520111071303</v>
      </c>
      <c r="BR260" s="36">
        <v>260.18672223595757</v>
      </c>
      <c r="BS260" s="36">
        <v>9348.3895165101676</v>
      </c>
      <c r="BT260" s="36">
        <v>1716.6941653926431</v>
      </c>
      <c r="BU260" s="36">
        <v>291.13330070487558</v>
      </c>
      <c r="BV260" s="36">
        <v>11358</v>
      </c>
      <c r="BW260" s="36">
        <v>1046</v>
      </c>
      <c r="BX260" s="36">
        <v>367</v>
      </c>
      <c r="BY260" s="36">
        <v>11583</v>
      </c>
      <c r="BZ260" s="36">
        <v>748</v>
      </c>
      <c r="CA260" s="36">
        <v>490</v>
      </c>
      <c r="CB260" s="36">
        <v>11254</v>
      </c>
      <c r="CC260" s="36">
        <v>445</v>
      </c>
      <c r="CD260" s="36">
        <v>488</v>
      </c>
      <c r="CE260" s="36">
        <v>11398</v>
      </c>
      <c r="CF260" s="36">
        <v>399</v>
      </c>
      <c r="CG260" s="36">
        <v>582</v>
      </c>
      <c r="CH260" s="36">
        <v>11470</v>
      </c>
      <c r="CI260" s="36">
        <v>747</v>
      </c>
      <c r="CJ260" s="70">
        <v>419</v>
      </c>
      <c r="CK260" s="70">
        <v>12006</v>
      </c>
      <c r="CL260" s="70">
        <v>840</v>
      </c>
      <c r="CM260" s="36">
        <v>438</v>
      </c>
      <c r="CN260" s="36">
        <v>12796</v>
      </c>
      <c r="CO260" s="36">
        <v>925</v>
      </c>
      <c r="CP260" s="36">
        <v>404</v>
      </c>
      <c r="CQ260" s="36">
        <v>13909</v>
      </c>
      <c r="CR260" s="36">
        <v>901</v>
      </c>
      <c r="CS260" s="36">
        <v>481</v>
      </c>
      <c r="CT260" s="36">
        <v>-62.73409657014362</v>
      </c>
      <c r="CU260" s="36">
        <v>-1558.7657019999999</v>
      </c>
      <c r="CV260" s="36">
        <v>1103.6491734404353</v>
      </c>
      <c r="CW260" s="36">
        <v>4244</v>
      </c>
      <c r="CX260" s="36">
        <v>-101.75369550921417</v>
      </c>
      <c r="CY260" s="36">
        <v>-1408.742072</v>
      </c>
      <c r="CZ260" s="36">
        <v>1180.5110558333458</v>
      </c>
      <c r="DA260" s="36">
        <v>5031</v>
      </c>
      <c r="DB260" s="36">
        <v>338.8986718199447</v>
      </c>
      <c r="DC260" s="36">
        <v>-912.58768900000018</v>
      </c>
      <c r="DD260" s="36">
        <v>1218.1851513607244</v>
      </c>
      <c r="DE260" s="36">
        <v>5355</v>
      </c>
      <c r="DF260" s="36">
        <v>1576.5936226502045</v>
      </c>
      <c r="DG260" s="36">
        <v>-1174</v>
      </c>
      <c r="DH260" s="36">
        <v>1222.5580374487238</v>
      </c>
      <c r="DI260" s="36">
        <v>5473</v>
      </c>
      <c r="DJ260" s="36">
        <v>3499</v>
      </c>
      <c r="DK260" s="36">
        <v>-585</v>
      </c>
      <c r="DL260" s="36">
        <v>1194</v>
      </c>
      <c r="DM260" s="36">
        <v>4939</v>
      </c>
      <c r="DN260" s="36">
        <v>2003</v>
      </c>
      <c r="DO260" s="69">
        <v>-970</v>
      </c>
      <c r="DP260" s="36">
        <v>1128</v>
      </c>
      <c r="DQ260" s="36">
        <v>3419</v>
      </c>
      <c r="DR260" s="36">
        <v>1584</v>
      </c>
      <c r="DS260" s="36">
        <v>-1571</v>
      </c>
      <c r="DT260" s="36">
        <v>1142</v>
      </c>
      <c r="DU260" s="36">
        <v>2938</v>
      </c>
      <c r="DV260" s="36">
        <v>685</v>
      </c>
      <c r="DW260" s="71">
        <v>-1698</v>
      </c>
      <c r="DX260" s="39">
        <v>1645</v>
      </c>
      <c r="DY260" s="71">
        <v>1935</v>
      </c>
      <c r="DZ260" s="70">
        <v>1372</v>
      </c>
      <c r="EA260" s="35">
        <v>-1019</v>
      </c>
      <c r="EB260" s="35">
        <v>1343</v>
      </c>
      <c r="EC260" s="38">
        <v>1323</v>
      </c>
      <c r="ED260" s="38">
        <v>2072</v>
      </c>
      <c r="EE260" s="38">
        <v>-2452</v>
      </c>
      <c r="EF260" s="38">
        <v>1309</v>
      </c>
      <c r="EG260" s="73">
        <v>1050</v>
      </c>
      <c r="EH260" s="73">
        <v>2586</v>
      </c>
      <c r="EI260" s="73">
        <v>-1938</v>
      </c>
      <c r="EJ260" s="73">
        <v>1624</v>
      </c>
      <c r="EK260" s="73">
        <v>774</v>
      </c>
      <c r="EL260" s="73">
        <v>23930.114552796713</v>
      </c>
      <c r="EM260" s="73">
        <v>-1203.552801758573</v>
      </c>
      <c r="EN260" s="73">
        <v>24016.394959071466</v>
      </c>
      <c r="EO260" s="73">
        <v>-1299.2517319151727</v>
      </c>
      <c r="EP260" s="73">
        <v>24578.310821379375</v>
      </c>
      <c r="EQ260" s="73">
        <v>-879.28647954077962</v>
      </c>
      <c r="ER260" s="73">
        <v>24990.707617063003</v>
      </c>
      <c r="ES260" s="73">
        <v>339.40323559932926</v>
      </c>
      <c r="ET260" s="73">
        <v>25001</v>
      </c>
      <c r="EU260" s="73">
        <v>2305</v>
      </c>
      <c r="EV260" s="73">
        <v>27090</v>
      </c>
      <c r="EW260" s="73">
        <v>875</v>
      </c>
      <c r="EX260" s="73">
        <v>27822</v>
      </c>
      <c r="EY260" s="73">
        <v>442</v>
      </c>
      <c r="EZ260" s="73">
        <v>29675</v>
      </c>
      <c r="FA260" s="73">
        <v>-960</v>
      </c>
      <c r="FB260" s="73">
        <v>30311</v>
      </c>
      <c r="FC260" s="73">
        <v>29</v>
      </c>
      <c r="FD260" s="73">
        <v>31300</v>
      </c>
      <c r="FE260" s="73">
        <v>763</v>
      </c>
      <c r="FF260" s="73">
        <v>33756</v>
      </c>
      <c r="FG260" s="73">
        <v>962</v>
      </c>
      <c r="FH260" s="73">
        <v>2984</v>
      </c>
      <c r="FI260" s="73">
        <v>3946</v>
      </c>
      <c r="FJ260" s="79">
        <v>5962</v>
      </c>
      <c r="FK260" s="80">
        <v>14896</v>
      </c>
      <c r="FL260" s="80">
        <v>14735</v>
      </c>
      <c r="FM260" s="80">
        <v>4635</v>
      </c>
      <c r="FN260" s="76">
        <v>300</v>
      </c>
      <c r="FO260" s="80">
        <v>13691</v>
      </c>
      <c r="FP260" s="80">
        <v>700</v>
      </c>
      <c r="FQ260" s="80">
        <v>505</v>
      </c>
      <c r="FR260" s="80">
        <v>1090</v>
      </c>
      <c r="FS260" s="81">
        <v>-768</v>
      </c>
      <c r="FT260" s="76">
        <v>1210</v>
      </c>
      <c r="FU260" s="76">
        <v>495</v>
      </c>
      <c r="FV260" s="76">
        <v>768</v>
      </c>
      <c r="FW260" s="80">
        <v>33302</v>
      </c>
      <c r="FX260" s="80">
        <v>54</v>
      </c>
      <c r="FY260" s="73">
        <v>5923</v>
      </c>
      <c r="FZ260" s="73">
        <v>14928</v>
      </c>
      <c r="GA260" s="73">
        <v>15552</v>
      </c>
      <c r="GB260" s="73">
        <v>4880</v>
      </c>
      <c r="GC260" s="73">
        <v>110</v>
      </c>
      <c r="GD260" s="73">
        <v>13369</v>
      </c>
      <c r="GE260" s="73">
        <v>944</v>
      </c>
      <c r="GF260" s="73">
        <v>615</v>
      </c>
      <c r="GG260" s="73">
        <v>1101</v>
      </c>
      <c r="GH260" s="73">
        <v>-1656</v>
      </c>
      <c r="GI260" s="73">
        <v>1387</v>
      </c>
      <c r="GJ260" s="73">
        <v>337</v>
      </c>
      <c r="GK260" s="73">
        <v>1656</v>
      </c>
      <c r="GL260" s="73">
        <v>34321</v>
      </c>
      <c r="GM260" s="73">
        <v>-238</v>
      </c>
      <c r="GN260" s="73">
        <v>3761</v>
      </c>
      <c r="GO260" s="77">
        <v>19.75</v>
      </c>
      <c r="GP260" s="78">
        <v>5847</v>
      </c>
      <c r="GQ260" s="73">
        <v>15447</v>
      </c>
      <c r="GR260" s="65">
        <v>15853</v>
      </c>
      <c r="GS260" s="65">
        <v>5147</v>
      </c>
      <c r="GT260" s="65">
        <v>74</v>
      </c>
      <c r="GU260" s="65">
        <v>13759</v>
      </c>
      <c r="GV260" s="65">
        <v>1054</v>
      </c>
      <c r="GW260" s="65">
        <v>634</v>
      </c>
      <c r="GX260" s="65">
        <v>-1246</v>
      </c>
      <c r="GY260" s="65">
        <v>-2374</v>
      </c>
      <c r="GZ260" s="65">
        <v>1216</v>
      </c>
      <c r="HA260" s="65">
        <v>279</v>
      </c>
      <c r="HB260" s="65">
        <v>2374</v>
      </c>
      <c r="HC260" s="65">
        <v>37767</v>
      </c>
      <c r="HD260" s="65">
        <v>-2462</v>
      </c>
      <c r="HE260" s="78">
        <v>5767</v>
      </c>
      <c r="HF260" s="73">
        <v>15196</v>
      </c>
      <c r="HG260" s="65">
        <v>17585</v>
      </c>
      <c r="HH260" s="65">
        <v>5636</v>
      </c>
      <c r="HI260" s="65">
        <v>38</v>
      </c>
      <c r="HJ260" s="65">
        <v>13939</v>
      </c>
      <c r="HK260" s="65">
        <v>619</v>
      </c>
      <c r="HL260" s="65">
        <v>638</v>
      </c>
      <c r="HM260" s="65">
        <v>-1067</v>
      </c>
      <c r="HN260" s="65">
        <v>-4312</v>
      </c>
      <c r="HO260" s="65">
        <v>1298</v>
      </c>
      <c r="HP260" s="65">
        <v>8221</v>
      </c>
      <c r="HQ260" s="65">
        <v>4312</v>
      </c>
      <c r="HR260" s="65">
        <v>39436</v>
      </c>
      <c r="HS260" s="65">
        <v>-2365</v>
      </c>
      <c r="HT260" s="65">
        <v>-1065</v>
      </c>
      <c r="HU260" s="77">
        <v>20.5</v>
      </c>
      <c r="HV260" s="180">
        <v>340</v>
      </c>
      <c r="HW260" s="30" t="s">
        <v>761</v>
      </c>
    </row>
    <row r="261" spans="1:231" ht="15" x14ac:dyDescent="0.25">
      <c r="A261" s="27">
        <v>848</v>
      </c>
      <c r="B261" s="27" t="s">
        <v>384</v>
      </c>
      <c r="C261" s="27">
        <v>12</v>
      </c>
      <c r="D261" s="27" t="s">
        <v>116</v>
      </c>
      <c r="E261" s="27">
        <v>2</v>
      </c>
      <c r="F261" s="27" t="s">
        <v>744</v>
      </c>
      <c r="G261" s="29" t="s">
        <v>130</v>
      </c>
      <c r="H261" s="27" t="s">
        <v>98</v>
      </c>
      <c r="I261" s="31" t="s">
        <v>116</v>
      </c>
      <c r="J261" s="69">
        <v>6059</v>
      </c>
      <c r="K261" s="69">
        <v>5969</v>
      </c>
      <c r="L261" s="36">
        <v>5873</v>
      </c>
      <c r="M261" s="36">
        <v>5791</v>
      </c>
      <c r="N261" s="36">
        <v>5711</v>
      </c>
      <c r="O261" s="36">
        <v>5588</v>
      </c>
      <c r="P261" s="36">
        <v>5511</v>
      </c>
      <c r="Q261" s="36">
        <v>5446</v>
      </c>
      <c r="R261" s="69">
        <v>5346</v>
      </c>
      <c r="S261" s="69">
        <v>5239</v>
      </c>
      <c r="T261" s="71">
        <v>5161</v>
      </c>
      <c r="U261" s="36">
        <v>10493</v>
      </c>
      <c r="V261" s="36">
        <v>8494</v>
      </c>
      <c r="W261" s="36">
        <v>4944</v>
      </c>
      <c r="X261" s="36">
        <v>168.52430231443407</v>
      </c>
      <c r="Y261" s="36">
        <v>10049</v>
      </c>
      <c r="Z261" s="36">
        <v>8158</v>
      </c>
      <c r="AA261" s="36">
        <v>5208</v>
      </c>
      <c r="AB261" s="36">
        <v>213.59866660611897</v>
      </c>
      <c r="AC261" s="36">
        <v>9832</v>
      </c>
      <c r="AD261" s="36">
        <v>8789</v>
      </c>
      <c r="AE261" s="36">
        <v>5470</v>
      </c>
      <c r="AF261" s="36">
        <v>158.76940257966643</v>
      </c>
      <c r="AG261" s="36">
        <v>10418</v>
      </c>
      <c r="AH261" s="36">
        <v>9799</v>
      </c>
      <c r="AI261" s="36">
        <v>6169</v>
      </c>
      <c r="AJ261" s="36">
        <v>205.69383406242801</v>
      </c>
      <c r="AK261" s="36">
        <v>10741</v>
      </c>
      <c r="AL261" s="36">
        <v>9858</v>
      </c>
      <c r="AM261" s="36">
        <v>6389</v>
      </c>
      <c r="AN261" s="36">
        <v>233</v>
      </c>
      <c r="AO261" s="36">
        <v>10008</v>
      </c>
      <c r="AP261" s="36">
        <v>11152</v>
      </c>
      <c r="AQ261" s="36">
        <v>6765</v>
      </c>
      <c r="AR261" s="36">
        <v>222</v>
      </c>
      <c r="AS261" s="36">
        <v>10282</v>
      </c>
      <c r="AT261" s="36">
        <v>11221</v>
      </c>
      <c r="AU261" s="36">
        <v>6823</v>
      </c>
      <c r="AV261" s="36">
        <v>971</v>
      </c>
      <c r="AW261" s="36">
        <v>10874</v>
      </c>
      <c r="AX261" s="69">
        <v>10984</v>
      </c>
      <c r="AY261" s="36">
        <v>7626</v>
      </c>
      <c r="AZ261" s="36">
        <v>276</v>
      </c>
      <c r="BA261" s="36">
        <v>11437</v>
      </c>
      <c r="BB261" s="36">
        <v>11400</v>
      </c>
      <c r="BC261" s="36">
        <v>7405</v>
      </c>
      <c r="BD261" s="36">
        <v>305</v>
      </c>
      <c r="BE261" s="70">
        <v>11577</v>
      </c>
      <c r="BF261" s="70">
        <v>11685</v>
      </c>
      <c r="BG261" s="70">
        <v>7272</v>
      </c>
      <c r="BH261" s="70">
        <v>244</v>
      </c>
      <c r="BI261" s="36">
        <v>11979</v>
      </c>
      <c r="BJ261" s="36">
        <v>13164</v>
      </c>
      <c r="BK261" s="36">
        <v>7584</v>
      </c>
      <c r="BL261" s="36">
        <v>214</v>
      </c>
      <c r="BM261" s="36">
        <v>7877.4179116777923</v>
      </c>
      <c r="BN261" s="36">
        <v>2344.7078827999258</v>
      </c>
      <c r="BO261" s="36">
        <v>271.28712538241729</v>
      </c>
      <c r="BP261" s="36">
        <v>7829.3161647098004</v>
      </c>
      <c r="BQ261" s="36">
        <v>1947.7843763507594</v>
      </c>
      <c r="BR261" s="36">
        <v>272.29625294118642</v>
      </c>
      <c r="BS261" s="36">
        <v>7286.5737260185024</v>
      </c>
      <c r="BT261" s="36">
        <v>2232.1901599971743</v>
      </c>
      <c r="BU261" s="36">
        <v>312.99773114487203</v>
      </c>
      <c r="BV261" s="36">
        <v>8591</v>
      </c>
      <c r="BW261" s="36">
        <v>1497</v>
      </c>
      <c r="BX261" s="36">
        <v>328</v>
      </c>
      <c r="BY261" s="36">
        <v>9234</v>
      </c>
      <c r="BZ261" s="36">
        <v>1168</v>
      </c>
      <c r="CA261" s="36">
        <v>339</v>
      </c>
      <c r="CB261" s="36">
        <v>9062</v>
      </c>
      <c r="CC261" s="36">
        <v>501</v>
      </c>
      <c r="CD261" s="36">
        <v>445</v>
      </c>
      <c r="CE261" s="36">
        <v>9136</v>
      </c>
      <c r="CF261" s="36">
        <v>803</v>
      </c>
      <c r="CG261" s="36">
        <v>343</v>
      </c>
      <c r="CH261" s="36">
        <v>9467</v>
      </c>
      <c r="CI261" s="36">
        <v>1037</v>
      </c>
      <c r="CJ261" s="70">
        <v>370</v>
      </c>
      <c r="CK261" s="70">
        <v>9824</v>
      </c>
      <c r="CL261" s="70">
        <v>1163</v>
      </c>
      <c r="CM261" s="36">
        <v>450</v>
      </c>
      <c r="CN261" s="36">
        <v>10048</v>
      </c>
      <c r="CO261" s="36">
        <v>1171</v>
      </c>
      <c r="CP261" s="36">
        <v>358</v>
      </c>
      <c r="CQ261" s="36">
        <v>10532</v>
      </c>
      <c r="CR261" s="36">
        <v>992</v>
      </c>
      <c r="CS261" s="36">
        <v>455</v>
      </c>
      <c r="CT261" s="36">
        <v>824.7935913672502</v>
      </c>
      <c r="CU261" s="36">
        <v>-969.60339609700009</v>
      </c>
      <c r="CV261" s="36">
        <v>683.85210899250376</v>
      </c>
      <c r="CW261" s="36">
        <v>3877</v>
      </c>
      <c r="CX261" s="36">
        <v>-727.07640609311215</v>
      </c>
      <c r="CY261" s="36">
        <v>-975.82634933999987</v>
      </c>
      <c r="CZ261" s="36">
        <v>695.4570759183481</v>
      </c>
      <c r="DA261" s="36">
        <v>4079</v>
      </c>
      <c r="DB261" s="36">
        <v>-348.14900777532785</v>
      </c>
      <c r="DC261" s="36">
        <v>-627.50915357999997</v>
      </c>
      <c r="DD261" s="36">
        <v>823.44808795555798</v>
      </c>
      <c r="DE261" s="36">
        <v>4316</v>
      </c>
      <c r="DF261" s="36">
        <v>481.85840931222913</v>
      </c>
      <c r="DG261" s="36">
        <v>-476</v>
      </c>
      <c r="DH261" s="36">
        <v>833.87573939617164</v>
      </c>
      <c r="DI261" s="36">
        <v>4703</v>
      </c>
      <c r="DJ261" s="36">
        <v>210</v>
      </c>
      <c r="DK261" s="36">
        <v>-622</v>
      </c>
      <c r="DL261" s="36">
        <v>811</v>
      </c>
      <c r="DM261" s="36">
        <v>5203</v>
      </c>
      <c r="DN261" s="36">
        <v>111</v>
      </c>
      <c r="DO261" s="69">
        <v>-2135</v>
      </c>
      <c r="DP261" s="36">
        <v>607</v>
      </c>
      <c r="DQ261" s="36">
        <v>6099</v>
      </c>
      <c r="DR261" s="36">
        <v>-332</v>
      </c>
      <c r="DS261" s="36">
        <v>-340</v>
      </c>
      <c r="DT261" s="36">
        <v>694</v>
      </c>
      <c r="DU261" s="36">
        <v>7077</v>
      </c>
      <c r="DV261" s="36">
        <v>694</v>
      </c>
      <c r="DW261" s="71">
        <v>-1375</v>
      </c>
      <c r="DX261" s="39">
        <v>617</v>
      </c>
      <c r="DY261" s="71">
        <v>6637</v>
      </c>
      <c r="DZ261" s="70">
        <v>525</v>
      </c>
      <c r="EA261" s="35">
        <v>-893</v>
      </c>
      <c r="EB261" s="35">
        <v>642</v>
      </c>
      <c r="EC261" s="38">
        <v>5524</v>
      </c>
      <c r="ED261" s="38">
        <v>211</v>
      </c>
      <c r="EE261" s="38">
        <v>-484</v>
      </c>
      <c r="EF261" s="38">
        <v>704</v>
      </c>
      <c r="EG261" s="73">
        <v>5437</v>
      </c>
      <c r="EH261" s="73">
        <v>187</v>
      </c>
      <c r="EI261" s="73">
        <v>-1326</v>
      </c>
      <c r="EJ261" s="73">
        <v>695</v>
      </c>
      <c r="EK261" s="73">
        <v>6275</v>
      </c>
      <c r="EL261" s="73">
        <v>21990.235008989643</v>
      </c>
      <c r="EM261" s="73">
        <v>-5.3820136467683568</v>
      </c>
      <c r="EN261" s="73">
        <v>23151.236265353451</v>
      </c>
      <c r="EO261" s="73">
        <v>-1285.7966977982519</v>
      </c>
      <c r="EP261" s="73">
        <v>23338.261239578656</v>
      </c>
      <c r="EQ261" s="73">
        <v>-1109.7039387930497</v>
      </c>
      <c r="ER261" s="73">
        <v>24817.810428660567</v>
      </c>
      <c r="ES261" s="73">
        <v>-350.67182667225046</v>
      </c>
      <c r="ET261" s="73">
        <v>26761</v>
      </c>
      <c r="EU261" s="73">
        <v>-598</v>
      </c>
      <c r="EV261" s="73">
        <v>27785</v>
      </c>
      <c r="EW261" s="73">
        <v>-489</v>
      </c>
      <c r="EX261" s="73">
        <v>28610</v>
      </c>
      <c r="EY261" s="73">
        <v>167</v>
      </c>
      <c r="EZ261" s="73">
        <v>28814</v>
      </c>
      <c r="FA261" s="73">
        <v>82</v>
      </c>
      <c r="FB261" s="73">
        <v>29826</v>
      </c>
      <c r="FC261" s="73">
        <v>-112</v>
      </c>
      <c r="FD261" s="73">
        <v>30333</v>
      </c>
      <c r="FE261" s="73">
        <v>-488</v>
      </c>
      <c r="FF261" s="73">
        <v>32498</v>
      </c>
      <c r="FG261" s="73">
        <v>-503</v>
      </c>
      <c r="FH261" s="73">
        <v>-3116</v>
      </c>
      <c r="FI261" s="73">
        <v>-3619</v>
      </c>
      <c r="FJ261" s="79">
        <v>5079</v>
      </c>
      <c r="FK261" s="80">
        <v>12594</v>
      </c>
      <c r="FL261" s="80">
        <v>14333</v>
      </c>
      <c r="FM261" s="80">
        <v>6278</v>
      </c>
      <c r="FN261" s="76">
        <v>233</v>
      </c>
      <c r="FO261" s="80">
        <v>11395</v>
      </c>
      <c r="FP261" s="80">
        <v>721</v>
      </c>
      <c r="FQ261" s="80">
        <v>478</v>
      </c>
      <c r="FR261" s="80">
        <v>1712</v>
      </c>
      <c r="FS261" s="81">
        <v>-1090</v>
      </c>
      <c r="FT261" s="76">
        <v>725</v>
      </c>
      <c r="FU261" s="76">
        <v>7882</v>
      </c>
      <c r="FV261" s="76">
        <v>1090</v>
      </c>
      <c r="FW261" s="80">
        <v>31537</v>
      </c>
      <c r="FX261" s="80">
        <v>992</v>
      </c>
      <c r="FY261" s="73">
        <v>5008</v>
      </c>
      <c r="FZ261" s="73">
        <v>12150</v>
      </c>
      <c r="GA261" s="73">
        <v>14210</v>
      </c>
      <c r="GB261" s="73">
        <v>8920</v>
      </c>
      <c r="GC261" s="73">
        <v>220</v>
      </c>
      <c r="GD261" s="73">
        <v>10626</v>
      </c>
      <c r="GE261" s="73">
        <v>906</v>
      </c>
      <c r="GF261" s="73">
        <v>618</v>
      </c>
      <c r="GG261" s="73">
        <v>241</v>
      </c>
      <c r="GH261" s="73">
        <v>-1767</v>
      </c>
      <c r="GI261" s="73">
        <v>800</v>
      </c>
      <c r="GJ261" s="73">
        <v>10510</v>
      </c>
      <c r="GK261" s="73">
        <v>1767</v>
      </c>
      <c r="GL261" s="73">
        <v>35096</v>
      </c>
      <c r="GM261" s="73">
        <v>-555</v>
      </c>
      <c r="GN261" s="73">
        <v>-2760</v>
      </c>
      <c r="GO261" s="77">
        <v>20.75</v>
      </c>
      <c r="GP261" s="78">
        <v>4992</v>
      </c>
      <c r="GQ261" s="73">
        <v>13217</v>
      </c>
      <c r="GR261" s="65">
        <v>15352</v>
      </c>
      <c r="GS261" s="65">
        <v>8462</v>
      </c>
      <c r="GT261" s="65">
        <v>218</v>
      </c>
      <c r="GU261" s="65">
        <v>11682</v>
      </c>
      <c r="GV261" s="65">
        <v>893</v>
      </c>
      <c r="GW261" s="65">
        <v>642</v>
      </c>
      <c r="GX261" s="65">
        <v>824</v>
      </c>
      <c r="GY261" s="65">
        <v>-727</v>
      </c>
      <c r="GZ261" s="65">
        <v>876</v>
      </c>
      <c r="HA261" s="65">
        <v>9113</v>
      </c>
      <c r="HB261" s="65">
        <v>727</v>
      </c>
      <c r="HC261" s="65">
        <v>36244</v>
      </c>
      <c r="HD261" s="65">
        <v>-47</v>
      </c>
      <c r="HE261" s="78">
        <v>4897</v>
      </c>
      <c r="HF261" s="73">
        <v>13211</v>
      </c>
      <c r="HG261" s="65">
        <v>15190</v>
      </c>
      <c r="HH261" s="65">
        <v>8779</v>
      </c>
      <c r="HI261" s="65">
        <v>226</v>
      </c>
      <c r="HJ261" s="65">
        <v>12034</v>
      </c>
      <c r="HK261" s="65">
        <v>527</v>
      </c>
      <c r="HL261" s="65">
        <v>650</v>
      </c>
      <c r="HM261" s="65">
        <v>-157</v>
      </c>
      <c r="HN261" s="65">
        <v>-40</v>
      </c>
      <c r="HO261" s="65">
        <v>942</v>
      </c>
      <c r="HP261" s="65">
        <v>9040</v>
      </c>
      <c r="HQ261" s="65">
        <v>40</v>
      </c>
      <c r="HR261" s="65">
        <v>37388</v>
      </c>
      <c r="HS261" s="65">
        <v>-1094</v>
      </c>
      <c r="HT261" s="65">
        <v>-3902</v>
      </c>
      <c r="HU261" s="77">
        <v>21.5</v>
      </c>
      <c r="HV261" s="180">
        <v>340</v>
      </c>
      <c r="HW261" s="30" t="s">
        <v>761</v>
      </c>
    </row>
    <row r="262" spans="1:231" ht="15" x14ac:dyDescent="0.25">
      <c r="A262" s="27">
        <v>849</v>
      </c>
      <c r="B262" s="27" t="s">
        <v>385</v>
      </c>
      <c r="C262" s="27">
        <v>16</v>
      </c>
      <c r="D262" s="27" t="s">
        <v>110</v>
      </c>
      <c r="E262" s="27">
        <v>2</v>
      </c>
      <c r="F262" s="27" t="s">
        <v>744</v>
      </c>
      <c r="G262" s="29" t="s">
        <v>130</v>
      </c>
      <c r="H262" s="27" t="s">
        <v>98</v>
      </c>
      <c r="I262" s="31" t="s">
        <v>110</v>
      </c>
      <c r="J262" s="71">
        <v>3906</v>
      </c>
      <c r="K262" s="71">
        <v>3841</v>
      </c>
      <c r="L262" s="71">
        <v>3797</v>
      </c>
      <c r="M262" s="71">
        <v>3745</v>
      </c>
      <c r="N262" s="71">
        <v>3678</v>
      </c>
      <c r="O262" s="71">
        <v>3660</v>
      </c>
      <c r="P262" s="71">
        <v>3665</v>
      </c>
      <c r="Q262" s="71">
        <v>3671</v>
      </c>
      <c r="R262" s="71">
        <v>3643</v>
      </c>
      <c r="S262" s="71">
        <v>3590</v>
      </c>
      <c r="T262" s="71">
        <v>3536</v>
      </c>
      <c r="U262" s="71">
        <v>7004</v>
      </c>
      <c r="V262" s="71">
        <v>4943</v>
      </c>
      <c r="W262" s="71">
        <v>3094</v>
      </c>
      <c r="X262" s="71">
        <v>165.83329549104988</v>
      </c>
      <c r="Y262" s="71">
        <v>6589</v>
      </c>
      <c r="Z262" s="71">
        <v>4727</v>
      </c>
      <c r="AA262" s="71">
        <v>3317</v>
      </c>
      <c r="AB262" s="71">
        <v>180.63383301966286</v>
      </c>
      <c r="AC262" s="71">
        <v>6889</v>
      </c>
      <c r="AD262" s="71">
        <v>5131</v>
      </c>
      <c r="AE262" s="71">
        <v>2936</v>
      </c>
      <c r="AF262" s="71">
        <v>61.220405231990014</v>
      </c>
      <c r="AG262" s="71">
        <v>7121</v>
      </c>
      <c r="AH262" s="71">
        <v>5894</v>
      </c>
      <c r="AI262" s="71">
        <v>3261</v>
      </c>
      <c r="AJ262" s="71">
        <v>62.061344864297567</v>
      </c>
      <c r="AK262" s="71">
        <v>7309</v>
      </c>
      <c r="AL262" s="71">
        <v>6398</v>
      </c>
      <c r="AM262" s="71">
        <v>3723</v>
      </c>
      <c r="AN262" s="71">
        <v>43</v>
      </c>
      <c r="AO262" s="71">
        <v>6934</v>
      </c>
      <c r="AP262" s="71">
        <v>7198</v>
      </c>
      <c r="AQ262" s="71">
        <v>4056</v>
      </c>
      <c r="AR262" s="71">
        <v>23</v>
      </c>
      <c r="AS262" s="71">
        <v>7033</v>
      </c>
      <c r="AT262" s="71">
        <v>7447</v>
      </c>
      <c r="AU262" s="71">
        <v>4976</v>
      </c>
      <c r="AV262" s="71">
        <v>31</v>
      </c>
      <c r="AW262" s="71">
        <v>7257</v>
      </c>
      <c r="AX262" s="71">
        <v>7301</v>
      </c>
      <c r="AY262" s="71">
        <v>5307</v>
      </c>
      <c r="AZ262" s="71">
        <v>26</v>
      </c>
      <c r="BA262" s="71">
        <v>7701</v>
      </c>
      <c r="BB262" s="71">
        <v>7431</v>
      </c>
      <c r="BC262" s="71">
        <v>5801</v>
      </c>
      <c r="BD262" s="71">
        <v>19</v>
      </c>
      <c r="BE262" s="71">
        <v>8597</v>
      </c>
      <c r="BF262" s="71">
        <v>7814</v>
      </c>
      <c r="BG262" s="71">
        <v>5689</v>
      </c>
      <c r="BH262" s="71">
        <v>48</v>
      </c>
      <c r="BI262" s="71">
        <v>8601</v>
      </c>
      <c r="BJ262" s="71">
        <v>8185</v>
      </c>
      <c r="BK262" s="71">
        <v>5891</v>
      </c>
      <c r="BL262" s="71">
        <v>11</v>
      </c>
      <c r="BM262" s="71">
        <v>5140.3275964431614</v>
      </c>
      <c r="BN262" s="71">
        <v>1685.0748352178789</v>
      </c>
      <c r="BO262" s="71">
        <v>172.2244366965873</v>
      </c>
      <c r="BP262" s="71">
        <v>5171.9469266179258</v>
      </c>
      <c r="BQ262" s="71">
        <v>1233.8266285216448</v>
      </c>
      <c r="BR262" s="71">
        <v>177.10188656397111</v>
      </c>
      <c r="BS262" s="71">
        <v>5345.8532425791282</v>
      </c>
      <c r="BT262" s="71">
        <v>1321.7889140610152</v>
      </c>
      <c r="BU262" s="71">
        <v>214.60779416488808</v>
      </c>
      <c r="BV262" s="71">
        <v>6126</v>
      </c>
      <c r="BW262" s="71">
        <v>764</v>
      </c>
      <c r="BX262" s="71">
        <v>231</v>
      </c>
      <c r="BY262" s="71">
        <v>6690</v>
      </c>
      <c r="BZ262" s="71">
        <v>381</v>
      </c>
      <c r="CA262" s="71">
        <v>238</v>
      </c>
      <c r="CB262" s="71">
        <v>6500</v>
      </c>
      <c r="CC262" s="71">
        <v>196</v>
      </c>
      <c r="CD262" s="71">
        <v>238</v>
      </c>
      <c r="CE262" s="71">
        <v>6530</v>
      </c>
      <c r="CF262" s="71">
        <v>267</v>
      </c>
      <c r="CG262" s="71">
        <v>236</v>
      </c>
      <c r="CH262" s="71">
        <v>6627</v>
      </c>
      <c r="CI262" s="71">
        <v>305</v>
      </c>
      <c r="CJ262" s="71">
        <v>325</v>
      </c>
      <c r="CK262" s="71">
        <v>6985</v>
      </c>
      <c r="CL262" s="71">
        <v>385</v>
      </c>
      <c r="CM262" s="71">
        <v>331</v>
      </c>
      <c r="CN262" s="71">
        <v>7728</v>
      </c>
      <c r="CO262" s="71">
        <v>520</v>
      </c>
      <c r="CP262" s="71">
        <v>349</v>
      </c>
      <c r="CQ262" s="71">
        <v>7696</v>
      </c>
      <c r="CR262" s="71">
        <v>530</v>
      </c>
      <c r="CS262" s="71">
        <v>375</v>
      </c>
      <c r="CT262" s="71">
        <v>735.65399034264919</v>
      </c>
      <c r="CU262" s="71">
        <v>-1189.4250159999999</v>
      </c>
      <c r="CV262" s="71">
        <v>507.25478620791722</v>
      </c>
      <c r="CW262" s="71">
        <v>3216</v>
      </c>
      <c r="CX262" s="71">
        <v>-138.25047555136206</v>
      </c>
      <c r="CY262" s="71">
        <v>-2005.9773990000001</v>
      </c>
      <c r="CZ262" s="71">
        <v>511.62767229591662</v>
      </c>
      <c r="DA262" s="71">
        <v>4436</v>
      </c>
      <c r="DB262" s="71">
        <v>-343.94430961379004</v>
      </c>
      <c r="DC262" s="71">
        <v>-1956.193773</v>
      </c>
      <c r="DD262" s="71">
        <v>590.8441856592882</v>
      </c>
      <c r="DE262" s="71">
        <v>5994</v>
      </c>
      <c r="DF262" s="71">
        <v>-41.878793688916247</v>
      </c>
      <c r="DG262" s="71">
        <v>-1881</v>
      </c>
      <c r="DH262" s="71">
        <v>506.75022242853271</v>
      </c>
      <c r="DI262" s="71">
        <v>7711</v>
      </c>
      <c r="DJ262" s="71">
        <v>1067</v>
      </c>
      <c r="DK262" s="71">
        <v>-1762</v>
      </c>
      <c r="DL262" s="71">
        <v>516</v>
      </c>
      <c r="DM262" s="71">
        <v>8356</v>
      </c>
      <c r="DN262" s="71">
        <v>142</v>
      </c>
      <c r="DO262" s="71">
        <v>-1368</v>
      </c>
      <c r="DP262" s="71">
        <v>554</v>
      </c>
      <c r="DQ262" s="71">
        <v>9818</v>
      </c>
      <c r="DR262" s="71">
        <v>-116</v>
      </c>
      <c r="DS262" s="71">
        <v>-590</v>
      </c>
      <c r="DT262" s="71">
        <v>622</v>
      </c>
      <c r="DU262" s="71">
        <v>10265</v>
      </c>
      <c r="DV262" s="71">
        <v>576</v>
      </c>
      <c r="DW262" s="71">
        <v>-90</v>
      </c>
      <c r="DX262" s="39">
        <v>657</v>
      </c>
      <c r="DY262" s="71">
        <v>9725</v>
      </c>
      <c r="DZ262" s="70">
        <v>1044</v>
      </c>
      <c r="EA262" s="35">
        <v>-322</v>
      </c>
      <c r="EB262" s="35">
        <v>678</v>
      </c>
      <c r="EC262" s="38">
        <v>9363</v>
      </c>
      <c r="ED262" s="38">
        <v>1502</v>
      </c>
      <c r="EE262" s="38">
        <v>-692</v>
      </c>
      <c r="EF262" s="38">
        <v>655</v>
      </c>
      <c r="EG262" s="73">
        <v>8042</v>
      </c>
      <c r="EH262" s="73">
        <v>1104</v>
      </c>
      <c r="EI262" s="73">
        <v>-2984</v>
      </c>
      <c r="EJ262" s="73">
        <v>672</v>
      </c>
      <c r="EK262" s="73">
        <v>8923</v>
      </c>
      <c r="EL262" s="73">
        <v>13655.177749410081</v>
      </c>
      <c r="EM262" s="73">
        <v>155.40564405043619</v>
      </c>
      <c r="EN262" s="73">
        <v>14165.291730367844</v>
      </c>
      <c r="EO262" s="73">
        <v>-625.99546228974407</v>
      </c>
      <c r="EP262" s="73">
        <v>14471.898320307178</v>
      </c>
      <c r="EQ262" s="73">
        <v>-910.0648700832362</v>
      </c>
      <c r="ER262" s="73">
        <v>15328.983993555037</v>
      </c>
      <c r="ES262" s="73">
        <v>-524.91451848637587</v>
      </c>
      <c r="ET262" s="73">
        <v>16067</v>
      </c>
      <c r="EU262" s="73">
        <v>575</v>
      </c>
      <c r="EV262" s="73">
        <v>17755</v>
      </c>
      <c r="EW262" s="73">
        <v>-421</v>
      </c>
      <c r="EX262" s="73">
        <v>19265</v>
      </c>
      <c r="EY262" s="73">
        <v>-714</v>
      </c>
      <c r="EZ262" s="73">
        <v>18962</v>
      </c>
      <c r="FA262" s="73">
        <v>-57</v>
      </c>
      <c r="FB262" s="73">
        <v>19621</v>
      </c>
      <c r="FC262" s="73">
        <v>390</v>
      </c>
      <c r="FD262" s="73">
        <v>20359</v>
      </c>
      <c r="FE262" s="73">
        <v>871</v>
      </c>
      <c r="FF262" s="73">
        <v>21348</v>
      </c>
      <c r="FG262" s="73">
        <v>456</v>
      </c>
      <c r="FH262" s="73">
        <v>331</v>
      </c>
      <c r="FI262" s="73">
        <v>787</v>
      </c>
      <c r="FJ262" s="79">
        <v>3493</v>
      </c>
      <c r="FK262" s="80">
        <v>8856</v>
      </c>
      <c r="FL262" s="80">
        <v>8967</v>
      </c>
      <c r="FM262" s="80">
        <v>9186</v>
      </c>
      <c r="FN262" s="76">
        <v>18</v>
      </c>
      <c r="FO262" s="80">
        <v>8084</v>
      </c>
      <c r="FP262" s="80">
        <v>404</v>
      </c>
      <c r="FQ262" s="80">
        <v>368</v>
      </c>
      <c r="FR262" s="80">
        <v>1589</v>
      </c>
      <c r="FS262" s="81">
        <v>-2451</v>
      </c>
      <c r="FT262" s="76">
        <v>752</v>
      </c>
      <c r="FU262" s="76">
        <v>11909</v>
      </c>
      <c r="FV262" s="76">
        <v>2451</v>
      </c>
      <c r="FW262" s="80">
        <v>25217</v>
      </c>
      <c r="FX262" s="80">
        <v>855</v>
      </c>
      <c r="FY262" s="73">
        <v>3480</v>
      </c>
      <c r="FZ262" s="73">
        <v>9033</v>
      </c>
      <c r="GA262" s="73">
        <v>8751</v>
      </c>
      <c r="GB262" s="73">
        <v>9892</v>
      </c>
      <c r="GC262" s="73">
        <v>159</v>
      </c>
      <c r="GD262" s="73">
        <v>8013</v>
      </c>
      <c r="GE262" s="73">
        <v>579</v>
      </c>
      <c r="GF262" s="73">
        <v>441</v>
      </c>
      <c r="GG262" s="73">
        <v>1476</v>
      </c>
      <c r="GH262" s="73">
        <v>-1617</v>
      </c>
      <c r="GI262" s="73">
        <v>729</v>
      </c>
      <c r="GJ262" s="73">
        <v>11242</v>
      </c>
      <c r="GK262" s="73">
        <v>1617</v>
      </c>
      <c r="GL262" s="73">
        <v>26210</v>
      </c>
      <c r="GM262" s="73">
        <v>763</v>
      </c>
      <c r="GN262" s="73">
        <v>2407</v>
      </c>
      <c r="GO262" s="77">
        <v>19.75</v>
      </c>
      <c r="GP262" s="78">
        <v>3485</v>
      </c>
      <c r="GQ262" s="73">
        <v>9257</v>
      </c>
      <c r="GR262" s="65">
        <v>8801</v>
      </c>
      <c r="GS262" s="65">
        <v>9830</v>
      </c>
      <c r="GT262" s="65">
        <v>20</v>
      </c>
      <c r="GU262" s="65">
        <v>8133</v>
      </c>
      <c r="GV262" s="65">
        <v>674</v>
      </c>
      <c r="GW262" s="65">
        <v>450</v>
      </c>
      <c r="GX262" s="65">
        <v>-343</v>
      </c>
      <c r="GY262" s="65">
        <v>-2899</v>
      </c>
      <c r="GZ262" s="65">
        <v>762</v>
      </c>
      <c r="HA262" s="65">
        <v>15281</v>
      </c>
      <c r="HB262" s="65">
        <v>2899</v>
      </c>
      <c r="HC262" s="65">
        <v>28041</v>
      </c>
      <c r="HD262" s="65">
        <v>-1087</v>
      </c>
      <c r="HE262" s="78">
        <v>3426</v>
      </c>
      <c r="HF262" s="73">
        <v>9157</v>
      </c>
      <c r="HG262" s="65">
        <v>9579</v>
      </c>
      <c r="HH262" s="65">
        <v>10458</v>
      </c>
      <c r="HI262" s="65">
        <v>15</v>
      </c>
      <c r="HJ262" s="65">
        <v>8200</v>
      </c>
      <c r="HK262" s="65">
        <v>406</v>
      </c>
      <c r="HL262" s="65">
        <v>551</v>
      </c>
      <c r="HM262" s="65">
        <v>94</v>
      </c>
      <c r="HN262" s="65">
        <v>-3811</v>
      </c>
      <c r="HO262" s="65">
        <v>843</v>
      </c>
      <c r="HP262" s="65">
        <v>17612</v>
      </c>
      <c r="HQ262" s="65">
        <v>3811</v>
      </c>
      <c r="HR262" s="65">
        <v>28845</v>
      </c>
      <c r="HS262" s="65">
        <v>-731</v>
      </c>
      <c r="HT262" s="65">
        <v>590</v>
      </c>
      <c r="HU262" s="77">
        <v>20.5</v>
      </c>
      <c r="HV262" s="180">
        <v>340</v>
      </c>
      <c r="HW262" s="30" t="s">
        <v>761</v>
      </c>
    </row>
    <row r="263" spans="1:231" ht="15" x14ac:dyDescent="0.25">
      <c r="A263" s="27">
        <v>850</v>
      </c>
      <c r="B263" s="27" t="s">
        <v>386</v>
      </c>
      <c r="C263" s="27">
        <v>13</v>
      </c>
      <c r="D263" s="27" t="s">
        <v>111</v>
      </c>
      <c r="E263" s="27">
        <v>2</v>
      </c>
      <c r="F263" s="27" t="s">
        <v>744</v>
      </c>
      <c r="G263" s="29" t="s">
        <v>130</v>
      </c>
      <c r="H263" s="27" t="s">
        <v>98</v>
      </c>
      <c r="I263" s="31" t="s">
        <v>111</v>
      </c>
      <c r="J263" s="69">
        <v>2427</v>
      </c>
      <c r="K263" s="36">
        <v>2396</v>
      </c>
      <c r="L263" s="36">
        <v>2368</v>
      </c>
      <c r="M263" s="36">
        <v>2368</v>
      </c>
      <c r="N263" s="36">
        <v>2364</v>
      </c>
      <c r="O263" s="36">
        <v>2390</v>
      </c>
      <c r="P263" s="36">
        <v>2373</v>
      </c>
      <c r="Q263" s="36">
        <v>2353</v>
      </c>
      <c r="R263" s="69">
        <v>2359</v>
      </c>
      <c r="S263" s="69">
        <v>2347</v>
      </c>
      <c r="T263" s="71">
        <v>2367</v>
      </c>
      <c r="U263" s="36">
        <v>4587</v>
      </c>
      <c r="V263" s="36">
        <v>2757</v>
      </c>
      <c r="W263" s="36">
        <v>1044</v>
      </c>
      <c r="X263" s="36">
        <v>146.82805980089913</v>
      </c>
      <c r="Y263" s="36">
        <v>4429</v>
      </c>
      <c r="Z263" s="36">
        <v>2763</v>
      </c>
      <c r="AA263" s="36">
        <v>1150</v>
      </c>
      <c r="AB263" s="36">
        <v>185.00671910766212</v>
      </c>
      <c r="AC263" s="36">
        <v>4216</v>
      </c>
      <c r="AD263" s="36">
        <v>2715</v>
      </c>
      <c r="AE263" s="36">
        <v>1060</v>
      </c>
      <c r="AF263" s="36">
        <v>158.60121465320489</v>
      </c>
      <c r="AG263" s="36">
        <v>4570</v>
      </c>
      <c r="AH263" s="36">
        <v>3590</v>
      </c>
      <c r="AI263" s="36">
        <v>1143</v>
      </c>
      <c r="AJ263" s="36">
        <v>61.893156937836061</v>
      </c>
      <c r="AK263" s="36">
        <v>4665</v>
      </c>
      <c r="AL263" s="36">
        <v>3537</v>
      </c>
      <c r="AM263" s="36">
        <v>1194</v>
      </c>
      <c r="AN263" s="36">
        <v>62</v>
      </c>
      <c r="AO263" s="36">
        <v>4470</v>
      </c>
      <c r="AP263" s="36">
        <v>3957</v>
      </c>
      <c r="AQ263" s="36">
        <v>1340</v>
      </c>
      <c r="AR263" s="36">
        <v>76</v>
      </c>
      <c r="AS263" s="36">
        <v>4697</v>
      </c>
      <c r="AT263" s="36">
        <v>4158</v>
      </c>
      <c r="AU263" s="36">
        <v>1334</v>
      </c>
      <c r="AV263" s="36">
        <v>80</v>
      </c>
      <c r="AW263" s="36">
        <v>4836</v>
      </c>
      <c r="AX263" s="69">
        <v>4195</v>
      </c>
      <c r="AY263" s="36">
        <v>1479</v>
      </c>
      <c r="AZ263" s="36">
        <v>107</v>
      </c>
      <c r="BA263" s="36">
        <v>5108</v>
      </c>
      <c r="BB263" s="36">
        <v>4248</v>
      </c>
      <c r="BC263" s="36">
        <v>1987</v>
      </c>
      <c r="BD263" s="36">
        <v>64</v>
      </c>
      <c r="BE263" s="70">
        <v>5404</v>
      </c>
      <c r="BF263" s="70">
        <v>4308</v>
      </c>
      <c r="BG263" s="70">
        <v>2183</v>
      </c>
      <c r="BH263" s="70">
        <v>57</v>
      </c>
      <c r="BI263" s="36">
        <v>5823</v>
      </c>
      <c r="BJ263" s="36">
        <v>4551</v>
      </c>
      <c r="BK263" s="36">
        <v>2067</v>
      </c>
      <c r="BL263" s="36">
        <v>28</v>
      </c>
      <c r="BM263" s="36">
        <v>3290.7649691459246</v>
      </c>
      <c r="BN263" s="36">
        <v>1129.7183020419695</v>
      </c>
      <c r="BO263" s="36">
        <v>166.33785927043442</v>
      </c>
      <c r="BP263" s="36">
        <v>3328.9436284526878</v>
      </c>
      <c r="BQ263" s="36">
        <v>903.67372887769875</v>
      </c>
      <c r="BR263" s="36">
        <v>196.44349810704489</v>
      </c>
      <c r="BS263" s="36">
        <v>3069.5978458490376</v>
      </c>
      <c r="BT263" s="36">
        <v>948.91628109584519</v>
      </c>
      <c r="BU263" s="36">
        <v>197.28443773935243</v>
      </c>
      <c r="BV263" s="36">
        <v>3695</v>
      </c>
      <c r="BW263" s="36">
        <v>666</v>
      </c>
      <c r="BX263" s="36">
        <v>209</v>
      </c>
      <c r="BY263" s="36">
        <v>4010</v>
      </c>
      <c r="BZ263" s="36">
        <v>408</v>
      </c>
      <c r="CA263" s="36">
        <v>247</v>
      </c>
      <c r="CB263" s="36">
        <v>3995</v>
      </c>
      <c r="CC263" s="36">
        <v>229</v>
      </c>
      <c r="CD263" s="36">
        <v>246</v>
      </c>
      <c r="CE263" s="36">
        <v>4128</v>
      </c>
      <c r="CF263" s="36">
        <v>320</v>
      </c>
      <c r="CG263" s="36">
        <v>249</v>
      </c>
      <c r="CH263" s="36">
        <v>4149</v>
      </c>
      <c r="CI263" s="36">
        <v>430</v>
      </c>
      <c r="CJ263" s="70">
        <v>257</v>
      </c>
      <c r="CK263" s="70">
        <v>4336</v>
      </c>
      <c r="CL263" s="70">
        <v>506</v>
      </c>
      <c r="CM263" s="36">
        <v>266</v>
      </c>
      <c r="CN263" s="36">
        <v>4564</v>
      </c>
      <c r="CO263" s="36">
        <v>564</v>
      </c>
      <c r="CP263" s="36">
        <v>276</v>
      </c>
      <c r="CQ263" s="36">
        <v>5013</v>
      </c>
      <c r="CR263" s="36">
        <v>518</v>
      </c>
      <c r="CS263" s="36">
        <v>292</v>
      </c>
      <c r="CT263" s="36">
        <v>551.15183501437161</v>
      </c>
      <c r="CU263" s="36">
        <v>-190.55692070000001</v>
      </c>
      <c r="CV263" s="36">
        <v>216.12148550304167</v>
      </c>
      <c r="CW263" s="36">
        <v>224</v>
      </c>
      <c r="CX263" s="36">
        <v>314.00685870364111</v>
      </c>
      <c r="CY263" s="36">
        <v>-1730.653763</v>
      </c>
      <c r="CZ263" s="36">
        <v>206.87114954765858</v>
      </c>
      <c r="DA263" s="36">
        <v>177</v>
      </c>
      <c r="DB263" s="36">
        <v>-480.51290590053702</v>
      </c>
      <c r="DC263" s="36">
        <v>-1294.5424700000001</v>
      </c>
      <c r="DD263" s="36">
        <v>240.67692276642228</v>
      </c>
      <c r="DE263" s="36">
        <v>781</v>
      </c>
      <c r="DF263" s="36">
        <v>308.79303298333423</v>
      </c>
      <c r="DG263" s="36">
        <v>-330</v>
      </c>
      <c r="DH263" s="36">
        <v>294.83343508702882</v>
      </c>
      <c r="DI263" s="36">
        <v>855</v>
      </c>
      <c r="DJ263" s="36">
        <v>403</v>
      </c>
      <c r="DK263" s="36">
        <v>-26</v>
      </c>
      <c r="DL263" s="36">
        <v>280</v>
      </c>
      <c r="DM263" s="36">
        <v>824</v>
      </c>
      <c r="DN263" s="36">
        <v>-37</v>
      </c>
      <c r="DO263" s="69">
        <v>-793</v>
      </c>
      <c r="DP263" s="36">
        <v>308</v>
      </c>
      <c r="DQ263" s="36">
        <v>1207</v>
      </c>
      <c r="DR263" s="36">
        <v>-33</v>
      </c>
      <c r="DS263" s="36">
        <v>-31</v>
      </c>
      <c r="DT263" s="36">
        <v>326</v>
      </c>
      <c r="DU263" s="36">
        <v>1625</v>
      </c>
      <c r="DV263" s="36">
        <v>104</v>
      </c>
      <c r="DW263" s="71">
        <v>-165</v>
      </c>
      <c r="DX263" s="39">
        <v>392</v>
      </c>
      <c r="DY263" s="71">
        <v>1344</v>
      </c>
      <c r="DZ263" s="70">
        <v>755</v>
      </c>
      <c r="EA263" s="35">
        <v>-109</v>
      </c>
      <c r="EB263" s="35">
        <v>273</v>
      </c>
      <c r="EC263" s="38">
        <v>913</v>
      </c>
      <c r="ED263" s="38">
        <v>395</v>
      </c>
      <c r="EE263" s="38">
        <v>-242</v>
      </c>
      <c r="EF263" s="38">
        <v>276</v>
      </c>
      <c r="EG263" s="73">
        <v>931</v>
      </c>
      <c r="EH263" s="73">
        <v>-368</v>
      </c>
      <c r="EI263" s="73">
        <v>-94</v>
      </c>
      <c r="EJ263" s="73">
        <v>302</v>
      </c>
      <c r="EK263" s="73">
        <v>1750</v>
      </c>
      <c r="EL263" s="73">
        <v>7599.0668933839916</v>
      </c>
      <c r="EM263" s="73">
        <v>58.697586335067349</v>
      </c>
      <c r="EN263" s="73">
        <v>7835.3709300624141</v>
      </c>
      <c r="EO263" s="73">
        <v>106.96752122952101</v>
      </c>
      <c r="EP263" s="73">
        <v>8231.9580606586569</v>
      </c>
      <c r="EQ263" s="73">
        <v>-712.10768063803766</v>
      </c>
      <c r="ER263" s="73">
        <v>8606.5125728884414</v>
      </c>
      <c r="ES263" s="73">
        <v>35.487652483378824</v>
      </c>
      <c r="ET263" s="73">
        <v>9014</v>
      </c>
      <c r="EU263" s="73">
        <v>145</v>
      </c>
      <c r="EV263" s="73">
        <v>9834</v>
      </c>
      <c r="EW263" s="73">
        <v>-324</v>
      </c>
      <c r="EX263" s="73">
        <v>10194</v>
      </c>
      <c r="EY263" s="73">
        <v>-339</v>
      </c>
      <c r="EZ263" s="73">
        <v>10436</v>
      </c>
      <c r="FA263" s="73">
        <v>-277</v>
      </c>
      <c r="FB263" s="73">
        <v>10615</v>
      </c>
      <c r="FC263" s="73">
        <v>503</v>
      </c>
      <c r="FD263" s="73">
        <v>11513</v>
      </c>
      <c r="FE263" s="73">
        <v>119</v>
      </c>
      <c r="FF263" s="73">
        <v>12803</v>
      </c>
      <c r="FG263" s="73">
        <v>-649</v>
      </c>
      <c r="FH263" s="73">
        <v>119</v>
      </c>
      <c r="FI263" s="73">
        <v>-530</v>
      </c>
      <c r="FJ263" s="79">
        <v>2379</v>
      </c>
      <c r="FK263" s="80">
        <v>5746</v>
      </c>
      <c r="FL263" s="80">
        <v>4904</v>
      </c>
      <c r="FM263" s="80">
        <v>1974</v>
      </c>
      <c r="FN263" s="76">
        <v>30</v>
      </c>
      <c r="FO263" s="80">
        <v>5036</v>
      </c>
      <c r="FP263" s="80">
        <v>392</v>
      </c>
      <c r="FQ263" s="80">
        <v>318</v>
      </c>
      <c r="FR263" s="80">
        <v>-455</v>
      </c>
      <c r="FS263" s="81">
        <v>-505</v>
      </c>
      <c r="FT263" s="76">
        <v>313</v>
      </c>
      <c r="FU263" s="76">
        <v>2855</v>
      </c>
      <c r="FV263" s="76">
        <v>505</v>
      </c>
      <c r="FW263" s="80">
        <v>13073</v>
      </c>
      <c r="FX263" s="80">
        <v>-747</v>
      </c>
      <c r="FY263" s="73">
        <v>2418</v>
      </c>
      <c r="FZ263" s="73">
        <v>6310</v>
      </c>
      <c r="GA263" s="73">
        <v>5563</v>
      </c>
      <c r="GB263" s="73">
        <v>2588</v>
      </c>
      <c r="GC263" s="73">
        <v>17</v>
      </c>
      <c r="GD263" s="73">
        <v>5503</v>
      </c>
      <c r="GE263" s="73">
        <v>334</v>
      </c>
      <c r="GF263" s="73">
        <v>473</v>
      </c>
      <c r="GG263" s="73">
        <v>1003</v>
      </c>
      <c r="GH263" s="73">
        <v>-688</v>
      </c>
      <c r="GI263" s="73">
        <v>332</v>
      </c>
      <c r="GJ263" s="73">
        <v>2821</v>
      </c>
      <c r="GK263" s="73">
        <v>688</v>
      </c>
      <c r="GL263" s="73">
        <v>13438</v>
      </c>
      <c r="GM263" s="73">
        <v>693</v>
      </c>
      <c r="GN263" s="73">
        <v>-584</v>
      </c>
      <c r="GO263" s="77">
        <v>20</v>
      </c>
      <c r="GP263" s="78">
        <v>2475</v>
      </c>
      <c r="GQ263" s="73">
        <v>6539</v>
      </c>
      <c r="GR263" s="65">
        <v>4991</v>
      </c>
      <c r="GS263" s="65">
        <v>2480</v>
      </c>
      <c r="GT263" s="65">
        <v>57</v>
      </c>
      <c r="GU263" s="65">
        <v>5718</v>
      </c>
      <c r="GV263" s="65">
        <v>456</v>
      </c>
      <c r="GW263" s="65">
        <v>365</v>
      </c>
      <c r="GX263" s="65">
        <v>332</v>
      </c>
      <c r="GY263" s="65">
        <v>-76</v>
      </c>
      <c r="GZ263" s="65">
        <v>389</v>
      </c>
      <c r="HA263" s="65">
        <v>2547</v>
      </c>
      <c r="HB263" s="65">
        <v>76</v>
      </c>
      <c r="HC263" s="65">
        <v>13691</v>
      </c>
      <c r="HD263" s="65">
        <v>-36</v>
      </c>
      <c r="HE263" s="78">
        <v>2455</v>
      </c>
      <c r="HF263" s="73">
        <v>6747</v>
      </c>
      <c r="HG263" s="65">
        <v>5451</v>
      </c>
      <c r="HH263" s="65">
        <v>2424</v>
      </c>
      <c r="HI263" s="65">
        <v>40</v>
      </c>
      <c r="HJ263" s="65">
        <v>6098</v>
      </c>
      <c r="HK263" s="65">
        <v>279</v>
      </c>
      <c r="HL263" s="65">
        <v>370</v>
      </c>
      <c r="HM263" s="65">
        <v>232</v>
      </c>
      <c r="HN263" s="65">
        <v>-238</v>
      </c>
      <c r="HO263" s="65">
        <v>413</v>
      </c>
      <c r="HP263" s="65">
        <v>2269</v>
      </c>
      <c r="HQ263" s="65">
        <v>238</v>
      </c>
      <c r="HR263" s="65">
        <v>14396</v>
      </c>
      <c r="HS263" s="65">
        <v>-160</v>
      </c>
      <c r="HT263" s="65">
        <v>-779</v>
      </c>
      <c r="HU263" s="77">
        <v>20.5</v>
      </c>
      <c r="HV263" s="180">
        <v>330</v>
      </c>
      <c r="HW263" s="30" t="s">
        <v>760</v>
      </c>
    </row>
    <row r="264" spans="1:231" ht="15" x14ac:dyDescent="0.25">
      <c r="A264" s="27">
        <v>851</v>
      </c>
      <c r="B264" s="27" t="s">
        <v>387</v>
      </c>
      <c r="C264" s="27">
        <v>19</v>
      </c>
      <c r="D264" s="27" t="s">
        <v>113</v>
      </c>
      <c r="E264" s="27">
        <v>5</v>
      </c>
      <c r="F264" s="27" t="s">
        <v>101</v>
      </c>
      <c r="G264" s="29" t="s">
        <v>141</v>
      </c>
      <c r="H264" s="27" t="s">
        <v>97</v>
      </c>
      <c r="I264" s="31" t="s">
        <v>113</v>
      </c>
      <c r="J264" s="69">
        <v>22881</v>
      </c>
      <c r="K264" s="36">
        <v>22719</v>
      </c>
      <c r="L264" s="36">
        <v>22617</v>
      </c>
      <c r="M264" s="36">
        <v>22456</v>
      </c>
      <c r="N264" s="36">
        <v>22155</v>
      </c>
      <c r="O264" s="36">
        <v>22198</v>
      </c>
      <c r="P264" s="36">
        <v>22204</v>
      </c>
      <c r="Q264" s="36">
        <v>22297</v>
      </c>
      <c r="R264" s="69">
        <v>22299</v>
      </c>
      <c r="S264" s="69">
        <v>22373</v>
      </c>
      <c r="T264" s="71">
        <v>22487</v>
      </c>
      <c r="U264" s="36">
        <v>45938</v>
      </c>
      <c r="V264" s="36">
        <v>16792</v>
      </c>
      <c r="W264" s="36">
        <v>22644</v>
      </c>
      <c r="X264" s="36">
        <v>850.35815618939966</v>
      </c>
      <c r="Y264" s="36">
        <v>45720</v>
      </c>
      <c r="Z264" s="36">
        <v>15446</v>
      </c>
      <c r="AA264" s="36">
        <v>21204</v>
      </c>
      <c r="AB264" s="36">
        <v>1248.1226022708734</v>
      </c>
      <c r="AC264" s="36">
        <v>45339</v>
      </c>
      <c r="AD264" s="36">
        <v>18167</v>
      </c>
      <c r="AE264" s="36">
        <v>22230</v>
      </c>
      <c r="AF264" s="36">
        <v>437.96136050577479</v>
      </c>
      <c r="AG264" s="36">
        <v>55949</v>
      </c>
      <c r="AH264" s="36">
        <v>21732</v>
      </c>
      <c r="AI264" s="36">
        <v>22396</v>
      </c>
      <c r="AJ264" s="36">
        <v>567.97062766052272</v>
      </c>
      <c r="AK264" s="36">
        <v>62361</v>
      </c>
      <c r="AL264" s="36">
        <v>18137</v>
      </c>
      <c r="AM264" s="36">
        <v>21926</v>
      </c>
      <c r="AN264" s="36">
        <v>444</v>
      </c>
      <c r="AO264" s="36">
        <v>55476</v>
      </c>
      <c r="AP264" s="36">
        <v>16212</v>
      </c>
      <c r="AQ264" s="36">
        <v>16893</v>
      </c>
      <c r="AR264" s="36">
        <v>1149</v>
      </c>
      <c r="AS264" s="36">
        <v>56846</v>
      </c>
      <c r="AT264" s="36">
        <v>21886</v>
      </c>
      <c r="AU264" s="36">
        <v>16458</v>
      </c>
      <c r="AV264" s="36">
        <v>5821</v>
      </c>
      <c r="AW264" s="36">
        <v>56996</v>
      </c>
      <c r="AX264" s="69">
        <v>19856</v>
      </c>
      <c r="AY264" s="36">
        <v>14756</v>
      </c>
      <c r="AZ264" s="36">
        <v>1344</v>
      </c>
      <c r="BA264" s="36">
        <v>58740</v>
      </c>
      <c r="BB264" s="36">
        <v>23192</v>
      </c>
      <c r="BC264" s="36">
        <v>15664</v>
      </c>
      <c r="BD264" s="36">
        <v>198</v>
      </c>
      <c r="BE264" s="70">
        <v>62523</v>
      </c>
      <c r="BF264" s="70">
        <v>25870</v>
      </c>
      <c r="BG264" s="70">
        <v>19098</v>
      </c>
      <c r="BH264" s="70">
        <v>1456</v>
      </c>
      <c r="BI264" s="36">
        <v>69311</v>
      </c>
      <c r="BJ264" s="36">
        <v>29843</v>
      </c>
      <c r="BK264" s="36">
        <v>15526</v>
      </c>
      <c r="BL264" s="36">
        <v>333</v>
      </c>
      <c r="BM264" s="36">
        <v>41952.964564485774</v>
      </c>
      <c r="BN264" s="36">
        <v>2284.1602292737812</v>
      </c>
      <c r="BO264" s="36">
        <v>1700.7163123787993</v>
      </c>
      <c r="BP264" s="36">
        <v>40781.53565668135</v>
      </c>
      <c r="BQ264" s="36">
        <v>3213.39852297363</v>
      </c>
      <c r="BR264" s="36">
        <v>1725.2717496421801</v>
      </c>
      <c r="BS264" s="36">
        <v>39417.531573078493</v>
      </c>
      <c r="BT264" s="36">
        <v>3896.9142561132107</v>
      </c>
      <c r="BU264" s="36">
        <v>2024.8144466701312</v>
      </c>
      <c r="BV264" s="36">
        <v>45528</v>
      </c>
      <c r="BW264" s="36">
        <v>8290</v>
      </c>
      <c r="BX264" s="36">
        <v>2130</v>
      </c>
      <c r="BY264" s="36">
        <v>49734</v>
      </c>
      <c r="BZ264" s="36">
        <v>10114</v>
      </c>
      <c r="CA264" s="36">
        <v>2513</v>
      </c>
      <c r="CB264" s="36">
        <v>48161</v>
      </c>
      <c r="CC264" s="36">
        <v>4486</v>
      </c>
      <c r="CD264" s="36">
        <v>2829</v>
      </c>
      <c r="CE264" s="36">
        <v>49314</v>
      </c>
      <c r="CF264" s="36">
        <v>4225</v>
      </c>
      <c r="CG264" s="36">
        <v>3307</v>
      </c>
      <c r="CH264" s="36">
        <v>50608</v>
      </c>
      <c r="CI264" s="36">
        <v>2800</v>
      </c>
      <c r="CJ264" s="70">
        <v>3588</v>
      </c>
      <c r="CK264" s="70">
        <v>52542</v>
      </c>
      <c r="CL264" s="70">
        <v>2228</v>
      </c>
      <c r="CM264" s="36">
        <v>3970</v>
      </c>
      <c r="CN264" s="36">
        <v>55855</v>
      </c>
      <c r="CO264" s="36">
        <v>2652</v>
      </c>
      <c r="CP264" s="36">
        <v>4016</v>
      </c>
      <c r="CQ264" s="36">
        <v>59194</v>
      </c>
      <c r="CR264" s="36">
        <v>5220</v>
      </c>
      <c r="CS264" s="36">
        <v>4897</v>
      </c>
      <c r="CT264" s="36">
        <v>3754.7954582532334</v>
      </c>
      <c r="CU264" s="36">
        <v>-3070.4387849999998</v>
      </c>
      <c r="CV264" s="36">
        <v>3820.3887495732233</v>
      </c>
      <c r="CW264" s="36">
        <v>35539</v>
      </c>
      <c r="CX264" s="36">
        <v>1777.4100068452485</v>
      </c>
      <c r="CY264" s="36">
        <v>-4228.244471</v>
      </c>
      <c r="CZ264" s="36">
        <v>3976.2989574030439</v>
      </c>
      <c r="DA264" s="36">
        <v>37295</v>
      </c>
      <c r="DB264" s="36">
        <v>-225.5400093848863</v>
      </c>
      <c r="DC264" s="36">
        <v>-4839.4393959999998</v>
      </c>
      <c r="DD264" s="36">
        <v>4085.9574854559492</v>
      </c>
      <c r="DE264" s="36">
        <v>41152</v>
      </c>
      <c r="DF264" s="36">
        <v>8250.1223567164998</v>
      </c>
      <c r="DG264" s="36">
        <v>-3194</v>
      </c>
      <c r="DH264" s="36">
        <v>4149.1961458054775</v>
      </c>
      <c r="DI264" s="36">
        <v>38243</v>
      </c>
      <c r="DJ264" s="36">
        <v>10704</v>
      </c>
      <c r="DK264" s="36">
        <v>331</v>
      </c>
      <c r="DL264" s="36">
        <v>4226</v>
      </c>
      <c r="DM264" s="36">
        <v>31882</v>
      </c>
      <c r="DN264" s="36">
        <v>-2789</v>
      </c>
      <c r="DO264" s="69">
        <v>-4523</v>
      </c>
      <c r="DP264" s="36">
        <v>3552</v>
      </c>
      <c r="DQ264" s="36">
        <v>28042</v>
      </c>
      <c r="DR264" s="36">
        <v>1386</v>
      </c>
      <c r="DS264" s="36">
        <v>1613</v>
      </c>
      <c r="DT264" s="36">
        <v>3617</v>
      </c>
      <c r="DU264" s="36">
        <v>36151</v>
      </c>
      <c r="DV264" s="36">
        <v>-3662</v>
      </c>
      <c r="DW264" s="71">
        <v>-5432</v>
      </c>
      <c r="DX264" s="39">
        <v>3164</v>
      </c>
      <c r="DY264" s="71">
        <v>44685</v>
      </c>
      <c r="DZ264" s="70">
        <v>-3098</v>
      </c>
      <c r="EA264" s="35">
        <v>-7298</v>
      </c>
      <c r="EB264" s="35">
        <v>3358</v>
      </c>
      <c r="EC264" s="38">
        <v>54457</v>
      </c>
      <c r="ED264" s="38">
        <v>6600</v>
      </c>
      <c r="EE264" s="38">
        <v>-2047</v>
      </c>
      <c r="EF264" s="38">
        <v>3738</v>
      </c>
      <c r="EG264" s="73">
        <v>43066</v>
      </c>
      <c r="EH264" s="73">
        <v>8446</v>
      </c>
      <c r="EI264" s="73">
        <v>-7274</v>
      </c>
      <c r="EJ264" s="73">
        <v>3523</v>
      </c>
      <c r="EK264" s="73">
        <v>40902</v>
      </c>
      <c r="EL264" s="73">
        <v>77099.868308853576</v>
      </c>
      <c r="EM264" s="73">
        <v>-40.028726497839628</v>
      </c>
      <c r="EN264" s="73">
        <v>76848.931922573</v>
      </c>
      <c r="EO264" s="73">
        <v>-2189.974990455335</v>
      </c>
      <c r="EP264" s="73">
        <v>80995.605249481552</v>
      </c>
      <c r="EQ264" s="73">
        <v>-4636.6047566909365</v>
      </c>
      <c r="ER264" s="73">
        <v>86463.226550818814</v>
      </c>
      <c r="ES264" s="73">
        <v>6808.5836390148897</v>
      </c>
      <c r="ET264" s="73">
        <v>90949</v>
      </c>
      <c r="EU264" s="73">
        <v>13848</v>
      </c>
      <c r="EV264" s="73">
        <v>91601</v>
      </c>
      <c r="EW264" s="73">
        <v>-5995</v>
      </c>
      <c r="EX264" s="73">
        <v>93817</v>
      </c>
      <c r="EY264" s="73">
        <v>2919</v>
      </c>
      <c r="EZ264" s="73">
        <v>95430</v>
      </c>
      <c r="FA264" s="73">
        <v>-6812</v>
      </c>
      <c r="FB264" s="73">
        <v>100436</v>
      </c>
      <c r="FC264" s="73">
        <v>-6450</v>
      </c>
      <c r="FD264" s="73">
        <v>100350</v>
      </c>
      <c r="FE264" s="73">
        <v>2867</v>
      </c>
      <c r="FF264" s="73">
        <v>105488</v>
      </c>
      <c r="FG264" s="73">
        <v>4934</v>
      </c>
      <c r="FH264" s="73">
        <v>-1802</v>
      </c>
      <c r="FI264" s="73">
        <v>3132</v>
      </c>
      <c r="FJ264" s="79">
        <v>22426</v>
      </c>
      <c r="FK264" s="80">
        <v>72595</v>
      </c>
      <c r="FL264" s="80">
        <v>34000</v>
      </c>
      <c r="FM264" s="80">
        <v>14663</v>
      </c>
      <c r="FN264" s="76">
        <v>0</v>
      </c>
      <c r="FO264" s="80">
        <v>61664</v>
      </c>
      <c r="FP264" s="80">
        <v>5773</v>
      </c>
      <c r="FQ264" s="80">
        <v>5158</v>
      </c>
      <c r="FR264" s="80">
        <v>11533</v>
      </c>
      <c r="FS264" s="81">
        <v>-5530</v>
      </c>
      <c r="FT264" s="76">
        <v>4174</v>
      </c>
      <c r="FU264" s="76">
        <v>30971</v>
      </c>
      <c r="FV264" s="76">
        <v>5530</v>
      </c>
      <c r="FW264" s="80">
        <v>108883</v>
      </c>
      <c r="FX264" s="80">
        <v>6861</v>
      </c>
      <c r="FY264" s="73">
        <v>22513</v>
      </c>
      <c r="FZ264" s="73">
        <v>69573</v>
      </c>
      <c r="GA264" s="73">
        <v>32592</v>
      </c>
      <c r="GB264" s="73">
        <v>16641</v>
      </c>
      <c r="GC264" s="73">
        <v>179</v>
      </c>
      <c r="GD264" s="73">
        <v>60394</v>
      </c>
      <c r="GE264" s="73">
        <v>4191</v>
      </c>
      <c r="GF264" s="73">
        <v>4988</v>
      </c>
      <c r="GG264" s="73">
        <v>3951</v>
      </c>
      <c r="GH264" s="73">
        <v>-5948</v>
      </c>
      <c r="GI264" s="73">
        <v>3919</v>
      </c>
      <c r="GJ264" s="73">
        <v>35792</v>
      </c>
      <c r="GK264" s="73">
        <v>5948</v>
      </c>
      <c r="GL264" s="73">
        <v>114647</v>
      </c>
      <c r="GM264" s="73">
        <v>34</v>
      </c>
      <c r="GN264" s="73">
        <v>10027</v>
      </c>
      <c r="GO264" s="77">
        <v>20</v>
      </c>
      <c r="GP264" s="78">
        <v>22545</v>
      </c>
      <c r="GQ264" s="73">
        <v>74553</v>
      </c>
      <c r="GR264" s="65">
        <v>32481</v>
      </c>
      <c r="GS264" s="65">
        <v>17248</v>
      </c>
      <c r="GT264" s="65">
        <v>478</v>
      </c>
      <c r="GU264" s="65">
        <v>65980</v>
      </c>
      <c r="GV264" s="65">
        <v>3113</v>
      </c>
      <c r="GW264" s="65">
        <v>5460</v>
      </c>
      <c r="GX264" s="65">
        <v>5613</v>
      </c>
      <c r="GY264" s="65">
        <v>-8397</v>
      </c>
      <c r="GZ264" s="65">
        <v>4003</v>
      </c>
      <c r="HA264" s="65">
        <v>36312</v>
      </c>
      <c r="HB264" s="65">
        <v>8397</v>
      </c>
      <c r="HC264" s="65">
        <v>118663</v>
      </c>
      <c r="HD264" s="65">
        <v>1644</v>
      </c>
      <c r="HE264" s="78">
        <v>22489</v>
      </c>
      <c r="HF264" s="73">
        <v>72729</v>
      </c>
      <c r="HG264" s="65">
        <v>35495</v>
      </c>
      <c r="HH264" s="65">
        <v>18206</v>
      </c>
      <c r="HI264" s="65">
        <v>151</v>
      </c>
      <c r="HJ264" s="65">
        <v>65171</v>
      </c>
      <c r="HK264" s="65">
        <v>1893</v>
      </c>
      <c r="HL264" s="65">
        <v>5665</v>
      </c>
      <c r="HM264" s="65">
        <v>2665</v>
      </c>
      <c r="HN264" s="65">
        <v>-7165</v>
      </c>
      <c r="HO264" s="65">
        <v>6541</v>
      </c>
      <c r="HP264" s="65">
        <v>39538</v>
      </c>
      <c r="HQ264" s="65">
        <v>7165</v>
      </c>
      <c r="HR264" s="65">
        <v>123541</v>
      </c>
      <c r="HS264" s="65">
        <v>-484</v>
      </c>
      <c r="HT264" s="65">
        <v>11187</v>
      </c>
      <c r="HU264" s="77">
        <v>20</v>
      </c>
      <c r="HV264" s="180">
        <v>130</v>
      </c>
      <c r="HW264" s="30" t="s">
        <v>752</v>
      </c>
    </row>
    <row r="265" spans="1:231" ht="15" x14ac:dyDescent="0.25">
      <c r="A265" s="27">
        <v>853</v>
      </c>
      <c r="B265" s="27" t="s">
        <v>388</v>
      </c>
      <c r="C265" s="27">
        <v>2</v>
      </c>
      <c r="D265" s="27" t="s">
        <v>122</v>
      </c>
      <c r="E265" s="27">
        <v>7</v>
      </c>
      <c r="F265" s="27" t="s">
        <v>104</v>
      </c>
      <c r="G265" s="29" t="s">
        <v>141</v>
      </c>
      <c r="H265" s="27" t="s">
        <v>97</v>
      </c>
      <c r="I265" s="31" t="s">
        <v>122</v>
      </c>
      <c r="J265" s="69">
        <v>170931</v>
      </c>
      <c r="K265" s="69">
        <v>172107</v>
      </c>
      <c r="L265" s="36">
        <v>172561</v>
      </c>
      <c r="M265" s="36">
        <v>173686</v>
      </c>
      <c r="N265" s="36">
        <v>174618</v>
      </c>
      <c r="O265" s="36">
        <v>175059</v>
      </c>
      <c r="P265" s="36">
        <v>174824</v>
      </c>
      <c r="Q265" s="36">
        <v>174868</v>
      </c>
      <c r="R265" s="69">
        <v>175354</v>
      </c>
      <c r="S265" s="69">
        <v>175286</v>
      </c>
      <c r="T265" s="71">
        <v>175582</v>
      </c>
      <c r="U265" s="36">
        <v>409908</v>
      </c>
      <c r="V265" s="36">
        <v>96451</v>
      </c>
      <c r="W265" s="36">
        <v>185979</v>
      </c>
      <c r="X265" s="36">
        <v>32244.484697421507</v>
      </c>
      <c r="Y265" s="36">
        <v>416375</v>
      </c>
      <c r="Z265" s="36">
        <v>111692</v>
      </c>
      <c r="AA265" s="36">
        <v>191363</v>
      </c>
      <c r="AB265" s="36">
        <v>29809.964461891137</v>
      </c>
      <c r="AC265" s="36">
        <v>444382</v>
      </c>
      <c r="AD265" s="36">
        <v>121852</v>
      </c>
      <c r="AE265" s="36">
        <v>197976</v>
      </c>
      <c r="AF265" s="36">
        <v>25400.917969702627</v>
      </c>
      <c r="AG265" s="36">
        <v>476511</v>
      </c>
      <c r="AH265" s="36">
        <v>144125</v>
      </c>
      <c r="AI265" s="36">
        <v>210078</v>
      </c>
      <c r="AJ265" s="36">
        <v>28431.66440453906</v>
      </c>
      <c r="AK265" s="36">
        <v>491933</v>
      </c>
      <c r="AL265" s="36">
        <v>155789</v>
      </c>
      <c r="AM265" s="36">
        <v>229646</v>
      </c>
      <c r="AN265" s="36">
        <v>25379</v>
      </c>
      <c r="AO265" s="36">
        <v>464383</v>
      </c>
      <c r="AP265" s="36">
        <v>170180</v>
      </c>
      <c r="AQ265" s="36">
        <v>237305</v>
      </c>
      <c r="AR265" s="36">
        <v>28454</v>
      </c>
      <c r="AS265" s="36">
        <v>469190</v>
      </c>
      <c r="AT265" s="36">
        <v>194055</v>
      </c>
      <c r="AU265" s="36">
        <v>258046</v>
      </c>
      <c r="AV265" s="36">
        <v>34242</v>
      </c>
      <c r="AW265" s="36">
        <v>471268</v>
      </c>
      <c r="AX265" s="69">
        <v>207300</v>
      </c>
      <c r="AY265" s="36">
        <v>234485</v>
      </c>
      <c r="AZ265" s="36">
        <v>31460</v>
      </c>
      <c r="BA265" s="36">
        <v>501442</v>
      </c>
      <c r="BB265" s="36">
        <v>228204</v>
      </c>
      <c r="BC265" s="36">
        <v>285294</v>
      </c>
      <c r="BD265" s="36">
        <v>25934</v>
      </c>
      <c r="BE265" s="70">
        <v>541001</v>
      </c>
      <c r="BF265" s="70">
        <v>241510</v>
      </c>
      <c r="BG265" s="70">
        <v>286425</v>
      </c>
      <c r="BH265" s="70">
        <v>42612</v>
      </c>
      <c r="BI265" s="36">
        <v>573480</v>
      </c>
      <c r="BJ265" s="36">
        <v>270638</v>
      </c>
      <c r="BK265" s="36">
        <v>298275</v>
      </c>
      <c r="BL265" s="36">
        <v>1393</v>
      </c>
      <c r="BM265" s="36">
        <v>314753.94947298313</v>
      </c>
      <c r="BN265" s="36">
        <v>75956.863160621157</v>
      </c>
      <c r="BO265" s="36">
        <v>19021.718106943976</v>
      </c>
      <c r="BP265" s="36">
        <v>321836.6794321303</v>
      </c>
      <c r="BQ265" s="36">
        <v>74757.515057024109</v>
      </c>
      <c r="BR265" s="36">
        <v>19611.721352970955</v>
      </c>
      <c r="BS265" s="36">
        <v>328131.11257995234</v>
      </c>
      <c r="BT265" s="36">
        <v>93885.359745565293</v>
      </c>
      <c r="BU265" s="36">
        <v>22206.861058272068</v>
      </c>
      <c r="BV265" s="36">
        <v>369489</v>
      </c>
      <c r="BW265" s="36">
        <v>83551</v>
      </c>
      <c r="BX265" s="36">
        <v>23320</v>
      </c>
      <c r="BY265" s="36">
        <v>406302</v>
      </c>
      <c r="BZ265" s="36">
        <v>60947</v>
      </c>
      <c r="CA265" s="36">
        <v>24539</v>
      </c>
      <c r="CB265" s="36">
        <v>403942</v>
      </c>
      <c r="CC265" s="36">
        <v>35589</v>
      </c>
      <c r="CD265" s="36">
        <v>24715</v>
      </c>
      <c r="CE265" s="36">
        <v>404986</v>
      </c>
      <c r="CF265" s="36">
        <v>38730</v>
      </c>
      <c r="CG265" s="36">
        <v>25343</v>
      </c>
      <c r="CH265" s="36">
        <v>407526</v>
      </c>
      <c r="CI265" s="36">
        <v>36843</v>
      </c>
      <c r="CJ265" s="70">
        <v>26775</v>
      </c>
      <c r="CK265" s="70">
        <v>434491</v>
      </c>
      <c r="CL265" s="70">
        <v>38669</v>
      </c>
      <c r="CM265" s="36">
        <v>28153</v>
      </c>
      <c r="CN265" s="36">
        <v>459936</v>
      </c>
      <c r="CO265" s="36">
        <v>52000</v>
      </c>
      <c r="CP265" s="36">
        <v>28941</v>
      </c>
      <c r="CQ265" s="36">
        <v>483988</v>
      </c>
      <c r="CR265" s="36">
        <v>58943</v>
      </c>
      <c r="CS265" s="36">
        <v>30430</v>
      </c>
      <c r="CT265" s="36">
        <v>28246.657685431393</v>
      </c>
      <c r="CU265" s="36">
        <v>-56033.994139999995</v>
      </c>
      <c r="CV265" s="36">
        <v>33840.588119541251</v>
      </c>
      <c r="CW265" s="36">
        <v>192183</v>
      </c>
      <c r="CX265" s="36">
        <v>33698.132945828351</v>
      </c>
      <c r="CY265" s="36">
        <v>-46798.290540000009</v>
      </c>
      <c r="CZ265" s="36">
        <v>35308.195965844396</v>
      </c>
      <c r="DA265" s="36">
        <v>217084</v>
      </c>
      <c r="DB265" s="36">
        <v>46241.588501327846</v>
      </c>
      <c r="DC265" s="36">
        <v>-2885.9366299999997</v>
      </c>
      <c r="DD265" s="36">
        <v>37877.6029183969</v>
      </c>
      <c r="DE265" s="36">
        <v>152632</v>
      </c>
      <c r="DF265" s="36">
        <v>58157.534903199434</v>
      </c>
      <c r="DG265" s="36">
        <v>-51742</v>
      </c>
      <c r="DH265" s="36">
        <v>40857.052035662564</v>
      </c>
      <c r="DI265" s="36">
        <v>120364</v>
      </c>
      <c r="DJ265" s="36">
        <v>90031</v>
      </c>
      <c r="DK265" s="36">
        <v>-47778</v>
      </c>
      <c r="DL265" s="36">
        <v>42569</v>
      </c>
      <c r="DM265" s="36">
        <v>108653</v>
      </c>
      <c r="DN265" s="36">
        <v>47328</v>
      </c>
      <c r="DO265" s="69">
        <v>-52939</v>
      </c>
      <c r="DP265" s="36">
        <v>43627</v>
      </c>
      <c r="DQ265" s="36">
        <v>104967</v>
      </c>
      <c r="DR265" s="36">
        <v>46686</v>
      </c>
      <c r="DS265" s="36">
        <v>-57505</v>
      </c>
      <c r="DT265" s="36">
        <v>45541</v>
      </c>
      <c r="DU265" s="36">
        <v>104966</v>
      </c>
      <c r="DV265" s="36">
        <v>10601</v>
      </c>
      <c r="DW265" s="71">
        <v>-101474</v>
      </c>
      <c r="DX265" s="39">
        <v>49749</v>
      </c>
      <c r="DY265" s="71">
        <v>231408</v>
      </c>
      <c r="DZ265" s="70">
        <v>37706</v>
      </c>
      <c r="EA265" s="35">
        <v>-77088</v>
      </c>
      <c r="EB265" s="35">
        <v>51274</v>
      </c>
      <c r="EC265" s="38">
        <v>269535</v>
      </c>
      <c r="ED265" s="38">
        <v>46963</v>
      </c>
      <c r="EE265" s="38">
        <v>-45949</v>
      </c>
      <c r="EF265" s="38">
        <v>53324</v>
      </c>
      <c r="EG265" s="73">
        <v>342802</v>
      </c>
      <c r="EH265" s="73">
        <v>23187</v>
      </c>
      <c r="EI265" s="73">
        <v>-47231</v>
      </c>
      <c r="EJ265" s="73">
        <v>57440</v>
      </c>
      <c r="EK265" s="73">
        <v>336022</v>
      </c>
      <c r="EL265" s="73">
        <v>651876.55678949424</v>
      </c>
      <c r="EM265" s="73">
        <v>-4177.9562812303957</v>
      </c>
      <c r="EN265" s="73">
        <v>678301.73923134757</v>
      </c>
      <c r="EO265" s="73">
        <v>-1539.4240909022105</v>
      </c>
      <c r="EP265" s="73">
        <v>701869.91336639901</v>
      </c>
      <c r="EQ265" s="73">
        <v>62452.718169173502</v>
      </c>
      <c r="ER265" s="73">
        <v>758858.20580483798</v>
      </c>
      <c r="ES265" s="73">
        <v>13927.978566130651</v>
      </c>
      <c r="ET265" s="73">
        <v>803931</v>
      </c>
      <c r="EU265" s="73">
        <v>25067</v>
      </c>
      <c r="EV265" s="73">
        <v>846800</v>
      </c>
      <c r="EW265" s="73">
        <v>3701</v>
      </c>
      <c r="EX265" s="73">
        <v>902689</v>
      </c>
      <c r="EY265" s="73">
        <v>1145</v>
      </c>
      <c r="EZ265" s="73">
        <v>964025</v>
      </c>
      <c r="FA265" s="73">
        <v>-38627</v>
      </c>
      <c r="FB265" s="73">
        <v>1003168</v>
      </c>
      <c r="FC265" s="73">
        <v>-13169</v>
      </c>
      <c r="FD265" s="73">
        <v>1039888</v>
      </c>
      <c r="FE265" s="73">
        <v>-8977</v>
      </c>
      <c r="FF265" s="73">
        <v>1099448</v>
      </c>
      <c r="FG265" s="73">
        <v>-33246</v>
      </c>
      <c r="FH265" s="73">
        <v>109469</v>
      </c>
      <c r="FI265" s="73">
        <v>76223</v>
      </c>
      <c r="FJ265" s="79">
        <v>176087</v>
      </c>
      <c r="FK265" s="80">
        <v>574488</v>
      </c>
      <c r="FL265" s="80">
        <v>293174</v>
      </c>
      <c r="FM265" s="80">
        <v>291491</v>
      </c>
      <c r="FN265" s="76">
        <v>40582</v>
      </c>
      <c r="FO265" s="80">
        <v>497108</v>
      </c>
      <c r="FP265" s="80">
        <v>44985</v>
      </c>
      <c r="FQ265" s="80">
        <v>32395</v>
      </c>
      <c r="FR265" s="80">
        <v>72800</v>
      </c>
      <c r="FS265" s="81">
        <v>-62595</v>
      </c>
      <c r="FT265" s="76">
        <v>55977</v>
      </c>
      <c r="FU265" s="76">
        <v>329113</v>
      </c>
      <c r="FV265" s="76">
        <v>62595</v>
      </c>
      <c r="FW265" s="80">
        <v>1126157</v>
      </c>
      <c r="FX265" s="80">
        <v>7218</v>
      </c>
      <c r="FY265" s="73">
        <v>177326</v>
      </c>
      <c r="FZ265" s="73">
        <v>610858</v>
      </c>
      <c r="GA265" s="73">
        <v>312971</v>
      </c>
      <c r="GB265" s="73">
        <v>328476</v>
      </c>
      <c r="GC265" s="73">
        <v>29257</v>
      </c>
      <c r="GD265" s="73">
        <v>516840</v>
      </c>
      <c r="GE265" s="73">
        <v>53743</v>
      </c>
      <c r="GF265" s="73">
        <v>40275</v>
      </c>
      <c r="GG265" s="73">
        <v>88636</v>
      </c>
      <c r="GH265" s="73">
        <v>-47089</v>
      </c>
      <c r="GI265" s="73">
        <v>72267</v>
      </c>
      <c r="GJ265" s="73">
        <v>351549</v>
      </c>
      <c r="GK265" s="73">
        <v>47089</v>
      </c>
      <c r="GL265" s="73">
        <v>1188089</v>
      </c>
      <c r="GM265" s="73">
        <v>13194</v>
      </c>
      <c r="GN265" s="73">
        <v>93681</v>
      </c>
      <c r="GO265" s="77">
        <v>18.75</v>
      </c>
      <c r="GP265" s="78">
        <v>178630</v>
      </c>
      <c r="GQ265" s="73">
        <v>637973</v>
      </c>
      <c r="GR265" s="65">
        <v>324980</v>
      </c>
      <c r="GS265" s="65">
        <v>338075</v>
      </c>
      <c r="GT265" s="65">
        <v>14413</v>
      </c>
      <c r="GU265" s="65">
        <v>519040</v>
      </c>
      <c r="GV265" s="65">
        <v>77998</v>
      </c>
      <c r="GW265" s="65">
        <v>40935</v>
      </c>
      <c r="GX265" s="65">
        <v>67388</v>
      </c>
      <c r="GY265" s="65">
        <v>-44556</v>
      </c>
      <c r="GZ265" s="65">
        <v>54644</v>
      </c>
      <c r="HA265" s="65">
        <v>333398</v>
      </c>
      <c r="HB265" s="65">
        <v>44556</v>
      </c>
      <c r="HC265" s="65">
        <v>1246198</v>
      </c>
      <c r="HD265" s="65">
        <v>6728</v>
      </c>
      <c r="HE265" s="78">
        <v>180225</v>
      </c>
      <c r="HF265" s="73">
        <v>638776</v>
      </c>
      <c r="HG265" s="65">
        <v>345614</v>
      </c>
      <c r="HH265" s="65">
        <v>305628</v>
      </c>
      <c r="HI265" s="65">
        <v>46855</v>
      </c>
      <c r="HJ265" s="65">
        <v>527003</v>
      </c>
      <c r="HK265" s="65">
        <v>69237</v>
      </c>
      <c r="HL265" s="65">
        <v>42536</v>
      </c>
      <c r="HM265" s="65">
        <v>45378</v>
      </c>
      <c r="HN265" s="65">
        <v>-73264</v>
      </c>
      <c r="HO265" s="65">
        <v>57867</v>
      </c>
      <c r="HP265" s="65">
        <v>423713</v>
      </c>
      <c r="HQ265" s="65">
        <v>73264</v>
      </c>
      <c r="HR265" s="65">
        <v>1269842</v>
      </c>
      <c r="HS265" s="65">
        <v>8539</v>
      </c>
      <c r="HT265" s="65">
        <v>108948</v>
      </c>
      <c r="HU265" s="77">
        <v>18.75</v>
      </c>
      <c r="HV265" s="180">
        <v>120</v>
      </c>
      <c r="HW265" s="30" t="s">
        <v>751</v>
      </c>
    </row>
    <row r="266" spans="1:231" ht="15" x14ac:dyDescent="0.25">
      <c r="A266" s="27">
        <v>857</v>
      </c>
      <c r="B266" s="27" t="s">
        <v>389</v>
      </c>
      <c r="C266" s="27">
        <v>11</v>
      </c>
      <c r="D266" s="27" t="s">
        <v>118</v>
      </c>
      <c r="E266" s="27">
        <v>2</v>
      </c>
      <c r="F266" s="27" t="s">
        <v>744</v>
      </c>
      <c r="G266" s="29" t="s">
        <v>130</v>
      </c>
      <c r="H266" s="27" t="s">
        <v>98</v>
      </c>
      <c r="I266" s="31" t="s">
        <v>118</v>
      </c>
      <c r="J266" s="69">
        <v>3308</v>
      </c>
      <c r="K266" s="69">
        <v>3260</v>
      </c>
      <c r="L266" s="36">
        <v>3204</v>
      </c>
      <c r="M266" s="36">
        <v>3171</v>
      </c>
      <c r="N266" s="36">
        <v>3083</v>
      </c>
      <c r="O266" s="36">
        <v>3037</v>
      </c>
      <c r="P266" s="36">
        <v>3031</v>
      </c>
      <c r="Q266" s="36">
        <v>2998</v>
      </c>
      <c r="R266" s="69">
        <v>2983</v>
      </c>
      <c r="S266" s="69">
        <v>2934</v>
      </c>
      <c r="T266" s="71">
        <v>2877</v>
      </c>
      <c r="U266" s="36">
        <v>6322</v>
      </c>
      <c r="V266" s="36">
        <v>4732</v>
      </c>
      <c r="W266" s="36">
        <v>1958</v>
      </c>
      <c r="X266" s="36">
        <v>239.83598313411477</v>
      </c>
      <c r="Y266" s="36">
        <v>6065</v>
      </c>
      <c r="Z266" s="36">
        <v>4718</v>
      </c>
      <c r="AA266" s="36">
        <v>1998</v>
      </c>
      <c r="AB266" s="36">
        <v>334.52578573194546</v>
      </c>
      <c r="AC266" s="36">
        <v>5567</v>
      </c>
      <c r="AD266" s="36">
        <v>4678</v>
      </c>
      <c r="AE266" s="36">
        <v>2012</v>
      </c>
      <c r="AF266" s="36">
        <v>349.66269911348144</v>
      </c>
      <c r="AG266" s="36">
        <v>5862</v>
      </c>
      <c r="AH266" s="36">
        <v>5280</v>
      </c>
      <c r="AI266" s="36">
        <v>2316</v>
      </c>
      <c r="AJ266" s="36">
        <v>384.47759989101422</v>
      </c>
      <c r="AK266" s="36">
        <v>5818</v>
      </c>
      <c r="AL266" s="36">
        <v>5544</v>
      </c>
      <c r="AM266" s="36">
        <v>2312</v>
      </c>
      <c r="AN266" s="36">
        <v>306</v>
      </c>
      <c r="AO266" s="36">
        <v>5356</v>
      </c>
      <c r="AP266" s="36">
        <v>6174</v>
      </c>
      <c r="AQ266" s="36">
        <v>2441</v>
      </c>
      <c r="AR266" s="36">
        <v>367</v>
      </c>
      <c r="AS266" s="36">
        <v>5599</v>
      </c>
      <c r="AT266" s="36">
        <v>6411</v>
      </c>
      <c r="AU266" s="36">
        <v>2036</v>
      </c>
      <c r="AV266" s="36">
        <v>295</v>
      </c>
      <c r="AW266" s="36">
        <v>5697</v>
      </c>
      <c r="AX266" s="69">
        <v>6114</v>
      </c>
      <c r="AY266" s="36">
        <v>2155</v>
      </c>
      <c r="AZ266" s="36">
        <v>310</v>
      </c>
      <c r="BA266" s="36">
        <v>6040</v>
      </c>
      <c r="BB266" s="36">
        <v>6457</v>
      </c>
      <c r="BC266" s="36">
        <v>2015</v>
      </c>
      <c r="BD266" s="36">
        <v>259</v>
      </c>
      <c r="BE266" s="70">
        <v>6434</v>
      </c>
      <c r="BF266" s="70">
        <v>6782</v>
      </c>
      <c r="BG266" s="70">
        <v>2264</v>
      </c>
      <c r="BH266" s="70">
        <v>355</v>
      </c>
      <c r="BI266" s="36">
        <v>6631</v>
      </c>
      <c r="BJ266" s="36">
        <v>7678</v>
      </c>
      <c r="BK266" s="36">
        <v>2381</v>
      </c>
      <c r="BL266" s="36">
        <v>317</v>
      </c>
      <c r="BM266" s="36">
        <v>4257.8455462996135</v>
      </c>
      <c r="BN266" s="36">
        <v>1788.1740341387849</v>
      </c>
      <c r="BO266" s="36">
        <v>275.66001147041658</v>
      </c>
      <c r="BP266" s="36">
        <v>4252.9680964322297</v>
      </c>
      <c r="BQ266" s="36">
        <v>1526.3054326382126</v>
      </c>
      <c r="BR266" s="36">
        <v>285.91947498456875</v>
      </c>
      <c r="BS266" s="36">
        <v>3629.327265112946</v>
      </c>
      <c r="BT266" s="36">
        <v>1656.482887719422</v>
      </c>
      <c r="BU266" s="36">
        <v>281.37840097010798</v>
      </c>
      <c r="BV266" s="36">
        <v>4391</v>
      </c>
      <c r="BW266" s="36">
        <v>1175</v>
      </c>
      <c r="BX266" s="36">
        <v>296</v>
      </c>
      <c r="BY266" s="36">
        <v>4889</v>
      </c>
      <c r="BZ266" s="36">
        <v>628</v>
      </c>
      <c r="CA266" s="36">
        <v>301</v>
      </c>
      <c r="CB266" s="36">
        <v>4637</v>
      </c>
      <c r="CC266" s="36">
        <v>414</v>
      </c>
      <c r="CD266" s="36">
        <v>305</v>
      </c>
      <c r="CE266" s="36">
        <v>4739</v>
      </c>
      <c r="CF266" s="36">
        <v>485</v>
      </c>
      <c r="CG266" s="36">
        <v>375</v>
      </c>
      <c r="CH266" s="36">
        <v>4684</v>
      </c>
      <c r="CI266" s="36">
        <v>622</v>
      </c>
      <c r="CJ266" s="70">
        <v>391</v>
      </c>
      <c r="CK266" s="70">
        <v>4901</v>
      </c>
      <c r="CL266" s="70">
        <v>727</v>
      </c>
      <c r="CM266" s="36">
        <v>412</v>
      </c>
      <c r="CN266" s="36">
        <v>5228</v>
      </c>
      <c r="CO266" s="36">
        <v>784</v>
      </c>
      <c r="CP266" s="36">
        <v>422</v>
      </c>
      <c r="CQ266" s="36">
        <v>5465</v>
      </c>
      <c r="CR266" s="36">
        <v>716</v>
      </c>
      <c r="CS266" s="36">
        <v>450</v>
      </c>
      <c r="CT266" s="36">
        <v>1250.4772332413345</v>
      </c>
      <c r="CU266" s="36">
        <v>-558.72029169999996</v>
      </c>
      <c r="CV266" s="36">
        <v>503.89102767868707</v>
      </c>
      <c r="CW266" s="36">
        <v>146</v>
      </c>
      <c r="CX266" s="36">
        <v>926.04272309707972</v>
      </c>
      <c r="CY266" s="36">
        <v>-330.65746339999998</v>
      </c>
      <c r="CZ266" s="36">
        <v>374.38632430332353</v>
      </c>
      <c r="DA266" s="36">
        <v>130</v>
      </c>
      <c r="DB266" s="36">
        <v>419.96525237439306</v>
      </c>
      <c r="DC266" s="36">
        <v>-1310.0157589999999</v>
      </c>
      <c r="DD266" s="36">
        <v>395.57800303747393</v>
      </c>
      <c r="DE266" s="36">
        <v>114</v>
      </c>
      <c r="DF266" s="36">
        <v>1030.3192375032165</v>
      </c>
      <c r="DG266" s="36">
        <v>-2951</v>
      </c>
      <c r="DH266" s="36">
        <v>592.02150114451877</v>
      </c>
      <c r="DI266" s="36">
        <v>0</v>
      </c>
      <c r="DJ266" s="36">
        <v>1127</v>
      </c>
      <c r="DK266" s="36">
        <v>-475</v>
      </c>
      <c r="DL266" s="36">
        <v>541</v>
      </c>
      <c r="DM266" s="36">
        <v>0</v>
      </c>
      <c r="DN266" s="36">
        <v>670</v>
      </c>
      <c r="DO266" s="69">
        <v>-1069</v>
      </c>
      <c r="DP266" s="36">
        <v>521</v>
      </c>
      <c r="DQ266" s="36">
        <v>0</v>
      </c>
      <c r="DR266" s="36">
        <v>1241</v>
      </c>
      <c r="DS266" s="36">
        <v>-317</v>
      </c>
      <c r="DT266" s="36">
        <v>545</v>
      </c>
      <c r="DU266" s="36">
        <v>0</v>
      </c>
      <c r="DV266" s="36">
        <v>478</v>
      </c>
      <c r="DW266" s="71">
        <v>-1365</v>
      </c>
      <c r="DX266" s="39">
        <v>846</v>
      </c>
      <c r="DY266" s="71">
        <v>0</v>
      </c>
      <c r="DZ266" s="70">
        <v>874</v>
      </c>
      <c r="EA266" s="35">
        <v>-684</v>
      </c>
      <c r="EB266" s="35">
        <v>663</v>
      </c>
      <c r="EC266" s="38">
        <v>0</v>
      </c>
      <c r="ED266" s="38">
        <v>795</v>
      </c>
      <c r="EE266" s="38">
        <v>-1224</v>
      </c>
      <c r="EF266" s="38">
        <v>559</v>
      </c>
      <c r="EG266" s="73">
        <v>0</v>
      </c>
      <c r="EH266" s="73">
        <v>852</v>
      </c>
      <c r="EI266" s="73">
        <v>-705</v>
      </c>
      <c r="EJ266" s="73">
        <v>652</v>
      </c>
      <c r="EK266" s="73">
        <v>0</v>
      </c>
      <c r="EL266" s="73">
        <v>11455.952422999362</v>
      </c>
      <c r="EM266" s="73">
        <v>135.39128080151639</v>
      </c>
      <c r="EN266" s="73">
        <v>11675.437667031634</v>
      </c>
      <c r="EO266" s="73">
        <v>111.50859524398182</v>
      </c>
      <c r="EP266" s="73">
        <v>11651.218605621176</v>
      </c>
      <c r="EQ266" s="73">
        <v>15.809665087382037</v>
      </c>
      <c r="ER266" s="73">
        <v>12243.071918839232</v>
      </c>
      <c r="ES266" s="73">
        <v>17.155168499074126</v>
      </c>
      <c r="ET266" s="73">
        <v>12813</v>
      </c>
      <c r="EU266" s="73">
        <v>129</v>
      </c>
      <c r="EV266" s="73">
        <v>13563</v>
      </c>
      <c r="EW266" s="73">
        <v>266</v>
      </c>
      <c r="EX266" s="73">
        <v>13071</v>
      </c>
      <c r="EY266" s="73">
        <v>465</v>
      </c>
      <c r="EZ266" s="73">
        <v>13772</v>
      </c>
      <c r="FA266" s="73">
        <v>40</v>
      </c>
      <c r="FB266" s="73">
        <v>13897</v>
      </c>
      <c r="FC266" s="73">
        <v>336</v>
      </c>
      <c r="FD266" s="73">
        <v>14996</v>
      </c>
      <c r="FE266" s="73">
        <v>209</v>
      </c>
      <c r="FF266" s="73">
        <v>16155</v>
      </c>
      <c r="FG266" s="73">
        <v>274</v>
      </c>
      <c r="FH266" s="73">
        <v>4022</v>
      </c>
      <c r="FI266" s="73">
        <v>4296</v>
      </c>
      <c r="FJ266" s="79">
        <v>2864</v>
      </c>
      <c r="FK266" s="80">
        <v>6601</v>
      </c>
      <c r="FL266" s="80">
        <v>8474</v>
      </c>
      <c r="FM266" s="80">
        <v>2045</v>
      </c>
      <c r="FN266" s="76">
        <v>233</v>
      </c>
      <c r="FO266" s="80">
        <v>5545</v>
      </c>
      <c r="FP266" s="80">
        <v>579</v>
      </c>
      <c r="FQ266" s="80">
        <v>477</v>
      </c>
      <c r="FR266" s="80">
        <v>1079</v>
      </c>
      <c r="FS266" s="81">
        <v>-1585</v>
      </c>
      <c r="FT266" s="76">
        <v>663</v>
      </c>
      <c r="FU266" s="76">
        <v>0</v>
      </c>
      <c r="FV266" s="76">
        <v>1585</v>
      </c>
      <c r="FW266" s="80">
        <v>16274</v>
      </c>
      <c r="FX266" s="80">
        <v>411</v>
      </c>
      <c r="FY266" s="73">
        <v>2864</v>
      </c>
      <c r="FZ266" s="73">
        <v>7027</v>
      </c>
      <c r="GA266" s="73">
        <v>8727</v>
      </c>
      <c r="GB266" s="73">
        <v>2639</v>
      </c>
      <c r="GC266" s="73">
        <v>365</v>
      </c>
      <c r="GD266" s="73">
        <v>5665</v>
      </c>
      <c r="GE266" s="73">
        <v>768</v>
      </c>
      <c r="GF266" s="73">
        <v>594</v>
      </c>
      <c r="GG266" s="73">
        <v>1428</v>
      </c>
      <c r="GH266" s="73">
        <v>-1206</v>
      </c>
      <c r="GI266" s="73">
        <v>746</v>
      </c>
      <c r="GJ266" s="73">
        <v>1000</v>
      </c>
      <c r="GK266" s="73">
        <v>1206</v>
      </c>
      <c r="GL266" s="73">
        <v>17213</v>
      </c>
      <c r="GM266" s="73">
        <v>660</v>
      </c>
      <c r="GN266" s="73">
        <v>5029</v>
      </c>
      <c r="GO266" s="77">
        <v>19.75</v>
      </c>
      <c r="GP266" s="78">
        <v>2820</v>
      </c>
      <c r="GQ266" s="73">
        <v>7067</v>
      </c>
      <c r="GR266" s="65">
        <v>8740</v>
      </c>
      <c r="GS266" s="65">
        <v>3081</v>
      </c>
      <c r="GT266" s="65">
        <v>211</v>
      </c>
      <c r="GU266" s="65">
        <v>5699</v>
      </c>
      <c r="GV266" s="65">
        <v>779</v>
      </c>
      <c r="GW266" s="65">
        <v>589</v>
      </c>
      <c r="GX266" s="65">
        <v>993</v>
      </c>
      <c r="GY266" s="65">
        <v>-1585</v>
      </c>
      <c r="GZ266" s="65">
        <v>847</v>
      </c>
      <c r="HA266" s="65">
        <v>1900</v>
      </c>
      <c r="HB266" s="65">
        <v>1585</v>
      </c>
      <c r="HC266" s="65">
        <v>18106</v>
      </c>
      <c r="HD266" s="65">
        <v>221</v>
      </c>
      <c r="HE266" s="78">
        <v>2795</v>
      </c>
      <c r="HF266" s="73">
        <v>6931</v>
      </c>
      <c r="HG266" s="65">
        <v>9471</v>
      </c>
      <c r="HH266" s="65">
        <v>2824</v>
      </c>
      <c r="HI266" s="65">
        <v>191</v>
      </c>
      <c r="HJ266" s="65">
        <v>5849</v>
      </c>
      <c r="HK266" s="65">
        <v>472</v>
      </c>
      <c r="HL266" s="65">
        <v>610</v>
      </c>
      <c r="HM266" s="65">
        <v>367</v>
      </c>
      <c r="HN266" s="65">
        <v>-1914</v>
      </c>
      <c r="HO266" s="65">
        <v>1018</v>
      </c>
      <c r="HP266" s="65">
        <v>2650</v>
      </c>
      <c r="HQ266" s="65">
        <v>1914</v>
      </c>
      <c r="HR266" s="65">
        <v>19038</v>
      </c>
      <c r="HS266" s="65">
        <v>-446</v>
      </c>
      <c r="HT266" s="65">
        <v>4305</v>
      </c>
      <c r="HU266" s="77">
        <v>19.75</v>
      </c>
      <c r="HV266" s="180">
        <v>340</v>
      </c>
      <c r="HW266" s="30" t="s">
        <v>761</v>
      </c>
    </row>
    <row r="267" spans="1:231" ht="15" x14ac:dyDescent="0.25">
      <c r="A267" s="27">
        <v>858</v>
      </c>
      <c r="B267" s="27" t="s">
        <v>390</v>
      </c>
      <c r="C267" s="27">
        <v>1</v>
      </c>
      <c r="D267" s="27" t="s">
        <v>121</v>
      </c>
      <c r="E267" s="27">
        <v>5</v>
      </c>
      <c r="F267" s="27" t="s">
        <v>101</v>
      </c>
      <c r="G267" s="29" t="s">
        <v>141</v>
      </c>
      <c r="H267" s="27" t="s">
        <v>97</v>
      </c>
      <c r="I267" s="31" t="s">
        <v>121</v>
      </c>
      <c r="J267" s="69">
        <v>30404</v>
      </c>
      <c r="K267" s="69">
        <v>31168</v>
      </c>
      <c r="L267" s="36">
        <v>31957</v>
      </c>
      <c r="M267" s="36">
        <v>32915</v>
      </c>
      <c r="N267" s="36">
        <v>33377</v>
      </c>
      <c r="O267" s="36">
        <v>33952</v>
      </c>
      <c r="P267" s="36">
        <v>34513</v>
      </c>
      <c r="Q267" s="36">
        <v>34890</v>
      </c>
      <c r="R267" s="69">
        <v>35434</v>
      </c>
      <c r="S267" s="69">
        <v>35968</v>
      </c>
      <c r="T267" s="71">
        <v>36386</v>
      </c>
      <c r="U267" s="36">
        <v>71083</v>
      </c>
      <c r="V267" s="36">
        <v>9082</v>
      </c>
      <c r="W267" s="36">
        <v>14862</v>
      </c>
      <c r="X267" s="36">
        <v>771.30983075248957</v>
      </c>
      <c r="Y267" s="36">
        <v>73537</v>
      </c>
      <c r="Z267" s="36">
        <v>8978</v>
      </c>
      <c r="AA267" s="36">
        <v>18415</v>
      </c>
      <c r="AB267" s="36">
        <v>1081.4483671475159</v>
      </c>
      <c r="AC267" s="36">
        <v>80214</v>
      </c>
      <c r="AD267" s="36">
        <v>9691</v>
      </c>
      <c r="AE267" s="36">
        <v>19338</v>
      </c>
      <c r="AF267" s="36">
        <v>1150.4054169967355</v>
      </c>
      <c r="AG267" s="36">
        <v>88381</v>
      </c>
      <c r="AH267" s="36">
        <v>10712</v>
      </c>
      <c r="AI267" s="36">
        <v>17348</v>
      </c>
      <c r="AJ267" s="36">
        <v>806.62929530940687</v>
      </c>
      <c r="AK267" s="36">
        <v>97434</v>
      </c>
      <c r="AL267" s="36">
        <v>11765</v>
      </c>
      <c r="AM267" s="36">
        <v>20065</v>
      </c>
      <c r="AN267" s="36">
        <v>968</v>
      </c>
      <c r="AO267" s="36">
        <v>94846</v>
      </c>
      <c r="AP267" s="36">
        <v>12754</v>
      </c>
      <c r="AQ267" s="36">
        <v>20489</v>
      </c>
      <c r="AR267" s="36">
        <v>769</v>
      </c>
      <c r="AS267" s="36">
        <v>97338</v>
      </c>
      <c r="AT267" s="36">
        <v>15832</v>
      </c>
      <c r="AU267" s="36">
        <v>20256</v>
      </c>
      <c r="AV267" s="36">
        <v>767</v>
      </c>
      <c r="AW267" s="36">
        <v>104050</v>
      </c>
      <c r="AX267" s="69">
        <v>17506</v>
      </c>
      <c r="AY267" s="36">
        <v>29942</v>
      </c>
      <c r="AZ267" s="36">
        <v>681</v>
      </c>
      <c r="BA267" s="36">
        <v>110730</v>
      </c>
      <c r="BB267" s="36">
        <v>17486</v>
      </c>
      <c r="BC267" s="36">
        <v>28637</v>
      </c>
      <c r="BD267" s="36">
        <v>873</v>
      </c>
      <c r="BE267" s="70">
        <v>121201</v>
      </c>
      <c r="BF267" s="70">
        <v>17769</v>
      </c>
      <c r="BG267" s="70">
        <v>29899</v>
      </c>
      <c r="BH267" s="70">
        <v>304</v>
      </c>
      <c r="BI267" s="36">
        <v>129337</v>
      </c>
      <c r="BJ267" s="36">
        <v>20172</v>
      </c>
      <c r="BK267" s="36">
        <v>35222</v>
      </c>
      <c r="BL267" s="36">
        <v>132</v>
      </c>
      <c r="BM267" s="36">
        <v>59987.755918953597</v>
      </c>
      <c r="BN267" s="36">
        <v>9285.9917957929465</v>
      </c>
      <c r="BO267" s="36">
        <v>1779.7646378157096</v>
      </c>
      <c r="BP267" s="36">
        <v>63074.172557448786</v>
      </c>
      <c r="BQ267" s="36">
        <v>8673.4513676201241</v>
      </c>
      <c r="BR267" s="36">
        <v>1761.9367176107896</v>
      </c>
      <c r="BS267" s="36">
        <v>68028.820683078447</v>
      </c>
      <c r="BT267" s="36">
        <v>9438.7064330199992</v>
      </c>
      <c r="BU267" s="36">
        <v>2719.2623950297102</v>
      </c>
      <c r="BV267" s="36">
        <v>75106</v>
      </c>
      <c r="BW267" s="36">
        <v>10183</v>
      </c>
      <c r="BX267" s="36">
        <v>3066</v>
      </c>
      <c r="BY267" s="36">
        <v>87025</v>
      </c>
      <c r="BZ267" s="36">
        <v>7181</v>
      </c>
      <c r="CA267" s="36">
        <v>3201</v>
      </c>
      <c r="CB267" s="36">
        <v>87471</v>
      </c>
      <c r="CC267" s="36">
        <v>4039</v>
      </c>
      <c r="CD267" s="36">
        <v>3310</v>
      </c>
      <c r="CE267" s="36">
        <v>88892</v>
      </c>
      <c r="CF267" s="36">
        <v>4966</v>
      </c>
      <c r="CG267" s="36">
        <v>3455</v>
      </c>
      <c r="CH267" s="36">
        <v>95420</v>
      </c>
      <c r="CI267" s="36">
        <v>4951</v>
      </c>
      <c r="CJ267" s="70">
        <v>3654</v>
      </c>
      <c r="CK267" s="70">
        <v>102040</v>
      </c>
      <c r="CL267" s="70">
        <v>4798</v>
      </c>
      <c r="CM267" s="36">
        <v>3868</v>
      </c>
      <c r="CN267" s="36">
        <v>111043</v>
      </c>
      <c r="CO267" s="36">
        <v>5700</v>
      </c>
      <c r="CP267" s="36">
        <v>4434</v>
      </c>
      <c r="CQ267" s="36">
        <v>118434</v>
      </c>
      <c r="CR267" s="36">
        <v>5925</v>
      </c>
      <c r="CS267" s="36">
        <v>4978</v>
      </c>
      <c r="CT267" s="36">
        <v>7610.3354844569121</v>
      </c>
      <c r="CU267" s="36">
        <v>15951.27932</v>
      </c>
      <c r="CV267" s="36">
        <v>4833.384630650904</v>
      </c>
      <c r="CW267" s="36">
        <v>5211</v>
      </c>
      <c r="CX267" s="36">
        <v>10192.692907346953</v>
      </c>
      <c r="CY267" s="36">
        <v>-4754.5044930000004</v>
      </c>
      <c r="CZ267" s="36">
        <v>5257.0500174074505</v>
      </c>
      <c r="DA267" s="36">
        <v>3702</v>
      </c>
      <c r="DB267" s="36">
        <v>11113.017240944342</v>
      </c>
      <c r="DC267" s="36">
        <v>-13351.09398</v>
      </c>
      <c r="DD267" s="36">
        <v>5616.1312404027767</v>
      </c>
      <c r="DE267" s="36">
        <v>2762</v>
      </c>
      <c r="DF267" s="36">
        <v>8810.8609035391783</v>
      </c>
      <c r="DG267" s="36">
        <v>-10045</v>
      </c>
      <c r="DH267" s="36">
        <v>6250.3679110891344</v>
      </c>
      <c r="DI267" s="36">
        <v>1909</v>
      </c>
      <c r="DJ267" s="36">
        <v>19776</v>
      </c>
      <c r="DK267" s="36">
        <v>-5700</v>
      </c>
      <c r="DL267" s="36">
        <v>6725</v>
      </c>
      <c r="DM267" s="36">
        <v>1216</v>
      </c>
      <c r="DN267" s="36">
        <v>9543</v>
      </c>
      <c r="DO267" s="69">
        <v>-13133</v>
      </c>
      <c r="DP267" s="36">
        <v>7103</v>
      </c>
      <c r="DQ267" s="36">
        <v>1670</v>
      </c>
      <c r="DR267" s="36">
        <v>4466</v>
      </c>
      <c r="DS267" s="36">
        <v>-13675</v>
      </c>
      <c r="DT267" s="36">
        <v>7521</v>
      </c>
      <c r="DU267" s="36">
        <v>6872</v>
      </c>
      <c r="DV267" s="36">
        <v>11939</v>
      </c>
      <c r="DW267" s="71">
        <v>-4593</v>
      </c>
      <c r="DX267" s="39">
        <v>8245</v>
      </c>
      <c r="DY267" s="71">
        <v>7339</v>
      </c>
      <c r="DZ267" s="70">
        <v>11504</v>
      </c>
      <c r="EA267" s="35">
        <v>-10624</v>
      </c>
      <c r="EB267" s="35">
        <v>8918</v>
      </c>
      <c r="EC267" s="38">
        <v>13065</v>
      </c>
      <c r="ED267" s="38">
        <v>15154</v>
      </c>
      <c r="EE267" s="38">
        <v>-10041</v>
      </c>
      <c r="EF267" s="38">
        <v>9581</v>
      </c>
      <c r="EG267" s="73">
        <v>10684</v>
      </c>
      <c r="EH267" s="73">
        <v>12531</v>
      </c>
      <c r="EI267" s="73">
        <v>-9567</v>
      </c>
      <c r="EJ267" s="73">
        <v>9885</v>
      </c>
      <c r="EK267" s="73">
        <v>15861</v>
      </c>
      <c r="EL267" s="73">
        <v>81592.504200493466</v>
      </c>
      <c r="EM267" s="73">
        <v>17005.48124452338</v>
      </c>
      <c r="EN267" s="73">
        <v>87142.03302201748</v>
      </c>
      <c r="EO267" s="73">
        <v>4414.2603179088183</v>
      </c>
      <c r="EP267" s="73">
        <v>94322.984730218159</v>
      </c>
      <c r="EQ267" s="73">
        <v>5480.067207895414</v>
      </c>
      <c r="ER267" s="73">
        <v>102985.33569469184</v>
      </c>
      <c r="ES267" s="73">
        <v>2560.4929924500439</v>
      </c>
      <c r="ET267" s="73">
        <v>110066</v>
      </c>
      <c r="EU267" s="73">
        <v>13051</v>
      </c>
      <c r="EV267" s="73">
        <v>119286</v>
      </c>
      <c r="EW267" s="73">
        <v>2440</v>
      </c>
      <c r="EX267" s="73">
        <v>129614</v>
      </c>
      <c r="EY267" s="73">
        <v>-2916</v>
      </c>
      <c r="EZ267" s="73">
        <v>140003</v>
      </c>
      <c r="FA267" s="73">
        <v>2457</v>
      </c>
      <c r="FB267" s="73">
        <v>146015</v>
      </c>
      <c r="FC267" s="73">
        <v>2653</v>
      </c>
      <c r="FD267" s="73">
        <v>153347</v>
      </c>
      <c r="FE267" s="73">
        <v>5511</v>
      </c>
      <c r="FF267" s="73">
        <v>171780</v>
      </c>
      <c r="FG267" s="73">
        <v>2331</v>
      </c>
      <c r="FH267" s="73">
        <v>43915</v>
      </c>
      <c r="FI267" s="73">
        <v>46247</v>
      </c>
      <c r="FJ267" s="79">
        <v>36766</v>
      </c>
      <c r="FK267" s="80">
        <v>134895</v>
      </c>
      <c r="FL267" s="80">
        <v>21176</v>
      </c>
      <c r="FM267" s="80">
        <v>31800</v>
      </c>
      <c r="FN267" s="76">
        <v>903</v>
      </c>
      <c r="FO267" s="80">
        <v>125035</v>
      </c>
      <c r="FP267" s="80">
        <v>4533</v>
      </c>
      <c r="FQ267" s="80">
        <v>5327</v>
      </c>
      <c r="FR267" s="80">
        <v>9243</v>
      </c>
      <c r="FS267" s="81">
        <v>-13202</v>
      </c>
      <c r="FT267" s="76">
        <v>9973</v>
      </c>
      <c r="FU267" s="76">
        <v>23260</v>
      </c>
      <c r="FV267" s="76">
        <v>13202</v>
      </c>
      <c r="FW267" s="80">
        <v>178862</v>
      </c>
      <c r="FX267" s="80">
        <v>-755</v>
      </c>
      <c r="FY267" s="73">
        <v>37214</v>
      </c>
      <c r="FZ267" s="73">
        <v>138530</v>
      </c>
      <c r="GA267" s="73">
        <v>22087</v>
      </c>
      <c r="GB267" s="73">
        <v>35985</v>
      </c>
      <c r="GC267" s="73">
        <v>358</v>
      </c>
      <c r="GD267" s="73">
        <v>126608</v>
      </c>
      <c r="GE267" s="73">
        <v>6031</v>
      </c>
      <c r="GF267" s="73">
        <v>5891</v>
      </c>
      <c r="GG267" s="73">
        <v>14272</v>
      </c>
      <c r="GH267" s="73">
        <v>-9498</v>
      </c>
      <c r="GI267" s="73">
        <v>10397</v>
      </c>
      <c r="GJ267" s="73">
        <v>23389</v>
      </c>
      <c r="GK267" s="73">
        <v>9498</v>
      </c>
      <c r="GL267" s="73">
        <v>182669</v>
      </c>
      <c r="GM267" s="73">
        <v>3966</v>
      </c>
      <c r="GN267" s="73">
        <v>49458</v>
      </c>
      <c r="GO267" s="77">
        <v>18.25</v>
      </c>
      <c r="GP267" s="78">
        <v>37667</v>
      </c>
      <c r="GQ267" s="73">
        <v>145878</v>
      </c>
      <c r="GR267" s="65">
        <v>24225</v>
      </c>
      <c r="GS267" s="65">
        <v>36802</v>
      </c>
      <c r="GT267" s="65">
        <v>305</v>
      </c>
      <c r="GU267" s="65">
        <v>131818</v>
      </c>
      <c r="GV267" s="65">
        <v>8037</v>
      </c>
      <c r="GW267" s="65">
        <v>6023</v>
      </c>
      <c r="GX267" s="65">
        <v>12709</v>
      </c>
      <c r="GY267" s="65">
        <v>-11678</v>
      </c>
      <c r="GZ267" s="65">
        <v>10381</v>
      </c>
      <c r="HA267" s="65">
        <v>31078</v>
      </c>
      <c r="HB267" s="65">
        <v>11678</v>
      </c>
      <c r="HC267" s="65">
        <v>194376</v>
      </c>
      <c r="HD267" s="65">
        <v>2508</v>
      </c>
      <c r="HE267" s="78">
        <v>37936</v>
      </c>
      <c r="HF267" s="73">
        <v>148165</v>
      </c>
      <c r="HG267" s="65">
        <v>23562</v>
      </c>
      <c r="HH267" s="65">
        <v>39824</v>
      </c>
      <c r="HI267" s="65">
        <v>560</v>
      </c>
      <c r="HJ267" s="65">
        <v>135876</v>
      </c>
      <c r="HK267" s="65">
        <v>6116</v>
      </c>
      <c r="HL267" s="65">
        <v>6173</v>
      </c>
      <c r="HM267" s="65">
        <v>6403</v>
      </c>
      <c r="HN267" s="65">
        <v>-7745</v>
      </c>
      <c r="HO267" s="65">
        <v>10811</v>
      </c>
      <c r="HP267" s="65">
        <v>32726</v>
      </c>
      <c r="HQ267" s="65">
        <v>7745</v>
      </c>
      <c r="HR267" s="65">
        <v>205708</v>
      </c>
      <c r="HS267" s="65">
        <v>-4131</v>
      </c>
      <c r="HT267" s="65">
        <v>47834</v>
      </c>
      <c r="HU267" s="77">
        <v>18.25</v>
      </c>
      <c r="HV267" s="180">
        <v>120</v>
      </c>
      <c r="HW267" s="30" t="s">
        <v>751</v>
      </c>
    </row>
    <row r="268" spans="1:231" ht="15" x14ac:dyDescent="0.25">
      <c r="A268" s="27">
        <v>859</v>
      </c>
      <c r="B268" s="27" t="s">
        <v>391</v>
      </c>
      <c r="C268" s="27">
        <v>17</v>
      </c>
      <c r="D268" s="27" t="s">
        <v>117</v>
      </c>
      <c r="E268" s="27">
        <v>3</v>
      </c>
      <c r="F268" s="27" t="s">
        <v>743</v>
      </c>
      <c r="G268" s="29" t="s">
        <v>130</v>
      </c>
      <c r="H268" s="27" t="s">
        <v>98</v>
      </c>
      <c r="I268" s="31" t="s">
        <v>117</v>
      </c>
      <c r="J268" s="69">
        <v>4876</v>
      </c>
      <c r="K268" s="69">
        <v>4953</v>
      </c>
      <c r="L268" s="36">
        <v>5035</v>
      </c>
      <c r="M268" s="36">
        <v>5119</v>
      </c>
      <c r="N268" s="36">
        <v>5248</v>
      </c>
      <c r="O268" s="36">
        <v>5378</v>
      </c>
      <c r="P268" s="36">
        <v>5616</v>
      </c>
      <c r="Q268" s="36">
        <v>5732</v>
      </c>
      <c r="R268" s="69">
        <v>5916</v>
      </c>
      <c r="S268" s="69">
        <v>6087</v>
      </c>
      <c r="T268" s="71">
        <v>6148</v>
      </c>
      <c r="U268" s="36">
        <v>6393</v>
      </c>
      <c r="V268" s="36">
        <v>5055</v>
      </c>
      <c r="W268" s="36">
        <v>2459</v>
      </c>
      <c r="X268" s="36">
        <v>81.571144333832848</v>
      </c>
      <c r="Y268" s="36">
        <v>6348</v>
      </c>
      <c r="Z268" s="36">
        <v>5314</v>
      </c>
      <c r="AA268" s="36">
        <v>3038</v>
      </c>
      <c r="AB268" s="36">
        <v>90.148728583369916</v>
      </c>
      <c r="AC268" s="36">
        <v>6699</v>
      </c>
      <c r="AD268" s="36">
        <v>5963</v>
      </c>
      <c r="AE268" s="36">
        <v>2620</v>
      </c>
      <c r="AF268" s="36">
        <v>49.951814159068775</v>
      </c>
      <c r="AG268" s="36">
        <v>8608</v>
      </c>
      <c r="AH268" s="36">
        <v>7779</v>
      </c>
      <c r="AI268" s="36">
        <v>4113</v>
      </c>
      <c r="AJ268" s="36">
        <v>72.825372157834281</v>
      </c>
      <c r="AK268" s="36">
        <v>8828</v>
      </c>
      <c r="AL268" s="36">
        <v>8648</v>
      </c>
      <c r="AM268" s="36">
        <v>2144</v>
      </c>
      <c r="AN268" s="36">
        <v>49</v>
      </c>
      <c r="AO268" s="36">
        <v>9561</v>
      </c>
      <c r="AP268" s="36">
        <v>9211</v>
      </c>
      <c r="AQ268" s="36">
        <v>2265</v>
      </c>
      <c r="AR268" s="36">
        <v>33</v>
      </c>
      <c r="AS268" s="36">
        <v>9647</v>
      </c>
      <c r="AT268" s="36">
        <v>9107</v>
      </c>
      <c r="AU268" s="36">
        <v>2393</v>
      </c>
      <c r="AV268" s="36">
        <v>45</v>
      </c>
      <c r="AW268" s="36">
        <v>10648</v>
      </c>
      <c r="AX268" s="69">
        <v>9908</v>
      </c>
      <c r="AY268" s="36">
        <v>2168</v>
      </c>
      <c r="AZ268" s="36">
        <v>35</v>
      </c>
      <c r="BA268" s="36">
        <v>10886</v>
      </c>
      <c r="BB268" s="36">
        <v>11137</v>
      </c>
      <c r="BC268" s="36">
        <v>2529</v>
      </c>
      <c r="BD268" s="36">
        <v>12</v>
      </c>
      <c r="BE268" s="70">
        <v>11812</v>
      </c>
      <c r="BF268" s="70">
        <v>12095</v>
      </c>
      <c r="BG268" s="70">
        <v>2730</v>
      </c>
      <c r="BH268" s="70">
        <v>46</v>
      </c>
      <c r="BI268" s="36">
        <v>13147</v>
      </c>
      <c r="BJ268" s="36">
        <v>13850</v>
      </c>
      <c r="BK268" s="36">
        <v>3080</v>
      </c>
      <c r="BL268" s="36">
        <v>37</v>
      </c>
      <c r="BM268" s="36">
        <v>5802.1470870692074</v>
      </c>
      <c r="BN268" s="36">
        <v>467.05787178361612</v>
      </c>
      <c r="BO268" s="36">
        <v>124.12268972859513</v>
      </c>
      <c r="BP268" s="36">
        <v>5764.9775553212139</v>
      </c>
      <c r="BQ268" s="36">
        <v>455.28471693131036</v>
      </c>
      <c r="BR268" s="36">
        <v>127.65463618428689</v>
      </c>
      <c r="BS268" s="36">
        <v>5999.9360885879451</v>
      </c>
      <c r="BT268" s="36">
        <v>530.2965321331443</v>
      </c>
      <c r="BU268" s="36">
        <v>169.19705402028006</v>
      </c>
      <c r="BV268" s="36">
        <v>7974</v>
      </c>
      <c r="BW268" s="36">
        <v>415</v>
      </c>
      <c r="BX268" s="36">
        <v>220</v>
      </c>
      <c r="BY268" s="36">
        <v>8368</v>
      </c>
      <c r="BZ268" s="36">
        <v>241</v>
      </c>
      <c r="CA268" s="36">
        <v>219</v>
      </c>
      <c r="CB268" s="36">
        <v>9172</v>
      </c>
      <c r="CC268" s="36">
        <v>165</v>
      </c>
      <c r="CD268" s="36">
        <v>224</v>
      </c>
      <c r="CE268" s="36">
        <v>9217</v>
      </c>
      <c r="CF268" s="36">
        <v>192</v>
      </c>
      <c r="CG268" s="36">
        <v>238</v>
      </c>
      <c r="CH268" s="36">
        <v>10158</v>
      </c>
      <c r="CI268" s="36">
        <v>225</v>
      </c>
      <c r="CJ268" s="70">
        <v>265</v>
      </c>
      <c r="CK268" s="70">
        <v>10330</v>
      </c>
      <c r="CL268" s="70">
        <v>250</v>
      </c>
      <c r="CM268" s="36">
        <v>306</v>
      </c>
      <c r="CN268" s="36">
        <v>11156</v>
      </c>
      <c r="CO268" s="36">
        <v>334</v>
      </c>
      <c r="CP268" s="36">
        <v>322</v>
      </c>
      <c r="CQ268" s="36">
        <v>12428</v>
      </c>
      <c r="CR268" s="36">
        <v>363</v>
      </c>
      <c r="CS268" s="36">
        <v>356</v>
      </c>
      <c r="CT268" s="36">
        <v>347.13988021655882</v>
      </c>
      <c r="CU268" s="36">
        <v>-702.52096879999999</v>
      </c>
      <c r="CV268" s="36">
        <v>490.26780563530463</v>
      </c>
      <c r="CW268" s="36">
        <v>2681</v>
      </c>
      <c r="CX268" s="36">
        <v>345.45800095194363</v>
      </c>
      <c r="CY268" s="36">
        <v>-1307.9975039999999</v>
      </c>
      <c r="CZ268" s="36">
        <v>551.32002294083316</v>
      </c>
      <c r="DA268" s="36">
        <v>3414</v>
      </c>
      <c r="DB268" s="36">
        <v>128.1591999636714</v>
      </c>
      <c r="DC268" s="36">
        <v>-1385.7003259999999</v>
      </c>
      <c r="DD268" s="36">
        <v>586.47129957128891</v>
      </c>
      <c r="DE268" s="36">
        <v>4346</v>
      </c>
      <c r="DF268" s="36">
        <v>2521.4733935109734</v>
      </c>
      <c r="DG268" s="36">
        <v>-1577</v>
      </c>
      <c r="DH268" s="36">
        <v>642.81425493589518</v>
      </c>
      <c r="DI268" s="36">
        <v>5472</v>
      </c>
      <c r="DJ268" s="36">
        <v>1228</v>
      </c>
      <c r="DK268" s="36">
        <v>-806</v>
      </c>
      <c r="DL268" s="36">
        <v>648</v>
      </c>
      <c r="DM268" s="36">
        <v>4507</v>
      </c>
      <c r="DN268" s="36">
        <v>1545</v>
      </c>
      <c r="DO268" s="69">
        <v>-1328</v>
      </c>
      <c r="DP268" s="36">
        <v>669</v>
      </c>
      <c r="DQ268" s="36">
        <v>4676</v>
      </c>
      <c r="DR268" s="36">
        <v>497</v>
      </c>
      <c r="DS268" s="36">
        <v>-1178</v>
      </c>
      <c r="DT268" s="36">
        <v>1168</v>
      </c>
      <c r="DU268" s="36">
        <v>4787</v>
      </c>
      <c r="DV268" s="36">
        <v>773</v>
      </c>
      <c r="DW268" s="71">
        <v>-3544</v>
      </c>
      <c r="DX268" s="39">
        <v>663</v>
      </c>
      <c r="DY268" s="71">
        <v>7921</v>
      </c>
      <c r="DZ268" s="70">
        <v>778</v>
      </c>
      <c r="EA268" s="35">
        <v>-1525</v>
      </c>
      <c r="EB268" s="35">
        <v>732</v>
      </c>
      <c r="EC268" s="38">
        <v>7253</v>
      </c>
      <c r="ED268" s="38">
        <v>1095</v>
      </c>
      <c r="EE268" s="38">
        <v>-1301</v>
      </c>
      <c r="EF268" s="38">
        <v>860</v>
      </c>
      <c r="EG268" s="73">
        <v>7580</v>
      </c>
      <c r="EH268" s="73">
        <v>1915</v>
      </c>
      <c r="EI268" s="73">
        <v>-3391</v>
      </c>
      <c r="EJ268" s="73">
        <v>917</v>
      </c>
      <c r="EK268" s="73">
        <v>9732</v>
      </c>
      <c r="EL268" s="73">
        <v>15493.808161487319</v>
      </c>
      <c r="EM268" s="73">
        <v>-165.66510756458837</v>
      </c>
      <c r="EN268" s="73">
        <v>16318.769940781031</v>
      </c>
      <c r="EO268" s="73">
        <v>-531.6420355448364</v>
      </c>
      <c r="EP268" s="73">
        <v>16568.360823649913</v>
      </c>
      <c r="EQ268" s="73">
        <v>-696.29801555065558</v>
      </c>
      <c r="ER268" s="73">
        <v>16932.487684439082</v>
      </c>
      <c r="ES268" s="73">
        <v>1911.4557842350728</v>
      </c>
      <c r="ET268" s="73">
        <v>18230</v>
      </c>
      <c r="EU268" s="73">
        <v>556</v>
      </c>
      <c r="EV268" s="73">
        <v>19370</v>
      </c>
      <c r="EW268" s="73">
        <v>880</v>
      </c>
      <c r="EX268" s="73">
        <v>20559</v>
      </c>
      <c r="EY268" s="73">
        <v>-662</v>
      </c>
      <c r="EZ268" s="73">
        <v>21810</v>
      </c>
      <c r="FA268" s="73">
        <v>119</v>
      </c>
      <c r="FB268" s="73">
        <v>23564</v>
      </c>
      <c r="FC268" s="73">
        <v>55</v>
      </c>
      <c r="FD268" s="73">
        <v>25241</v>
      </c>
      <c r="FE268" s="73">
        <v>244</v>
      </c>
      <c r="FF268" s="73">
        <v>27797</v>
      </c>
      <c r="FG268" s="73">
        <v>1007</v>
      </c>
      <c r="FH268" s="73">
        <v>2414</v>
      </c>
      <c r="FI268" s="73">
        <v>3421</v>
      </c>
      <c r="FJ268" s="79">
        <v>6320</v>
      </c>
      <c r="FK268" s="80">
        <v>13809</v>
      </c>
      <c r="FL268" s="80">
        <v>15036</v>
      </c>
      <c r="FM268" s="80">
        <v>3104</v>
      </c>
      <c r="FN268" s="76">
        <v>13</v>
      </c>
      <c r="FO268" s="80">
        <v>13109</v>
      </c>
      <c r="FP268" s="80">
        <v>301</v>
      </c>
      <c r="FQ268" s="80">
        <v>399</v>
      </c>
      <c r="FR268" s="80">
        <v>855</v>
      </c>
      <c r="FS268" s="81">
        <v>-5600</v>
      </c>
      <c r="FT268" s="76">
        <v>1043</v>
      </c>
      <c r="FU268" s="76">
        <v>13954</v>
      </c>
      <c r="FV268" s="76">
        <v>5600</v>
      </c>
      <c r="FW268" s="80">
        <v>30816</v>
      </c>
      <c r="FX268" s="80">
        <v>-179</v>
      </c>
      <c r="FY268" s="73">
        <v>6416</v>
      </c>
      <c r="FZ268" s="73">
        <v>15048</v>
      </c>
      <c r="GA268" s="73">
        <v>15747</v>
      </c>
      <c r="GB268" s="73">
        <v>3515</v>
      </c>
      <c r="GC268" s="73">
        <v>-58</v>
      </c>
      <c r="GD268" s="73">
        <v>13953</v>
      </c>
      <c r="GE268" s="73">
        <v>403</v>
      </c>
      <c r="GF268" s="73">
        <v>692</v>
      </c>
      <c r="GG268" s="73">
        <v>1268</v>
      </c>
      <c r="GH268" s="73">
        <v>-5278</v>
      </c>
      <c r="GI268" s="73">
        <v>1084</v>
      </c>
      <c r="GJ268" s="73">
        <v>21398</v>
      </c>
      <c r="GK268" s="73">
        <v>5278</v>
      </c>
      <c r="GL268" s="73">
        <v>32660</v>
      </c>
      <c r="GM268" s="73">
        <v>193</v>
      </c>
      <c r="GN268" s="73">
        <v>3918</v>
      </c>
      <c r="GO268" s="77">
        <v>19.75</v>
      </c>
      <c r="GP268" s="78">
        <v>6462</v>
      </c>
      <c r="GQ268" s="73">
        <v>15892</v>
      </c>
      <c r="GR268" s="65">
        <v>16456</v>
      </c>
      <c r="GS268" s="65">
        <v>3686</v>
      </c>
      <c r="GT268" s="65">
        <v>0</v>
      </c>
      <c r="GU268" s="65">
        <v>14714</v>
      </c>
      <c r="GV268" s="65">
        <v>473</v>
      </c>
      <c r="GW268" s="65">
        <v>705</v>
      </c>
      <c r="GX268" s="65">
        <v>2079</v>
      </c>
      <c r="GY268" s="65">
        <v>-1220</v>
      </c>
      <c r="GZ268" s="65">
        <v>1397</v>
      </c>
      <c r="HA268" s="65">
        <v>18207</v>
      </c>
      <c r="HB268" s="65">
        <v>1220</v>
      </c>
      <c r="HC268" s="65">
        <v>33512</v>
      </c>
      <c r="HD268" s="65">
        <v>691</v>
      </c>
      <c r="HE268" s="78">
        <v>6613</v>
      </c>
      <c r="HF268" s="73">
        <v>16663</v>
      </c>
      <c r="HG268" s="65">
        <v>16821</v>
      </c>
      <c r="HH268" s="65">
        <v>3983</v>
      </c>
      <c r="HI268" s="65">
        <v>59</v>
      </c>
      <c r="HJ268" s="65">
        <v>15594</v>
      </c>
      <c r="HK268" s="65">
        <v>354</v>
      </c>
      <c r="HL268" s="65">
        <v>715</v>
      </c>
      <c r="HM268" s="65">
        <v>1420</v>
      </c>
      <c r="HN268" s="65">
        <v>-1867</v>
      </c>
      <c r="HO268" s="65">
        <v>1416</v>
      </c>
      <c r="HP268" s="65">
        <v>18127</v>
      </c>
      <c r="HQ268" s="65">
        <v>1867</v>
      </c>
      <c r="HR268" s="65">
        <v>35722</v>
      </c>
      <c r="HS268" s="65">
        <v>13</v>
      </c>
      <c r="HT268" s="65">
        <v>4629</v>
      </c>
      <c r="HU268" s="77">
        <v>20.5</v>
      </c>
      <c r="HV268" s="180">
        <v>320</v>
      </c>
      <c r="HW268" s="30" t="s">
        <v>759</v>
      </c>
    </row>
    <row r="269" spans="1:231" ht="15" x14ac:dyDescent="0.25">
      <c r="A269" s="27">
        <v>886</v>
      </c>
      <c r="B269" s="27" t="s">
        <v>392</v>
      </c>
      <c r="C269" s="27">
        <v>4</v>
      </c>
      <c r="D269" s="27" t="s">
        <v>120</v>
      </c>
      <c r="E269" s="27">
        <v>4</v>
      </c>
      <c r="F269" s="27" t="s">
        <v>100</v>
      </c>
      <c r="G269" s="29" t="s">
        <v>132</v>
      </c>
      <c r="H269" s="27" t="s">
        <v>99</v>
      </c>
      <c r="I269" s="31" t="s">
        <v>120</v>
      </c>
      <c r="J269" s="69">
        <v>14243</v>
      </c>
      <c r="K269" s="69">
        <v>14187</v>
      </c>
      <c r="L269" s="36">
        <v>14118</v>
      </c>
      <c r="M269" s="36">
        <v>14044</v>
      </c>
      <c r="N269" s="36">
        <v>13991</v>
      </c>
      <c r="O269" s="36">
        <v>13879</v>
      </c>
      <c r="P269" s="36">
        <v>13934</v>
      </c>
      <c r="Q269" s="36">
        <v>13803</v>
      </c>
      <c r="R269" s="69">
        <v>13767</v>
      </c>
      <c r="S269" s="69">
        <v>13702</v>
      </c>
      <c r="T269" s="71">
        <v>13707</v>
      </c>
      <c r="U269" s="36">
        <v>27565</v>
      </c>
      <c r="V269" s="36">
        <v>6390</v>
      </c>
      <c r="W269" s="36">
        <v>6947</v>
      </c>
      <c r="X269" s="36">
        <v>565.27962083713862</v>
      </c>
      <c r="Y269" s="36">
        <v>28090</v>
      </c>
      <c r="Z269" s="36">
        <v>6788</v>
      </c>
      <c r="AA269" s="36">
        <v>7350</v>
      </c>
      <c r="AB269" s="36">
        <v>489.2586780765356</v>
      </c>
      <c r="AC269" s="36">
        <v>27056</v>
      </c>
      <c r="AD269" s="36">
        <v>7906</v>
      </c>
      <c r="AE269" s="36">
        <v>7335</v>
      </c>
      <c r="AF269" s="36">
        <v>437.28860879992862</v>
      </c>
      <c r="AG269" s="36">
        <v>30012</v>
      </c>
      <c r="AH269" s="36">
        <v>10122</v>
      </c>
      <c r="AI269" s="36">
        <v>7080</v>
      </c>
      <c r="AJ269" s="36">
        <v>535.17398200052821</v>
      </c>
      <c r="AK269" s="36">
        <v>33222</v>
      </c>
      <c r="AL269" s="36">
        <v>11952</v>
      </c>
      <c r="AM269" s="36">
        <v>7456</v>
      </c>
      <c r="AN269" s="36">
        <v>277</v>
      </c>
      <c r="AO269" s="36">
        <v>31676</v>
      </c>
      <c r="AP269" s="36">
        <v>10997</v>
      </c>
      <c r="AQ269" s="36">
        <v>7657</v>
      </c>
      <c r="AR269" s="36">
        <v>395</v>
      </c>
      <c r="AS269" s="36">
        <v>31379</v>
      </c>
      <c r="AT269" s="36">
        <v>11345</v>
      </c>
      <c r="AU269" s="36">
        <v>7030</v>
      </c>
      <c r="AV269" s="36">
        <v>539</v>
      </c>
      <c r="AW269" s="36">
        <v>33306</v>
      </c>
      <c r="AX269" s="69">
        <v>12380</v>
      </c>
      <c r="AY269" s="36">
        <v>9604</v>
      </c>
      <c r="AZ269" s="36">
        <v>541</v>
      </c>
      <c r="BA269" s="36">
        <v>34150</v>
      </c>
      <c r="BB269" s="36">
        <v>13161</v>
      </c>
      <c r="BC269" s="36">
        <v>9763</v>
      </c>
      <c r="BD269" s="36">
        <v>212</v>
      </c>
      <c r="BE269" s="70">
        <v>35897</v>
      </c>
      <c r="BF269" s="70">
        <v>13965</v>
      </c>
      <c r="BG269" s="70">
        <v>9925</v>
      </c>
      <c r="BH269" s="70">
        <v>357</v>
      </c>
      <c r="BI269" s="36">
        <v>39067</v>
      </c>
      <c r="BJ269" s="36">
        <v>16116</v>
      </c>
      <c r="BK269" s="36">
        <v>10046</v>
      </c>
      <c r="BL269" s="36">
        <v>109</v>
      </c>
      <c r="BM269" s="36">
        <v>25195.224135640197</v>
      </c>
      <c r="BN269" s="36">
        <v>1693.6524194674162</v>
      </c>
      <c r="BO269" s="36">
        <v>666.02418878758374</v>
      </c>
      <c r="BP269" s="36">
        <v>25268.722259503877</v>
      </c>
      <c r="BQ269" s="36">
        <v>2126.9045180322682</v>
      </c>
      <c r="BR269" s="36">
        <v>683.85210899250387</v>
      </c>
      <c r="BS269" s="36">
        <v>24084.847445141306</v>
      </c>
      <c r="BT269" s="36">
        <v>2205.4482796897942</v>
      </c>
      <c r="BU269" s="36">
        <v>755.16378981218452</v>
      </c>
      <c r="BV269" s="36">
        <v>27893</v>
      </c>
      <c r="BW269" s="36">
        <v>1329</v>
      </c>
      <c r="BX269" s="36">
        <v>790</v>
      </c>
      <c r="BY269" s="36">
        <v>30703</v>
      </c>
      <c r="BZ269" s="36">
        <v>1669</v>
      </c>
      <c r="CA269" s="36">
        <v>850</v>
      </c>
      <c r="CB269" s="36">
        <v>30025</v>
      </c>
      <c r="CC269" s="36">
        <v>779</v>
      </c>
      <c r="CD269" s="36">
        <v>872</v>
      </c>
      <c r="CE269" s="36">
        <v>29474</v>
      </c>
      <c r="CF269" s="36">
        <v>1039</v>
      </c>
      <c r="CG269" s="36">
        <v>866</v>
      </c>
      <c r="CH269" s="36">
        <v>31204</v>
      </c>
      <c r="CI269" s="36">
        <v>1171</v>
      </c>
      <c r="CJ269" s="70">
        <v>931</v>
      </c>
      <c r="CK269" s="70">
        <v>31913</v>
      </c>
      <c r="CL269" s="70">
        <v>1310</v>
      </c>
      <c r="CM269" s="36">
        <v>927</v>
      </c>
      <c r="CN269" s="36">
        <v>33484</v>
      </c>
      <c r="CO269" s="36">
        <v>1472</v>
      </c>
      <c r="CP269" s="36">
        <v>941</v>
      </c>
      <c r="CQ269" s="36">
        <v>36810</v>
      </c>
      <c r="CR269" s="36">
        <v>1250</v>
      </c>
      <c r="CS269" s="36">
        <v>1007</v>
      </c>
      <c r="CT269" s="36">
        <v>1116.7678317044331</v>
      </c>
      <c r="CU269" s="36">
        <v>-3575.6753160999997</v>
      </c>
      <c r="CV269" s="36">
        <v>1974.8626325110624</v>
      </c>
      <c r="CW269" s="36">
        <v>3956</v>
      </c>
      <c r="CX269" s="36">
        <v>1698.0253055554156</v>
      </c>
      <c r="CY269" s="36">
        <v>-3655.5645813000006</v>
      </c>
      <c r="CZ269" s="36">
        <v>2214.194051865793</v>
      </c>
      <c r="DA269" s="36">
        <v>5515</v>
      </c>
      <c r="DB269" s="36">
        <v>438.97048806454376</v>
      </c>
      <c r="DC269" s="36">
        <v>-3196.0751660999999</v>
      </c>
      <c r="DD269" s="36">
        <v>2305.3519080079318</v>
      </c>
      <c r="DE269" s="36">
        <v>6734</v>
      </c>
      <c r="DF269" s="36">
        <v>2544.3469515097386</v>
      </c>
      <c r="DG269" s="36">
        <v>-3359</v>
      </c>
      <c r="DH269" s="36">
        <v>2388.1003678269949</v>
      </c>
      <c r="DI269" s="36">
        <v>7489</v>
      </c>
      <c r="DJ269" s="36">
        <v>9140</v>
      </c>
      <c r="DK269" s="36">
        <v>-2846</v>
      </c>
      <c r="DL269" s="36">
        <v>2348</v>
      </c>
      <c r="DM269" s="36">
        <v>5512</v>
      </c>
      <c r="DN269" s="36">
        <v>3632</v>
      </c>
      <c r="DO269" s="69">
        <v>-2778</v>
      </c>
      <c r="DP269" s="36">
        <v>2599</v>
      </c>
      <c r="DQ269" s="36">
        <v>4861</v>
      </c>
      <c r="DR269" s="36">
        <v>1042</v>
      </c>
      <c r="DS269" s="36">
        <v>-4195</v>
      </c>
      <c r="DT269" s="36">
        <v>2732</v>
      </c>
      <c r="DU269" s="36">
        <v>4519</v>
      </c>
      <c r="DV269" s="36">
        <v>3800</v>
      </c>
      <c r="DW269" s="71">
        <v>-3579</v>
      </c>
      <c r="DX269" s="39">
        <v>3404</v>
      </c>
      <c r="DY269" s="71">
        <v>3798</v>
      </c>
      <c r="DZ269" s="70">
        <v>2892</v>
      </c>
      <c r="EA269" s="35">
        <v>-6130</v>
      </c>
      <c r="EB269" s="35">
        <v>3008</v>
      </c>
      <c r="EC269" s="38">
        <v>3289</v>
      </c>
      <c r="ED269" s="38">
        <v>3447</v>
      </c>
      <c r="EE269" s="38">
        <v>-6975</v>
      </c>
      <c r="EF269" s="38">
        <v>3321</v>
      </c>
      <c r="EG269" s="73">
        <v>8664</v>
      </c>
      <c r="EH269" s="73">
        <v>2018</v>
      </c>
      <c r="EI269" s="73">
        <v>-6288</v>
      </c>
      <c r="EJ269" s="73">
        <v>3477</v>
      </c>
      <c r="EK269" s="73">
        <v>14741</v>
      </c>
      <c r="EL269" s="73">
        <v>37904.849362483663</v>
      </c>
      <c r="EM269" s="73">
        <v>-776.18728061987349</v>
      </c>
      <c r="EN269" s="73">
        <v>38647.903621590624</v>
      </c>
      <c r="EO269" s="73">
        <v>-57.52027084983677</v>
      </c>
      <c r="EP269" s="73">
        <v>39651.144602933535</v>
      </c>
      <c r="EQ269" s="73">
        <v>-1066.647829618903</v>
      </c>
      <c r="ER269" s="73">
        <v>42460.555726546612</v>
      </c>
      <c r="ES269" s="73">
        <v>450.40726706392661</v>
      </c>
      <c r="ET269" s="73">
        <v>43411</v>
      </c>
      <c r="EU269" s="73">
        <v>6445</v>
      </c>
      <c r="EV269" s="73">
        <v>46499</v>
      </c>
      <c r="EW269" s="73">
        <v>1348</v>
      </c>
      <c r="EX269" s="73">
        <v>49102</v>
      </c>
      <c r="EY269" s="73">
        <v>-1148</v>
      </c>
      <c r="EZ269" s="73">
        <v>51732</v>
      </c>
      <c r="FA269" s="73">
        <v>-840</v>
      </c>
      <c r="FB269" s="73">
        <v>54394</v>
      </c>
      <c r="FC269" s="73">
        <v>-1226</v>
      </c>
      <c r="FD269" s="73">
        <v>56493</v>
      </c>
      <c r="FE269" s="73">
        <v>-121</v>
      </c>
      <c r="FF269" s="73">
        <v>62966</v>
      </c>
      <c r="FG269" s="73">
        <v>-319</v>
      </c>
      <c r="FH269" s="73">
        <v>6700</v>
      </c>
      <c r="FI269" s="73">
        <v>6380</v>
      </c>
      <c r="FJ269" s="79">
        <v>13692</v>
      </c>
      <c r="FK269" s="80">
        <v>40920</v>
      </c>
      <c r="FL269" s="80">
        <v>17922</v>
      </c>
      <c r="FM269" s="80">
        <v>9799</v>
      </c>
      <c r="FN269" s="76">
        <v>49</v>
      </c>
      <c r="FO269" s="80">
        <v>38877</v>
      </c>
      <c r="FP269" s="80">
        <v>984</v>
      </c>
      <c r="FQ269" s="80">
        <v>1059</v>
      </c>
      <c r="FR269" s="80">
        <v>2185</v>
      </c>
      <c r="FS269" s="81">
        <v>-3574</v>
      </c>
      <c r="FT269" s="76">
        <v>3681</v>
      </c>
      <c r="FU269" s="76">
        <v>17997</v>
      </c>
      <c r="FV269" s="76">
        <v>3574</v>
      </c>
      <c r="FW269" s="80">
        <v>66326</v>
      </c>
      <c r="FX269" s="80">
        <v>-212</v>
      </c>
      <c r="FY269" s="73">
        <v>13606</v>
      </c>
      <c r="FZ269" s="73">
        <v>41580</v>
      </c>
      <c r="GA269" s="73">
        <v>18161</v>
      </c>
      <c r="GB269" s="73">
        <v>9624</v>
      </c>
      <c r="GC269" s="73">
        <v>97</v>
      </c>
      <c r="GD269" s="73">
        <v>38904</v>
      </c>
      <c r="GE269" s="73">
        <v>1316</v>
      </c>
      <c r="GF269" s="73">
        <v>1360</v>
      </c>
      <c r="GG269" s="73">
        <v>3847</v>
      </c>
      <c r="GH269" s="73">
        <v>-1215</v>
      </c>
      <c r="GI269" s="73">
        <v>3733</v>
      </c>
      <c r="GJ269" s="73">
        <v>16170</v>
      </c>
      <c r="GK269" s="73">
        <v>1215</v>
      </c>
      <c r="GL269" s="73">
        <v>65567</v>
      </c>
      <c r="GM269" s="73">
        <v>694</v>
      </c>
      <c r="GN269" s="73">
        <v>6862</v>
      </c>
      <c r="GO269" s="77">
        <v>19.5</v>
      </c>
      <c r="GP269" s="78">
        <v>13554</v>
      </c>
      <c r="GQ269" s="73">
        <v>42405</v>
      </c>
      <c r="GR269" s="65">
        <v>19331</v>
      </c>
      <c r="GS269" s="65">
        <v>8826</v>
      </c>
      <c r="GT269" s="65">
        <v>78</v>
      </c>
      <c r="GU269" s="65">
        <v>39456</v>
      </c>
      <c r="GV269" s="65">
        <v>1569</v>
      </c>
      <c r="GW269" s="65">
        <v>1380</v>
      </c>
      <c r="GX269" s="65">
        <v>492</v>
      </c>
      <c r="GY269" s="65">
        <v>-2323</v>
      </c>
      <c r="GZ269" s="65">
        <v>3766</v>
      </c>
      <c r="HA269" s="65">
        <v>17438</v>
      </c>
      <c r="HB269" s="65">
        <v>2323</v>
      </c>
      <c r="HC269" s="65">
        <v>70137</v>
      </c>
      <c r="HD269" s="65">
        <v>-3042</v>
      </c>
      <c r="HE269" s="78">
        <v>13470</v>
      </c>
      <c r="HF269" s="73">
        <v>43972</v>
      </c>
      <c r="HG269" s="65">
        <v>19734</v>
      </c>
      <c r="HH269" s="65">
        <v>10493</v>
      </c>
      <c r="HI269" s="65">
        <v>126</v>
      </c>
      <c r="HJ269" s="65">
        <v>40943</v>
      </c>
      <c r="HK269" s="65">
        <v>1137</v>
      </c>
      <c r="HL269" s="65">
        <v>1892</v>
      </c>
      <c r="HM269" s="65">
        <v>1557</v>
      </c>
      <c r="HN269" s="65">
        <v>-1334</v>
      </c>
      <c r="HO269" s="65">
        <v>3451</v>
      </c>
      <c r="HP269" s="65">
        <v>19237</v>
      </c>
      <c r="HQ269" s="65">
        <v>1334</v>
      </c>
      <c r="HR269" s="65">
        <v>72665</v>
      </c>
      <c r="HS269" s="65">
        <v>-1435</v>
      </c>
      <c r="HT269" s="65">
        <v>2702</v>
      </c>
      <c r="HU269" s="77">
        <v>19.75</v>
      </c>
      <c r="HV269" s="180">
        <v>240</v>
      </c>
      <c r="HW269" s="30" t="s">
        <v>757</v>
      </c>
    </row>
    <row r="270" spans="1:231" ht="15" x14ac:dyDescent="0.25">
      <c r="A270" s="27">
        <v>887</v>
      </c>
      <c r="B270" s="27" t="s">
        <v>393</v>
      </c>
      <c r="C270" s="27">
        <v>6</v>
      </c>
      <c r="D270" s="27" t="s">
        <v>114</v>
      </c>
      <c r="E270" s="27">
        <v>2</v>
      </c>
      <c r="F270" s="27" t="s">
        <v>744</v>
      </c>
      <c r="G270" s="29" t="s">
        <v>130</v>
      </c>
      <c r="H270" s="27" t="s">
        <v>98</v>
      </c>
      <c r="I270" s="31" t="s">
        <v>114</v>
      </c>
      <c r="J270" s="69">
        <v>5763</v>
      </c>
      <c r="K270" s="69">
        <v>5714</v>
      </c>
      <c r="L270" s="36">
        <v>5703</v>
      </c>
      <c r="M270" s="36">
        <v>5612</v>
      </c>
      <c r="N270" s="36">
        <v>5596</v>
      </c>
      <c r="O270" s="36">
        <v>5556</v>
      </c>
      <c r="P270" s="36">
        <v>5524</v>
      </c>
      <c r="Q270" s="36">
        <v>5565</v>
      </c>
      <c r="R270" s="69">
        <v>5513</v>
      </c>
      <c r="S270" s="69">
        <v>5491</v>
      </c>
      <c r="T270" s="71">
        <v>5414</v>
      </c>
      <c r="U270" s="36">
        <v>10573</v>
      </c>
      <c r="V270" s="36">
        <v>5322</v>
      </c>
      <c r="W270" s="36">
        <v>2956</v>
      </c>
      <c r="X270" s="36">
        <v>642.98244286235672</v>
      </c>
      <c r="Y270" s="36">
        <v>10899</v>
      </c>
      <c r="Z270" s="36">
        <v>5735</v>
      </c>
      <c r="AA270" s="36">
        <v>2938</v>
      </c>
      <c r="AB270" s="36">
        <v>592.02150114451877</v>
      </c>
      <c r="AC270" s="36">
        <v>10860</v>
      </c>
      <c r="AD270" s="36">
        <v>5614</v>
      </c>
      <c r="AE270" s="36">
        <v>3332</v>
      </c>
      <c r="AF270" s="36">
        <v>562.0840502343699</v>
      </c>
      <c r="AG270" s="36">
        <v>12036</v>
      </c>
      <c r="AH270" s="36">
        <v>6607</v>
      </c>
      <c r="AI270" s="36">
        <v>3268</v>
      </c>
      <c r="AJ270" s="36">
        <v>436.61585709408263</v>
      </c>
      <c r="AK270" s="36">
        <v>12097</v>
      </c>
      <c r="AL270" s="36">
        <v>7595</v>
      </c>
      <c r="AM270" s="36">
        <v>3468</v>
      </c>
      <c r="AN270" s="36">
        <v>311</v>
      </c>
      <c r="AO270" s="36">
        <v>11491</v>
      </c>
      <c r="AP270" s="36">
        <v>7672</v>
      </c>
      <c r="AQ270" s="36">
        <v>3510</v>
      </c>
      <c r="AR270" s="36">
        <v>442</v>
      </c>
      <c r="AS270" s="36">
        <v>12421</v>
      </c>
      <c r="AT270" s="36">
        <v>8080</v>
      </c>
      <c r="AU270" s="36">
        <v>3556</v>
      </c>
      <c r="AV270" s="36">
        <v>559</v>
      </c>
      <c r="AW270" s="36">
        <v>12476</v>
      </c>
      <c r="AX270" s="69">
        <v>8237</v>
      </c>
      <c r="AY270" s="36">
        <v>3890</v>
      </c>
      <c r="AZ270" s="36">
        <v>455</v>
      </c>
      <c r="BA270" s="36">
        <v>13128</v>
      </c>
      <c r="BB270" s="36">
        <v>8905</v>
      </c>
      <c r="BC270" s="36">
        <v>3114</v>
      </c>
      <c r="BD270" s="36">
        <v>247</v>
      </c>
      <c r="BE270" s="70">
        <v>14010</v>
      </c>
      <c r="BF270" s="70">
        <v>9352</v>
      </c>
      <c r="BG270" s="70">
        <v>3260</v>
      </c>
      <c r="BH270" s="70">
        <v>358</v>
      </c>
      <c r="BI270" s="36">
        <v>15432</v>
      </c>
      <c r="BJ270" s="36">
        <v>10502</v>
      </c>
      <c r="BK270" s="36">
        <v>3702</v>
      </c>
      <c r="BL270" s="36">
        <v>0</v>
      </c>
      <c r="BM270" s="36">
        <v>7962.1846266143939</v>
      </c>
      <c r="BN270" s="36">
        <v>2199.5617022636411</v>
      </c>
      <c r="BO270" s="36">
        <v>403.31464765470349</v>
      </c>
      <c r="BP270" s="36">
        <v>8436.6427671623169</v>
      </c>
      <c r="BQ270" s="36">
        <v>2002.1090765978272</v>
      </c>
      <c r="BR270" s="36">
        <v>452.93008596084923</v>
      </c>
      <c r="BS270" s="36">
        <v>8222.3713488503508</v>
      </c>
      <c r="BT270" s="36">
        <v>2154.8237138248792</v>
      </c>
      <c r="BU270" s="36">
        <v>471.93532165099992</v>
      </c>
      <c r="BV270" s="36">
        <v>9631</v>
      </c>
      <c r="BW270" s="36">
        <v>1889</v>
      </c>
      <c r="BX270" s="36">
        <v>505</v>
      </c>
      <c r="BY270" s="36">
        <v>10220</v>
      </c>
      <c r="BZ270" s="36">
        <v>1287</v>
      </c>
      <c r="CA270" s="36">
        <v>579</v>
      </c>
      <c r="CB270" s="36">
        <v>10173</v>
      </c>
      <c r="CC270" s="36">
        <v>739</v>
      </c>
      <c r="CD270" s="36">
        <v>570</v>
      </c>
      <c r="CE270" s="36">
        <v>10892</v>
      </c>
      <c r="CF270" s="36">
        <v>951</v>
      </c>
      <c r="CG270" s="36">
        <v>569</v>
      </c>
      <c r="CH270" s="36">
        <v>10701</v>
      </c>
      <c r="CI270" s="36">
        <v>1129</v>
      </c>
      <c r="CJ270" s="70">
        <v>637</v>
      </c>
      <c r="CK270" s="70">
        <v>11272</v>
      </c>
      <c r="CL270" s="70">
        <v>1175</v>
      </c>
      <c r="CM270" s="36">
        <v>673</v>
      </c>
      <c r="CN270" s="36">
        <v>12022</v>
      </c>
      <c r="CO270" s="36">
        <v>1286</v>
      </c>
      <c r="CP270" s="36">
        <v>694</v>
      </c>
      <c r="CQ270" s="36">
        <v>13356</v>
      </c>
      <c r="CR270" s="36">
        <v>1334</v>
      </c>
      <c r="CS270" s="36">
        <v>734</v>
      </c>
      <c r="CT270" s="36">
        <v>-7.7366446172295076</v>
      </c>
      <c r="CU270" s="36">
        <v>-1204.561929</v>
      </c>
      <c r="CV270" s="36">
        <v>990.79507478476148</v>
      </c>
      <c r="CW270" s="36">
        <v>2188</v>
      </c>
      <c r="CX270" s="36">
        <v>787.11949583987166</v>
      </c>
      <c r="CY270" s="36">
        <v>-468.57156310000005</v>
      </c>
      <c r="CZ270" s="36">
        <v>948.91628109584519</v>
      </c>
      <c r="DA270" s="36">
        <v>2462</v>
      </c>
      <c r="DB270" s="36">
        <v>-236.80860045780753</v>
      </c>
      <c r="DC270" s="36">
        <v>-1045.9607149999999</v>
      </c>
      <c r="DD270" s="36">
        <v>920.49252152384975</v>
      </c>
      <c r="DE270" s="36">
        <v>2170</v>
      </c>
      <c r="DF270" s="36">
        <v>-471.26256994515393</v>
      </c>
      <c r="DG270" s="36">
        <v>-1740</v>
      </c>
      <c r="DH270" s="36">
        <v>849.51721655709218</v>
      </c>
      <c r="DI270" s="36">
        <v>1801</v>
      </c>
      <c r="DJ270" s="36">
        <v>1214</v>
      </c>
      <c r="DK270" s="36">
        <v>-964</v>
      </c>
      <c r="DL270" s="36">
        <v>941</v>
      </c>
      <c r="DM270" s="36">
        <v>2067</v>
      </c>
      <c r="DN270" s="36">
        <v>-9</v>
      </c>
      <c r="DO270" s="69">
        <v>-505</v>
      </c>
      <c r="DP270" s="36">
        <v>963</v>
      </c>
      <c r="DQ270" s="36">
        <v>2502</v>
      </c>
      <c r="DR270" s="36">
        <v>1056</v>
      </c>
      <c r="DS270" s="36">
        <v>-1434</v>
      </c>
      <c r="DT270" s="36">
        <v>994</v>
      </c>
      <c r="DU270" s="36">
        <v>3167</v>
      </c>
      <c r="DV270" s="36">
        <v>-17</v>
      </c>
      <c r="DW270" s="71">
        <v>-895</v>
      </c>
      <c r="DX270" s="39">
        <v>1051</v>
      </c>
      <c r="DY270" s="71">
        <v>3643</v>
      </c>
      <c r="DZ270" s="70">
        <v>-272</v>
      </c>
      <c r="EA270" s="35">
        <v>-2309</v>
      </c>
      <c r="EB270" s="35">
        <v>981</v>
      </c>
      <c r="EC270" s="38">
        <v>5067</v>
      </c>
      <c r="ED270" s="38">
        <v>-230</v>
      </c>
      <c r="EE270" s="38">
        <v>-912</v>
      </c>
      <c r="EF270" s="38">
        <v>1063</v>
      </c>
      <c r="EG270" s="73">
        <v>4669</v>
      </c>
      <c r="EH270" s="73">
        <v>748</v>
      </c>
      <c r="EI270" s="73">
        <v>-1270</v>
      </c>
      <c r="EJ270" s="73">
        <v>1047</v>
      </c>
      <c r="EK270" s="73">
        <v>5812</v>
      </c>
      <c r="EL270" s="73">
        <v>18513.286005250826</v>
      </c>
      <c r="EM270" s="73">
        <v>-935.46124697892435</v>
      </c>
      <c r="EN270" s="73">
        <v>18359.730428391467</v>
      </c>
      <c r="EO270" s="73">
        <v>-156.41477160920525</v>
      </c>
      <c r="EP270" s="73">
        <v>19578.083767678654</v>
      </c>
      <c r="EQ270" s="73">
        <v>-1144.687027497044</v>
      </c>
      <c r="ER270" s="73">
        <v>21391.317802860205</v>
      </c>
      <c r="ES270" s="73">
        <v>-1439.5204625840729</v>
      </c>
      <c r="ET270" s="73">
        <v>21827</v>
      </c>
      <c r="EU270" s="73">
        <v>273</v>
      </c>
      <c r="EV270" s="73">
        <v>22964</v>
      </c>
      <c r="EW270" s="73">
        <v>-972</v>
      </c>
      <c r="EX270" s="73">
        <v>23276</v>
      </c>
      <c r="EY270" s="73">
        <v>-187</v>
      </c>
      <c r="EZ270" s="73">
        <v>24970</v>
      </c>
      <c r="FA270" s="73">
        <v>-1068</v>
      </c>
      <c r="FB270" s="73">
        <v>25666</v>
      </c>
      <c r="FC270" s="73">
        <v>-1705</v>
      </c>
      <c r="FD270" s="73">
        <v>26992</v>
      </c>
      <c r="FE270" s="73">
        <v>-1293</v>
      </c>
      <c r="FF270" s="73">
        <v>28626</v>
      </c>
      <c r="FG270" s="73">
        <v>-299</v>
      </c>
      <c r="FH270" s="73">
        <v>-2033</v>
      </c>
      <c r="FI270" s="73">
        <v>-2332</v>
      </c>
      <c r="FJ270" s="79">
        <v>5362</v>
      </c>
      <c r="FK270" s="80">
        <v>14768</v>
      </c>
      <c r="FL270" s="80">
        <v>10782</v>
      </c>
      <c r="FM270" s="80">
        <v>3764</v>
      </c>
      <c r="FN270" s="76">
        <v>178</v>
      </c>
      <c r="FO270" s="80">
        <v>12846</v>
      </c>
      <c r="FP270" s="80">
        <v>1140</v>
      </c>
      <c r="FQ270" s="80">
        <v>774</v>
      </c>
      <c r="FR270" s="80">
        <v>64</v>
      </c>
      <c r="FS270" s="81">
        <v>-546</v>
      </c>
      <c r="FT270" s="76">
        <v>1009</v>
      </c>
      <c r="FU270" s="76">
        <v>6911</v>
      </c>
      <c r="FV270" s="76">
        <v>546</v>
      </c>
      <c r="FW270" s="80">
        <v>29280</v>
      </c>
      <c r="FX270" s="80">
        <v>-945</v>
      </c>
      <c r="FY270" s="73">
        <v>5335</v>
      </c>
      <c r="FZ270" s="73">
        <v>15009</v>
      </c>
      <c r="GA270" s="73">
        <v>12614</v>
      </c>
      <c r="GB270" s="73">
        <v>3808</v>
      </c>
      <c r="GC270" s="73">
        <v>113</v>
      </c>
      <c r="GD270" s="73">
        <v>12543</v>
      </c>
      <c r="GE270" s="73">
        <v>1501</v>
      </c>
      <c r="GF270" s="73">
        <v>965</v>
      </c>
      <c r="GG270" s="73">
        <v>2082</v>
      </c>
      <c r="GH270" s="73">
        <v>-767</v>
      </c>
      <c r="GI270" s="73">
        <v>990</v>
      </c>
      <c r="GJ270" s="73">
        <v>5924</v>
      </c>
      <c r="GK270" s="73">
        <v>767</v>
      </c>
      <c r="GL270" s="73">
        <v>29337</v>
      </c>
      <c r="GM270" s="73">
        <v>1092</v>
      </c>
      <c r="GN270" s="73">
        <v>-2185</v>
      </c>
      <c r="GO270" s="77">
        <v>21</v>
      </c>
      <c r="GP270" s="78">
        <v>5246</v>
      </c>
      <c r="GQ270" s="73">
        <v>15484</v>
      </c>
      <c r="GR270" s="65">
        <v>12023</v>
      </c>
      <c r="GS270" s="65">
        <v>3627</v>
      </c>
      <c r="GT270" s="65">
        <v>50</v>
      </c>
      <c r="GU270" s="65">
        <v>12820</v>
      </c>
      <c r="GV270" s="65">
        <v>1660</v>
      </c>
      <c r="GW270" s="65">
        <v>1004</v>
      </c>
      <c r="GX270" s="65">
        <v>1009</v>
      </c>
      <c r="GY270" s="65">
        <v>-846</v>
      </c>
      <c r="GZ270" s="65">
        <v>930</v>
      </c>
      <c r="HA270" s="65">
        <v>5874</v>
      </c>
      <c r="HB270" s="65">
        <v>846</v>
      </c>
      <c r="HC270" s="65">
        <v>30045</v>
      </c>
      <c r="HD270" s="65">
        <v>79</v>
      </c>
      <c r="HE270" s="78">
        <v>5174</v>
      </c>
      <c r="HF270" s="73">
        <v>15106</v>
      </c>
      <c r="HG270" s="65">
        <v>12539</v>
      </c>
      <c r="HH270" s="65">
        <v>3668</v>
      </c>
      <c r="HI270" s="65">
        <v>43</v>
      </c>
      <c r="HJ270" s="65">
        <v>13143</v>
      </c>
      <c r="HK270" s="65">
        <v>842</v>
      </c>
      <c r="HL270" s="65">
        <v>1121</v>
      </c>
      <c r="HM270" s="65">
        <v>-94</v>
      </c>
      <c r="HN270" s="65">
        <v>-689</v>
      </c>
      <c r="HO270" s="65">
        <v>988</v>
      </c>
      <c r="HP270" s="65">
        <v>5407</v>
      </c>
      <c r="HQ270" s="65">
        <v>689</v>
      </c>
      <c r="HR270" s="65">
        <v>31339</v>
      </c>
      <c r="HS270" s="65">
        <v>-1082</v>
      </c>
      <c r="HT270" s="65">
        <v>-3188</v>
      </c>
      <c r="HU270" s="77">
        <v>21</v>
      </c>
      <c r="HV270" s="180">
        <v>330</v>
      </c>
      <c r="HW270" s="30" t="s">
        <v>760</v>
      </c>
    </row>
    <row r="271" spans="1:231" ht="15" x14ac:dyDescent="0.25">
      <c r="A271" s="27">
        <v>889</v>
      </c>
      <c r="B271" s="27" t="s">
        <v>394</v>
      </c>
      <c r="C271" s="27">
        <v>17</v>
      </c>
      <c r="D271" s="27" t="s">
        <v>117</v>
      </c>
      <c r="E271" s="27">
        <v>2</v>
      </c>
      <c r="F271" s="27" t="s">
        <v>744</v>
      </c>
      <c r="G271" s="29" t="s">
        <v>130</v>
      </c>
      <c r="H271" s="27" t="s">
        <v>98</v>
      </c>
      <c r="I271" s="31" t="s">
        <v>117</v>
      </c>
      <c r="J271" s="69">
        <v>3446</v>
      </c>
      <c r="K271" s="69">
        <v>3388</v>
      </c>
      <c r="L271" s="36">
        <v>3334</v>
      </c>
      <c r="M271" s="36">
        <v>3290</v>
      </c>
      <c r="N271" s="36">
        <v>3279</v>
      </c>
      <c r="O271" s="36">
        <v>3263</v>
      </c>
      <c r="P271" s="36">
        <v>3231</v>
      </c>
      <c r="Q271" s="36">
        <v>3223</v>
      </c>
      <c r="R271" s="69">
        <v>3188</v>
      </c>
      <c r="S271" s="69">
        <v>3108</v>
      </c>
      <c r="T271" s="71">
        <v>3045</v>
      </c>
      <c r="U271" s="36">
        <v>7056</v>
      </c>
      <c r="V271" s="36">
        <v>5216</v>
      </c>
      <c r="W271" s="36">
        <v>3528</v>
      </c>
      <c r="X271" s="36">
        <v>37.674095527378469</v>
      </c>
      <c r="Y271" s="36">
        <v>6761</v>
      </c>
      <c r="Z271" s="36">
        <v>4868</v>
      </c>
      <c r="AA271" s="36">
        <v>3419</v>
      </c>
      <c r="AB271" s="36">
        <v>123.78631387567214</v>
      </c>
      <c r="AC271" s="36">
        <v>6877</v>
      </c>
      <c r="AD271" s="36">
        <v>5014</v>
      </c>
      <c r="AE271" s="36">
        <v>3542</v>
      </c>
      <c r="AF271" s="36">
        <v>230.41745925227011</v>
      </c>
      <c r="AG271" s="36">
        <v>7096</v>
      </c>
      <c r="AH271" s="36">
        <v>5284</v>
      </c>
      <c r="AI271" s="36">
        <v>3675</v>
      </c>
      <c r="AJ271" s="36">
        <v>66.770606805219884</v>
      </c>
      <c r="AK271" s="36">
        <v>6903</v>
      </c>
      <c r="AL271" s="36">
        <v>6053</v>
      </c>
      <c r="AM271" s="36">
        <v>4298</v>
      </c>
      <c r="AN271" s="36">
        <v>26</v>
      </c>
      <c r="AO271" s="36">
        <v>6722</v>
      </c>
      <c r="AP271" s="36">
        <v>6573</v>
      </c>
      <c r="AQ271" s="36">
        <v>4095</v>
      </c>
      <c r="AR271" s="36">
        <v>20</v>
      </c>
      <c r="AS271" s="36">
        <v>6859</v>
      </c>
      <c r="AT271" s="36">
        <v>6948</v>
      </c>
      <c r="AU271" s="36">
        <v>3170</v>
      </c>
      <c r="AV271" s="36">
        <v>19</v>
      </c>
      <c r="AW271" s="36">
        <v>6910</v>
      </c>
      <c r="AX271" s="69">
        <v>7181</v>
      </c>
      <c r="AY271" s="36">
        <v>3302</v>
      </c>
      <c r="AZ271" s="36">
        <v>9</v>
      </c>
      <c r="BA271" s="36">
        <v>7396</v>
      </c>
      <c r="BB271" s="36">
        <v>7719</v>
      </c>
      <c r="BC271" s="36">
        <v>3310</v>
      </c>
      <c r="BD271" s="36">
        <v>0</v>
      </c>
      <c r="BE271" s="70">
        <v>8095</v>
      </c>
      <c r="BF271" s="70">
        <v>8629</v>
      </c>
      <c r="BG271" s="70">
        <v>4108</v>
      </c>
      <c r="BH271" s="70">
        <v>18</v>
      </c>
      <c r="BI271" s="36">
        <v>8067</v>
      </c>
      <c r="BJ271" s="36">
        <v>9137</v>
      </c>
      <c r="BK271" s="36">
        <v>3270</v>
      </c>
      <c r="BL271" s="36">
        <v>0</v>
      </c>
      <c r="BM271" s="36">
        <v>4371.8769604405179</v>
      </c>
      <c r="BN271" s="36">
        <v>1904.2237033972276</v>
      </c>
      <c r="BO271" s="36">
        <v>779.71922707556519</v>
      </c>
      <c r="BP271" s="36">
        <v>4271.1323924900726</v>
      </c>
      <c r="BQ271" s="36">
        <v>1452.8073087745322</v>
      </c>
      <c r="BR271" s="36">
        <v>1037.3831304145999</v>
      </c>
      <c r="BS271" s="36">
        <v>4087.302988867641</v>
      </c>
      <c r="BT271" s="36">
        <v>1695.5024866584929</v>
      </c>
      <c r="BU271" s="36">
        <v>1094.2306495585908</v>
      </c>
      <c r="BV271" s="36">
        <v>4904</v>
      </c>
      <c r="BW271" s="36">
        <v>1090</v>
      </c>
      <c r="BX271" s="36">
        <v>1103</v>
      </c>
      <c r="BY271" s="36">
        <v>5183</v>
      </c>
      <c r="BZ271" s="36">
        <v>605</v>
      </c>
      <c r="CA271" s="36">
        <v>1115</v>
      </c>
      <c r="CB271" s="36">
        <v>5305</v>
      </c>
      <c r="CC271" s="36">
        <v>322</v>
      </c>
      <c r="CD271" s="36">
        <v>1095</v>
      </c>
      <c r="CE271" s="36">
        <v>5322</v>
      </c>
      <c r="CF271" s="36">
        <v>453</v>
      </c>
      <c r="CG271" s="36">
        <v>1084</v>
      </c>
      <c r="CH271" s="36">
        <v>5229</v>
      </c>
      <c r="CI271" s="36">
        <v>559</v>
      </c>
      <c r="CJ271" s="70">
        <v>1122</v>
      </c>
      <c r="CK271" s="70">
        <v>5160</v>
      </c>
      <c r="CL271" s="70">
        <v>642</v>
      </c>
      <c r="CM271" s="36">
        <v>1594</v>
      </c>
      <c r="CN271" s="36">
        <v>5622</v>
      </c>
      <c r="CO271" s="36">
        <v>798</v>
      </c>
      <c r="CP271" s="36">
        <v>1675</v>
      </c>
      <c r="CQ271" s="36">
        <v>5501</v>
      </c>
      <c r="CR271" s="36">
        <v>820</v>
      </c>
      <c r="CS271" s="36">
        <v>1746</v>
      </c>
      <c r="CT271" s="36">
        <v>555.18834524944793</v>
      </c>
      <c r="CU271" s="36">
        <v>-648.86902029999999</v>
      </c>
      <c r="CV271" s="36">
        <v>651.72821503835519</v>
      </c>
      <c r="CW271" s="36">
        <v>5147</v>
      </c>
      <c r="CX271" s="36">
        <v>-94.521614671369193</v>
      </c>
      <c r="CY271" s="36">
        <v>-1170.587968</v>
      </c>
      <c r="CZ271" s="36">
        <v>650.88727540604771</v>
      </c>
      <c r="DA271" s="36">
        <v>6013</v>
      </c>
      <c r="DB271" s="36">
        <v>226.21276109073236</v>
      </c>
      <c r="DC271" s="36">
        <v>-709.92123760000004</v>
      </c>
      <c r="DD271" s="36">
        <v>733.13117144572652</v>
      </c>
      <c r="DE271" s="36">
        <v>6419</v>
      </c>
      <c r="DF271" s="36">
        <v>-219.31705610581037</v>
      </c>
      <c r="DG271" s="36">
        <v>-817</v>
      </c>
      <c r="DH271" s="36">
        <v>687.0476795952726</v>
      </c>
      <c r="DI271" s="36">
        <v>7639</v>
      </c>
      <c r="DJ271" s="36">
        <v>427</v>
      </c>
      <c r="DK271" s="36">
        <v>-571</v>
      </c>
      <c r="DL271" s="36">
        <v>727</v>
      </c>
      <c r="DM271" s="36">
        <v>8398</v>
      </c>
      <c r="DN271" s="36">
        <v>-321</v>
      </c>
      <c r="DO271" s="69">
        <v>-1473</v>
      </c>
      <c r="DP271" s="36">
        <v>730</v>
      </c>
      <c r="DQ271" s="36">
        <v>10483</v>
      </c>
      <c r="DR271" s="36">
        <v>-204</v>
      </c>
      <c r="DS271" s="36">
        <v>-634</v>
      </c>
      <c r="DT271" s="36">
        <v>761</v>
      </c>
      <c r="DU271" s="36">
        <v>10525</v>
      </c>
      <c r="DV271" s="36">
        <v>-273</v>
      </c>
      <c r="DW271" s="71">
        <v>-47</v>
      </c>
      <c r="DX271" s="39">
        <v>754</v>
      </c>
      <c r="DY271" s="71">
        <v>10205</v>
      </c>
      <c r="DZ271" s="70">
        <v>-479</v>
      </c>
      <c r="EA271" s="35">
        <v>-201</v>
      </c>
      <c r="EB271" s="35">
        <v>706</v>
      </c>
      <c r="EC271" s="38">
        <v>10693</v>
      </c>
      <c r="ED271" s="38">
        <v>1692</v>
      </c>
      <c r="EE271" s="38">
        <v>-86</v>
      </c>
      <c r="EF271" s="38">
        <v>699</v>
      </c>
      <c r="EG271" s="73">
        <v>9544</v>
      </c>
      <c r="EH271" s="73">
        <v>1123</v>
      </c>
      <c r="EI271" s="73">
        <v>-359</v>
      </c>
      <c r="EJ271" s="73">
        <v>713</v>
      </c>
      <c r="EK271" s="73">
        <v>8069</v>
      </c>
      <c r="EL271" s="73">
        <v>14526.054832627784</v>
      </c>
      <c r="EM271" s="73">
        <v>-96.539869788907325</v>
      </c>
      <c r="EN271" s="73">
        <v>14512.431610584403</v>
      </c>
      <c r="EO271" s="73">
        <v>-745.40889007741691</v>
      </c>
      <c r="EP271" s="73">
        <v>14569.447317654854</v>
      </c>
      <c r="EQ271" s="73">
        <v>-506.91841035499425</v>
      </c>
      <c r="ER271" s="73">
        <v>15404.66856046272</v>
      </c>
      <c r="ES271" s="73">
        <v>-906.36473570108296</v>
      </c>
      <c r="ET271" s="73">
        <v>16494</v>
      </c>
      <c r="EU271" s="73">
        <v>-300</v>
      </c>
      <c r="EV271" s="73">
        <v>17409</v>
      </c>
      <c r="EW271" s="73">
        <v>-1051</v>
      </c>
      <c r="EX271" s="73">
        <v>16870</v>
      </c>
      <c r="EY271" s="73">
        <v>-965</v>
      </c>
      <c r="EZ271" s="73">
        <v>17350</v>
      </c>
      <c r="FA271" s="73">
        <v>-1027</v>
      </c>
      <c r="FB271" s="73">
        <v>18501</v>
      </c>
      <c r="FC271" s="73">
        <v>-1185</v>
      </c>
      <c r="FD271" s="73">
        <v>18721</v>
      </c>
      <c r="FE271" s="73">
        <v>993</v>
      </c>
      <c r="FF271" s="73">
        <v>18911</v>
      </c>
      <c r="FG271" s="73">
        <v>410</v>
      </c>
      <c r="FH271" s="73">
        <v>-5077</v>
      </c>
      <c r="FI271" s="73">
        <v>-4668</v>
      </c>
      <c r="FJ271" s="79">
        <v>3014</v>
      </c>
      <c r="FK271" s="80">
        <v>8154</v>
      </c>
      <c r="FL271" s="80">
        <v>10042</v>
      </c>
      <c r="FM271" s="80">
        <v>3351</v>
      </c>
      <c r="FN271" s="76">
        <v>0</v>
      </c>
      <c r="FO271" s="80">
        <v>5732</v>
      </c>
      <c r="FP271" s="80">
        <v>630</v>
      </c>
      <c r="FQ271" s="80">
        <v>1792</v>
      </c>
      <c r="FR271" s="80">
        <v>1745</v>
      </c>
      <c r="FS271" s="81">
        <v>-689</v>
      </c>
      <c r="FT271" s="76">
        <v>703</v>
      </c>
      <c r="FU271" s="76">
        <v>7053</v>
      </c>
      <c r="FV271" s="76">
        <v>689</v>
      </c>
      <c r="FW271" s="80">
        <v>19541</v>
      </c>
      <c r="FX271" s="80">
        <v>1042</v>
      </c>
      <c r="FY271" s="73">
        <v>2998</v>
      </c>
      <c r="FZ271" s="73">
        <v>8903</v>
      </c>
      <c r="GA271" s="73">
        <v>11279</v>
      </c>
      <c r="GB271" s="73">
        <v>3332</v>
      </c>
      <c r="GC271" s="73">
        <v>-11</v>
      </c>
      <c r="GD271" s="73">
        <v>5825</v>
      </c>
      <c r="GE271" s="73">
        <v>895</v>
      </c>
      <c r="GF271" s="73">
        <v>2183</v>
      </c>
      <c r="GG271" s="73">
        <v>3457</v>
      </c>
      <c r="GH271" s="73">
        <v>-957</v>
      </c>
      <c r="GI271" s="73">
        <v>753</v>
      </c>
      <c r="GJ271" s="73">
        <v>6973</v>
      </c>
      <c r="GK271" s="73">
        <v>957</v>
      </c>
      <c r="GL271" s="73">
        <v>19873</v>
      </c>
      <c r="GM271" s="73">
        <v>2704</v>
      </c>
      <c r="GN271" s="73">
        <v>-922</v>
      </c>
      <c r="GO271" s="77">
        <v>19.5</v>
      </c>
      <c r="GP271" s="78">
        <v>2951</v>
      </c>
      <c r="GQ271" s="73">
        <v>9637</v>
      </c>
      <c r="GR271" s="65">
        <v>11079</v>
      </c>
      <c r="GS271" s="65">
        <v>3269</v>
      </c>
      <c r="GT271" s="65">
        <v>20</v>
      </c>
      <c r="GU271" s="65">
        <v>5869</v>
      </c>
      <c r="GV271" s="65">
        <v>1068</v>
      </c>
      <c r="GW271" s="65">
        <v>2700</v>
      </c>
      <c r="GX271" s="65">
        <v>3718</v>
      </c>
      <c r="GY271" s="65">
        <v>-2465</v>
      </c>
      <c r="GZ271" s="65">
        <v>694</v>
      </c>
      <c r="HA271" s="65">
        <v>5958</v>
      </c>
      <c r="HB271" s="65">
        <v>2465</v>
      </c>
      <c r="HC271" s="65">
        <v>20138</v>
      </c>
      <c r="HD271" s="65">
        <v>3024</v>
      </c>
      <c r="HE271" s="78">
        <v>2950</v>
      </c>
      <c r="HF271" s="73">
        <v>8759</v>
      </c>
      <c r="HG271" s="65">
        <v>11892</v>
      </c>
      <c r="HH271" s="65">
        <v>3341</v>
      </c>
      <c r="HI271" s="65">
        <v>8</v>
      </c>
      <c r="HJ271" s="65">
        <v>5913</v>
      </c>
      <c r="HK271" s="65">
        <v>644</v>
      </c>
      <c r="HL271" s="65">
        <v>2202</v>
      </c>
      <c r="HM271" s="65">
        <v>2475</v>
      </c>
      <c r="HN271" s="65">
        <v>-1804</v>
      </c>
      <c r="HO271" s="65">
        <v>1128</v>
      </c>
      <c r="HP271" s="65">
        <v>5052</v>
      </c>
      <c r="HQ271" s="65">
        <v>1804</v>
      </c>
      <c r="HR271" s="65">
        <v>21411</v>
      </c>
      <c r="HS271" s="65">
        <v>1347</v>
      </c>
      <c r="HT271" s="65">
        <v>3450</v>
      </c>
      <c r="HU271" s="77">
        <v>19.5</v>
      </c>
      <c r="HV271" s="180">
        <v>340</v>
      </c>
      <c r="HW271" s="30" t="s">
        <v>761</v>
      </c>
    </row>
    <row r="272" spans="1:231" ht="15" x14ac:dyDescent="0.25">
      <c r="A272" s="27">
        <v>890</v>
      </c>
      <c r="B272" s="27" t="s">
        <v>395</v>
      </c>
      <c r="C272" s="27">
        <v>19</v>
      </c>
      <c r="D272" s="27" t="s">
        <v>113</v>
      </c>
      <c r="E272" s="27">
        <v>1</v>
      </c>
      <c r="F272" s="27" t="s">
        <v>103</v>
      </c>
      <c r="G272" s="29" t="s">
        <v>130</v>
      </c>
      <c r="H272" s="27" t="s">
        <v>98</v>
      </c>
      <c r="I272" s="31" t="s">
        <v>113</v>
      </c>
      <c r="J272" s="69">
        <v>1457</v>
      </c>
      <c r="K272" s="69">
        <v>1412</v>
      </c>
      <c r="L272" s="36">
        <v>1394</v>
      </c>
      <c r="M272" s="36">
        <v>1401</v>
      </c>
      <c r="N272" s="36">
        <v>1402</v>
      </c>
      <c r="O272" s="36">
        <v>1385</v>
      </c>
      <c r="P272" s="36">
        <v>1367</v>
      </c>
      <c r="Q272" s="36">
        <v>1363</v>
      </c>
      <c r="R272" s="69">
        <v>1361</v>
      </c>
      <c r="S272" s="69">
        <v>1335</v>
      </c>
      <c r="T272" s="71">
        <v>1322</v>
      </c>
      <c r="U272" s="36">
        <v>2797</v>
      </c>
      <c r="V272" s="36">
        <v>3747</v>
      </c>
      <c r="W272" s="36">
        <v>907</v>
      </c>
      <c r="X272" s="36">
        <v>54.829264026452591</v>
      </c>
      <c r="Y272" s="36">
        <v>2735</v>
      </c>
      <c r="Z272" s="36">
        <v>3672</v>
      </c>
      <c r="AA272" s="36">
        <v>975</v>
      </c>
      <c r="AB272" s="36">
        <v>74.675439348910899</v>
      </c>
      <c r="AC272" s="36">
        <v>2443</v>
      </c>
      <c r="AD272" s="36">
        <v>3788</v>
      </c>
      <c r="AE272" s="36">
        <v>1098</v>
      </c>
      <c r="AF272" s="36">
        <v>33.301209439379186</v>
      </c>
      <c r="AG272" s="36">
        <v>2970</v>
      </c>
      <c r="AH272" s="36">
        <v>3807</v>
      </c>
      <c r="AI272" s="36">
        <v>1099</v>
      </c>
      <c r="AJ272" s="36">
        <v>28.255571645533852</v>
      </c>
      <c r="AK272" s="36">
        <v>3003</v>
      </c>
      <c r="AL272" s="36">
        <v>3962</v>
      </c>
      <c r="AM272" s="36">
        <v>1071</v>
      </c>
      <c r="AN272" s="36">
        <v>44</v>
      </c>
      <c r="AO272" s="36">
        <v>3223</v>
      </c>
      <c r="AP272" s="36">
        <v>4160</v>
      </c>
      <c r="AQ272" s="36">
        <v>1200</v>
      </c>
      <c r="AR272" s="36">
        <v>20</v>
      </c>
      <c r="AS272" s="36">
        <v>3299</v>
      </c>
      <c r="AT272" s="36">
        <v>3864</v>
      </c>
      <c r="AU272" s="36">
        <v>1419</v>
      </c>
      <c r="AV272" s="36">
        <v>90</v>
      </c>
      <c r="AW272" s="36">
        <v>3148</v>
      </c>
      <c r="AX272" s="69">
        <v>2745</v>
      </c>
      <c r="AY272" s="36">
        <v>2095</v>
      </c>
      <c r="AZ272" s="36">
        <v>4</v>
      </c>
      <c r="BA272" s="36">
        <v>3362</v>
      </c>
      <c r="BB272" s="36">
        <v>3032</v>
      </c>
      <c r="BC272" s="36">
        <v>2187</v>
      </c>
      <c r="BD272" s="36">
        <v>0</v>
      </c>
      <c r="BE272" s="70">
        <v>3548</v>
      </c>
      <c r="BF272" s="70">
        <v>3665</v>
      </c>
      <c r="BG272" s="70">
        <v>1973</v>
      </c>
      <c r="BH272" s="70">
        <v>21</v>
      </c>
      <c r="BI272" s="36">
        <v>3837</v>
      </c>
      <c r="BJ272" s="36">
        <v>4220</v>
      </c>
      <c r="BK272" s="36">
        <v>1873</v>
      </c>
      <c r="BL272" s="36">
        <v>42</v>
      </c>
      <c r="BM272" s="36">
        <v>2481.7810428660569</v>
      </c>
      <c r="BN272" s="36">
        <v>219.14886817934885</v>
      </c>
      <c r="BO272" s="36">
        <v>93.007923333215615</v>
      </c>
      <c r="BP272" s="36">
        <v>2311.2384854340844</v>
      </c>
      <c r="BQ272" s="36">
        <v>258.00027919195793</v>
      </c>
      <c r="BR272" s="36">
        <v>162.97410074120418</v>
      </c>
      <c r="BS272" s="36">
        <v>2091.5850534753513</v>
      </c>
      <c r="BT272" s="36">
        <v>199.30269285689056</v>
      </c>
      <c r="BU272" s="36">
        <v>148.50993906551423</v>
      </c>
      <c r="BV272" s="36">
        <v>2663</v>
      </c>
      <c r="BW272" s="36">
        <v>161</v>
      </c>
      <c r="BX272" s="36">
        <v>143</v>
      </c>
      <c r="BY272" s="36">
        <v>2728</v>
      </c>
      <c r="BZ272" s="36">
        <v>60</v>
      </c>
      <c r="CA272" s="36">
        <v>212</v>
      </c>
      <c r="CB272" s="36">
        <v>2943</v>
      </c>
      <c r="CC272" s="36">
        <v>36</v>
      </c>
      <c r="CD272" s="36">
        <v>241</v>
      </c>
      <c r="CE272" s="36">
        <v>3003</v>
      </c>
      <c r="CF272" s="36">
        <v>57</v>
      </c>
      <c r="CG272" s="36">
        <v>235</v>
      </c>
      <c r="CH272" s="36">
        <v>2809</v>
      </c>
      <c r="CI272" s="36">
        <v>89</v>
      </c>
      <c r="CJ272" s="70">
        <v>247</v>
      </c>
      <c r="CK272" s="70">
        <v>3012</v>
      </c>
      <c r="CL272" s="70">
        <v>101</v>
      </c>
      <c r="CM272" s="36">
        <v>246</v>
      </c>
      <c r="CN272" s="36">
        <v>3194</v>
      </c>
      <c r="CO272" s="36">
        <v>95</v>
      </c>
      <c r="CP272" s="36">
        <v>259</v>
      </c>
      <c r="CQ272" s="36">
        <v>3466</v>
      </c>
      <c r="CR272" s="36">
        <v>86</v>
      </c>
      <c r="CS272" s="36">
        <v>285</v>
      </c>
      <c r="CT272" s="36">
        <v>257.83209126549639</v>
      </c>
      <c r="CU272" s="36">
        <v>-392.21424450000001</v>
      </c>
      <c r="CV272" s="36">
        <v>311.82041565964153</v>
      </c>
      <c r="CW272" s="36">
        <v>1615</v>
      </c>
      <c r="CX272" s="36">
        <v>167.51517475566499</v>
      </c>
      <c r="CY272" s="36">
        <v>-35.824028339999998</v>
      </c>
      <c r="CZ272" s="36">
        <v>346.97169229009728</v>
      </c>
      <c r="DA272" s="36">
        <v>1366</v>
      </c>
      <c r="DB272" s="36">
        <v>-405.66927862516457</v>
      </c>
      <c r="DC272" s="36">
        <v>-129.00013960000001</v>
      </c>
      <c r="DD272" s="36">
        <v>331.83477890856125</v>
      </c>
      <c r="DE272" s="36">
        <v>1638</v>
      </c>
      <c r="DF272" s="36">
        <v>-496.32257098791905</v>
      </c>
      <c r="DG272" s="36">
        <v>-112</v>
      </c>
      <c r="DH272" s="36">
        <v>299.87907288087416</v>
      </c>
      <c r="DI272" s="36">
        <v>2190</v>
      </c>
      <c r="DJ272" s="36">
        <v>335</v>
      </c>
      <c r="DK272" s="36">
        <v>-35</v>
      </c>
      <c r="DL272" s="36">
        <v>260</v>
      </c>
      <c r="DM272" s="36">
        <v>2560</v>
      </c>
      <c r="DN272" s="36">
        <v>630</v>
      </c>
      <c r="DO272" s="69">
        <v>-125</v>
      </c>
      <c r="DP272" s="36">
        <v>235</v>
      </c>
      <c r="DQ272" s="36">
        <v>2324</v>
      </c>
      <c r="DR272" s="36">
        <v>-37</v>
      </c>
      <c r="DS272" s="36">
        <v>-165</v>
      </c>
      <c r="DT272" s="36">
        <v>229</v>
      </c>
      <c r="DU272" s="36">
        <v>1749</v>
      </c>
      <c r="DV272" s="36">
        <v>-664</v>
      </c>
      <c r="DW272" s="71">
        <v>-344</v>
      </c>
      <c r="DX272" s="39">
        <v>254</v>
      </c>
      <c r="DY272" s="71">
        <v>2136</v>
      </c>
      <c r="DZ272" s="70">
        <v>-616</v>
      </c>
      <c r="EA272" s="35">
        <v>-359</v>
      </c>
      <c r="EB272" s="35">
        <v>288</v>
      </c>
      <c r="EC272" s="38">
        <v>4005</v>
      </c>
      <c r="ED272" s="38">
        <v>-240</v>
      </c>
      <c r="EE272" s="38">
        <v>-594</v>
      </c>
      <c r="EF272" s="38">
        <v>317</v>
      </c>
      <c r="EG272" s="73">
        <v>4466</v>
      </c>
      <c r="EH272" s="73">
        <v>172</v>
      </c>
      <c r="EI272" s="73">
        <v>-538</v>
      </c>
      <c r="EJ272" s="73">
        <v>260</v>
      </c>
      <c r="EK272" s="73">
        <v>4996</v>
      </c>
      <c r="EL272" s="73">
        <v>6905.6280725831812</v>
      </c>
      <c r="EM272" s="73">
        <v>110.49946768521275</v>
      </c>
      <c r="EN272" s="73">
        <v>6971.5577397560937</v>
      </c>
      <c r="EO272" s="73">
        <v>-37.674095527378469</v>
      </c>
      <c r="EP272" s="73">
        <v>7423.9832619375584</v>
      </c>
      <c r="EQ272" s="73">
        <v>-671.23801450789051</v>
      </c>
      <c r="ER272" s="73">
        <v>7963.6983179525478</v>
      </c>
      <c r="ES272" s="73">
        <v>-758.52754834141479</v>
      </c>
      <c r="ET272" s="73">
        <v>7605</v>
      </c>
      <c r="EU272" s="73">
        <v>97</v>
      </c>
      <c r="EV272" s="73">
        <v>7879</v>
      </c>
      <c r="EW272" s="73">
        <v>403</v>
      </c>
      <c r="EX272" s="73">
        <v>8570</v>
      </c>
      <c r="EY272" s="73">
        <v>-258</v>
      </c>
      <c r="EZ272" s="73">
        <v>8594</v>
      </c>
      <c r="FA272" s="73">
        <v>-912</v>
      </c>
      <c r="FB272" s="73">
        <v>9071</v>
      </c>
      <c r="FC272" s="73">
        <v>-897</v>
      </c>
      <c r="FD272" s="73">
        <v>9249</v>
      </c>
      <c r="FE272" s="73">
        <v>-556</v>
      </c>
      <c r="FF272" s="73">
        <v>9540</v>
      </c>
      <c r="FG272" s="73">
        <v>-74</v>
      </c>
      <c r="FH272" s="73">
        <v>-3437</v>
      </c>
      <c r="FI272" s="73">
        <v>-3511</v>
      </c>
      <c r="FJ272" s="79">
        <v>1302</v>
      </c>
      <c r="FK272" s="80">
        <v>3688</v>
      </c>
      <c r="FL272" s="80">
        <v>4676</v>
      </c>
      <c r="FM272" s="80">
        <v>2111</v>
      </c>
      <c r="FN272" s="76">
        <v>32</v>
      </c>
      <c r="FO272" s="80">
        <v>3320</v>
      </c>
      <c r="FP272" s="80">
        <v>60</v>
      </c>
      <c r="FQ272" s="80">
        <v>308</v>
      </c>
      <c r="FR272" s="80">
        <v>-230</v>
      </c>
      <c r="FS272" s="81">
        <v>-350</v>
      </c>
      <c r="FT272" s="76">
        <v>224</v>
      </c>
      <c r="FU272" s="76">
        <v>4812</v>
      </c>
      <c r="FV272" s="76">
        <v>350</v>
      </c>
      <c r="FW272" s="80">
        <v>10544</v>
      </c>
      <c r="FX272" s="80">
        <v>-424</v>
      </c>
      <c r="FY272" s="73">
        <v>1297</v>
      </c>
      <c r="FZ272" s="73">
        <v>3862</v>
      </c>
      <c r="GA272" s="73">
        <v>6398</v>
      </c>
      <c r="GB272" s="73">
        <v>2440</v>
      </c>
      <c r="GC272" s="73">
        <v>12</v>
      </c>
      <c r="GD272" s="73">
        <v>3468</v>
      </c>
      <c r="GE272" s="73">
        <v>81</v>
      </c>
      <c r="GF272" s="73">
        <v>313</v>
      </c>
      <c r="GG272" s="73">
        <v>1875</v>
      </c>
      <c r="GH272" s="73">
        <v>-405</v>
      </c>
      <c r="GI272" s="73">
        <v>231</v>
      </c>
      <c r="GJ272" s="73">
        <v>5037</v>
      </c>
      <c r="GK272" s="73">
        <v>405</v>
      </c>
      <c r="GL272" s="73">
        <v>10699</v>
      </c>
      <c r="GM272" s="73">
        <v>1609</v>
      </c>
      <c r="GN272" s="73">
        <v>-2326</v>
      </c>
      <c r="GO272" s="77">
        <v>20.5</v>
      </c>
      <c r="GP272" s="78">
        <v>1294</v>
      </c>
      <c r="GQ272" s="73">
        <v>3946</v>
      </c>
      <c r="GR272" s="65">
        <v>5968</v>
      </c>
      <c r="GS272" s="65">
        <v>2535</v>
      </c>
      <c r="GT272" s="65">
        <v>36</v>
      </c>
      <c r="GU272" s="65">
        <v>3400</v>
      </c>
      <c r="GV272" s="65">
        <v>111</v>
      </c>
      <c r="GW272" s="65">
        <v>435</v>
      </c>
      <c r="GX272" s="65">
        <v>696</v>
      </c>
      <c r="GY272" s="65">
        <v>-550</v>
      </c>
      <c r="GZ272" s="65">
        <v>237</v>
      </c>
      <c r="HA272" s="65">
        <v>3774</v>
      </c>
      <c r="HB272" s="65">
        <v>550</v>
      </c>
      <c r="HC272" s="65">
        <v>11637</v>
      </c>
      <c r="HD272" s="65">
        <v>456</v>
      </c>
      <c r="HE272" s="78">
        <v>1285</v>
      </c>
      <c r="HF272" s="73">
        <v>4226</v>
      </c>
      <c r="HG272" s="65">
        <v>6569</v>
      </c>
      <c r="HH272" s="65">
        <v>2715</v>
      </c>
      <c r="HI272" s="65">
        <v>11</v>
      </c>
      <c r="HJ272" s="65">
        <v>3678</v>
      </c>
      <c r="HK272" s="65">
        <v>81</v>
      </c>
      <c r="HL272" s="65">
        <v>467</v>
      </c>
      <c r="HM272" s="65">
        <v>1142</v>
      </c>
      <c r="HN272" s="65">
        <v>-849</v>
      </c>
      <c r="HO272" s="65">
        <v>290</v>
      </c>
      <c r="HP272" s="65">
        <v>3317</v>
      </c>
      <c r="HQ272" s="65">
        <v>849</v>
      </c>
      <c r="HR272" s="65">
        <v>12302</v>
      </c>
      <c r="HS272" s="65">
        <v>838</v>
      </c>
      <c r="HT272" s="65">
        <v>-1032</v>
      </c>
      <c r="HU272" s="77">
        <v>20.75</v>
      </c>
      <c r="HV272" s="180">
        <v>330</v>
      </c>
      <c r="HW272" s="30" t="s">
        <v>760</v>
      </c>
    </row>
    <row r="273" spans="1:231" ht="15" x14ac:dyDescent="0.25">
      <c r="A273" s="27">
        <v>892</v>
      </c>
      <c r="B273" s="27" t="s">
        <v>396</v>
      </c>
      <c r="C273" s="27">
        <v>13</v>
      </c>
      <c r="D273" s="27" t="s">
        <v>111</v>
      </c>
      <c r="E273" s="27">
        <v>2</v>
      </c>
      <c r="F273" s="27" t="s">
        <v>744</v>
      </c>
      <c r="G273" s="29" t="s">
        <v>130</v>
      </c>
      <c r="H273" s="27" t="s">
        <v>98</v>
      </c>
      <c r="I273" s="31" t="s">
        <v>111</v>
      </c>
      <c r="J273" s="69">
        <v>3089</v>
      </c>
      <c r="K273" s="69">
        <v>3117</v>
      </c>
      <c r="L273" s="36">
        <v>3125</v>
      </c>
      <c r="M273" s="36">
        <v>3112</v>
      </c>
      <c r="N273" s="36">
        <v>3111</v>
      </c>
      <c r="O273" s="36">
        <v>3078</v>
      </c>
      <c r="P273" s="36">
        <v>3096</v>
      </c>
      <c r="Q273" s="36">
        <v>3137</v>
      </c>
      <c r="R273" s="69">
        <v>3157</v>
      </c>
      <c r="S273" s="69">
        <v>3265</v>
      </c>
      <c r="T273" s="71">
        <v>3321</v>
      </c>
      <c r="U273" s="36">
        <v>4931</v>
      </c>
      <c r="V273" s="36">
        <v>3271</v>
      </c>
      <c r="W273" s="36">
        <v>1309</v>
      </c>
      <c r="X273" s="36">
        <v>130.68201886059404</v>
      </c>
      <c r="Y273" s="36">
        <v>4927</v>
      </c>
      <c r="Z273" s="36">
        <v>3278</v>
      </c>
      <c r="AA273" s="36">
        <v>1856</v>
      </c>
      <c r="AB273" s="36">
        <v>244.545245075037</v>
      </c>
      <c r="AC273" s="36">
        <v>4905</v>
      </c>
      <c r="AD273" s="36">
        <v>3620</v>
      </c>
      <c r="AE273" s="36">
        <v>1804</v>
      </c>
      <c r="AF273" s="36">
        <v>514.31867911930078</v>
      </c>
      <c r="AG273" s="36">
        <v>5549</v>
      </c>
      <c r="AH273" s="36">
        <v>4341</v>
      </c>
      <c r="AI273" s="36">
        <v>1800</v>
      </c>
      <c r="AJ273" s="36">
        <v>303.41101933656591</v>
      </c>
      <c r="AK273" s="36">
        <v>5707</v>
      </c>
      <c r="AL273" s="36">
        <v>4691</v>
      </c>
      <c r="AM273" s="36">
        <v>2032</v>
      </c>
      <c r="AN273" s="36">
        <v>331</v>
      </c>
      <c r="AO273" s="36">
        <v>5533</v>
      </c>
      <c r="AP273" s="36">
        <v>4892</v>
      </c>
      <c r="AQ273" s="36">
        <v>2115</v>
      </c>
      <c r="AR273" s="36">
        <v>459</v>
      </c>
      <c r="AS273" s="36">
        <v>5734</v>
      </c>
      <c r="AT273" s="36">
        <v>5234</v>
      </c>
      <c r="AU273" s="36">
        <v>1645</v>
      </c>
      <c r="AV273" s="36">
        <v>216</v>
      </c>
      <c r="AW273" s="36">
        <v>6061</v>
      </c>
      <c r="AX273" s="69">
        <v>5386</v>
      </c>
      <c r="AY273" s="36">
        <v>1723</v>
      </c>
      <c r="AZ273" s="36">
        <v>293</v>
      </c>
      <c r="BA273" s="36">
        <v>6264</v>
      </c>
      <c r="BB273" s="36">
        <v>5566</v>
      </c>
      <c r="BC273" s="36">
        <v>2027</v>
      </c>
      <c r="BD273" s="36">
        <v>142</v>
      </c>
      <c r="BE273" s="70">
        <v>6591</v>
      </c>
      <c r="BF273" s="70">
        <v>5966</v>
      </c>
      <c r="BG273" s="70">
        <v>2210</v>
      </c>
      <c r="BH273" s="70">
        <v>330</v>
      </c>
      <c r="BI273" s="36">
        <v>7418</v>
      </c>
      <c r="BJ273" s="36">
        <v>6658</v>
      </c>
      <c r="BK273" s="36">
        <v>2076</v>
      </c>
      <c r="BL273" s="36">
        <v>51</v>
      </c>
      <c r="BM273" s="36">
        <v>3998.1633878430398</v>
      </c>
      <c r="BN273" s="36">
        <v>802.92916092725363</v>
      </c>
      <c r="BO273" s="36">
        <v>129.5047033753635</v>
      </c>
      <c r="BP273" s="36">
        <v>4038.0239264144184</v>
      </c>
      <c r="BQ273" s="36">
        <v>760.20942760602986</v>
      </c>
      <c r="BR273" s="36">
        <v>128.83195166951748</v>
      </c>
      <c r="BS273" s="36">
        <v>3979.6627159322738</v>
      </c>
      <c r="BT273" s="36">
        <v>753.98647432695395</v>
      </c>
      <c r="BU273" s="36">
        <v>171.38349706427974</v>
      </c>
      <c r="BV273" s="36">
        <v>4686</v>
      </c>
      <c r="BW273" s="36">
        <v>679</v>
      </c>
      <c r="BX273" s="36">
        <v>183</v>
      </c>
      <c r="BY273" s="36">
        <v>5104</v>
      </c>
      <c r="BZ273" s="36">
        <v>417</v>
      </c>
      <c r="CA273" s="36">
        <v>186</v>
      </c>
      <c r="CB273" s="36">
        <v>5084</v>
      </c>
      <c r="CC273" s="36">
        <v>257</v>
      </c>
      <c r="CD273" s="36">
        <v>192</v>
      </c>
      <c r="CE273" s="36">
        <v>5231</v>
      </c>
      <c r="CF273" s="36">
        <v>307</v>
      </c>
      <c r="CG273" s="36">
        <v>196</v>
      </c>
      <c r="CH273" s="36">
        <v>5490</v>
      </c>
      <c r="CI273" s="36">
        <v>366</v>
      </c>
      <c r="CJ273" s="70">
        <v>205</v>
      </c>
      <c r="CK273" s="70">
        <v>5648</v>
      </c>
      <c r="CL273" s="70">
        <v>407</v>
      </c>
      <c r="CM273" s="36">
        <v>209</v>
      </c>
      <c r="CN273" s="36">
        <v>5910</v>
      </c>
      <c r="CO273" s="36">
        <v>461</v>
      </c>
      <c r="CP273" s="36">
        <v>220</v>
      </c>
      <c r="CQ273" s="36">
        <v>6704</v>
      </c>
      <c r="CR273" s="36">
        <v>477</v>
      </c>
      <c r="CS273" s="36">
        <v>237</v>
      </c>
      <c r="CT273" s="36">
        <v>424.00176260946932</v>
      </c>
      <c r="CU273" s="36">
        <v>-351.00820249999998</v>
      </c>
      <c r="CV273" s="36">
        <v>316.02511382117922</v>
      </c>
      <c r="CW273" s="36">
        <v>587</v>
      </c>
      <c r="CX273" s="36">
        <v>364.46323664209439</v>
      </c>
      <c r="CY273" s="36">
        <v>-171.04712119999999</v>
      </c>
      <c r="CZ273" s="36">
        <v>331.16202720271519</v>
      </c>
      <c r="DA273" s="36">
        <v>140</v>
      </c>
      <c r="DB273" s="36">
        <v>-95.194366377215246</v>
      </c>
      <c r="DC273" s="36">
        <v>5045.6377940000002</v>
      </c>
      <c r="DD273" s="36">
        <v>276.50095110272412</v>
      </c>
      <c r="DE273" s="36">
        <v>136</v>
      </c>
      <c r="DF273" s="36">
        <v>-237.6495400901151</v>
      </c>
      <c r="DG273" s="36">
        <v>-1252</v>
      </c>
      <c r="DH273" s="36">
        <v>315.35236211533316</v>
      </c>
      <c r="DI273" s="36">
        <v>1064</v>
      </c>
      <c r="DJ273" s="36">
        <v>614</v>
      </c>
      <c r="DK273" s="36">
        <v>-1106</v>
      </c>
      <c r="DL273" s="36">
        <v>264</v>
      </c>
      <c r="DM273" s="36">
        <v>2343</v>
      </c>
      <c r="DN273" s="36">
        <v>215</v>
      </c>
      <c r="DO273" s="69">
        <v>-2627</v>
      </c>
      <c r="DP273" s="36">
        <v>252</v>
      </c>
      <c r="DQ273" s="36">
        <v>2995</v>
      </c>
      <c r="DR273" s="36">
        <v>-11</v>
      </c>
      <c r="DS273" s="36">
        <v>-1795</v>
      </c>
      <c r="DT273" s="36">
        <v>383</v>
      </c>
      <c r="DU273" s="36">
        <v>4313</v>
      </c>
      <c r="DV273" s="36">
        <v>891</v>
      </c>
      <c r="DW273" s="71">
        <v>-1541</v>
      </c>
      <c r="DX273" s="39">
        <v>481</v>
      </c>
      <c r="DY273" s="71">
        <v>5786</v>
      </c>
      <c r="DZ273" s="70">
        <v>830</v>
      </c>
      <c r="EA273" s="35">
        <v>-1546</v>
      </c>
      <c r="EB273" s="35">
        <v>653</v>
      </c>
      <c r="EC273" s="38">
        <v>6326</v>
      </c>
      <c r="ED273" s="38">
        <v>887</v>
      </c>
      <c r="EE273" s="38">
        <v>-1490</v>
      </c>
      <c r="EF273" s="38">
        <v>695</v>
      </c>
      <c r="EG273" s="73">
        <v>6683</v>
      </c>
      <c r="EH273" s="73">
        <v>406</v>
      </c>
      <c r="EI273" s="73">
        <v>-1544</v>
      </c>
      <c r="EJ273" s="73">
        <v>712</v>
      </c>
      <c r="EK273" s="73">
        <v>7410</v>
      </c>
      <c r="EL273" s="73">
        <v>8717.1802285001158</v>
      </c>
      <c r="EM273" s="73">
        <v>59.706713893836415</v>
      </c>
      <c r="EN273" s="73">
        <v>9473.521333797531</v>
      </c>
      <c r="EO273" s="73">
        <v>46.083491850454024</v>
      </c>
      <c r="EP273" s="73">
        <v>10426.305937201992</v>
      </c>
      <c r="EQ273" s="73">
        <v>521.71894788360726</v>
      </c>
      <c r="ER273" s="73">
        <v>11504.390545820279</v>
      </c>
      <c r="ES273" s="73">
        <v>-553.00190220544823</v>
      </c>
      <c r="ET273" s="73">
        <v>11920</v>
      </c>
      <c r="EU273" s="73">
        <v>364</v>
      </c>
      <c r="EV273" s="73">
        <v>12621</v>
      </c>
      <c r="EW273" s="73">
        <v>-37</v>
      </c>
      <c r="EX273" s="73">
        <v>12736</v>
      </c>
      <c r="EY273" s="73">
        <v>-387</v>
      </c>
      <c r="EZ273" s="73">
        <v>12463</v>
      </c>
      <c r="FA273" s="73">
        <v>425</v>
      </c>
      <c r="FB273" s="73">
        <v>13108</v>
      </c>
      <c r="FC273" s="73">
        <v>192</v>
      </c>
      <c r="FD273" s="73">
        <v>13871</v>
      </c>
      <c r="FE273" s="73">
        <v>550</v>
      </c>
      <c r="FF273" s="73">
        <v>15567</v>
      </c>
      <c r="FG273" s="73">
        <v>-291</v>
      </c>
      <c r="FH273" s="73">
        <v>1181</v>
      </c>
      <c r="FI273" s="73">
        <v>891</v>
      </c>
      <c r="FJ273" s="79">
        <v>3382</v>
      </c>
      <c r="FK273" s="80">
        <v>7503</v>
      </c>
      <c r="FL273" s="80">
        <v>7456</v>
      </c>
      <c r="FM273" s="80">
        <v>2081</v>
      </c>
      <c r="FN273" s="76">
        <v>205</v>
      </c>
      <c r="FO273" s="80">
        <v>6826</v>
      </c>
      <c r="FP273" s="80">
        <v>422</v>
      </c>
      <c r="FQ273" s="80">
        <v>255</v>
      </c>
      <c r="FR273" s="80">
        <v>1446</v>
      </c>
      <c r="FS273" s="81">
        <v>-1210</v>
      </c>
      <c r="FT273" s="76">
        <v>752</v>
      </c>
      <c r="FU273" s="76">
        <v>7775</v>
      </c>
      <c r="FV273" s="76">
        <v>1210</v>
      </c>
      <c r="FW273" s="80">
        <v>15620</v>
      </c>
      <c r="FX273" s="80">
        <v>709</v>
      </c>
      <c r="FY273" s="73">
        <v>3455</v>
      </c>
      <c r="FZ273" s="73">
        <v>8082</v>
      </c>
      <c r="GA273" s="73">
        <v>7629</v>
      </c>
      <c r="GB273" s="73">
        <v>2547</v>
      </c>
      <c r="GC273" s="73">
        <v>268</v>
      </c>
      <c r="GD273" s="73">
        <v>7178</v>
      </c>
      <c r="GE273" s="73">
        <v>571</v>
      </c>
      <c r="GF273" s="73">
        <v>333</v>
      </c>
      <c r="GG273" s="73">
        <v>1487</v>
      </c>
      <c r="GH273" s="73">
        <v>-774</v>
      </c>
      <c r="GI273" s="73">
        <v>768</v>
      </c>
      <c r="GJ273" s="73">
        <v>7390</v>
      </c>
      <c r="GK273" s="73">
        <v>774</v>
      </c>
      <c r="GL273" s="73">
        <v>16890</v>
      </c>
      <c r="GM273" s="73">
        <v>734</v>
      </c>
      <c r="GN273" s="73">
        <v>2334</v>
      </c>
      <c r="GO273" s="77">
        <v>19.5</v>
      </c>
      <c r="GP273" s="78">
        <v>3507</v>
      </c>
      <c r="GQ273" s="73">
        <v>8496</v>
      </c>
      <c r="GR273" s="65">
        <v>8120</v>
      </c>
      <c r="GS273" s="65">
        <v>3143</v>
      </c>
      <c r="GT273" s="65">
        <v>101</v>
      </c>
      <c r="GU273" s="65">
        <v>7586</v>
      </c>
      <c r="GV273" s="65">
        <v>566</v>
      </c>
      <c r="GW273" s="65">
        <v>344</v>
      </c>
      <c r="GX273" s="65">
        <v>354</v>
      </c>
      <c r="GY273" s="65">
        <v>-1061</v>
      </c>
      <c r="GZ273" s="65">
        <v>797</v>
      </c>
      <c r="HA273" s="65">
        <v>7608</v>
      </c>
      <c r="HB273" s="65">
        <v>1061</v>
      </c>
      <c r="HC273" s="65">
        <v>19367</v>
      </c>
      <c r="HD273" s="65">
        <v>129</v>
      </c>
      <c r="HE273" s="78">
        <v>3569</v>
      </c>
      <c r="HF273" s="73">
        <v>8614</v>
      </c>
      <c r="HG273" s="65">
        <v>8252</v>
      </c>
      <c r="HH273" s="65">
        <v>3286</v>
      </c>
      <c r="HI273" s="65">
        <v>335</v>
      </c>
      <c r="HJ273" s="65">
        <v>7947</v>
      </c>
      <c r="HK273" s="65">
        <v>314</v>
      </c>
      <c r="HL273" s="65">
        <v>353</v>
      </c>
      <c r="HM273" s="65">
        <v>-339</v>
      </c>
      <c r="HN273" s="65">
        <v>-1906</v>
      </c>
      <c r="HO273" s="65">
        <v>907</v>
      </c>
      <c r="HP273" s="65">
        <v>8645</v>
      </c>
      <c r="HQ273" s="65">
        <v>1906</v>
      </c>
      <c r="HR273" s="65">
        <v>20679</v>
      </c>
      <c r="HS273" s="65">
        <v>-491</v>
      </c>
      <c r="HT273" s="65">
        <v>1973</v>
      </c>
      <c r="HU273" s="77">
        <v>19.5</v>
      </c>
      <c r="HV273" s="180">
        <v>320</v>
      </c>
      <c r="HW273" s="30" t="s">
        <v>759</v>
      </c>
    </row>
    <row r="274" spans="1:231" ht="15" x14ac:dyDescent="0.25">
      <c r="A274" s="27">
        <v>893</v>
      </c>
      <c r="B274" s="27" t="s">
        <v>397</v>
      </c>
      <c r="C274" s="27">
        <v>15</v>
      </c>
      <c r="D274" s="27" t="s">
        <v>115</v>
      </c>
      <c r="E274" s="27">
        <v>3</v>
      </c>
      <c r="F274" s="27" t="s">
        <v>743</v>
      </c>
      <c r="G274" s="29" t="s">
        <v>130</v>
      </c>
      <c r="H274" s="27" t="s">
        <v>98</v>
      </c>
      <c r="I274" s="31" t="s">
        <v>115</v>
      </c>
      <c r="J274" s="69">
        <v>7554</v>
      </c>
      <c r="K274" s="69">
        <v>7529</v>
      </c>
      <c r="L274" s="36">
        <v>7492</v>
      </c>
      <c r="M274" s="36">
        <v>7458</v>
      </c>
      <c r="N274" s="36">
        <v>7431</v>
      </c>
      <c r="O274" s="36">
        <v>7450</v>
      </c>
      <c r="P274" s="36">
        <v>7436</v>
      </c>
      <c r="Q274" s="36">
        <v>7375</v>
      </c>
      <c r="R274" s="69">
        <v>7404</v>
      </c>
      <c r="S274" s="69">
        <v>7399</v>
      </c>
      <c r="T274" s="71">
        <v>7429</v>
      </c>
      <c r="U274" s="36">
        <v>13997</v>
      </c>
      <c r="V274" s="36">
        <v>7119</v>
      </c>
      <c r="W274" s="36">
        <v>7667</v>
      </c>
      <c r="X274" s="36">
        <v>849.01265277770767</v>
      </c>
      <c r="Y274" s="36">
        <v>13768</v>
      </c>
      <c r="Z274" s="36">
        <v>7013</v>
      </c>
      <c r="AA274" s="36">
        <v>7022</v>
      </c>
      <c r="AB274" s="36">
        <v>431.73840722669883</v>
      </c>
      <c r="AC274" s="36">
        <v>12505</v>
      </c>
      <c r="AD274" s="36">
        <v>7633</v>
      </c>
      <c r="AE274" s="36">
        <v>7079</v>
      </c>
      <c r="AF274" s="36">
        <v>298.53356946918205</v>
      </c>
      <c r="AG274" s="36">
        <v>17118</v>
      </c>
      <c r="AH274" s="36">
        <v>10560</v>
      </c>
      <c r="AI274" s="36">
        <v>7605</v>
      </c>
      <c r="AJ274" s="36">
        <v>282.387528528877</v>
      </c>
      <c r="AK274" s="36">
        <v>17992</v>
      </c>
      <c r="AL274" s="36">
        <v>9829</v>
      </c>
      <c r="AM274" s="36">
        <v>8518</v>
      </c>
      <c r="AN274" s="36">
        <v>261</v>
      </c>
      <c r="AO274" s="36">
        <v>16067</v>
      </c>
      <c r="AP274" s="36">
        <v>8960</v>
      </c>
      <c r="AQ274" s="36">
        <v>8934</v>
      </c>
      <c r="AR274" s="36">
        <v>672</v>
      </c>
      <c r="AS274" s="36">
        <v>15419</v>
      </c>
      <c r="AT274" s="36">
        <v>10941</v>
      </c>
      <c r="AU274" s="36">
        <v>9865</v>
      </c>
      <c r="AV274" s="36">
        <v>426</v>
      </c>
      <c r="AW274" s="36">
        <v>16956</v>
      </c>
      <c r="AX274" s="69">
        <v>11747</v>
      </c>
      <c r="AY274" s="36">
        <v>9191</v>
      </c>
      <c r="AZ274" s="36">
        <v>284</v>
      </c>
      <c r="BA274" s="36">
        <v>17458</v>
      </c>
      <c r="BB274" s="36">
        <v>11943</v>
      </c>
      <c r="BC274" s="36">
        <v>9831</v>
      </c>
      <c r="BD274" s="36">
        <v>165</v>
      </c>
      <c r="BE274" s="70">
        <v>19630</v>
      </c>
      <c r="BF274" s="70">
        <v>12224</v>
      </c>
      <c r="BG274" s="70">
        <v>10010</v>
      </c>
      <c r="BH274" s="70">
        <v>244</v>
      </c>
      <c r="BI274" s="36">
        <v>20401</v>
      </c>
      <c r="BJ274" s="36">
        <v>13002</v>
      </c>
      <c r="BK274" s="36">
        <v>9535</v>
      </c>
      <c r="BL274" s="36">
        <v>0</v>
      </c>
      <c r="BM274" s="36">
        <v>11152.87777951572</v>
      </c>
      <c r="BN274" s="36">
        <v>2537.4512465248167</v>
      </c>
      <c r="BO274" s="36">
        <v>306.27021408641156</v>
      </c>
      <c r="BP274" s="36">
        <v>10360.544457955541</v>
      </c>
      <c r="BQ274" s="36">
        <v>3077.3344904662672</v>
      </c>
      <c r="BR274" s="36">
        <v>329.98471171748463</v>
      </c>
      <c r="BS274" s="36">
        <v>9716.0483237550307</v>
      </c>
      <c r="BT274" s="36">
        <v>2115.9723028122703</v>
      </c>
      <c r="BU274" s="36">
        <v>673.42445755189021</v>
      </c>
      <c r="BV274" s="36">
        <v>13448</v>
      </c>
      <c r="BW274" s="36">
        <v>2943</v>
      </c>
      <c r="BX274" s="36">
        <v>726</v>
      </c>
      <c r="BY274" s="36">
        <v>14574</v>
      </c>
      <c r="BZ274" s="36">
        <v>2673</v>
      </c>
      <c r="CA274" s="36">
        <v>745</v>
      </c>
      <c r="CB274" s="36">
        <v>14013</v>
      </c>
      <c r="CC274" s="36">
        <v>1295</v>
      </c>
      <c r="CD274" s="36">
        <v>759</v>
      </c>
      <c r="CE274" s="36">
        <v>12948</v>
      </c>
      <c r="CF274" s="36">
        <v>1706</v>
      </c>
      <c r="CG274" s="36">
        <v>765</v>
      </c>
      <c r="CH274" s="36">
        <v>14338</v>
      </c>
      <c r="CI274" s="36">
        <v>1666</v>
      </c>
      <c r="CJ274" s="70">
        <v>952</v>
      </c>
      <c r="CK274" s="70">
        <v>14790</v>
      </c>
      <c r="CL274" s="70">
        <v>1689</v>
      </c>
      <c r="CM274" s="36">
        <v>979</v>
      </c>
      <c r="CN274" s="36">
        <v>16602</v>
      </c>
      <c r="CO274" s="36">
        <v>1996</v>
      </c>
      <c r="CP274" s="36">
        <v>1032</v>
      </c>
      <c r="CQ274" s="36">
        <v>17191</v>
      </c>
      <c r="CR274" s="36">
        <v>2114</v>
      </c>
      <c r="CS274" s="36">
        <v>1096</v>
      </c>
      <c r="CT274" s="36">
        <v>1807.6838336083206</v>
      </c>
      <c r="CU274" s="36">
        <v>-1846.535245</v>
      </c>
      <c r="CV274" s="36">
        <v>1401.6781791302328</v>
      </c>
      <c r="CW274" s="36">
        <v>621</v>
      </c>
      <c r="CX274" s="36">
        <v>127.8228241107484</v>
      </c>
      <c r="CY274" s="36">
        <v>-2810.420251</v>
      </c>
      <c r="CZ274" s="36">
        <v>1581.3028845911267</v>
      </c>
      <c r="DA274" s="36">
        <v>704</v>
      </c>
      <c r="DB274" s="36">
        <v>-1640.336846779117</v>
      </c>
      <c r="DC274" s="36">
        <v>-2320.4888209999999</v>
      </c>
      <c r="DD274" s="36">
        <v>1660.8557738074214</v>
      </c>
      <c r="DE274" s="36">
        <v>2614</v>
      </c>
      <c r="DF274" s="36">
        <v>4020.3641941359601</v>
      </c>
      <c r="DG274" s="36">
        <v>-2397</v>
      </c>
      <c r="DH274" s="36">
        <v>1812.3930955492428</v>
      </c>
      <c r="DI274" s="36">
        <v>2886</v>
      </c>
      <c r="DJ274" s="36">
        <v>4300</v>
      </c>
      <c r="DK274" s="36">
        <v>-3179</v>
      </c>
      <c r="DL274" s="36">
        <v>1706</v>
      </c>
      <c r="DM274" s="36">
        <v>2507</v>
      </c>
      <c r="DN274" s="36">
        <v>898</v>
      </c>
      <c r="DO274" s="69">
        <v>-2291</v>
      </c>
      <c r="DP274" s="36">
        <v>1701</v>
      </c>
      <c r="DQ274" s="36">
        <v>2473</v>
      </c>
      <c r="DR274" s="36">
        <v>1643</v>
      </c>
      <c r="DS274" s="36">
        <v>-1189</v>
      </c>
      <c r="DT274" s="36">
        <v>1709</v>
      </c>
      <c r="DU274" s="36">
        <v>2836</v>
      </c>
      <c r="DV274" s="36">
        <v>2715</v>
      </c>
      <c r="DW274" s="71">
        <v>-2602</v>
      </c>
      <c r="DX274" s="39">
        <v>1749</v>
      </c>
      <c r="DY274" s="71">
        <v>3011</v>
      </c>
      <c r="DZ274" s="70">
        <v>3018</v>
      </c>
      <c r="EA274" s="35">
        <v>-4069</v>
      </c>
      <c r="EB274" s="35">
        <v>1834</v>
      </c>
      <c r="EC274" s="38">
        <v>3596</v>
      </c>
      <c r="ED274" s="38">
        <v>3504</v>
      </c>
      <c r="EE274" s="38">
        <v>-2655</v>
      </c>
      <c r="EF274" s="38">
        <v>2067</v>
      </c>
      <c r="EG274" s="73">
        <v>2679</v>
      </c>
      <c r="EH274" s="73">
        <v>2197</v>
      </c>
      <c r="EI274" s="73">
        <v>-8218</v>
      </c>
      <c r="EJ274" s="73">
        <v>2191</v>
      </c>
      <c r="EK274" s="73">
        <v>7390</v>
      </c>
      <c r="EL274" s="73">
        <v>26593.706744167663</v>
      </c>
      <c r="EM274" s="73">
        <v>-314.67961040948711</v>
      </c>
      <c r="EN274" s="73">
        <v>26839.429304727932</v>
      </c>
      <c r="EO274" s="73">
        <v>625.65908643682098</v>
      </c>
      <c r="EP274" s="73">
        <v>27842.33391021792</v>
      </c>
      <c r="EQ274" s="73">
        <v>-287.60135424918388</v>
      </c>
      <c r="ER274" s="73">
        <v>29787.595467671759</v>
      </c>
      <c r="ES274" s="73">
        <v>1852.4218220470825</v>
      </c>
      <c r="ET274" s="73">
        <v>32051</v>
      </c>
      <c r="EU274" s="73">
        <v>1558</v>
      </c>
      <c r="EV274" s="73">
        <v>33223</v>
      </c>
      <c r="EW274" s="73">
        <v>-961</v>
      </c>
      <c r="EX274" s="73">
        <v>34860</v>
      </c>
      <c r="EY274" s="73">
        <v>-737</v>
      </c>
      <c r="EZ274" s="73">
        <v>35631</v>
      </c>
      <c r="FA274" s="73">
        <v>970</v>
      </c>
      <c r="FB274" s="73">
        <v>36311</v>
      </c>
      <c r="FC274" s="73">
        <v>1235</v>
      </c>
      <c r="FD274" s="73">
        <v>38462</v>
      </c>
      <c r="FE274" s="73">
        <v>1569</v>
      </c>
      <c r="FF274" s="73">
        <v>40464</v>
      </c>
      <c r="FG274" s="73">
        <v>72</v>
      </c>
      <c r="FH274" s="73">
        <v>8894</v>
      </c>
      <c r="FI274" s="73">
        <v>8966</v>
      </c>
      <c r="FJ274" s="79">
        <v>7452</v>
      </c>
      <c r="FK274" s="80">
        <v>20293</v>
      </c>
      <c r="FL274" s="80">
        <v>14116</v>
      </c>
      <c r="FM274" s="80">
        <v>10579</v>
      </c>
      <c r="FN274" s="76">
        <v>421</v>
      </c>
      <c r="FO274" s="80">
        <v>17611</v>
      </c>
      <c r="FP274" s="80">
        <v>1495</v>
      </c>
      <c r="FQ274" s="80">
        <v>1187</v>
      </c>
      <c r="FR274" s="80">
        <v>1060</v>
      </c>
      <c r="FS274" s="81">
        <v>-4159</v>
      </c>
      <c r="FT274" s="76">
        <v>2293</v>
      </c>
      <c r="FU274" s="76">
        <v>10973</v>
      </c>
      <c r="FV274" s="76">
        <v>4159</v>
      </c>
      <c r="FW274" s="80">
        <v>44103</v>
      </c>
      <c r="FX274" s="80">
        <v>-1167</v>
      </c>
      <c r="FY274" s="73">
        <v>7458</v>
      </c>
      <c r="FZ274" s="73">
        <v>20307</v>
      </c>
      <c r="GA274" s="73">
        <v>15668</v>
      </c>
      <c r="GB274" s="73">
        <v>11891</v>
      </c>
      <c r="GC274" s="73">
        <v>345</v>
      </c>
      <c r="GD274" s="73">
        <v>17469</v>
      </c>
      <c r="GE274" s="73">
        <v>1531</v>
      </c>
      <c r="GF274" s="73">
        <v>1307</v>
      </c>
      <c r="GG274" s="73">
        <v>2877</v>
      </c>
      <c r="GH274" s="73">
        <v>-3738</v>
      </c>
      <c r="GI274" s="73">
        <v>2327</v>
      </c>
      <c r="GJ274" s="73">
        <v>9844</v>
      </c>
      <c r="GK274" s="73">
        <v>3738</v>
      </c>
      <c r="GL274" s="73">
        <v>45109</v>
      </c>
      <c r="GM274" s="73">
        <v>672</v>
      </c>
      <c r="GN274" s="73">
        <v>8391</v>
      </c>
      <c r="GO274" s="77">
        <v>19.75</v>
      </c>
      <c r="GP274" s="78">
        <v>7516</v>
      </c>
      <c r="GQ274" s="73">
        <v>22459</v>
      </c>
      <c r="GR274" s="65">
        <v>16293</v>
      </c>
      <c r="GS274" s="65">
        <v>12804</v>
      </c>
      <c r="GT274" s="65">
        <v>879</v>
      </c>
      <c r="GU274" s="65">
        <v>19402</v>
      </c>
      <c r="GV274" s="65">
        <v>1724</v>
      </c>
      <c r="GW274" s="65">
        <v>1333</v>
      </c>
      <c r="GX274" s="65">
        <v>3558</v>
      </c>
      <c r="GY274" s="65">
        <v>-7108</v>
      </c>
      <c r="GZ274" s="65">
        <v>2747</v>
      </c>
      <c r="HA274" s="65">
        <v>12062</v>
      </c>
      <c r="HB274" s="65">
        <v>7108</v>
      </c>
      <c r="HC274" s="65">
        <v>48119</v>
      </c>
      <c r="HD274" s="65">
        <v>1381</v>
      </c>
      <c r="HE274" s="78">
        <v>7531</v>
      </c>
      <c r="HF274" s="73">
        <v>23481</v>
      </c>
      <c r="HG274" s="65">
        <v>17266</v>
      </c>
      <c r="HH274" s="65">
        <v>13512</v>
      </c>
      <c r="HI274" s="65">
        <v>627</v>
      </c>
      <c r="HJ274" s="65">
        <v>20352</v>
      </c>
      <c r="HK274" s="65">
        <v>1763</v>
      </c>
      <c r="HL274" s="65">
        <v>1366</v>
      </c>
      <c r="HM274" s="65">
        <v>3191</v>
      </c>
      <c r="HN274" s="65">
        <v>-6977</v>
      </c>
      <c r="HO274" s="65">
        <v>2714</v>
      </c>
      <c r="HP274" s="65">
        <v>16084</v>
      </c>
      <c r="HQ274" s="65">
        <v>6977</v>
      </c>
      <c r="HR274" s="65">
        <v>51403</v>
      </c>
      <c r="HS274" s="65">
        <v>557</v>
      </c>
      <c r="HT274" s="65">
        <v>10328</v>
      </c>
      <c r="HU274" s="77">
        <v>19.75</v>
      </c>
      <c r="HV274" s="180">
        <v>330</v>
      </c>
      <c r="HW274" s="30" t="s">
        <v>760</v>
      </c>
    </row>
    <row r="275" spans="1:231" ht="15" x14ac:dyDescent="0.25">
      <c r="A275" s="27">
        <v>895</v>
      </c>
      <c r="B275" s="27" t="s">
        <v>398</v>
      </c>
      <c r="C275" s="27">
        <v>2</v>
      </c>
      <c r="D275" s="27" t="s">
        <v>122</v>
      </c>
      <c r="E275" s="27">
        <v>4</v>
      </c>
      <c r="F275" s="27" t="s">
        <v>100</v>
      </c>
      <c r="G275" s="29" t="s">
        <v>132</v>
      </c>
      <c r="H275" s="27" t="s">
        <v>99</v>
      </c>
      <c r="I275" s="31" t="s">
        <v>122</v>
      </c>
      <c r="J275" s="69">
        <v>17479</v>
      </c>
      <c r="K275" s="69">
        <v>17216</v>
      </c>
      <c r="L275" s="36">
        <v>17019</v>
      </c>
      <c r="M275" s="36">
        <v>16851</v>
      </c>
      <c r="N275" s="36">
        <v>16696</v>
      </c>
      <c r="O275" s="36">
        <v>16405</v>
      </c>
      <c r="P275" s="36">
        <v>16260</v>
      </c>
      <c r="Q275" s="36">
        <v>16198</v>
      </c>
      <c r="R275" s="69">
        <v>16059</v>
      </c>
      <c r="S275" s="69">
        <v>15926</v>
      </c>
      <c r="T275" s="71">
        <v>15886</v>
      </c>
      <c r="U275" s="36">
        <v>60857</v>
      </c>
      <c r="V275" s="36">
        <v>5036</v>
      </c>
      <c r="W275" s="36">
        <v>14298</v>
      </c>
      <c r="X275" s="36">
        <v>3517.9868577954262</v>
      </c>
      <c r="Y275" s="36">
        <v>58423</v>
      </c>
      <c r="Z275" s="36">
        <v>2010</v>
      </c>
      <c r="AA275" s="36">
        <v>13413</v>
      </c>
      <c r="AB275" s="36">
        <v>4131.5364135270183</v>
      </c>
      <c r="AC275" s="36">
        <v>63816</v>
      </c>
      <c r="AD275" s="36">
        <v>-92</v>
      </c>
      <c r="AE275" s="36">
        <v>13804</v>
      </c>
      <c r="AF275" s="36">
        <v>3474.4261848418946</v>
      </c>
      <c r="AG275" s="36">
        <v>59621</v>
      </c>
      <c r="AH275" s="36">
        <v>2930</v>
      </c>
      <c r="AI275" s="36">
        <v>15153</v>
      </c>
      <c r="AJ275" s="36">
        <v>3801.8880776624569</v>
      </c>
      <c r="AK275" s="36">
        <v>42836</v>
      </c>
      <c r="AL275" s="36">
        <v>2608</v>
      </c>
      <c r="AM275" s="36">
        <v>16529</v>
      </c>
      <c r="AN275" s="36">
        <v>2784</v>
      </c>
      <c r="AO275" s="36">
        <v>40654</v>
      </c>
      <c r="AP275" s="36">
        <v>11603</v>
      </c>
      <c r="AQ275" s="36">
        <v>15812</v>
      </c>
      <c r="AR275" s="36">
        <v>8672</v>
      </c>
      <c r="AS275" s="36">
        <v>38469</v>
      </c>
      <c r="AT275" s="36">
        <v>16855</v>
      </c>
      <c r="AU275" s="36">
        <v>15115</v>
      </c>
      <c r="AV275" s="36">
        <v>1316</v>
      </c>
      <c r="AW275" s="36">
        <v>40415</v>
      </c>
      <c r="AX275" s="69">
        <v>18950</v>
      </c>
      <c r="AY275" s="36">
        <v>16452</v>
      </c>
      <c r="AZ275" s="36">
        <v>1450</v>
      </c>
      <c r="BA275" s="36">
        <v>41301</v>
      </c>
      <c r="BB275" s="36">
        <v>19954</v>
      </c>
      <c r="BC275" s="36">
        <v>17845</v>
      </c>
      <c r="BD275" s="36">
        <v>1136</v>
      </c>
      <c r="BE275" s="70">
        <v>44968</v>
      </c>
      <c r="BF275" s="70">
        <v>21191</v>
      </c>
      <c r="BG275" s="70">
        <v>18272</v>
      </c>
      <c r="BH275" s="70">
        <v>1389</v>
      </c>
      <c r="BI275" s="36">
        <v>48427</v>
      </c>
      <c r="BJ275" s="36">
        <v>24819</v>
      </c>
      <c r="BK275" s="36">
        <v>20490</v>
      </c>
      <c r="BL275" s="36">
        <v>10</v>
      </c>
      <c r="BM275" s="36">
        <v>31531.872453004089</v>
      </c>
      <c r="BN275" s="36">
        <v>28490.698366727047</v>
      </c>
      <c r="BO275" s="36">
        <v>834.04392732263318</v>
      </c>
      <c r="BP275" s="36">
        <v>32622.234780254064</v>
      </c>
      <c r="BQ275" s="36">
        <v>24937.896608154086</v>
      </c>
      <c r="BR275" s="36">
        <v>862.46768689462851</v>
      </c>
      <c r="BS275" s="36">
        <v>29531.277067744413</v>
      </c>
      <c r="BT275" s="36">
        <v>33064.064463068455</v>
      </c>
      <c r="BU275" s="36">
        <v>1220.707970257647</v>
      </c>
      <c r="BV275" s="36">
        <v>33482</v>
      </c>
      <c r="BW275" s="36">
        <v>24858</v>
      </c>
      <c r="BX275" s="36">
        <v>1282</v>
      </c>
      <c r="BY275" s="36">
        <v>37738</v>
      </c>
      <c r="BZ275" s="36">
        <v>3789</v>
      </c>
      <c r="CA275" s="36">
        <v>1309</v>
      </c>
      <c r="CB275" s="36">
        <v>36531</v>
      </c>
      <c r="CC275" s="36">
        <v>2299</v>
      </c>
      <c r="CD275" s="36">
        <v>1824</v>
      </c>
      <c r="CE275" s="36">
        <v>34133</v>
      </c>
      <c r="CF275" s="36">
        <v>2496</v>
      </c>
      <c r="CG275" s="36">
        <v>1840</v>
      </c>
      <c r="CH275" s="36">
        <v>36364</v>
      </c>
      <c r="CI275" s="36">
        <v>2143</v>
      </c>
      <c r="CJ275" s="70">
        <v>1908</v>
      </c>
      <c r="CK275" s="70">
        <v>37632</v>
      </c>
      <c r="CL275" s="70">
        <v>1710</v>
      </c>
      <c r="CM275" s="36">
        <v>1959</v>
      </c>
      <c r="CN275" s="36">
        <v>41127</v>
      </c>
      <c r="CO275" s="36">
        <v>1823</v>
      </c>
      <c r="CP275" s="36">
        <v>2018</v>
      </c>
      <c r="CQ275" s="36">
        <v>43848</v>
      </c>
      <c r="CR275" s="36">
        <v>2030</v>
      </c>
      <c r="CS275" s="36">
        <v>2549</v>
      </c>
      <c r="CT275" s="36">
        <v>18602.761982128352</v>
      </c>
      <c r="CU275" s="36">
        <v>-9568.547512000001</v>
      </c>
      <c r="CV275" s="36">
        <v>5636.6501674310794</v>
      </c>
      <c r="CW275" s="36">
        <v>622</v>
      </c>
      <c r="CX275" s="36">
        <v>13310.560688090445</v>
      </c>
      <c r="CY275" s="36">
        <v>-7648.85052</v>
      </c>
      <c r="CZ275" s="36">
        <v>6438.0656370201814</v>
      </c>
      <c r="DA275" s="36">
        <v>4415</v>
      </c>
      <c r="DB275" s="36">
        <v>15946.065495742323</v>
      </c>
      <c r="DC275" s="36">
        <v>-13895.013730000001</v>
      </c>
      <c r="DD275" s="36">
        <v>6532.9236275444728</v>
      </c>
      <c r="DE275" s="36">
        <v>4371</v>
      </c>
      <c r="DF275" s="36">
        <v>8916.1465455040834</v>
      </c>
      <c r="DG275" s="36">
        <v>-8154</v>
      </c>
      <c r="DH275" s="36">
        <v>7554.3289049452296</v>
      </c>
      <c r="DI275" s="36">
        <v>5072</v>
      </c>
      <c r="DJ275" s="36">
        <v>-4114</v>
      </c>
      <c r="DK275" s="36">
        <v>-6879</v>
      </c>
      <c r="DL275" s="36">
        <v>5504</v>
      </c>
      <c r="DM275" s="36">
        <v>8633</v>
      </c>
      <c r="DN275" s="36">
        <v>4089</v>
      </c>
      <c r="DO275" s="69">
        <v>-7273</v>
      </c>
      <c r="DP275" s="36">
        <v>5692</v>
      </c>
      <c r="DQ275" s="36">
        <v>14315</v>
      </c>
      <c r="DR275" s="36">
        <v>-3113</v>
      </c>
      <c r="DS275" s="36">
        <v>-6552</v>
      </c>
      <c r="DT275" s="36">
        <v>5172</v>
      </c>
      <c r="DU275" s="36">
        <v>17071</v>
      </c>
      <c r="DV275" s="36">
        <v>909</v>
      </c>
      <c r="DW275" s="71">
        <v>-4018</v>
      </c>
      <c r="DX275" s="39">
        <v>5239</v>
      </c>
      <c r="DY275" s="71">
        <v>19114</v>
      </c>
      <c r="DZ275" s="70">
        <v>808</v>
      </c>
      <c r="EA275" s="35">
        <v>-3154</v>
      </c>
      <c r="EB275" s="35">
        <v>5073</v>
      </c>
      <c r="EC275" s="38">
        <v>20117</v>
      </c>
      <c r="ED275" s="38">
        <v>1198</v>
      </c>
      <c r="EE275" s="38">
        <v>-6998</v>
      </c>
      <c r="EF275" s="38">
        <v>4636</v>
      </c>
      <c r="EG275" s="73">
        <v>23640</v>
      </c>
      <c r="EH275" s="73">
        <v>1026</v>
      </c>
      <c r="EI275" s="73">
        <v>-5277</v>
      </c>
      <c r="EJ275" s="73">
        <v>5063</v>
      </c>
      <c r="EK275" s="73">
        <v>24268</v>
      </c>
      <c r="EL275" s="73">
        <v>62020.47519816742</v>
      </c>
      <c r="EM275" s="73">
        <v>1425.2244888348444</v>
      </c>
      <c r="EN275" s="73">
        <v>61801.326329988071</v>
      </c>
      <c r="EO275" s="73">
        <v>844.63976668970838</v>
      </c>
      <c r="EP275" s="73">
        <v>61670.812499053944</v>
      </c>
      <c r="EQ275" s="73">
        <v>11935.960765120515</v>
      </c>
      <c r="ER275" s="73">
        <v>69413.175505783147</v>
      </c>
      <c r="ES275" s="73">
        <v>2876.5181062712231</v>
      </c>
      <c r="ET275" s="73">
        <v>68470</v>
      </c>
      <c r="EU275" s="73">
        <v>-8538</v>
      </c>
      <c r="EV275" s="73">
        <v>70604</v>
      </c>
      <c r="EW275" s="73">
        <v>-242</v>
      </c>
      <c r="EX275" s="73">
        <v>73907</v>
      </c>
      <c r="EY275" s="73">
        <v>-6778</v>
      </c>
      <c r="EZ275" s="73">
        <v>75701</v>
      </c>
      <c r="FA275" s="73">
        <v>-2627</v>
      </c>
      <c r="FB275" s="73">
        <v>79212</v>
      </c>
      <c r="FC275" s="73">
        <v>-3196</v>
      </c>
      <c r="FD275" s="73">
        <v>83696</v>
      </c>
      <c r="FE275" s="73">
        <v>-2652</v>
      </c>
      <c r="FF275" s="73">
        <v>90977</v>
      </c>
      <c r="FG275" s="73">
        <v>-2971</v>
      </c>
      <c r="FH275" s="73">
        <v>3001</v>
      </c>
      <c r="FI275" s="73">
        <v>31</v>
      </c>
      <c r="FJ275" s="79">
        <v>15873</v>
      </c>
      <c r="FK275" s="80">
        <v>48608</v>
      </c>
      <c r="FL275" s="80">
        <v>26733</v>
      </c>
      <c r="FM275" s="80">
        <v>19501</v>
      </c>
      <c r="FN275" s="76">
        <v>788</v>
      </c>
      <c r="FO275" s="80">
        <v>44036</v>
      </c>
      <c r="FP275" s="80">
        <v>1710</v>
      </c>
      <c r="FQ275" s="80">
        <v>2862</v>
      </c>
      <c r="FR275" s="80">
        <v>369</v>
      </c>
      <c r="FS275" s="81">
        <v>-5881</v>
      </c>
      <c r="FT275" s="76">
        <v>4885</v>
      </c>
      <c r="FU275" s="76">
        <v>25926</v>
      </c>
      <c r="FV275" s="76">
        <v>5881</v>
      </c>
      <c r="FW275" s="80">
        <v>94719</v>
      </c>
      <c r="FX275" s="80">
        <v>-3803</v>
      </c>
      <c r="FY275" s="73">
        <v>15833</v>
      </c>
      <c r="FZ275" s="73">
        <v>53091</v>
      </c>
      <c r="GA275" s="73">
        <v>28783</v>
      </c>
      <c r="GB275" s="73">
        <v>28856</v>
      </c>
      <c r="GC275" s="73">
        <v>783</v>
      </c>
      <c r="GD275" s="73">
        <v>46142</v>
      </c>
      <c r="GE275" s="73">
        <v>3486</v>
      </c>
      <c r="GF275" s="73">
        <v>3463</v>
      </c>
      <c r="GG275" s="73">
        <v>4455</v>
      </c>
      <c r="GH275" s="73">
        <v>-4885</v>
      </c>
      <c r="GI275" s="73">
        <v>5066</v>
      </c>
      <c r="GJ275" s="73">
        <v>27905</v>
      </c>
      <c r="GK275" s="73">
        <v>4885</v>
      </c>
      <c r="GL275" s="73">
        <v>106575</v>
      </c>
      <c r="GM275" s="73">
        <v>65</v>
      </c>
      <c r="GN275" s="73">
        <v>-3707</v>
      </c>
      <c r="GO275" s="77">
        <v>20.25</v>
      </c>
      <c r="GP275" s="78">
        <v>15685</v>
      </c>
      <c r="GQ275" s="73">
        <v>54096</v>
      </c>
      <c r="GR275" s="65">
        <v>21710</v>
      </c>
      <c r="GS275" s="65">
        <v>30831</v>
      </c>
      <c r="GT275" s="65">
        <v>50</v>
      </c>
      <c r="GU275" s="65">
        <v>46160</v>
      </c>
      <c r="GV275" s="65">
        <v>4455</v>
      </c>
      <c r="GW275" s="65">
        <v>3481</v>
      </c>
      <c r="GX275" s="65">
        <v>4272</v>
      </c>
      <c r="GY275" s="65">
        <v>-229</v>
      </c>
      <c r="GZ275" s="65">
        <v>4883</v>
      </c>
      <c r="HA275" s="65">
        <v>28158</v>
      </c>
      <c r="HB275" s="65">
        <v>229</v>
      </c>
      <c r="HC275" s="65">
        <v>101815</v>
      </c>
      <c r="HD275" s="65">
        <v>899</v>
      </c>
      <c r="HE275" s="78">
        <v>15499</v>
      </c>
      <c r="HF275" s="73">
        <v>54036</v>
      </c>
      <c r="HG275" s="65">
        <v>22472</v>
      </c>
      <c r="HH275" s="65">
        <v>30262</v>
      </c>
      <c r="HI275" s="65">
        <v>10863</v>
      </c>
      <c r="HJ275" s="65">
        <v>48377</v>
      </c>
      <c r="HK275" s="65">
        <v>2059</v>
      </c>
      <c r="HL275" s="65">
        <v>3600</v>
      </c>
      <c r="HM275" s="65">
        <v>942</v>
      </c>
      <c r="HN275" s="65">
        <v>-4307</v>
      </c>
      <c r="HO275" s="65">
        <v>5044</v>
      </c>
      <c r="HP275" s="65">
        <v>26655</v>
      </c>
      <c r="HQ275" s="65">
        <v>4307</v>
      </c>
      <c r="HR275" s="65">
        <v>105847</v>
      </c>
      <c r="HS275" s="65">
        <v>7324</v>
      </c>
      <c r="HT275" s="65">
        <v>4516</v>
      </c>
      <c r="HU275" s="77">
        <v>20.25</v>
      </c>
      <c r="HV275" s="180">
        <v>220</v>
      </c>
      <c r="HW275" s="30" t="s">
        <v>755</v>
      </c>
    </row>
    <row r="276" spans="1:231" ht="15" x14ac:dyDescent="0.25">
      <c r="A276" s="27">
        <v>785</v>
      </c>
      <c r="B276" s="27" t="s">
        <v>399</v>
      </c>
      <c r="C276" s="27">
        <v>17</v>
      </c>
      <c r="D276" s="27" t="s">
        <v>117</v>
      </c>
      <c r="E276" s="27">
        <v>2</v>
      </c>
      <c r="F276" s="27" t="s">
        <v>744</v>
      </c>
      <c r="G276" s="29" t="s">
        <v>130</v>
      </c>
      <c r="H276" s="27" t="s">
        <v>98</v>
      </c>
      <c r="I276" s="31" t="s">
        <v>117</v>
      </c>
      <c r="J276" s="69">
        <v>4228</v>
      </c>
      <c r="K276" s="69">
        <v>4138</v>
      </c>
      <c r="L276" s="36">
        <v>4041</v>
      </c>
      <c r="M276" s="36">
        <v>3976</v>
      </c>
      <c r="N276" s="36">
        <v>3894</v>
      </c>
      <c r="O276" s="36">
        <v>3829</v>
      </c>
      <c r="P276" s="36">
        <v>3751</v>
      </c>
      <c r="Q276" s="36">
        <v>3718</v>
      </c>
      <c r="R276" s="69">
        <v>3612</v>
      </c>
      <c r="S276" s="69">
        <v>3561</v>
      </c>
      <c r="T276" s="71">
        <v>3470</v>
      </c>
      <c r="U276" s="36">
        <v>7970</v>
      </c>
      <c r="V276" s="36">
        <v>5879</v>
      </c>
      <c r="W276" s="36">
        <v>3458</v>
      </c>
      <c r="X276" s="36">
        <v>213.76685453258051</v>
      </c>
      <c r="Y276" s="36">
        <v>8209</v>
      </c>
      <c r="Z276" s="36">
        <v>5565</v>
      </c>
      <c r="AA276" s="36">
        <v>3888</v>
      </c>
      <c r="AB276" s="36">
        <v>248.07719153072875</v>
      </c>
      <c r="AC276" s="36">
        <v>7826</v>
      </c>
      <c r="AD276" s="36">
        <v>6224</v>
      </c>
      <c r="AE276" s="36">
        <v>3743</v>
      </c>
      <c r="AF276" s="36">
        <v>129.00013959597896</v>
      </c>
      <c r="AG276" s="36">
        <v>8196</v>
      </c>
      <c r="AH276" s="36">
        <v>6614</v>
      </c>
      <c r="AI276" s="36">
        <v>3922</v>
      </c>
      <c r="AJ276" s="36">
        <v>123.95450180213363</v>
      </c>
      <c r="AK276" s="36">
        <v>8336</v>
      </c>
      <c r="AL276" s="36">
        <v>7326</v>
      </c>
      <c r="AM276" s="36">
        <v>4291</v>
      </c>
      <c r="AN276" s="36">
        <v>80</v>
      </c>
      <c r="AO276" s="36">
        <v>7926</v>
      </c>
      <c r="AP276" s="36">
        <v>7391</v>
      </c>
      <c r="AQ276" s="36">
        <v>4165</v>
      </c>
      <c r="AR276" s="36">
        <v>147</v>
      </c>
      <c r="AS276" s="36">
        <v>7887</v>
      </c>
      <c r="AT276" s="36">
        <v>7796</v>
      </c>
      <c r="AU276" s="36">
        <v>3551</v>
      </c>
      <c r="AV276" s="36">
        <v>109</v>
      </c>
      <c r="AW276" s="36">
        <v>8178</v>
      </c>
      <c r="AX276" s="69">
        <v>7934</v>
      </c>
      <c r="AY276" s="36">
        <v>3819</v>
      </c>
      <c r="AZ276" s="36">
        <v>63</v>
      </c>
      <c r="BA276" s="36">
        <v>8882</v>
      </c>
      <c r="BB276" s="36">
        <v>8932</v>
      </c>
      <c r="BC276" s="36">
        <v>3906</v>
      </c>
      <c r="BD276" s="36">
        <v>14</v>
      </c>
      <c r="BE276" s="70">
        <v>9315</v>
      </c>
      <c r="BF276" s="70">
        <v>9582</v>
      </c>
      <c r="BG276" s="70">
        <v>4301</v>
      </c>
      <c r="BH276" s="70">
        <v>64</v>
      </c>
      <c r="BI276" s="36">
        <v>9906</v>
      </c>
      <c r="BJ276" s="36">
        <v>10598</v>
      </c>
      <c r="BK276" s="36">
        <v>4420</v>
      </c>
      <c r="BL276" s="36">
        <v>13</v>
      </c>
      <c r="BM276" s="36">
        <v>5711.1574188535296</v>
      </c>
      <c r="BN276" s="36">
        <v>1482.4083838317581</v>
      </c>
      <c r="BO276" s="36">
        <v>776.52365647279646</v>
      </c>
      <c r="BP276" s="36">
        <v>5966.9712550014883</v>
      </c>
      <c r="BQ276" s="36">
        <v>1284.2830064600982</v>
      </c>
      <c r="BR276" s="36">
        <v>957.66205327184377</v>
      </c>
      <c r="BS276" s="36">
        <v>5612.7674818735459</v>
      </c>
      <c r="BT276" s="36">
        <v>1161.8421959961181</v>
      </c>
      <c r="BU276" s="36">
        <v>1051.5109162373669</v>
      </c>
      <c r="BV276" s="36">
        <v>6431</v>
      </c>
      <c r="BW276" s="36">
        <v>698</v>
      </c>
      <c r="BX276" s="36">
        <v>1067</v>
      </c>
      <c r="BY276" s="36">
        <v>6771</v>
      </c>
      <c r="BZ276" s="36">
        <v>490</v>
      </c>
      <c r="CA276" s="36">
        <v>1075</v>
      </c>
      <c r="CB276" s="36">
        <v>6616</v>
      </c>
      <c r="CC276" s="36">
        <v>249</v>
      </c>
      <c r="CD276" s="36">
        <v>1061</v>
      </c>
      <c r="CE276" s="36">
        <v>6490</v>
      </c>
      <c r="CF276" s="36">
        <v>344</v>
      </c>
      <c r="CG276" s="36">
        <v>1053</v>
      </c>
      <c r="CH276" s="36">
        <v>6632</v>
      </c>
      <c r="CI276" s="36">
        <v>455</v>
      </c>
      <c r="CJ276" s="70">
        <v>1091</v>
      </c>
      <c r="CK276" s="70">
        <v>6771</v>
      </c>
      <c r="CL276" s="70">
        <v>525</v>
      </c>
      <c r="CM276" s="36">
        <v>1586</v>
      </c>
      <c r="CN276" s="36">
        <v>6985</v>
      </c>
      <c r="CO276" s="36">
        <v>605</v>
      </c>
      <c r="CP276" s="36">
        <v>1725</v>
      </c>
      <c r="CQ276" s="36">
        <v>7488</v>
      </c>
      <c r="CR276" s="36">
        <v>620</v>
      </c>
      <c r="CS276" s="36">
        <v>1798</v>
      </c>
      <c r="CT276" s="36">
        <v>600.93546124697889</v>
      </c>
      <c r="CU276" s="36">
        <v>-2529.0418500000001</v>
      </c>
      <c r="CV276" s="36">
        <v>661.65130269958433</v>
      </c>
      <c r="CW276" s="36">
        <v>3580</v>
      </c>
      <c r="CX276" s="36">
        <v>215.28054587073413</v>
      </c>
      <c r="CY276" s="36">
        <v>-2809.074748</v>
      </c>
      <c r="CZ276" s="36">
        <v>833.53936354324867</v>
      </c>
      <c r="DA276" s="36">
        <v>6341</v>
      </c>
      <c r="DB276" s="36">
        <v>-570.82982241036848</v>
      </c>
      <c r="DC276" s="36">
        <v>-1550.188118</v>
      </c>
      <c r="DD276" s="36">
        <v>913.76500446538944</v>
      </c>
      <c r="DE276" s="36">
        <v>7717</v>
      </c>
      <c r="DF276" s="36">
        <v>467.05787178361612</v>
      </c>
      <c r="DG276" s="36">
        <v>-968</v>
      </c>
      <c r="DH276" s="36">
        <v>1002.9046054899903</v>
      </c>
      <c r="DI276" s="36">
        <v>7992</v>
      </c>
      <c r="DJ276" s="36">
        <v>1382</v>
      </c>
      <c r="DK276" s="36">
        <v>-1045</v>
      </c>
      <c r="DL276" s="36">
        <v>932</v>
      </c>
      <c r="DM276" s="36">
        <v>6125</v>
      </c>
      <c r="DN276" s="36">
        <v>53</v>
      </c>
      <c r="DO276" s="69">
        <v>-1950</v>
      </c>
      <c r="DP276" s="36">
        <v>941</v>
      </c>
      <c r="DQ276" s="36">
        <v>7131</v>
      </c>
      <c r="DR276" s="36">
        <v>-90</v>
      </c>
      <c r="DS276" s="36">
        <v>-771</v>
      </c>
      <c r="DT276" s="36">
        <v>998</v>
      </c>
      <c r="DU276" s="36">
        <v>7607</v>
      </c>
      <c r="DV276" s="36">
        <v>-876</v>
      </c>
      <c r="DW276" s="71">
        <v>-737</v>
      </c>
      <c r="DX276" s="39">
        <v>994</v>
      </c>
      <c r="DY276" s="71">
        <v>8905</v>
      </c>
      <c r="DZ276" s="70">
        <v>99</v>
      </c>
      <c r="EA276" s="35">
        <v>-408</v>
      </c>
      <c r="EB276" s="35">
        <v>990</v>
      </c>
      <c r="EC276" s="38">
        <v>9076</v>
      </c>
      <c r="ED276" s="38">
        <v>869</v>
      </c>
      <c r="EE276" s="38">
        <v>-887</v>
      </c>
      <c r="EF276" s="38">
        <v>967</v>
      </c>
      <c r="EG276" s="73">
        <v>9116</v>
      </c>
      <c r="EH276" s="73">
        <v>588</v>
      </c>
      <c r="EI276" s="73">
        <v>-1320</v>
      </c>
      <c r="EJ276" s="73">
        <v>1000</v>
      </c>
      <c r="EK276" s="73">
        <v>9640</v>
      </c>
      <c r="EL276" s="73">
        <v>16114.085234277372</v>
      </c>
      <c r="EM276" s="73">
        <v>148.67812699197574</v>
      </c>
      <c r="EN276" s="73">
        <v>16857.307681310787</v>
      </c>
      <c r="EO276" s="73">
        <v>-559.22485548452414</v>
      </c>
      <c r="EP276" s="73">
        <v>17463.288780351613</v>
      </c>
      <c r="EQ276" s="73">
        <v>-1413.9558977619233</v>
      </c>
      <c r="ER276" s="73">
        <v>17248.344610333803</v>
      </c>
      <c r="ES276" s="73">
        <v>-202.33007553319777</v>
      </c>
      <c r="ET276" s="73">
        <v>18369</v>
      </c>
      <c r="EU276" s="73">
        <v>2563</v>
      </c>
      <c r="EV276" s="73">
        <v>19287</v>
      </c>
      <c r="EW276" s="73">
        <v>-769</v>
      </c>
      <c r="EX276" s="73">
        <v>19210</v>
      </c>
      <c r="EY276" s="73">
        <v>-1010</v>
      </c>
      <c r="EZ276" s="73">
        <v>20516</v>
      </c>
      <c r="FA276" s="73">
        <v>-1796</v>
      </c>
      <c r="FB276" s="73">
        <v>21361</v>
      </c>
      <c r="FC276" s="73">
        <v>-820</v>
      </c>
      <c r="FD276" s="73">
        <v>22005</v>
      </c>
      <c r="FE276" s="73">
        <v>-29</v>
      </c>
      <c r="FF276" s="73">
        <v>23952</v>
      </c>
      <c r="FG276" s="73">
        <v>-346</v>
      </c>
      <c r="FH276" s="73">
        <v>-3324</v>
      </c>
      <c r="FI276" s="73">
        <v>-3669</v>
      </c>
      <c r="FJ276" s="79">
        <v>3400</v>
      </c>
      <c r="FK276" s="80">
        <v>9908</v>
      </c>
      <c r="FL276" s="80">
        <v>11667</v>
      </c>
      <c r="FM276" s="80">
        <v>4580</v>
      </c>
      <c r="FN276" s="76">
        <v>1</v>
      </c>
      <c r="FO276" s="80">
        <v>7524</v>
      </c>
      <c r="FP276" s="80">
        <v>528</v>
      </c>
      <c r="FQ276" s="80">
        <v>1856</v>
      </c>
      <c r="FR276" s="80">
        <v>1388</v>
      </c>
      <c r="FS276" s="81">
        <v>-1326</v>
      </c>
      <c r="FT276" s="76">
        <v>999</v>
      </c>
      <c r="FU276" s="76">
        <v>10077</v>
      </c>
      <c r="FV276" s="76">
        <v>1326</v>
      </c>
      <c r="FW276" s="80">
        <v>24475</v>
      </c>
      <c r="FX276" s="80">
        <v>454</v>
      </c>
      <c r="FY276" s="73">
        <v>3370</v>
      </c>
      <c r="FZ276" s="73">
        <v>10222</v>
      </c>
      <c r="GA276" s="73">
        <v>11769</v>
      </c>
      <c r="GB276" s="73">
        <v>3738</v>
      </c>
      <c r="GC276" s="73">
        <v>3</v>
      </c>
      <c r="GD276" s="73">
        <v>7513</v>
      </c>
      <c r="GE276" s="73">
        <v>720</v>
      </c>
      <c r="GF276" s="73">
        <v>1989</v>
      </c>
      <c r="GG276" s="73">
        <v>1823</v>
      </c>
      <c r="GH276" s="73">
        <v>-1564</v>
      </c>
      <c r="GI276" s="73">
        <v>1048</v>
      </c>
      <c r="GJ276" s="73">
        <v>11773</v>
      </c>
      <c r="GK276" s="73">
        <v>1564</v>
      </c>
      <c r="GL276" s="73">
        <v>23721</v>
      </c>
      <c r="GM276" s="73">
        <v>838</v>
      </c>
      <c r="GN276" s="73">
        <v>-2378</v>
      </c>
      <c r="GO276" s="77">
        <v>20.5</v>
      </c>
      <c r="GP276" s="78">
        <v>3314</v>
      </c>
      <c r="GQ276" s="73">
        <v>10651</v>
      </c>
      <c r="GR276" s="65">
        <v>11525</v>
      </c>
      <c r="GS276" s="65">
        <v>3994</v>
      </c>
      <c r="GT276" s="65">
        <v>6</v>
      </c>
      <c r="GU276" s="65">
        <v>7592</v>
      </c>
      <c r="GV276" s="65">
        <v>783</v>
      </c>
      <c r="GW276" s="65">
        <v>2276</v>
      </c>
      <c r="GX276" s="65">
        <v>997</v>
      </c>
      <c r="GY276" s="65">
        <v>-3078</v>
      </c>
      <c r="GZ276" s="65">
        <v>1081</v>
      </c>
      <c r="HA276" s="65">
        <v>13061</v>
      </c>
      <c r="HB276" s="65">
        <v>3078</v>
      </c>
      <c r="HC276" s="65">
        <v>24929</v>
      </c>
      <c r="HD276" s="65">
        <v>-22</v>
      </c>
      <c r="HE276" s="78">
        <v>3250</v>
      </c>
      <c r="HF276" s="73">
        <v>10617</v>
      </c>
      <c r="HG276" s="65">
        <v>12711</v>
      </c>
      <c r="HH276" s="65">
        <v>4183</v>
      </c>
      <c r="HI276" s="65">
        <v>12</v>
      </c>
      <c r="HJ276" s="65">
        <v>7835</v>
      </c>
      <c r="HK276" s="65">
        <v>488</v>
      </c>
      <c r="HL276" s="65">
        <v>2294</v>
      </c>
      <c r="HM276" s="65">
        <v>1366</v>
      </c>
      <c r="HN276" s="65">
        <v>-5056</v>
      </c>
      <c r="HO276" s="65">
        <v>1198</v>
      </c>
      <c r="HP276" s="65">
        <v>17478</v>
      </c>
      <c r="HQ276" s="65">
        <v>5056</v>
      </c>
      <c r="HR276" s="65">
        <v>25905</v>
      </c>
      <c r="HS276" s="65">
        <v>229</v>
      </c>
      <c r="HT276" s="65">
        <v>-2171</v>
      </c>
      <c r="HU276" s="77">
        <v>21</v>
      </c>
      <c r="HV276" s="180">
        <v>340</v>
      </c>
      <c r="HW276" s="30" t="s">
        <v>761</v>
      </c>
    </row>
    <row r="277" spans="1:231" ht="15" x14ac:dyDescent="0.25">
      <c r="A277" s="27">
        <v>905</v>
      </c>
      <c r="B277" s="27" t="s">
        <v>400</v>
      </c>
      <c r="C277" s="27">
        <v>15</v>
      </c>
      <c r="D277" s="27" t="s">
        <v>115</v>
      </c>
      <c r="E277" s="27">
        <v>6</v>
      </c>
      <c r="F277" s="27" t="s">
        <v>102</v>
      </c>
      <c r="G277" s="29" t="s">
        <v>141</v>
      </c>
      <c r="H277" s="27" t="s">
        <v>97</v>
      </c>
      <c r="I277" s="31" t="s">
        <v>115</v>
      </c>
      <c r="J277" s="82">
        <v>61442</v>
      </c>
      <c r="K277" s="82">
        <v>61464</v>
      </c>
      <c r="L277" s="82">
        <v>61470</v>
      </c>
      <c r="M277" s="82">
        <v>61716</v>
      </c>
      <c r="N277" s="82">
        <v>61613</v>
      </c>
      <c r="O277" s="82">
        <v>61705</v>
      </c>
      <c r="P277" s="82">
        <v>61729</v>
      </c>
      <c r="Q277" s="82">
        <v>61889</v>
      </c>
      <c r="R277" s="82">
        <v>62269</v>
      </c>
      <c r="S277" s="82">
        <v>62695</v>
      </c>
      <c r="T277" s="82">
        <v>63329</v>
      </c>
      <c r="U277" s="82">
        <v>162299</v>
      </c>
      <c r="V277" s="82">
        <v>49359</v>
      </c>
      <c r="W277" s="82">
        <v>60569</v>
      </c>
      <c r="X277" s="82">
        <v>8074.5341614906838</v>
      </c>
      <c r="Y277" s="82">
        <v>163233</v>
      </c>
      <c r="Z277" s="82">
        <v>51087</v>
      </c>
      <c r="AA277" s="82">
        <v>64119</v>
      </c>
      <c r="AB277" s="82">
        <v>8403.3415577229371</v>
      </c>
      <c r="AC277" s="82">
        <v>160949</v>
      </c>
      <c r="AD277" s="82">
        <v>51421</v>
      </c>
      <c r="AE277" s="82">
        <v>68007</v>
      </c>
      <c r="AF277" s="82">
        <v>8484.4081382773857</v>
      </c>
      <c r="AG277" s="82">
        <v>187782</v>
      </c>
      <c r="AH277" s="82">
        <v>58260</v>
      </c>
      <c r="AI277" s="82">
        <v>65845</v>
      </c>
      <c r="AJ277" s="82">
        <v>8234.6490674820434</v>
      </c>
      <c r="AK277" s="82">
        <v>199483</v>
      </c>
      <c r="AL277" s="82">
        <v>57831</v>
      </c>
      <c r="AM277" s="82">
        <v>69946</v>
      </c>
      <c r="AN277" s="82">
        <v>7364</v>
      </c>
      <c r="AO277" s="82">
        <v>175783</v>
      </c>
      <c r="AP277" s="82">
        <v>58588</v>
      </c>
      <c r="AQ277" s="82">
        <v>70976</v>
      </c>
      <c r="AR277" s="82">
        <v>8126</v>
      </c>
      <c r="AS277" s="82">
        <v>178092</v>
      </c>
      <c r="AT277" s="82">
        <v>76274</v>
      </c>
      <c r="AU277" s="82">
        <v>75035</v>
      </c>
      <c r="AV277" s="82">
        <v>8490</v>
      </c>
      <c r="AW277" s="82">
        <v>174770</v>
      </c>
      <c r="AX277" s="82">
        <v>79274</v>
      </c>
      <c r="AY277" s="82">
        <v>78785</v>
      </c>
      <c r="AZ277" s="82">
        <v>9821</v>
      </c>
      <c r="BA277" s="82">
        <v>189319</v>
      </c>
      <c r="BB277" s="82">
        <v>87671</v>
      </c>
      <c r="BC277" s="82">
        <v>90124</v>
      </c>
      <c r="BD277" s="82">
        <v>12606</v>
      </c>
      <c r="BE277" s="82">
        <v>200546</v>
      </c>
      <c r="BF277" s="82">
        <v>92795</v>
      </c>
      <c r="BG277" s="82">
        <v>91493</v>
      </c>
      <c r="BH277" s="82">
        <v>13586</v>
      </c>
      <c r="BI277" s="82">
        <v>222483</v>
      </c>
      <c r="BJ277" s="82">
        <v>105077</v>
      </c>
      <c r="BK277" s="82">
        <v>96431</v>
      </c>
      <c r="BL277" s="82">
        <v>11155</v>
      </c>
      <c r="BM277" s="82">
        <v>122968.75236514272</v>
      </c>
      <c r="BN277" s="82">
        <v>33985.734300077529</v>
      </c>
      <c r="BO277" s="82">
        <v>5276.2234410240626</v>
      </c>
      <c r="BP277" s="82">
        <v>125812.137449901</v>
      </c>
      <c r="BQ277" s="82">
        <v>30626.012281082385</v>
      </c>
      <c r="BR277" s="82">
        <v>6730.0398773573634</v>
      </c>
      <c r="BS277" s="82">
        <v>119034.50038935505</v>
      </c>
      <c r="BT277" s="82">
        <v>33941.332687491697</v>
      </c>
      <c r="BU277" s="82">
        <v>7913.0737520876319</v>
      </c>
      <c r="BV277" s="82">
        <v>137527</v>
      </c>
      <c r="BW277" s="82">
        <v>41858</v>
      </c>
      <c r="BX277" s="82">
        <v>8343</v>
      </c>
      <c r="BY277" s="82">
        <v>151881</v>
      </c>
      <c r="BZ277" s="82">
        <v>38825</v>
      </c>
      <c r="CA277" s="82">
        <v>8725</v>
      </c>
      <c r="CB277" s="82">
        <v>148898</v>
      </c>
      <c r="CC277" s="82">
        <v>18047</v>
      </c>
      <c r="CD277" s="82">
        <v>8789</v>
      </c>
      <c r="CE277" s="82">
        <v>150050</v>
      </c>
      <c r="CF277" s="82">
        <v>19294</v>
      </c>
      <c r="CG277" s="82">
        <v>8703</v>
      </c>
      <c r="CH277" s="82">
        <v>151620</v>
      </c>
      <c r="CI277" s="82">
        <v>13353</v>
      </c>
      <c r="CJ277" s="82">
        <v>9757</v>
      </c>
      <c r="CK277" s="82">
        <v>163919</v>
      </c>
      <c r="CL277" s="82">
        <v>15046</v>
      </c>
      <c r="CM277" s="82">
        <v>10316</v>
      </c>
      <c r="CN277" s="82">
        <v>171380</v>
      </c>
      <c r="CO277" s="82">
        <v>18611</v>
      </c>
      <c r="CP277" s="82">
        <v>10519</v>
      </c>
      <c r="CQ277" s="82">
        <v>188218</v>
      </c>
      <c r="CR277" s="82">
        <v>22798</v>
      </c>
      <c r="CS277" s="82">
        <v>11467</v>
      </c>
      <c r="CT277" s="82">
        <v>11990.285465367582</v>
      </c>
      <c r="CU277" s="82">
        <v>-27406.895365799999</v>
      </c>
      <c r="CV277" s="82">
        <v>13394.6546513212</v>
      </c>
      <c r="CW277" s="82">
        <v>42050</v>
      </c>
      <c r="CX277" s="82">
        <v>11326.447719623999</v>
      </c>
      <c r="CY277" s="82">
        <v>-20899.199934100001</v>
      </c>
      <c r="CZ277" s="82">
        <v>14785.736991084357</v>
      </c>
      <c r="DA277" s="82">
        <v>51128</v>
      </c>
      <c r="DB277" s="82">
        <v>4537.5420680051056</v>
      </c>
      <c r="DC277" s="82">
        <v>-16340.297997</v>
      </c>
      <c r="DD277" s="82">
        <v>15289.291642910124</v>
      </c>
      <c r="DE277" s="82">
        <v>51591</v>
      </c>
      <c r="DF277" s="82">
        <v>17067.542589387678</v>
      </c>
      <c r="DG277" s="82">
        <v>-29448</v>
      </c>
      <c r="DH277" s="82">
        <v>15525.932055441468</v>
      </c>
      <c r="DI277" s="82">
        <v>64718</v>
      </c>
      <c r="DJ277" s="82">
        <v>27702</v>
      </c>
      <c r="DK277" s="82">
        <v>-27002</v>
      </c>
      <c r="DL277" s="82">
        <v>16857</v>
      </c>
      <c r="DM277" s="82">
        <v>64879</v>
      </c>
      <c r="DN277" s="82">
        <v>7464</v>
      </c>
      <c r="DO277" s="82">
        <v>-18377</v>
      </c>
      <c r="DP277" s="82">
        <v>16263</v>
      </c>
      <c r="DQ277" s="82">
        <v>71500</v>
      </c>
      <c r="DR277" s="82">
        <v>17795</v>
      </c>
      <c r="DS277" s="82">
        <v>-21418</v>
      </c>
      <c r="DT277" s="82">
        <v>16159</v>
      </c>
      <c r="DU277" s="82">
        <v>72903</v>
      </c>
      <c r="DV277" s="82">
        <v>7529</v>
      </c>
      <c r="DW277" s="82">
        <v>-19369</v>
      </c>
      <c r="DX277" s="82">
        <v>16738</v>
      </c>
      <c r="DY277" s="82">
        <v>83053</v>
      </c>
      <c r="DZ277" s="82">
        <v>31484</v>
      </c>
      <c r="EA277" s="82">
        <v>-14700</v>
      </c>
      <c r="EB277" s="82">
        <v>18215</v>
      </c>
      <c r="EC277" s="82">
        <v>84086</v>
      </c>
      <c r="ED277" s="82">
        <v>21531</v>
      </c>
      <c r="EE277" s="82">
        <v>-19586</v>
      </c>
      <c r="EF277" s="82">
        <v>17650</v>
      </c>
      <c r="EG277" s="82">
        <v>72319</v>
      </c>
      <c r="EH277" s="82">
        <v>28751</v>
      </c>
      <c r="EI277" s="82">
        <v>-27768</v>
      </c>
      <c r="EJ277" s="82">
        <v>18470</v>
      </c>
      <c r="EK277" s="82">
        <v>78856</v>
      </c>
      <c r="EL277" s="82">
        <v>256780.58034925905</v>
      </c>
      <c r="EM277" s="82">
        <v>-218.64430439996443</v>
      </c>
      <c r="EN277" s="82">
        <v>264683.73101368546</v>
      </c>
      <c r="EO277" s="82">
        <v>2591.9441346983467</v>
      </c>
      <c r="EP277" s="82">
        <v>272421.38475847372</v>
      </c>
      <c r="EQ277" s="82">
        <v>-10679.93333030595</v>
      </c>
      <c r="ER277" s="82">
        <v>289433.92989590851</v>
      </c>
      <c r="ES277" s="82">
        <v>1170.7561560985782</v>
      </c>
      <c r="ET277" s="82">
        <v>304799</v>
      </c>
      <c r="EU277" s="82">
        <v>4387</v>
      </c>
      <c r="EV277" s="82">
        <v>303800</v>
      </c>
      <c r="EW277" s="82">
        <v>-8475</v>
      </c>
      <c r="EX277" s="82">
        <v>317978</v>
      </c>
      <c r="EY277" s="82">
        <v>2168</v>
      </c>
      <c r="EZ277" s="82">
        <v>336209</v>
      </c>
      <c r="FA277" s="82">
        <v>-8324</v>
      </c>
      <c r="FB277" s="82">
        <v>346540</v>
      </c>
      <c r="FC277" s="82">
        <v>9188</v>
      </c>
      <c r="FD277" s="82">
        <v>373647</v>
      </c>
      <c r="FE277" s="82">
        <v>3851</v>
      </c>
      <c r="FF277" s="82">
        <v>404302</v>
      </c>
      <c r="FG277" s="82">
        <v>11352</v>
      </c>
      <c r="FH277" s="82">
        <v>3460</v>
      </c>
      <c r="FI277" s="82">
        <v>14811</v>
      </c>
      <c r="FJ277" s="82">
        <v>63915</v>
      </c>
      <c r="FK277" s="82">
        <v>229107</v>
      </c>
      <c r="FL277" s="82">
        <v>113279</v>
      </c>
      <c r="FM277" s="82">
        <v>102113</v>
      </c>
      <c r="FN277" s="82">
        <v>14849</v>
      </c>
      <c r="FO277" s="82">
        <v>196429</v>
      </c>
      <c r="FP277" s="82">
        <v>20432</v>
      </c>
      <c r="FQ277" s="82">
        <v>12246</v>
      </c>
      <c r="FR277" s="82">
        <v>25320</v>
      </c>
      <c r="FS277" s="82">
        <v>-32102</v>
      </c>
      <c r="FT277" s="82">
        <v>19496</v>
      </c>
      <c r="FU277" s="82">
        <v>91424</v>
      </c>
      <c r="FV277" s="82">
        <v>32102</v>
      </c>
      <c r="FW277" s="82">
        <v>433065</v>
      </c>
      <c r="FX277" s="82">
        <v>6282</v>
      </c>
      <c r="FY277" s="82">
        <v>64345</v>
      </c>
      <c r="FZ277" s="82">
        <v>242912</v>
      </c>
      <c r="GA277" s="82">
        <v>100479</v>
      </c>
      <c r="GB277" s="82">
        <v>110921</v>
      </c>
      <c r="GC277" s="82">
        <v>13091</v>
      </c>
      <c r="GD277" s="82">
        <v>202031</v>
      </c>
      <c r="GE277" s="82">
        <v>27696</v>
      </c>
      <c r="GF277" s="82">
        <v>13185</v>
      </c>
      <c r="GG277" s="82">
        <v>29162</v>
      </c>
      <c r="GH277" s="82">
        <v>-35993</v>
      </c>
      <c r="GI277" s="82">
        <v>20603</v>
      </c>
      <c r="GJ277" s="82">
        <v>113252</v>
      </c>
      <c r="GK277" s="82">
        <v>35993</v>
      </c>
      <c r="GL277" s="82">
        <v>437182</v>
      </c>
      <c r="GM277" s="82">
        <v>7581</v>
      </c>
      <c r="GN277" s="82">
        <v>28675</v>
      </c>
      <c r="GO277" s="83">
        <v>19.5</v>
      </c>
      <c r="GP277" s="82">
        <v>65173</v>
      </c>
      <c r="GQ277" s="82">
        <v>260411</v>
      </c>
      <c r="GR277" s="82">
        <v>102825</v>
      </c>
      <c r="GS277" s="82">
        <v>116248</v>
      </c>
      <c r="GT277" s="82">
        <v>12503</v>
      </c>
      <c r="GU277" s="82">
        <v>201068</v>
      </c>
      <c r="GV277" s="82">
        <v>45787</v>
      </c>
      <c r="GW277" s="82">
        <v>13556</v>
      </c>
      <c r="GX277" s="82">
        <v>26452</v>
      </c>
      <c r="GY277" s="82">
        <v>-54182</v>
      </c>
      <c r="GZ277" s="82">
        <v>20737</v>
      </c>
      <c r="HA277" s="82">
        <v>125834</v>
      </c>
      <c r="HB277" s="82">
        <v>54182</v>
      </c>
      <c r="HC277" s="82">
        <v>463961</v>
      </c>
      <c r="HD277" s="82">
        <v>3258</v>
      </c>
      <c r="HE277" s="82">
        <v>65674</v>
      </c>
      <c r="HF277" s="82">
        <v>265626</v>
      </c>
      <c r="HG277" s="82">
        <v>107327</v>
      </c>
      <c r="HH277" s="82">
        <v>127312</v>
      </c>
      <c r="HI277" s="82">
        <v>13855</v>
      </c>
      <c r="HJ277" s="82">
        <v>211157</v>
      </c>
      <c r="HK277" s="82">
        <v>41075</v>
      </c>
      <c r="HL277" s="82">
        <v>13394</v>
      </c>
      <c r="HM277" s="82">
        <v>21101</v>
      </c>
      <c r="HN277" s="82">
        <v>-50785</v>
      </c>
      <c r="HO277" s="82">
        <v>24331</v>
      </c>
      <c r="HP277" s="82">
        <v>155346</v>
      </c>
      <c r="HQ277" s="82">
        <v>50785</v>
      </c>
      <c r="HR277" s="82">
        <v>491200</v>
      </c>
      <c r="HS277" s="82">
        <v>-1884</v>
      </c>
      <c r="HT277" s="82">
        <v>30048</v>
      </c>
      <c r="HU277" s="83">
        <v>19.5</v>
      </c>
      <c r="HV277" s="180">
        <v>130</v>
      </c>
      <c r="HW277" s="30" t="s">
        <v>752</v>
      </c>
    </row>
    <row r="278" spans="1:231" ht="15" x14ac:dyDescent="0.25">
      <c r="A278" s="27">
        <v>908</v>
      </c>
      <c r="B278" s="27" t="s">
        <v>401</v>
      </c>
      <c r="C278" s="27">
        <v>6</v>
      </c>
      <c r="D278" s="27" t="s">
        <v>114</v>
      </c>
      <c r="E278" s="27">
        <v>5</v>
      </c>
      <c r="F278" s="27" t="s">
        <v>101</v>
      </c>
      <c r="G278" s="29" t="s">
        <v>141</v>
      </c>
      <c r="H278" s="27" t="s">
        <v>97</v>
      </c>
      <c r="I278" s="31" t="s">
        <v>114</v>
      </c>
      <c r="J278" s="69">
        <v>20731</v>
      </c>
      <c r="K278" s="69">
        <v>20626</v>
      </c>
      <c r="L278" s="36">
        <v>20493</v>
      </c>
      <c r="M278" s="36">
        <v>20424</v>
      </c>
      <c r="N278" s="36">
        <v>20419</v>
      </c>
      <c r="O278" s="36">
        <v>20474</v>
      </c>
      <c r="P278" s="36">
        <v>20472</v>
      </c>
      <c r="Q278" s="36">
        <v>20408</v>
      </c>
      <c r="R278" s="69">
        <v>20394</v>
      </c>
      <c r="S278" s="69">
        <v>20394</v>
      </c>
      <c r="T278" s="71">
        <v>20542</v>
      </c>
      <c r="U278" s="36">
        <v>50377</v>
      </c>
      <c r="V278" s="36">
        <v>7218</v>
      </c>
      <c r="W278" s="36">
        <v>12603</v>
      </c>
      <c r="X278" s="36">
        <v>2312.2476129928536</v>
      </c>
      <c r="Y278" s="36">
        <v>53846</v>
      </c>
      <c r="Z278" s="36">
        <v>7543</v>
      </c>
      <c r="AA278" s="36">
        <v>13017</v>
      </c>
      <c r="AB278" s="36">
        <v>1702.5663795698761</v>
      </c>
      <c r="AC278" s="36">
        <v>55120</v>
      </c>
      <c r="AD278" s="36">
        <v>8514</v>
      </c>
      <c r="AE278" s="36">
        <v>13474</v>
      </c>
      <c r="AF278" s="36">
        <v>1446.9207313483794</v>
      </c>
      <c r="AG278" s="36">
        <v>62661</v>
      </c>
      <c r="AH278" s="36">
        <v>8159</v>
      </c>
      <c r="AI278" s="36">
        <v>14359</v>
      </c>
      <c r="AJ278" s="36">
        <v>1337.7667670748588</v>
      </c>
      <c r="AK278" s="36">
        <v>63414</v>
      </c>
      <c r="AL278" s="36">
        <v>9312</v>
      </c>
      <c r="AM278" s="36">
        <v>15630</v>
      </c>
      <c r="AN278" s="36">
        <v>2055</v>
      </c>
      <c r="AO278" s="36">
        <v>60643</v>
      </c>
      <c r="AP278" s="36">
        <v>8471</v>
      </c>
      <c r="AQ278" s="36">
        <v>15883</v>
      </c>
      <c r="AR278" s="36">
        <v>1920</v>
      </c>
      <c r="AS278" s="36">
        <v>61264</v>
      </c>
      <c r="AT278" s="36">
        <v>12029</v>
      </c>
      <c r="AU278" s="36">
        <v>16841</v>
      </c>
      <c r="AV278" s="36">
        <v>6585</v>
      </c>
      <c r="AW278" s="36">
        <v>59969</v>
      </c>
      <c r="AX278" s="69">
        <v>13651</v>
      </c>
      <c r="AY278" s="36">
        <v>15583</v>
      </c>
      <c r="AZ278" s="36">
        <v>4176</v>
      </c>
      <c r="BA278" s="36">
        <v>60725</v>
      </c>
      <c r="BB278" s="36">
        <v>16309</v>
      </c>
      <c r="BC278" s="36">
        <v>17751</v>
      </c>
      <c r="BD278" s="36">
        <v>1798</v>
      </c>
      <c r="BE278" s="70">
        <v>64406</v>
      </c>
      <c r="BF278" s="70">
        <v>18866</v>
      </c>
      <c r="BG278" s="70">
        <v>19706</v>
      </c>
      <c r="BH278" s="70">
        <v>4697</v>
      </c>
      <c r="BI278" s="36">
        <v>67504</v>
      </c>
      <c r="BJ278" s="36">
        <v>22589</v>
      </c>
      <c r="BK278" s="36">
        <v>20454</v>
      </c>
      <c r="BL278" s="36">
        <v>2475</v>
      </c>
      <c r="BM278" s="36">
        <v>43379.702744658767</v>
      </c>
      <c r="BN278" s="36">
        <v>5526.3188876723298</v>
      </c>
      <c r="BO278" s="36">
        <v>1471.3079806852984</v>
      </c>
      <c r="BP278" s="36">
        <v>43125.402599848967</v>
      </c>
      <c r="BQ278" s="36">
        <v>9210.9799805911134</v>
      </c>
      <c r="BR278" s="36">
        <v>1509.1502641391385</v>
      </c>
      <c r="BS278" s="36">
        <v>41046.263452931766</v>
      </c>
      <c r="BT278" s="36">
        <v>12538.073541852724</v>
      </c>
      <c r="BU278" s="36">
        <v>1536.0603323729804</v>
      </c>
      <c r="BV278" s="36">
        <v>46137</v>
      </c>
      <c r="BW278" s="36">
        <v>15041</v>
      </c>
      <c r="BX278" s="36">
        <v>1484</v>
      </c>
      <c r="BY278" s="36">
        <v>51552</v>
      </c>
      <c r="BZ278" s="36">
        <v>10273</v>
      </c>
      <c r="CA278" s="36">
        <v>1589</v>
      </c>
      <c r="CB278" s="36">
        <v>51483</v>
      </c>
      <c r="CC278" s="36">
        <v>7353</v>
      </c>
      <c r="CD278" s="36">
        <v>1807</v>
      </c>
      <c r="CE278" s="36">
        <v>52263</v>
      </c>
      <c r="CF278" s="36">
        <v>7192</v>
      </c>
      <c r="CG278" s="36">
        <v>1809</v>
      </c>
      <c r="CH278" s="36">
        <v>52413</v>
      </c>
      <c r="CI278" s="36">
        <v>5650</v>
      </c>
      <c r="CJ278" s="70">
        <v>1906</v>
      </c>
      <c r="CK278" s="70">
        <v>54251</v>
      </c>
      <c r="CL278" s="70">
        <v>4335</v>
      </c>
      <c r="CM278" s="36">
        <v>2139</v>
      </c>
      <c r="CN278" s="36">
        <v>57827</v>
      </c>
      <c r="CO278" s="36">
        <v>4399</v>
      </c>
      <c r="CP278" s="36">
        <v>2180</v>
      </c>
      <c r="CQ278" s="36">
        <v>60704</v>
      </c>
      <c r="CR278" s="36">
        <v>4510</v>
      </c>
      <c r="CS278" s="36">
        <v>2290</v>
      </c>
      <c r="CT278" s="36">
        <v>3066.9068390256539</v>
      </c>
      <c r="CU278" s="36">
        <v>-11193.747450000003</v>
      </c>
      <c r="CV278" s="36">
        <v>4671.5878453949299</v>
      </c>
      <c r="CW278" s="36">
        <v>8155</v>
      </c>
      <c r="CX278" s="36">
        <v>4789.9921456238344</v>
      </c>
      <c r="CY278" s="36">
        <v>-8888.3955380000007</v>
      </c>
      <c r="CZ278" s="36">
        <v>4919.3286610727364</v>
      </c>
      <c r="DA278" s="36">
        <v>12916</v>
      </c>
      <c r="DB278" s="36">
        <v>5020.2414169496424</v>
      </c>
      <c r="DC278" s="36">
        <v>-10565.397349999999</v>
      </c>
      <c r="DD278" s="36">
        <v>5223.5806200416091</v>
      </c>
      <c r="DE278" s="36">
        <v>14217</v>
      </c>
      <c r="DF278" s="36">
        <v>6576.4843004980039</v>
      </c>
      <c r="DG278" s="36">
        <v>-11490</v>
      </c>
      <c r="DH278" s="36">
        <v>5526.8234514517144</v>
      </c>
      <c r="DI278" s="36">
        <v>21547</v>
      </c>
      <c r="DJ278" s="36">
        <v>9550</v>
      </c>
      <c r="DK278" s="36">
        <v>-10600</v>
      </c>
      <c r="DL278" s="36">
        <v>6203</v>
      </c>
      <c r="DM278" s="36">
        <v>26436</v>
      </c>
      <c r="DN278" s="36">
        <v>3644</v>
      </c>
      <c r="DO278" s="69">
        <v>-5971</v>
      </c>
      <c r="DP278" s="36">
        <v>6295</v>
      </c>
      <c r="DQ278" s="36">
        <v>27991</v>
      </c>
      <c r="DR278" s="36">
        <v>6256</v>
      </c>
      <c r="DS278" s="36">
        <v>2715</v>
      </c>
      <c r="DT278" s="36">
        <v>6553</v>
      </c>
      <c r="DU278" s="36">
        <v>21134</v>
      </c>
      <c r="DV278" s="36">
        <v>3278</v>
      </c>
      <c r="DW278" s="71">
        <v>-9077</v>
      </c>
      <c r="DX278" s="39">
        <v>6361</v>
      </c>
      <c r="DY278" s="71">
        <v>23268</v>
      </c>
      <c r="DZ278" s="70">
        <v>3990</v>
      </c>
      <c r="EA278" s="35">
        <v>-12523</v>
      </c>
      <c r="EB278" s="35">
        <v>6391</v>
      </c>
      <c r="EC278" s="38">
        <v>34220</v>
      </c>
      <c r="ED278" s="38">
        <v>9439</v>
      </c>
      <c r="EE278" s="38">
        <v>4328</v>
      </c>
      <c r="EF278" s="38">
        <v>6855</v>
      </c>
      <c r="EG278" s="73">
        <v>29235</v>
      </c>
      <c r="EH278" s="73">
        <v>9318</v>
      </c>
      <c r="EI278" s="73">
        <v>-9054</v>
      </c>
      <c r="EJ278" s="73">
        <v>6437</v>
      </c>
      <c r="EK278" s="73">
        <v>24250</v>
      </c>
      <c r="EL278" s="73">
        <v>65867.942203900951</v>
      </c>
      <c r="EM278" s="73">
        <v>-1604.6810063692767</v>
      </c>
      <c r="EN278" s="73">
        <v>67665.534761921575</v>
      </c>
      <c r="EO278" s="73">
        <v>2022.6280036261317</v>
      </c>
      <c r="EP278" s="73">
        <v>69709.690820134783</v>
      </c>
      <c r="EQ278" s="73">
        <v>-161.29222147658908</v>
      </c>
      <c r="ER278" s="73">
        <v>75493.337235293235</v>
      </c>
      <c r="ES278" s="73">
        <v>1123.1589729099705</v>
      </c>
      <c r="ET278" s="73">
        <v>79471</v>
      </c>
      <c r="EU278" s="73">
        <v>3311</v>
      </c>
      <c r="EV278" s="73">
        <v>81600</v>
      </c>
      <c r="EW278" s="73">
        <v>-2959</v>
      </c>
      <c r="EX278" s="73">
        <v>84913</v>
      </c>
      <c r="EY278" s="73">
        <v>480</v>
      </c>
      <c r="EZ278" s="73">
        <v>88248</v>
      </c>
      <c r="FA278" s="73">
        <v>-1660</v>
      </c>
      <c r="FB278" s="73">
        <v>92193</v>
      </c>
      <c r="FC278" s="73">
        <v>-2339</v>
      </c>
      <c r="FD278" s="73">
        <v>95191</v>
      </c>
      <c r="FE278" s="73">
        <v>4350</v>
      </c>
      <c r="FF278" s="73">
        <v>103070</v>
      </c>
      <c r="FG278" s="73">
        <v>3558</v>
      </c>
      <c r="FH278" s="73">
        <v>3348</v>
      </c>
      <c r="FI278" s="73">
        <v>6906</v>
      </c>
      <c r="FJ278" s="79">
        <v>20631</v>
      </c>
      <c r="FK278" s="80">
        <v>67827</v>
      </c>
      <c r="FL278" s="80">
        <v>25079</v>
      </c>
      <c r="FM278" s="80">
        <v>20850</v>
      </c>
      <c r="FN278" s="76">
        <v>1832</v>
      </c>
      <c r="FO278" s="80">
        <v>61463</v>
      </c>
      <c r="FP278" s="80">
        <v>3921</v>
      </c>
      <c r="FQ278" s="80">
        <v>2443</v>
      </c>
      <c r="FR278" s="80">
        <v>9336</v>
      </c>
      <c r="FS278" s="81">
        <v>-14612</v>
      </c>
      <c r="FT278" s="76">
        <v>6254</v>
      </c>
      <c r="FU278" s="76">
        <v>40068</v>
      </c>
      <c r="FV278" s="76">
        <v>14612</v>
      </c>
      <c r="FW278" s="80">
        <v>105940</v>
      </c>
      <c r="FX278" s="80">
        <v>3178</v>
      </c>
      <c r="FY278" s="73">
        <v>20844</v>
      </c>
      <c r="FZ278" s="73">
        <v>66766</v>
      </c>
      <c r="GA278" s="73">
        <v>26820</v>
      </c>
      <c r="GB278" s="73">
        <v>22535</v>
      </c>
      <c r="GC278" s="73">
        <v>1976</v>
      </c>
      <c r="GD278" s="73">
        <v>59141</v>
      </c>
      <c r="GE278" s="73">
        <v>3923</v>
      </c>
      <c r="GF278" s="73">
        <v>3702</v>
      </c>
      <c r="GG278" s="73">
        <v>9914</v>
      </c>
      <c r="GH278" s="73">
        <v>-11226</v>
      </c>
      <c r="GI278" s="73">
        <v>6705</v>
      </c>
      <c r="GJ278" s="73">
        <v>41574</v>
      </c>
      <c r="GK278" s="73">
        <v>11226</v>
      </c>
      <c r="GL278" s="73">
        <v>107717</v>
      </c>
      <c r="GM278" s="73">
        <v>3366</v>
      </c>
      <c r="GN278" s="73">
        <v>13450</v>
      </c>
      <c r="GO278" s="77">
        <v>18.75</v>
      </c>
      <c r="GP278" s="78">
        <v>21022</v>
      </c>
      <c r="GQ278" s="73">
        <v>67409</v>
      </c>
      <c r="GR278" s="65">
        <v>28880</v>
      </c>
      <c r="GS278" s="65">
        <v>23464</v>
      </c>
      <c r="GT278" s="65">
        <v>4262</v>
      </c>
      <c r="GU278" s="65">
        <v>59951</v>
      </c>
      <c r="GV278" s="65">
        <v>3779</v>
      </c>
      <c r="GW278" s="65">
        <v>3679</v>
      </c>
      <c r="GX278" s="65">
        <v>4084</v>
      </c>
      <c r="GY278" s="65">
        <v>-4319</v>
      </c>
      <c r="GZ278" s="65">
        <v>6694</v>
      </c>
      <c r="HA278" s="65">
        <v>30738</v>
      </c>
      <c r="HB278" s="65">
        <v>4319</v>
      </c>
      <c r="HC278" s="65">
        <v>117308</v>
      </c>
      <c r="HD278" s="65">
        <v>-313</v>
      </c>
      <c r="HE278" s="78">
        <v>21172</v>
      </c>
      <c r="HF278" s="73">
        <v>69028</v>
      </c>
      <c r="HG278" s="65">
        <v>31298</v>
      </c>
      <c r="HH278" s="65">
        <v>23117</v>
      </c>
      <c r="HI278" s="65">
        <v>2124</v>
      </c>
      <c r="HJ278" s="65">
        <v>63030</v>
      </c>
      <c r="HK278" s="65">
        <v>2264</v>
      </c>
      <c r="HL278" s="65">
        <v>3734</v>
      </c>
      <c r="HM278" s="65">
        <v>1910</v>
      </c>
      <c r="HN278" s="65">
        <v>-8539</v>
      </c>
      <c r="HO278" s="65">
        <v>7885</v>
      </c>
      <c r="HP278" s="65">
        <v>34838</v>
      </c>
      <c r="HQ278" s="65">
        <v>8539</v>
      </c>
      <c r="HR278" s="65">
        <v>123178</v>
      </c>
      <c r="HS278" s="65">
        <v>-5820</v>
      </c>
      <c r="HT278" s="65">
        <v>7317</v>
      </c>
      <c r="HU278" s="77">
        <v>18.75</v>
      </c>
      <c r="HV278" s="180">
        <v>130</v>
      </c>
      <c r="HW278" s="30" t="s">
        <v>752</v>
      </c>
    </row>
    <row r="279" spans="1:231" ht="15" x14ac:dyDescent="0.25">
      <c r="A279" s="27">
        <v>911</v>
      </c>
      <c r="B279" s="27" t="s">
        <v>402</v>
      </c>
      <c r="C279" s="27">
        <v>12</v>
      </c>
      <c r="D279" s="27" t="s">
        <v>116</v>
      </c>
      <c r="E279" s="27">
        <v>2</v>
      </c>
      <c r="F279" s="27" t="s">
        <v>744</v>
      </c>
      <c r="G279" s="29" t="s">
        <v>130</v>
      </c>
      <c r="H279" s="27" t="s">
        <v>98</v>
      </c>
      <c r="I279" s="31" t="s">
        <v>116</v>
      </c>
      <c r="J279" s="69">
        <v>3137</v>
      </c>
      <c r="K279" s="69">
        <v>3088</v>
      </c>
      <c r="L279" s="36">
        <v>3002</v>
      </c>
      <c r="M279" s="36">
        <v>2927</v>
      </c>
      <c r="N279" s="36">
        <v>2877</v>
      </c>
      <c r="O279" s="36">
        <v>2816</v>
      </c>
      <c r="P279" s="36">
        <v>2769</v>
      </c>
      <c r="Q279" s="36">
        <v>2671</v>
      </c>
      <c r="R279" s="69">
        <v>2588</v>
      </c>
      <c r="S279" s="69">
        <v>2541</v>
      </c>
      <c r="T279" s="71">
        <v>2508</v>
      </c>
      <c r="U279" s="36">
        <v>4924</v>
      </c>
      <c r="V279" s="36">
        <v>4592</v>
      </c>
      <c r="W279" s="36">
        <v>2340</v>
      </c>
      <c r="X279" s="36">
        <v>487.74498673838201</v>
      </c>
      <c r="Y279" s="36">
        <v>4562</v>
      </c>
      <c r="Z279" s="36">
        <v>4757</v>
      </c>
      <c r="AA279" s="36">
        <v>2316</v>
      </c>
      <c r="AB279" s="36">
        <v>350.50363874578898</v>
      </c>
      <c r="AC279" s="36">
        <v>4420</v>
      </c>
      <c r="AD279" s="36">
        <v>4879</v>
      </c>
      <c r="AE279" s="36">
        <v>2533</v>
      </c>
      <c r="AF279" s="36">
        <v>377.91827075901529</v>
      </c>
      <c r="AG279" s="36">
        <v>4711</v>
      </c>
      <c r="AH279" s="36">
        <v>5345</v>
      </c>
      <c r="AI279" s="36">
        <v>2519</v>
      </c>
      <c r="AJ279" s="36">
        <v>367.99518309778614</v>
      </c>
      <c r="AK279" s="36">
        <v>4825</v>
      </c>
      <c r="AL279" s="36">
        <v>5685</v>
      </c>
      <c r="AM279" s="36">
        <v>2702</v>
      </c>
      <c r="AN279" s="36">
        <v>376</v>
      </c>
      <c r="AO279" s="36">
        <v>4513</v>
      </c>
      <c r="AP279" s="36">
        <v>6036</v>
      </c>
      <c r="AQ279" s="36">
        <v>2735</v>
      </c>
      <c r="AR279" s="36">
        <v>400</v>
      </c>
      <c r="AS279" s="36">
        <v>4652</v>
      </c>
      <c r="AT279" s="36">
        <v>6112</v>
      </c>
      <c r="AU279" s="36">
        <v>4849</v>
      </c>
      <c r="AV279" s="36">
        <v>441</v>
      </c>
      <c r="AW279" s="36">
        <v>4772</v>
      </c>
      <c r="AX279" s="69">
        <v>6173</v>
      </c>
      <c r="AY279" s="36">
        <v>5040</v>
      </c>
      <c r="AZ279" s="36">
        <v>345</v>
      </c>
      <c r="BA279" s="36">
        <v>4807</v>
      </c>
      <c r="BB279" s="36">
        <v>6534</v>
      </c>
      <c r="BC279" s="36">
        <v>5021</v>
      </c>
      <c r="BD279" s="36">
        <v>397</v>
      </c>
      <c r="BE279" s="70">
        <v>5472</v>
      </c>
      <c r="BF279" s="70">
        <v>7720</v>
      </c>
      <c r="BG279" s="70">
        <v>4942</v>
      </c>
      <c r="BH279" s="70">
        <v>432</v>
      </c>
      <c r="BI279" s="36">
        <v>5689</v>
      </c>
      <c r="BJ279" s="36">
        <v>8191</v>
      </c>
      <c r="BK279" s="36">
        <v>5229</v>
      </c>
      <c r="BL279" s="36">
        <v>625</v>
      </c>
      <c r="BM279" s="36">
        <v>3571.9751821895711</v>
      </c>
      <c r="BN279" s="36">
        <v>1278.7328048868683</v>
      </c>
      <c r="BO279" s="36">
        <v>73.161748010757293</v>
      </c>
      <c r="BP279" s="36">
        <v>3409.0010814483676</v>
      </c>
      <c r="BQ279" s="36">
        <v>1025.6099755622943</v>
      </c>
      <c r="BR279" s="36">
        <v>127.31826033136383</v>
      </c>
      <c r="BS279" s="36">
        <v>3230.553691472704</v>
      </c>
      <c r="BT279" s="36">
        <v>1059.7521246339809</v>
      </c>
      <c r="BU279" s="36">
        <v>129.33651544890199</v>
      </c>
      <c r="BV279" s="36">
        <v>3848</v>
      </c>
      <c r="BW279" s="36">
        <v>715</v>
      </c>
      <c r="BX279" s="36">
        <v>148</v>
      </c>
      <c r="BY279" s="36">
        <v>4216</v>
      </c>
      <c r="BZ279" s="36">
        <v>409</v>
      </c>
      <c r="CA279" s="36">
        <v>200</v>
      </c>
      <c r="CB279" s="36">
        <v>4086</v>
      </c>
      <c r="CC279" s="36">
        <v>230</v>
      </c>
      <c r="CD279" s="36">
        <v>197</v>
      </c>
      <c r="CE279" s="36">
        <v>4142</v>
      </c>
      <c r="CF279" s="36">
        <v>314</v>
      </c>
      <c r="CG279" s="36">
        <v>196</v>
      </c>
      <c r="CH279" s="36">
        <v>4168</v>
      </c>
      <c r="CI279" s="36">
        <v>398</v>
      </c>
      <c r="CJ279" s="70">
        <v>206</v>
      </c>
      <c r="CK279" s="70">
        <v>4092</v>
      </c>
      <c r="CL279" s="70">
        <v>510</v>
      </c>
      <c r="CM279" s="36">
        <v>205</v>
      </c>
      <c r="CN279" s="36">
        <v>4524</v>
      </c>
      <c r="CO279" s="36">
        <v>733</v>
      </c>
      <c r="CP279" s="36">
        <v>215</v>
      </c>
      <c r="CQ279" s="36">
        <v>4666</v>
      </c>
      <c r="CR279" s="36">
        <v>807</v>
      </c>
      <c r="CS279" s="36">
        <v>216</v>
      </c>
      <c r="CT279" s="36">
        <v>1131.9047450859691</v>
      </c>
      <c r="CU279" s="36">
        <v>-1255.8592470000001</v>
      </c>
      <c r="CV279" s="36">
        <v>538.03317675037374</v>
      </c>
      <c r="CW279" s="36">
        <v>90</v>
      </c>
      <c r="CX279" s="36">
        <v>297.35625398395149</v>
      </c>
      <c r="CY279" s="36">
        <v>-1066.479642</v>
      </c>
      <c r="CZ279" s="36">
        <v>665.51962500819911</v>
      </c>
      <c r="DA279" s="36">
        <v>66</v>
      </c>
      <c r="DB279" s="36">
        <v>13.623222043382393</v>
      </c>
      <c r="DC279" s="36">
        <v>-110.1630918</v>
      </c>
      <c r="DD279" s="36">
        <v>652.40096674420124</v>
      </c>
      <c r="DE279" s="36">
        <v>48</v>
      </c>
      <c r="DF279" s="36">
        <v>78.54376165752565</v>
      </c>
      <c r="DG279" s="36">
        <v>-414</v>
      </c>
      <c r="DH279" s="36">
        <v>599.42176990882535</v>
      </c>
      <c r="DI279" s="36">
        <v>29</v>
      </c>
      <c r="DJ279" s="36">
        <v>915</v>
      </c>
      <c r="DK279" s="36">
        <v>-132</v>
      </c>
      <c r="DL279" s="36">
        <v>584</v>
      </c>
      <c r="DM279" s="36">
        <v>11</v>
      </c>
      <c r="DN279" s="36">
        <v>1033</v>
      </c>
      <c r="DO279" s="69">
        <v>-225</v>
      </c>
      <c r="DP279" s="36">
        <v>492</v>
      </c>
      <c r="DQ279" s="36">
        <v>0</v>
      </c>
      <c r="DR279" s="36">
        <v>800</v>
      </c>
      <c r="DS279" s="36">
        <v>-208</v>
      </c>
      <c r="DT279" s="36">
        <v>486</v>
      </c>
      <c r="DU279" s="36">
        <v>0</v>
      </c>
      <c r="DV279" s="36">
        <v>1075</v>
      </c>
      <c r="DW279" s="71">
        <v>-912</v>
      </c>
      <c r="DX279" s="39">
        <v>659</v>
      </c>
      <c r="DY279" s="71">
        <v>0</v>
      </c>
      <c r="DZ279" s="70">
        <v>482</v>
      </c>
      <c r="EA279" s="35">
        <v>-238</v>
      </c>
      <c r="EB279" s="35">
        <v>482</v>
      </c>
      <c r="EC279" s="38">
        <v>0</v>
      </c>
      <c r="ED279" s="38">
        <v>1405</v>
      </c>
      <c r="EE279" s="38">
        <v>-155</v>
      </c>
      <c r="EF279" s="38">
        <v>466</v>
      </c>
      <c r="EG279" s="73">
        <v>0</v>
      </c>
      <c r="EH279" s="73">
        <v>1708</v>
      </c>
      <c r="EI279" s="73">
        <v>-998</v>
      </c>
      <c r="EJ279" s="73">
        <v>485</v>
      </c>
      <c r="EK279" s="73">
        <v>0</v>
      </c>
      <c r="EL279" s="73">
        <v>10686.324471511487</v>
      </c>
      <c r="EM279" s="73">
        <v>1408.0693203357703</v>
      </c>
      <c r="EN279" s="73">
        <v>11189.710935410791</v>
      </c>
      <c r="EO279" s="73">
        <v>-41.374229909531714</v>
      </c>
      <c r="EP279" s="73">
        <v>11710.925319515012</v>
      </c>
      <c r="EQ279" s="73">
        <v>-492.28606075284279</v>
      </c>
      <c r="ER279" s="73">
        <v>12288.31447105738</v>
      </c>
      <c r="ES279" s="73">
        <v>-497.49988647314962</v>
      </c>
      <c r="ET279" s="73">
        <v>12625</v>
      </c>
      <c r="EU279" s="73">
        <v>361</v>
      </c>
      <c r="EV279" s="73">
        <v>12645</v>
      </c>
      <c r="EW279" s="73">
        <v>581</v>
      </c>
      <c r="EX279" s="73">
        <v>15249</v>
      </c>
      <c r="EY279" s="73">
        <v>316</v>
      </c>
      <c r="EZ279" s="73">
        <v>15254</v>
      </c>
      <c r="FA279" s="73">
        <v>416</v>
      </c>
      <c r="FB279" s="73">
        <v>16277</v>
      </c>
      <c r="FC279" s="73">
        <v>290</v>
      </c>
      <c r="FD279" s="73">
        <v>17161</v>
      </c>
      <c r="FE279" s="73">
        <v>939</v>
      </c>
      <c r="FF279" s="73">
        <v>18026</v>
      </c>
      <c r="FG279" s="73">
        <v>1223</v>
      </c>
      <c r="FH279" s="73">
        <v>4039</v>
      </c>
      <c r="FI279" s="73">
        <v>5261</v>
      </c>
      <c r="FJ279" s="79">
        <v>2482</v>
      </c>
      <c r="FK279" s="80">
        <v>5621</v>
      </c>
      <c r="FL279" s="80">
        <v>8707</v>
      </c>
      <c r="FM279" s="80">
        <v>5162</v>
      </c>
      <c r="FN279" s="76">
        <v>402</v>
      </c>
      <c r="FO279" s="80">
        <v>4767</v>
      </c>
      <c r="FP279" s="80">
        <v>641</v>
      </c>
      <c r="FQ279" s="80">
        <v>213</v>
      </c>
      <c r="FR279" s="80">
        <v>1652</v>
      </c>
      <c r="FS279" s="81">
        <v>-1341</v>
      </c>
      <c r="FT279" s="76">
        <v>514</v>
      </c>
      <c r="FU279" s="76">
        <v>0</v>
      </c>
      <c r="FV279" s="76">
        <v>1341</v>
      </c>
      <c r="FW279" s="80">
        <v>18240</v>
      </c>
      <c r="FX279" s="80">
        <v>1138</v>
      </c>
      <c r="FY279" s="73">
        <v>2458</v>
      </c>
      <c r="FZ279" s="73">
        <v>5562</v>
      </c>
      <c r="GA279" s="73">
        <v>8866</v>
      </c>
      <c r="GB279" s="73">
        <v>5839</v>
      </c>
      <c r="GC279" s="73">
        <v>50</v>
      </c>
      <c r="GD279" s="73">
        <v>4483</v>
      </c>
      <c r="GE279" s="73">
        <v>853</v>
      </c>
      <c r="GF279" s="73">
        <v>226</v>
      </c>
      <c r="GG279" s="73">
        <v>510</v>
      </c>
      <c r="GH279" s="73">
        <v>-2058</v>
      </c>
      <c r="GI279" s="73">
        <v>576</v>
      </c>
      <c r="GJ279" s="73">
        <v>0</v>
      </c>
      <c r="GK279" s="73">
        <v>2058</v>
      </c>
      <c r="GL279" s="73">
        <v>19807</v>
      </c>
      <c r="GM279" s="73">
        <v>-55</v>
      </c>
      <c r="GN279" s="73">
        <v>6343</v>
      </c>
      <c r="GO279" s="77">
        <v>18.25</v>
      </c>
      <c r="GP279" s="78">
        <v>2437</v>
      </c>
      <c r="GQ279" s="73">
        <v>5708</v>
      </c>
      <c r="GR279" s="65">
        <v>8921</v>
      </c>
      <c r="GS279" s="65">
        <v>7574</v>
      </c>
      <c r="GT279" s="65">
        <v>355</v>
      </c>
      <c r="GU279" s="65">
        <v>4477</v>
      </c>
      <c r="GV279" s="65">
        <v>1005</v>
      </c>
      <c r="GW279" s="65">
        <v>226</v>
      </c>
      <c r="GX279" s="65">
        <v>397</v>
      </c>
      <c r="GY279" s="65">
        <v>-773</v>
      </c>
      <c r="GZ279" s="65">
        <v>783</v>
      </c>
      <c r="HA279" s="65">
        <v>0</v>
      </c>
      <c r="HB279" s="65">
        <v>773</v>
      </c>
      <c r="HC279" s="65">
        <v>22161</v>
      </c>
      <c r="HD279" s="65">
        <v>-347</v>
      </c>
      <c r="HE279" s="78">
        <v>2421</v>
      </c>
      <c r="HF279" s="73">
        <v>5865</v>
      </c>
      <c r="HG279" s="65">
        <v>8986</v>
      </c>
      <c r="HH279" s="65">
        <v>7413</v>
      </c>
      <c r="HI279" s="65">
        <v>320</v>
      </c>
      <c r="HJ279" s="65">
        <v>4895</v>
      </c>
      <c r="HK279" s="65">
        <v>741</v>
      </c>
      <c r="HL279" s="65">
        <v>229</v>
      </c>
      <c r="HM279" s="65">
        <v>331</v>
      </c>
      <c r="HN279" s="65">
        <v>-887</v>
      </c>
      <c r="HO279" s="65">
        <v>617</v>
      </c>
      <c r="HP279" s="65">
        <v>0</v>
      </c>
      <c r="HQ279" s="65">
        <v>887</v>
      </c>
      <c r="HR279" s="65">
        <v>22253</v>
      </c>
      <c r="HS279" s="65">
        <v>-250</v>
      </c>
      <c r="HT279" s="65">
        <v>5746</v>
      </c>
      <c r="HU279" s="77">
        <v>18.75</v>
      </c>
      <c r="HV279" s="180">
        <v>340</v>
      </c>
      <c r="HW279" s="30" t="s">
        <v>761</v>
      </c>
    </row>
    <row r="280" spans="1:231" ht="15" x14ac:dyDescent="0.25">
      <c r="A280" s="27">
        <v>92</v>
      </c>
      <c r="B280" s="27" t="s">
        <v>403</v>
      </c>
      <c r="C280" s="27">
        <v>1</v>
      </c>
      <c r="D280" s="27" t="s">
        <v>121</v>
      </c>
      <c r="E280" s="27">
        <v>7</v>
      </c>
      <c r="F280" s="27" t="s">
        <v>104</v>
      </c>
      <c r="G280" s="29" t="s">
        <v>141</v>
      </c>
      <c r="H280" s="27" t="s">
        <v>97</v>
      </c>
      <c r="I280" s="31" t="s">
        <v>121</v>
      </c>
      <c r="J280" s="69">
        <v>173860</v>
      </c>
      <c r="K280" s="69">
        <v>176387</v>
      </c>
      <c r="L280" s="36">
        <v>178471</v>
      </c>
      <c r="M280" s="36">
        <v>179856</v>
      </c>
      <c r="N280" s="36">
        <v>181890</v>
      </c>
      <c r="O280" s="36">
        <v>184039</v>
      </c>
      <c r="P280" s="36">
        <v>185429</v>
      </c>
      <c r="Q280" s="36">
        <v>187281</v>
      </c>
      <c r="R280" s="69">
        <v>189711</v>
      </c>
      <c r="S280" s="69">
        <v>192522</v>
      </c>
      <c r="T280" s="71">
        <v>195419</v>
      </c>
      <c r="U280" s="36">
        <v>478011</v>
      </c>
      <c r="V280" s="36">
        <v>30172</v>
      </c>
      <c r="W280" s="36">
        <v>99654</v>
      </c>
      <c r="X280" s="36">
        <v>11337.379934843997</v>
      </c>
      <c r="Y280" s="36">
        <v>496403</v>
      </c>
      <c r="Z280" s="36">
        <v>26731</v>
      </c>
      <c r="AA280" s="36">
        <v>108384</v>
      </c>
      <c r="AB280" s="36">
        <v>12061.4289582608</v>
      </c>
      <c r="AC280" s="36">
        <v>537002</v>
      </c>
      <c r="AD280" s="36">
        <v>26863</v>
      </c>
      <c r="AE280" s="36">
        <v>170484</v>
      </c>
      <c r="AF280" s="36">
        <v>12111.54896034633</v>
      </c>
      <c r="AG280" s="36">
        <v>586024</v>
      </c>
      <c r="AH280" s="36">
        <v>23626</v>
      </c>
      <c r="AI280" s="36">
        <v>183177</v>
      </c>
      <c r="AJ280" s="36">
        <v>11349.489465549226</v>
      </c>
      <c r="AK280" s="36">
        <v>586598</v>
      </c>
      <c r="AL280" s="36">
        <v>25153</v>
      </c>
      <c r="AM280" s="36">
        <v>199236</v>
      </c>
      <c r="AN280" s="36">
        <v>11013</v>
      </c>
      <c r="AO280" s="36">
        <v>561605</v>
      </c>
      <c r="AP280" s="36">
        <v>40719</v>
      </c>
      <c r="AQ280" s="36">
        <v>218027</v>
      </c>
      <c r="AR280" s="36">
        <v>12018</v>
      </c>
      <c r="AS280" s="36">
        <v>572646</v>
      </c>
      <c r="AT280" s="36">
        <v>63298</v>
      </c>
      <c r="AU280" s="36">
        <v>276601</v>
      </c>
      <c r="AV280" s="36">
        <v>12447</v>
      </c>
      <c r="AW280" s="36">
        <v>610509</v>
      </c>
      <c r="AX280" s="69">
        <v>71836</v>
      </c>
      <c r="AY280" s="36">
        <v>169943</v>
      </c>
      <c r="AZ280" s="36">
        <v>15333</v>
      </c>
      <c r="BA280" s="36">
        <v>649518</v>
      </c>
      <c r="BB280" s="36">
        <v>90185</v>
      </c>
      <c r="BC280" s="36">
        <v>243641</v>
      </c>
      <c r="BD280" s="36">
        <v>14921</v>
      </c>
      <c r="BE280" s="70">
        <v>708106</v>
      </c>
      <c r="BF280" s="70">
        <v>95609</v>
      </c>
      <c r="BG280" s="70">
        <v>248294</v>
      </c>
      <c r="BH280" s="70">
        <v>21346</v>
      </c>
      <c r="BI280" s="36">
        <v>754578</v>
      </c>
      <c r="BJ280" s="36">
        <v>106110</v>
      </c>
      <c r="BK280" s="36">
        <v>286305</v>
      </c>
      <c r="BL280" s="36">
        <v>17014</v>
      </c>
      <c r="BM280" s="36">
        <v>382683.53927944927</v>
      </c>
      <c r="BN280" s="36">
        <v>73961.649789008239</v>
      </c>
      <c r="BO280" s="36">
        <v>20960.924899045196</v>
      </c>
      <c r="BP280" s="36">
        <v>395957.26681164466</v>
      </c>
      <c r="BQ280" s="36">
        <v>78311.157755229375</v>
      </c>
      <c r="BR280" s="36">
        <v>21740.980501973685</v>
      </c>
      <c r="BS280" s="36">
        <v>410684.13802846748</v>
      </c>
      <c r="BT280" s="36">
        <v>101902.03726035325</v>
      </c>
      <c r="BU280" s="36">
        <v>24024.46797954162</v>
      </c>
      <c r="BV280" s="36">
        <v>466932</v>
      </c>
      <c r="BW280" s="36">
        <v>93393</v>
      </c>
      <c r="BX280" s="36">
        <v>25337</v>
      </c>
      <c r="BY280" s="36">
        <v>504238</v>
      </c>
      <c r="BZ280" s="36">
        <v>55910</v>
      </c>
      <c r="CA280" s="36">
        <v>26096</v>
      </c>
      <c r="CB280" s="36">
        <v>489759</v>
      </c>
      <c r="CC280" s="36">
        <v>38794</v>
      </c>
      <c r="CD280" s="36">
        <v>32714</v>
      </c>
      <c r="CE280" s="36">
        <v>491990</v>
      </c>
      <c r="CF280" s="36">
        <v>41264</v>
      </c>
      <c r="CG280" s="36">
        <v>39093</v>
      </c>
      <c r="CH280" s="36">
        <v>524621</v>
      </c>
      <c r="CI280" s="36">
        <v>44314</v>
      </c>
      <c r="CJ280" s="70">
        <v>41257</v>
      </c>
      <c r="CK280" s="70">
        <v>559113</v>
      </c>
      <c r="CL280" s="70">
        <v>47256</v>
      </c>
      <c r="CM280" s="36">
        <v>42858</v>
      </c>
      <c r="CN280" s="36">
        <v>599251</v>
      </c>
      <c r="CO280" s="36">
        <v>59119</v>
      </c>
      <c r="CP280" s="36">
        <v>49465</v>
      </c>
      <c r="CQ280" s="36">
        <v>644407</v>
      </c>
      <c r="CR280" s="36">
        <v>58830</v>
      </c>
      <c r="CS280" s="36">
        <v>51339</v>
      </c>
      <c r="CT280" s="36">
        <v>28564.028302664265</v>
      </c>
      <c r="CU280" s="36">
        <v>79394.792570000005</v>
      </c>
      <c r="CV280" s="36">
        <v>34005.916851252914</v>
      </c>
      <c r="CW280" s="36">
        <v>230618</v>
      </c>
      <c r="CX280" s="36">
        <v>31745.975683389592</v>
      </c>
      <c r="CY280" s="36">
        <v>-39504.148359999999</v>
      </c>
      <c r="CZ280" s="36">
        <v>36558.336823232807</v>
      </c>
      <c r="DA280" s="36">
        <v>205055</v>
      </c>
      <c r="DB280" s="36">
        <v>48738.338269648972</v>
      </c>
      <c r="DC280" s="36">
        <v>-51295.131130000002</v>
      </c>
      <c r="DD280" s="36">
        <v>37841.106138354749</v>
      </c>
      <c r="DE280" s="36">
        <v>155295</v>
      </c>
      <c r="DF280" s="36">
        <v>43478.933621271062</v>
      </c>
      <c r="DG280" s="36">
        <v>-82350</v>
      </c>
      <c r="DH280" s="36">
        <v>39561.668626056009</v>
      </c>
      <c r="DI280" s="36">
        <v>181655</v>
      </c>
      <c r="DJ280" s="36">
        <v>43491</v>
      </c>
      <c r="DK280" s="36">
        <v>-74234</v>
      </c>
      <c r="DL280" s="36">
        <v>41665</v>
      </c>
      <c r="DM280" s="36">
        <v>247226</v>
      </c>
      <c r="DN280" s="36">
        <v>-5363</v>
      </c>
      <c r="DO280" s="69">
        <v>-78535</v>
      </c>
      <c r="DP280" s="36">
        <v>45777</v>
      </c>
      <c r="DQ280" s="36">
        <v>322730</v>
      </c>
      <c r="DR280" s="36">
        <v>16485</v>
      </c>
      <c r="DS280" s="36">
        <v>-75621</v>
      </c>
      <c r="DT280" s="36">
        <v>50804</v>
      </c>
      <c r="DU280" s="36">
        <v>410787</v>
      </c>
      <c r="DV280" s="36">
        <v>32055</v>
      </c>
      <c r="DW280" s="71">
        <v>-53811</v>
      </c>
      <c r="DX280" s="39">
        <v>55066</v>
      </c>
      <c r="DY280" s="71">
        <v>466598</v>
      </c>
      <c r="DZ280" s="70">
        <v>54128</v>
      </c>
      <c r="EA280" s="35">
        <v>-63051</v>
      </c>
      <c r="EB280" s="35">
        <v>56723</v>
      </c>
      <c r="EC280" s="38">
        <v>527237</v>
      </c>
      <c r="ED280" s="38">
        <v>76171</v>
      </c>
      <c r="EE280" s="38">
        <v>-126664</v>
      </c>
      <c r="EF280" s="38">
        <v>60925</v>
      </c>
      <c r="EG280" s="73">
        <v>582339</v>
      </c>
      <c r="EH280" s="73">
        <v>70169</v>
      </c>
      <c r="EI280" s="73">
        <v>-73979</v>
      </c>
      <c r="EJ280" s="73">
        <v>67013</v>
      </c>
      <c r="EK280" s="73">
        <v>600707</v>
      </c>
      <c r="EL280" s="73">
        <v>547485.67459336366</v>
      </c>
      <c r="EM280" s="73">
        <v>21989.89863313672</v>
      </c>
      <c r="EN280" s="73">
        <v>573744.51917594636</v>
      </c>
      <c r="EO280" s="73">
        <v>14.800537528612971</v>
      </c>
      <c r="EP280" s="73">
        <v>658803.37654081162</v>
      </c>
      <c r="EQ280" s="73">
        <v>43575.473491059973</v>
      </c>
      <c r="ER280" s="73">
        <v>720137.47681108967</v>
      </c>
      <c r="ES280" s="73">
        <v>27972.847741152054</v>
      </c>
      <c r="ET280" s="73">
        <v>768114</v>
      </c>
      <c r="EU280" s="73">
        <v>23185</v>
      </c>
      <c r="EV280" s="73">
        <v>828711</v>
      </c>
      <c r="EW280" s="73">
        <v>-51112</v>
      </c>
      <c r="EX280" s="73">
        <v>898112</v>
      </c>
      <c r="EY280" s="73">
        <v>-35662</v>
      </c>
      <c r="EZ280" s="73">
        <v>882715</v>
      </c>
      <c r="FA280" s="73">
        <v>-24493</v>
      </c>
      <c r="FB280" s="73">
        <v>931191</v>
      </c>
      <c r="FC280" s="73">
        <v>-4405</v>
      </c>
      <c r="FD280" s="73">
        <v>974627</v>
      </c>
      <c r="FE280" s="73">
        <v>13787</v>
      </c>
      <c r="FF280" s="73">
        <v>1071982</v>
      </c>
      <c r="FG280" s="73">
        <v>2944</v>
      </c>
      <c r="FH280" s="73">
        <v>140105</v>
      </c>
      <c r="FI280" s="73">
        <v>145352</v>
      </c>
      <c r="FJ280" s="79">
        <v>197636</v>
      </c>
      <c r="FK280" s="80">
        <v>763622</v>
      </c>
      <c r="FL280" s="80">
        <v>110512</v>
      </c>
      <c r="FM280" s="80">
        <v>302655</v>
      </c>
      <c r="FN280" s="76">
        <v>16979</v>
      </c>
      <c r="FO280" s="80">
        <v>670927</v>
      </c>
      <c r="FP280" s="80">
        <v>39249</v>
      </c>
      <c r="FQ280" s="80">
        <v>53444</v>
      </c>
      <c r="FR280" s="80">
        <v>57132</v>
      </c>
      <c r="FS280" s="81">
        <v>-100590</v>
      </c>
      <c r="FT280" s="76">
        <v>71543</v>
      </c>
      <c r="FU280" s="76">
        <v>723855</v>
      </c>
      <c r="FV280" s="76">
        <v>100590</v>
      </c>
      <c r="FW280" s="80">
        <v>1123429</v>
      </c>
      <c r="FX280" s="80">
        <v>-14390</v>
      </c>
      <c r="FY280" s="73">
        <v>200055</v>
      </c>
      <c r="FZ280" s="73">
        <v>804718</v>
      </c>
      <c r="GA280" s="73">
        <v>128960</v>
      </c>
      <c r="GB280" s="73">
        <v>279643</v>
      </c>
      <c r="GC280" s="73">
        <v>220141</v>
      </c>
      <c r="GD280" s="73">
        <v>697064</v>
      </c>
      <c r="GE280" s="73">
        <v>48366</v>
      </c>
      <c r="GF280" s="73">
        <v>59287</v>
      </c>
      <c r="GG280" s="73">
        <v>77455</v>
      </c>
      <c r="GH280" s="73">
        <v>184874</v>
      </c>
      <c r="GI280" s="73">
        <v>62232</v>
      </c>
      <c r="GJ280" s="73">
        <v>755166</v>
      </c>
      <c r="GK280" s="73">
        <v>-184874</v>
      </c>
      <c r="GL280" s="73">
        <v>1154345</v>
      </c>
      <c r="GM280" s="73">
        <v>209199</v>
      </c>
      <c r="GN280" s="73">
        <v>340041</v>
      </c>
      <c r="GO280" s="77">
        <v>19</v>
      </c>
      <c r="GP280" s="78">
        <v>203001</v>
      </c>
      <c r="GQ280" s="73">
        <v>835600</v>
      </c>
      <c r="GR280" s="65">
        <v>136577</v>
      </c>
      <c r="GS280" s="65">
        <v>362666</v>
      </c>
      <c r="GT280" s="65">
        <v>18252</v>
      </c>
      <c r="GU280" s="65">
        <v>710169</v>
      </c>
      <c r="GV280" s="65">
        <v>65575</v>
      </c>
      <c r="GW280" s="65">
        <v>59856</v>
      </c>
      <c r="GX280" s="65">
        <v>79031</v>
      </c>
      <c r="GY280" s="65">
        <v>-126005</v>
      </c>
      <c r="GZ280" s="65">
        <v>65775</v>
      </c>
      <c r="HA280" s="65">
        <v>857773</v>
      </c>
      <c r="HB280" s="65">
        <v>126005</v>
      </c>
      <c r="HC280" s="65">
        <v>1273593</v>
      </c>
      <c r="HD280" s="65">
        <v>13191</v>
      </c>
      <c r="HE280" s="78">
        <v>205312</v>
      </c>
      <c r="HF280" s="73">
        <v>857077</v>
      </c>
      <c r="HG280" s="65">
        <v>148170</v>
      </c>
      <c r="HH280" s="65">
        <v>351368</v>
      </c>
      <c r="HI280" s="65">
        <v>18241</v>
      </c>
      <c r="HJ280" s="65">
        <v>739107</v>
      </c>
      <c r="HK280" s="65">
        <v>56266</v>
      </c>
      <c r="HL280" s="65">
        <v>61704</v>
      </c>
      <c r="HM280" s="65">
        <v>64747</v>
      </c>
      <c r="HN280" s="65">
        <v>-119593</v>
      </c>
      <c r="HO280" s="65">
        <v>68432</v>
      </c>
      <c r="HP280" s="65">
        <v>953142</v>
      </c>
      <c r="HQ280" s="65">
        <v>119593</v>
      </c>
      <c r="HR280" s="65">
        <v>1309435</v>
      </c>
      <c r="HS280" s="65">
        <v>-3230</v>
      </c>
      <c r="HT280" s="65">
        <v>336482</v>
      </c>
      <c r="HU280" s="77">
        <v>19</v>
      </c>
      <c r="HV280" s="180">
        <v>110</v>
      </c>
      <c r="HW280" s="30" t="s">
        <v>750</v>
      </c>
    </row>
    <row r="281" spans="1:231" ht="15" x14ac:dyDescent="0.25">
      <c r="A281" s="32">
        <v>915</v>
      </c>
      <c r="B281" s="32" t="s">
        <v>404</v>
      </c>
      <c r="C281" s="32">
        <v>11</v>
      </c>
      <c r="D281" s="32" t="s">
        <v>118</v>
      </c>
      <c r="E281" s="27">
        <v>5</v>
      </c>
      <c r="F281" s="27" t="s">
        <v>101</v>
      </c>
      <c r="G281" s="43" t="s">
        <v>141</v>
      </c>
      <c r="H281" s="32" t="s">
        <v>97</v>
      </c>
      <c r="I281" s="33" t="s">
        <v>118</v>
      </c>
      <c r="J281" s="69">
        <v>25360</v>
      </c>
      <c r="K281" s="69">
        <v>25101</v>
      </c>
      <c r="L281" s="36">
        <v>24890</v>
      </c>
      <c r="M281" s="36">
        <v>24731</v>
      </c>
      <c r="N281" s="36">
        <v>24546</v>
      </c>
      <c r="O281" s="36">
        <v>24366</v>
      </c>
      <c r="P281" s="36">
        <v>24269</v>
      </c>
      <c r="Q281" s="36">
        <v>23946</v>
      </c>
      <c r="R281" s="69">
        <v>23643</v>
      </c>
      <c r="S281" s="69">
        <v>23405</v>
      </c>
      <c r="T281" s="71">
        <v>23182</v>
      </c>
      <c r="U281" s="36">
        <v>57181</v>
      </c>
      <c r="V281" s="36">
        <v>19873</v>
      </c>
      <c r="W281" s="36">
        <v>24572</v>
      </c>
      <c r="X281" s="36">
        <v>2344.5396948734638</v>
      </c>
      <c r="Y281" s="36">
        <v>56892</v>
      </c>
      <c r="Z281" s="36">
        <v>19801</v>
      </c>
      <c r="AA281" s="36">
        <v>23539</v>
      </c>
      <c r="AB281" s="36">
        <v>1841.994170606469</v>
      </c>
      <c r="AC281" s="36">
        <v>59257</v>
      </c>
      <c r="AD281" s="36">
        <v>22152</v>
      </c>
      <c r="AE281" s="36">
        <v>23065</v>
      </c>
      <c r="AF281" s="36">
        <v>1171.9334715838088</v>
      </c>
      <c r="AG281" s="36">
        <v>66052</v>
      </c>
      <c r="AH281" s="36">
        <v>22001</v>
      </c>
      <c r="AI281" s="36">
        <v>21718</v>
      </c>
      <c r="AJ281" s="36">
        <v>1153.0964238201198</v>
      </c>
      <c r="AK281" s="36">
        <v>67623</v>
      </c>
      <c r="AL281" s="36">
        <v>24068</v>
      </c>
      <c r="AM281" s="36">
        <v>22962</v>
      </c>
      <c r="AN281" s="36">
        <v>649</v>
      </c>
      <c r="AO281" s="36">
        <v>62316</v>
      </c>
      <c r="AP281" s="36">
        <v>25547</v>
      </c>
      <c r="AQ281" s="36">
        <v>24604</v>
      </c>
      <c r="AR281" s="36">
        <v>1005</v>
      </c>
      <c r="AS281" s="36">
        <v>62457</v>
      </c>
      <c r="AT281" s="36">
        <v>23225</v>
      </c>
      <c r="AU281" s="36">
        <v>27991</v>
      </c>
      <c r="AV281" s="36">
        <v>3512</v>
      </c>
      <c r="AW281" s="36">
        <v>61162</v>
      </c>
      <c r="AX281" s="69">
        <v>25909</v>
      </c>
      <c r="AY281" s="36">
        <v>26324</v>
      </c>
      <c r="AZ281" s="36">
        <v>962</v>
      </c>
      <c r="BA281" s="36">
        <v>64701</v>
      </c>
      <c r="BB281" s="36">
        <v>27087</v>
      </c>
      <c r="BC281" s="36">
        <v>29630</v>
      </c>
      <c r="BD281" s="36">
        <v>2233</v>
      </c>
      <c r="BE281" s="70">
        <v>67076</v>
      </c>
      <c r="BF281" s="70">
        <v>27857</v>
      </c>
      <c r="BG281" s="70">
        <v>29170</v>
      </c>
      <c r="BH281" s="70">
        <v>1205</v>
      </c>
      <c r="BI281" s="36">
        <v>71472</v>
      </c>
      <c r="BJ281" s="36">
        <v>32229</v>
      </c>
      <c r="BK281" s="36">
        <v>30102</v>
      </c>
      <c r="BL281" s="36">
        <v>1147</v>
      </c>
      <c r="BM281" s="36">
        <v>49966.446508670939</v>
      </c>
      <c r="BN281" s="36">
        <v>5250.1543124225282</v>
      </c>
      <c r="BO281" s="36">
        <v>1933.3202146750691</v>
      </c>
      <c r="BP281" s="36">
        <v>48346.796776846582</v>
      </c>
      <c r="BQ281" s="36">
        <v>6509.7136936927836</v>
      </c>
      <c r="BR281" s="36">
        <v>2005.1364592741345</v>
      </c>
      <c r="BS281" s="36">
        <v>45051.154357833264</v>
      </c>
      <c r="BT281" s="36">
        <v>12164.864533034632</v>
      </c>
      <c r="BU281" s="36">
        <v>2000.7635731861353</v>
      </c>
      <c r="BV281" s="36">
        <v>52266</v>
      </c>
      <c r="BW281" s="36">
        <v>11607</v>
      </c>
      <c r="BX281" s="36">
        <v>2140</v>
      </c>
      <c r="BY281" s="36">
        <v>56343</v>
      </c>
      <c r="BZ281" s="36">
        <v>9130</v>
      </c>
      <c r="CA281" s="36">
        <v>2113</v>
      </c>
      <c r="CB281" s="36">
        <v>54327</v>
      </c>
      <c r="CC281" s="36">
        <v>5759</v>
      </c>
      <c r="CD281" s="36">
        <v>2197</v>
      </c>
      <c r="CE281" s="36">
        <v>55093</v>
      </c>
      <c r="CF281" s="36">
        <v>5089</v>
      </c>
      <c r="CG281" s="36">
        <v>2202</v>
      </c>
      <c r="CH281" s="36">
        <v>54630</v>
      </c>
      <c r="CI281" s="36">
        <v>4278</v>
      </c>
      <c r="CJ281" s="70">
        <v>2254</v>
      </c>
      <c r="CK281" s="70">
        <v>58027</v>
      </c>
      <c r="CL281" s="70">
        <v>4457</v>
      </c>
      <c r="CM281" s="36">
        <v>2217</v>
      </c>
      <c r="CN281" s="36">
        <v>59898</v>
      </c>
      <c r="CO281" s="36">
        <v>4808</v>
      </c>
      <c r="CP281" s="36">
        <v>2370</v>
      </c>
      <c r="CQ281" s="36">
        <v>63664</v>
      </c>
      <c r="CR281" s="36">
        <v>4513</v>
      </c>
      <c r="CS281" s="36">
        <v>3295</v>
      </c>
      <c r="CT281" s="36">
        <v>2911.5011949752175</v>
      </c>
      <c r="CU281" s="36">
        <v>-4454.7936080000009</v>
      </c>
      <c r="CV281" s="36">
        <v>4778.5553666244514</v>
      </c>
      <c r="CW281" s="36">
        <v>27660</v>
      </c>
      <c r="CX281" s="36">
        <v>903.84191680416029</v>
      </c>
      <c r="CY281" s="36">
        <v>2126.5681424499999</v>
      </c>
      <c r="CZ281" s="36">
        <v>4927.7380573958117</v>
      </c>
      <c r="DA281" s="36">
        <v>22560</v>
      </c>
      <c r="DB281" s="36">
        <v>2855.494615463534</v>
      </c>
      <c r="DC281" s="36">
        <v>-5881.3636005400003</v>
      </c>
      <c r="DD281" s="36">
        <v>4720.3623440687688</v>
      </c>
      <c r="DE281" s="36">
        <v>24938</v>
      </c>
      <c r="DF281" s="36">
        <v>4979.7081266724181</v>
      </c>
      <c r="DG281" s="36">
        <v>-6005</v>
      </c>
      <c r="DH281" s="36">
        <v>5134.1046431640852</v>
      </c>
      <c r="DI281" s="36">
        <v>30883</v>
      </c>
      <c r="DJ281" s="36">
        <v>6165</v>
      </c>
      <c r="DK281" s="36">
        <v>-7010</v>
      </c>
      <c r="DL281" s="36">
        <v>5183</v>
      </c>
      <c r="DM281" s="36">
        <v>29042</v>
      </c>
      <c r="DN281" s="36">
        <v>176</v>
      </c>
      <c r="DO281" s="69">
        <v>-9250</v>
      </c>
      <c r="DP281" s="36">
        <v>5172</v>
      </c>
      <c r="DQ281" s="36">
        <v>37676</v>
      </c>
      <c r="DR281" s="36">
        <v>22</v>
      </c>
      <c r="DS281" s="36">
        <v>-15537</v>
      </c>
      <c r="DT281" s="36">
        <v>5649</v>
      </c>
      <c r="DU281" s="36">
        <v>52514</v>
      </c>
      <c r="DV281" s="36">
        <v>-5038</v>
      </c>
      <c r="DW281" s="71">
        <v>-4066</v>
      </c>
      <c r="DX281" s="39">
        <v>5904</v>
      </c>
      <c r="DY281" s="71">
        <v>59987</v>
      </c>
      <c r="DZ281" s="70">
        <v>3187</v>
      </c>
      <c r="EA281" s="35">
        <v>-2611</v>
      </c>
      <c r="EB281" s="35">
        <v>5655</v>
      </c>
      <c r="EC281" s="38">
        <v>59006</v>
      </c>
      <c r="ED281" s="38">
        <v>3957</v>
      </c>
      <c r="EE281" s="38">
        <v>-4350</v>
      </c>
      <c r="EF281" s="38">
        <v>5751</v>
      </c>
      <c r="EG281" s="73">
        <v>56073</v>
      </c>
      <c r="EH281" s="73">
        <v>9558</v>
      </c>
      <c r="EI281" s="73">
        <v>-3855</v>
      </c>
      <c r="EJ281" s="73">
        <v>5555</v>
      </c>
      <c r="EK281" s="73">
        <v>52363</v>
      </c>
      <c r="EL281" s="73">
        <v>95887.973385942518</v>
      </c>
      <c r="EM281" s="73">
        <v>-267.58699100026405</v>
      </c>
      <c r="EN281" s="73">
        <v>96353.517566387964</v>
      </c>
      <c r="EO281" s="73">
        <v>1465.0850274062225</v>
      </c>
      <c r="EP281" s="73">
        <v>97827.684741823119</v>
      </c>
      <c r="EQ281" s="73">
        <v>-1821.307055651703</v>
      </c>
      <c r="ER281" s="73">
        <v>100595.21707174729</v>
      </c>
      <c r="ES281" s="73">
        <v>-298.53356946918205</v>
      </c>
      <c r="ET281" s="73">
        <v>107791</v>
      </c>
      <c r="EU281" s="73">
        <v>1395</v>
      </c>
      <c r="EV281" s="73">
        <v>112151</v>
      </c>
      <c r="EW281" s="73">
        <v>-5261</v>
      </c>
      <c r="EX281" s="73">
        <v>114189</v>
      </c>
      <c r="EY281" s="73">
        <v>-4750</v>
      </c>
      <c r="EZ281" s="73">
        <v>118004</v>
      </c>
      <c r="FA281" s="73">
        <v>-11505</v>
      </c>
      <c r="FB281" s="73">
        <v>117224</v>
      </c>
      <c r="FC281" s="73">
        <v>-1281</v>
      </c>
      <c r="FD281" s="73">
        <v>118230</v>
      </c>
      <c r="FE281" s="73">
        <v>-1482</v>
      </c>
      <c r="FF281" s="73">
        <v>123740</v>
      </c>
      <c r="FG281" s="73">
        <v>3560</v>
      </c>
      <c r="FH281" s="73">
        <v>-15322</v>
      </c>
      <c r="FI281" s="73">
        <v>-11762</v>
      </c>
      <c r="FJ281" s="79">
        <v>22935</v>
      </c>
      <c r="FK281" s="80">
        <v>68449</v>
      </c>
      <c r="FL281" s="80">
        <v>33603</v>
      </c>
      <c r="FM281" s="80">
        <v>30990</v>
      </c>
      <c r="FN281" s="76">
        <v>1086</v>
      </c>
      <c r="FO281" s="80">
        <v>61997</v>
      </c>
      <c r="FP281" s="80">
        <v>2994</v>
      </c>
      <c r="FQ281" s="80">
        <v>3458</v>
      </c>
      <c r="FR281" s="80">
        <v>4279</v>
      </c>
      <c r="FS281" s="81">
        <v>-3649</v>
      </c>
      <c r="FT281" s="76">
        <v>5351</v>
      </c>
      <c r="FU281" s="76">
        <v>45428</v>
      </c>
      <c r="FV281" s="76">
        <v>3649</v>
      </c>
      <c r="FW281" s="80">
        <v>128102</v>
      </c>
      <c r="FX281" s="80">
        <v>174</v>
      </c>
      <c r="FY281" s="73">
        <v>22777</v>
      </c>
      <c r="FZ281" s="73">
        <v>71761</v>
      </c>
      <c r="GA281" s="73">
        <v>37466</v>
      </c>
      <c r="GB281" s="73">
        <v>32918</v>
      </c>
      <c r="GC281" s="73">
        <v>985</v>
      </c>
      <c r="GD281" s="73">
        <v>64839</v>
      </c>
      <c r="GE281" s="73">
        <v>3224</v>
      </c>
      <c r="GF281" s="73">
        <v>3698</v>
      </c>
      <c r="GG281" s="73">
        <v>7816</v>
      </c>
      <c r="GH281" s="73">
        <v>-6005</v>
      </c>
      <c r="GI281" s="73">
        <v>5875</v>
      </c>
      <c r="GJ281" s="73">
        <v>43454</v>
      </c>
      <c r="GK281" s="73">
        <v>6005</v>
      </c>
      <c r="GL281" s="73">
        <v>134588</v>
      </c>
      <c r="GM281" s="73">
        <v>1903</v>
      </c>
      <c r="GN281" s="73">
        <v>-9447</v>
      </c>
      <c r="GO281" s="77">
        <v>20</v>
      </c>
      <c r="GP281" s="78">
        <v>22606</v>
      </c>
      <c r="GQ281" s="73">
        <v>72277</v>
      </c>
      <c r="GR281" s="65">
        <v>39816</v>
      </c>
      <c r="GS281" s="65">
        <v>29229</v>
      </c>
      <c r="GT281" s="65">
        <v>1618</v>
      </c>
      <c r="GU281" s="65">
        <v>64563</v>
      </c>
      <c r="GV281" s="65">
        <v>3951</v>
      </c>
      <c r="GW281" s="65">
        <v>3763</v>
      </c>
      <c r="GX281" s="65">
        <v>6468</v>
      </c>
      <c r="GY281" s="65">
        <v>-5732</v>
      </c>
      <c r="GZ281" s="65">
        <v>5649</v>
      </c>
      <c r="HA281" s="65">
        <v>42228</v>
      </c>
      <c r="HB281" s="65">
        <v>5732</v>
      </c>
      <c r="HC281" s="65">
        <v>135526</v>
      </c>
      <c r="HD281" s="65">
        <v>913</v>
      </c>
      <c r="HE281" s="78">
        <v>22340</v>
      </c>
      <c r="HF281" s="73">
        <v>72423</v>
      </c>
      <c r="HG281" s="65">
        <v>42432</v>
      </c>
      <c r="HH281" s="65">
        <v>29080</v>
      </c>
      <c r="HI281" s="65">
        <v>44187</v>
      </c>
      <c r="HJ281" s="65">
        <v>65681</v>
      </c>
      <c r="HK281" s="65">
        <v>2939</v>
      </c>
      <c r="HL281" s="65">
        <v>3803</v>
      </c>
      <c r="HM281" s="65">
        <v>151</v>
      </c>
      <c r="HN281" s="65">
        <v>41500</v>
      </c>
      <c r="HO281" s="65">
        <v>4114</v>
      </c>
      <c r="HP281" s="65">
        <v>44127</v>
      </c>
      <c r="HQ281" s="65">
        <v>-41500</v>
      </c>
      <c r="HR281" s="65">
        <v>144797</v>
      </c>
      <c r="HS281" s="65">
        <v>24414</v>
      </c>
      <c r="HT281" s="65">
        <v>16222</v>
      </c>
      <c r="HU281" s="77">
        <v>20</v>
      </c>
      <c r="HV281" s="180">
        <v>140</v>
      </c>
      <c r="HW281" s="30" t="s">
        <v>753</v>
      </c>
    </row>
    <row r="282" spans="1:231" ht="15" x14ac:dyDescent="0.25">
      <c r="A282" s="27">
        <v>918</v>
      </c>
      <c r="B282" s="27" t="s">
        <v>405</v>
      </c>
      <c r="C282" s="27">
        <v>2</v>
      </c>
      <c r="D282" s="27" t="s">
        <v>122</v>
      </c>
      <c r="E282" s="27">
        <v>2</v>
      </c>
      <c r="F282" s="27" t="s">
        <v>744</v>
      </c>
      <c r="G282" s="29" t="s">
        <v>130</v>
      </c>
      <c r="H282" s="27" t="s">
        <v>98</v>
      </c>
      <c r="I282" s="31" t="s">
        <v>122</v>
      </c>
      <c r="J282" s="69">
        <v>2584</v>
      </c>
      <c r="K282" s="69">
        <v>2515</v>
      </c>
      <c r="L282" s="36">
        <v>2539</v>
      </c>
      <c r="M282" s="36">
        <v>2509</v>
      </c>
      <c r="N282" s="36">
        <v>2491</v>
      </c>
      <c r="O282" s="36">
        <v>2470</v>
      </c>
      <c r="P282" s="36">
        <v>2448</v>
      </c>
      <c r="Q282" s="36">
        <v>2464</v>
      </c>
      <c r="R282" s="69">
        <v>2468</v>
      </c>
      <c r="S282" s="69">
        <v>2448</v>
      </c>
      <c r="T282" s="71">
        <v>2445</v>
      </c>
      <c r="U282" s="36">
        <v>4641</v>
      </c>
      <c r="V282" s="36">
        <v>2550</v>
      </c>
      <c r="W282" s="36">
        <v>1144</v>
      </c>
      <c r="X282" s="36">
        <v>232.43571436980824</v>
      </c>
      <c r="Y282" s="36">
        <v>4304</v>
      </c>
      <c r="Z282" s="36">
        <v>2710</v>
      </c>
      <c r="AA282" s="36">
        <v>1091</v>
      </c>
      <c r="AB282" s="36">
        <v>162.3013490353581</v>
      </c>
      <c r="AC282" s="36">
        <v>4421</v>
      </c>
      <c r="AD282" s="36">
        <v>3195</v>
      </c>
      <c r="AE282" s="36">
        <v>2408</v>
      </c>
      <c r="AF282" s="36">
        <v>193.92067921012222</v>
      </c>
      <c r="AG282" s="36">
        <v>4787</v>
      </c>
      <c r="AH282" s="36">
        <v>3741</v>
      </c>
      <c r="AI282" s="36">
        <v>2267</v>
      </c>
      <c r="AJ282" s="36">
        <v>176.26094693166357</v>
      </c>
      <c r="AK282" s="36">
        <v>5206</v>
      </c>
      <c r="AL282" s="36">
        <v>3689</v>
      </c>
      <c r="AM282" s="36">
        <v>2230</v>
      </c>
      <c r="AN282" s="36">
        <v>121</v>
      </c>
      <c r="AO282" s="36">
        <v>5035</v>
      </c>
      <c r="AP282" s="36">
        <v>4034</v>
      </c>
      <c r="AQ282" s="36">
        <v>2400</v>
      </c>
      <c r="AR282" s="36">
        <v>109</v>
      </c>
      <c r="AS282" s="36">
        <v>5126</v>
      </c>
      <c r="AT282" s="36">
        <v>4094</v>
      </c>
      <c r="AU282" s="36">
        <v>3744</v>
      </c>
      <c r="AV282" s="36">
        <v>107</v>
      </c>
      <c r="AW282" s="36">
        <v>5126</v>
      </c>
      <c r="AX282" s="69">
        <v>4115</v>
      </c>
      <c r="AY282" s="36">
        <v>3992</v>
      </c>
      <c r="AZ282" s="36">
        <v>85</v>
      </c>
      <c r="BA282" s="36">
        <v>5489</v>
      </c>
      <c r="BB282" s="36">
        <v>4211</v>
      </c>
      <c r="BC282" s="36">
        <v>4141</v>
      </c>
      <c r="BD282" s="36">
        <v>85</v>
      </c>
      <c r="BE282" s="70">
        <v>5959</v>
      </c>
      <c r="BF282" s="70">
        <v>4249</v>
      </c>
      <c r="BG282" s="70">
        <v>4123</v>
      </c>
      <c r="BH282" s="70">
        <v>138</v>
      </c>
      <c r="BI282" s="36">
        <v>6130</v>
      </c>
      <c r="BJ282" s="36">
        <v>5036</v>
      </c>
      <c r="BK282" s="36">
        <v>4416</v>
      </c>
      <c r="BL282" s="36">
        <v>121</v>
      </c>
      <c r="BM282" s="36">
        <v>3551.6244430877282</v>
      </c>
      <c r="BN282" s="36">
        <v>859.60849214478287</v>
      </c>
      <c r="BO282" s="36">
        <v>225.8763852378093</v>
      </c>
      <c r="BP282" s="36">
        <v>3397.2279265960615</v>
      </c>
      <c r="BQ282" s="36">
        <v>671.06982658142886</v>
      </c>
      <c r="BR282" s="36">
        <v>232.94027814919278</v>
      </c>
      <c r="BS282" s="36">
        <v>3498.645246252353</v>
      </c>
      <c r="BT282" s="36">
        <v>687.21586752173414</v>
      </c>
      <c r="BU282" s="36">
        <v>232.09933851688521</v>
      </c>
      <c r="BV282" s="36">
        <v>4188</v>
      </c>
      <c r="BW282" s="36">
        <v>352</v>
      </c>
      <c r="BX282" s="36">
        <v>247</v>
      </c>
      <c r="BY282" s="36">
        <v>4615</v>
      </c>
      <c r="BZ282" s="36">
        <v>242</v>
      </c>
      <c r="CA282" s="36">
        <v>349</v>
      </c>
      <c r="CB282" s="36">
        <v>4570</v>
      </c>
      <c r="CC282" s="36">
        <v>118</v>
      </c>
      <c r="CD282" s="36">
        <v>347</v>
      </c>
      <c r="CE282" s="36">
        <v>4614</v>
      </c>
      <c r="CF282" s="36">
        <v>167</v>
      </c>
      <c r="CG282" s="36">
        <v>345</v>
      </c>
      <c r="CH282" s="36">
        <v>4537</v>
      </c>
      <c r="CI282" s="36">
        <v>224</v>
      </c>
      <c r="CJ282" s="70">
        <v>365</v>
      </c>
      <c r="CK282" s="70">
        <v>4906</v>
      </c>
      <c r="CL282" s="70">
        <v>227</v>
      </c>
      <c r="CM282" s="36">
        <v>356</v>
      </c>
      <c r="CN282" s="36">
        <v>5254</v>
      </c>
      <c r="CO282" s="36">
        <v>338</v>
      </c>
      <c r="CP282" s="36">
        <v>367</v>
      </c>
      <c r="CQ282" s="36">
        <v>5362</v>
      </c>
      <c r="CR282" s="36">
        <v>363</v>
      </c>
      <c r="CS282" s="36">
        <v>405</v>
      </c>
      <c r="CT282" s="36">
        <v>321.23893954148605</v>
      </c>
      <c r="CU282" s="36">
        <v>-327.63008070000001</v>
      </c>
      <c r="CV282" s="36">
        <v>216.62604928242621</v>
      </c>
      <c r="CW282" s="36">
        <v>1872</v>
      </c>
      <c r="CX282" s="36">
        <v>-87.625909686447258</v>
      </c>
      <c r="CY282" s="36">
        <v>103.7719506</v>
      </c>
      <c r="CZ282" s="36">
        <v>201.15276004796718</v>
      </c>
      <c r="DA282" s="36">
        <v>1595</v>
      </c>
      <c r="DB282" s="36">
        <v>-268.2597427061101</v>
      </c>
      <c r="DC282" s="36">
        <v>-223.5217543</v>
      </c>
      <c r="DD282" s="36">
        <v>211.58041148858086</v>
      </c>
      <c r="DE282" s="36">
        <v>1554</v>
      </c>
      <c r="DF282" s="36">
        <v>525.75545811868346</v>
      </c>
      <c r="DG282" s="36">
        <v>-491</v>
      </c>
      <c r="DH282" s="36">
        <v>206.19839784181252</v>
      </c>
      <c r="DI282" s="36">
        <v>1536</v>
      </c>
      <c r="DJ282" s="36">
        <v>839</v>
      </c>
      <c r="DK282" s="36">
        <v>-220</v>
      </c>
      <c r="DL282" s="36">
        <v>214</v>
      </c>
      <c r="DM282" s="36">
        <v>1640</v>
      </c>
      <c r="DN282" s="36">
        <v>776</v>
      </c>
      <c r="DO282" s="69">
        <v>-1025</v>
      </c>
      <c r="DP282" s="36">
        <v>258</v>
      </c>
      <c r="DQ282" s="36">
        <v>1359</v>
      </c>
      <c r="DR282" s="36">
        <v>123</v>
      </c>
      <c r="DS282" s="36">
        <v>-383</v>
      </c>
      <c r="DT282" s="36">
        <v>267</v>
      </c>
      <c r="DU282" s="36">
        <v>1088</v>
      </c>
      <c r="DV282" s="36">
        <v>21</v>
      </c>
      <c r="DW282" s="71">
        <v>-40</v>
      </c>
      <c r="DX282" s="39">
        <v>239</v>
      </c>
      <c r="DY282" s="71">
        <v>819</v>
      </c>
      <c r="DZ282" s="70">
        <v>2</v>
      </c>
      <c r="EA282" s="35">
        <v>-219</v>
      </c>
      <c r="EB282" s="35">
        <v>260</v>
      </c>
      <c r="EC282" s="38">
        <v>1033</v>
      </c>
      <c r="ED282" s="38">
        <v>-150</v>
      </c>
      <c r="EE282" s="38">
        <v>-493</v>
      </c>
      <c r="EF282" s="38">
        <v>267</v>
      </c>
      <c r="EG282" s="73">
        <v>1355</v>
      </c>
      <c r="EH282" s="73">
        <v>156</v>
      </c>
      <c r="EI282" s="73">
        <v>-127</v>
      </c>
      <c r="EJ282" s="73">
        <v>304</v>
      </c>
      <c r="EK282" s="73">
        <v>1174</v>
      </c>
      <c r="EL282" s="73">
        <v>7747.2404565965826</v>
      </c>
      <c r="EM282" s="73">
        <v>68.45248606983499</v>
      </c>
      <c r="EN282" s="73">
        <v>7906.6826108820951</v>
      </c>
      <c r="EO282" s="73">
        <v>197.95718944519848</v>
      </c>
      <c r="EP282" s="73">
        <v>9875.6586659670047</v>
      </c>
      <c r="EQ282" s="73">
        <v>-555.86109695529399</v>
      </c>
      <c r="ER282" s="73">
        <v>9895.1684654365381</v>
      </c>
      <c r="ES282" s="73">
        <v>327.46189282056196</v>
      </c>
      <c r="ET282" s="73">
        <v>10345</v>
      </c>
      <c r="EU282" s="73">
        <v>729</v>
      </c>
      <c r="EV282" s="73">
        <v>10752</v>
      </c>
      <c r="EW282" s="73">
        <v>222</v>
      </c>
      <c r="EX282" s="73">
        <v>12920</v>
      </c>
      <c r="EY282" s="73">
        <v>-145</v>
      </c>
      <c r="EZ282" s="73">
        <v>13274</v>
      </c>
      <c r="FA282" s="73">
        <v>-218</v>
      </c>
      <c r="FB282" s="73">
        <v>13924</v>
      </c>
      <c r="FC282" s="73">
        <v>-258</v>
      </c>
      <c r="FD282" s="73">
        <v>14568</v>
      </c>
      <c r="FE282" s="73">
        <v>-417</v>
      </c>
      <c r="FF282" s="73">
        <v>15504</v>
      </c>
      <c r="FG282" s="73">
        <v>-148</v>
      </c>
      <c r="FH282" s="73">
        <v>348</v>
      </c>
      <c r="FI282" s="73">
        <v>200</v>
      </c>
      <c r="FJ282" s="79">
        <v>2400</v>
      </c>
      <c r="FK282" s="80">
        <v>6649</v>
      </c>
      <c r="FL282" s="80">
        <v>5252</v>
      </c>
      <c r="FM282" s="80">
        <v>4622</v>
      </c>
      <c r="FN282" s="76">
        <v>63</v>
      </c>
      <c r="FO282" s="80">
        <v>6013</v>
      </c>
      <c r="FP282" s="80">
        <v>208</v>
      </c>
      <c r="FQ282" s="80">
        <v>428</v>
      </c>
      <c r="FR282" s="80">
        <v>581</v>
      </c>
      <c r="FS282" s="81">
        <v>27</v>
      </c>
      <c r="FT282" s="76">
        <v>299</v>
      </c>
      <c r="FU282" s="76">
        <v>946</v>
      </c>
      <c r="FV282" s="76">
        <v>-27</v>
      </c>
      <c r="FW282" s="80">
        <v>15972</v>
      </c>
      <c r="FX282" s="80">
        <v>282</v>
      </c>
      <c r="FY282" s="73">
        <v>2378</v>
      </c>
      <c r="FZ282" s="73">
        <v>6252</v>
      </c>
      <c r="GA282" s="73">
        <v>5507</v>
      </c>
      <c r="GB282" s="73">
        <v>5250</v>
      </c>
      <c r="GC282" s="73">
        <v>226</v>
      </c>
      <c r="GD282" s="73">
        <v>5542</v>
      </c>
      <c r="GE282" s="73">
        <v>283</v>
      </c>
      <c r="GF282" s="73">
        <v>427</v>
      </c>
      <c r="GG282" s="73">
        <v>185</v>
      </c>
      <c r="GH282" s="73">
        <v>-3703</v>
      </c>
      <c r="GI282" s="73">
        <v>409</v>
      </c>
      <c r="GJ282" s="73">
        <v>3763</v>
      </c>
      <c r="GK282" s="73">
        <v>3703</v>
      </c>
      <c r="GL282" s="73">
        <v>16734</v>
      </c>
      <c r="GM282" s="73">
        <v>-30</v>
      </c>
      <c r="GN282" s="73">
        <v>452</v>
      </c>
      <c r="GO282" s="77">
        <v>20.5</v>
      </c>
      <c r="GP282" s="78">
        <v>2353</v>
      </c>
      <c r="GQ282" s="73">
        <v>6508</v>
      </c>
      <c r="GR282" s="65">
        <v>5684</v>
      </c>
      <c r="GS282" s="65">
        <v>5739</v>
      </c>
      <c r="GT282" s="65">
        <v>46</v>
      </c>
      <c r="GU282" s="65">
        <v>5655</v>
      </c>
      <c r="GV282" s="65">
        <v>325</v>
      </c>
      <c r="GW282" s="65">
        <v>528</v>
      </c>
      <c r="GX282" s="65">
        <v>695</v>
      </c>
      <c r="GY282" s="65">
        <v>340</v>
      </c>
      <c r="GZ282" s="65">
        <v>352</v>
      </c>
      <c r="HA282" s="65">
        <v>3495</v>
      </c>
      <c r="HB282" s="65">
        <v>-340</v>
      </c>
      <c r="HC282" s="65">
        <v>17160</v>
      </c>
      <c r="HD282" s="65">
        <v>343</v>
      </c>
      <c r="HE282" s="78">
        <v>2324</v>
      </c>
      <c r="HF282" s="73">
        <v>6563</v>
      </c>
      <c r="HG282" s="65">
        <v>5734</v>
      </c>
      <c r="HH282" s="65">
        <v>5450</v>
      </c>
      <c r="HI282" s="65">
        <v>28</v>
      </c>
      <c r="HJ282" s="65">
        <v>5768</v>
      </c>
      <c r="HK282" s="65">
        <v>232</v>
      </c>
      <c r="HL282" s="65">
        <v>563</v>
      </c>
      <c r="HM282" s="65">
        <v>371</v>
      </c>
      <c r="HN282" s="65">
        <v>-1971</v>
      </c>
      <c r="HO282" s="65">
        <v>322</v>
      </c>
      <c r="HP282" s="65">
        <v>6030</v>
      </c>
      <c r="HQ282" s="65">
        <v>1971</v>
      </c>
      <c r="HR282" s="65">
        <v>17244</v>
      </c>
      <c r="HS282" s="65">
        <v>49</v>
      </c>
      <c r="HT282" s="65">
        <v>843</v>
      </c>
      <c r="HU282" s="77">
        <v>20.5</v>
      </c>
      <c r="HV282" s="180">
        <v>320</v>
      </c>
      <c r="HW282" s="30" t="s">
        <v>759</v>
      </c>
    </row>
    <row r="283" spans="1:231" ht="15" x14ac:dyDescent="0.25">
      <c r="A283" s="27">
        <v>921</v>
      </c>
      <c r="B283" s="27" t="s">
        <v>406</v>
      </c>
      <c r="C283" s="27">
        <v>11</v>
      </c>
      <c r="D283" s="27" t="s">
        <v>118</v>
      </c>
      <c r="E283" s="27">
        <v>2</v>
      </c>
      <c r="F283" s="27" t="s">
        <v>744</v>
      </c>
      <c r="G283" s="29" t="s">
        <v>130</v>
      </c>
      <c r="H283" s="27" t="s">
        <v>98</v>
      </c>
      <c r="I283" s="31" t="s">
        <v>118</v>
      </c>
      <c r="J283" s="69">
        <v>2952</v>
      </c>
      <c r="K283" s="69">
        <v>2865</v>
      </c>
      <c r="L283" s="36">
        <v>2812</v>
      </c>
      <c r="M283" s="36">
        <v>2752</v>
      </c>
      <c r="N283" s="36">
        <v>2697</v>
      </c>
      <c r="O283" s="36">
        <v>2675</v>
      </c>
      <c r="P283" s="36">
        <v>2689</v>
      </c>
      <c r="Q283" s="36">
        <v>2583</v>
      </c>
      <c r="R283" s="69">
        <v>2548</v>
      </c>
      <c r="S283" s="69">
        <v>2477</v>
      </c>
      <c r="T283" s="71">
        <v>2437</v>
      </c>
      <c r="U283" s="36">
        <v>5176</v>
      </c>
      <c r="V283" s="36">
        <v>4252</v>
      </c>
      <c r="W283" s="36">
        <v>1984</v>
      </c>
      <c r="X283" s="36">
        <v>150.02363040366785</v>
      </c>
      <c r="Y283" s="36">
        <v>4923</v>
      </c>
      <c r="Z283" s="36">
        <v>4458</v>
      </c>
      <c r="AA283" s="36">
        <v>1921</v>
      </c>
      <c r="AB283" s="36">
        <v>184.16577947535458</v>
      </c>
      <c r="AC283" s="36">
        <v>4638</v>
      </c>
      <c r="AD283" s="36">
        <v>4615</v>
      </c>
      <c r="AE283" s="36">
        <v>2100</v>
      </c>
      <c r="AF283" s="36">
        <v>142.28698578643832</v>
      </c>
      <c r="AG283" s="36">
        <v>4738</v>
      </c>
      <c r="AH283" s="36">
        <v>5528</v>
      </c>
      <c r="AI283" s="36">
        <v>2288</v>
      </c>
      <c r="AJ283" s="36">
        <v>124.79544143444117</v>
      </c>
      <c r="AK283" s="36">
        <v>4462</v>
      </c>
      <c r="AL283" s="36">
        <v>5901</v>
      </c>
      <c r="AM283" s="36">
        <v>2560</v>
      </c>
      <c r="AN283" s="36">
        <v>114</v>
      </c>
      <c r="AO283" s="36">
        <v>4509</v>
      </c>
      <c r="AP283" s="36">
        <v>6556</v>
      </c>
      <c r="AQ283" s="36">
        <v>2405</v>
      </c>
      <c r="AR283" s="36">
        <v>139</v>
      </c>
      <c r="AS283" s="36">
        <v>4604</v>
      </c>
      <c r="AT283" s="36">
        <v>6570</v>
      </c>
      <c r="AU283" s="36">
        <v>3960</v>
      </c>
      <c r="AV283" s="36">
        <v>245</v>
      </c>
      <c r="AW283" s="36">
        <v>4693</v>
      </c>
      <c r="AX283" s="69">
        <v>6908</v>
      </c>
      <c r="AY283" s="36">
        <v>4292</v>
      </c>
      <c r="AZ283" s="36">
        <v>667</v>
      </c>
      <c r="BA283" s="36">
        <v>4822</v>
      </c>
      <c r="BB283" s="36">
        <v>7298</v>
      </c>
      <c r="BC283" s="36">
        <v>4161</v>
      </c>
      <c r="BD283" s="36">
        <v>65</v>
      </c>
      <c r="BE283" s="70">
        <v>5309</v>
      </c>
      <c r="BF283" s="70">
        <v>7758</v>
      </c>
      <c r="BG283" s="70">
        <v>4016</v>
      </c>
      <c r="BH283" s="70">
        <v>107</v>
      </c>
      <c r="BI283" s="36">
        <v>5533</v>
      </c>
      <c r="BJ283" s="36">
        <v>8181</v>
      </c>
      <c r="BK283" s="36">
        <v>4365</v>
      </c>
      <c r="BL283" s="36">
        <v>259</v>
      </c>
      <c r="BM283" s="36">
        <v>3519.6687370600416</v>
      </c>
      <c r="BN283" s="36">
        <v>1508.1411365803694</v>
      </c>
      <c r="BO283" s="36">
        <v>143.12792541874589</v>
      </c>
      <c r="BP283" s="36">
        <v>3554.3154499111124</v>
      </c>
      <c r="BQ283" s="36">
        <v>1191.9478348327286</v>
      </c>
      <c r="BR283" s="36">
        <v>172.2244366965873</v>
      </c>
      <c r="BS283" s="36">
        <v>3186.8248305927109</v>
      </c>
      <c r="BT283" s="36">
        <v>1256.5319985939489</v>
      </c>
      <c r="BU283" s="36">
        <v>189.71598104858444</v>
      </c>
      <c r="BV283" s="36">
        <v>3784</v>
      </c>
      <c r="BW283" s="36">
        <v>752</v>
      </c>
      <c r="BX283" s="36">
        <v>198</v>
      </c>
      <c r="BY283" s="36">
        <v>3882</v>
      </c>
      <c r="BZ283" s="36">
        <v>351</v>
      </c>
      <c r="CA283" s="36">
        <v>224</v>
      </c>
      <c r="CB283" s="36">
        <v>4018</v>
      </c>
      <c r="CC283" s="36">
        <v>233</v>
      </c>
      <c r="CD283" s="36">
        <v>250</v>
      </c>
      <c r="CE283" s="36">
        <v>4050</v>
      </c>
      <c r="CF283" s="36">
        <v>307</v>
      </c>
      <c r="CG283" s="36">
        <v>247</v>
      </c>
      <c r="CH283" s="36">
        <v>4017</v>
      </c>
      <c r="CI283" s="36">
        <v>417</v>
      </c>
      <c r="CJ283" s="70">
        <v>259</v>
      </c>
      <c r="CK283" s="70">
        <v>4012</v>
      </c>
      <c r="CL283" s="70">
        <v>497</v>
      </c>
      <c r="CM283" s="36">
        <v>313</v>
      </c>
      <c r="CN283" s="36">
        <v>4403</v>
      </c>
      <c r="CO283" s="36">
        <v>581</v>
      </c>
      <c r="CP283" s="36">
        <v>325</v>
      </c>
      <c r="CQ283" s="36">
        <v>4652</v>
      </c>
      <c r="CR283" s="36">
        <v>539</v>
      </c>
      <c r="CS283" s="36">
        <v>342</v>
      </c>
      <c r="CT283" s="36">
        <v>-94.18523881844618</v>
      </c>
      <c r="CU283" s="36">
        <v>-451.24820670000003</v>
      </c>
      <c r="CV283" s="36">
        <v>331.33021512917674</v>
      </c>
      <c r="CW283" s="36">
        <v>2761</v>
      </c>
      <c r="CX283" s="36">
        <v>-96.203493935984298</v>
      </c>
      <c r="CY283" s="36">
        <v>1593.4124150000002</v>
      </c>
      <c r="CZ283" s="36">
        <v>356.05384031901883</v>
      </c>
      <c r="DA283" s="36">
        <v>2820</v>
      </c>
      <c r="DB283" s="36">
        <v>-976.83547688845613</v>
      </c>
      <c r="DC283" s="36">
        <v>-203.33920309999999</v>
      </c>
      <c r="DD283" s="36">
        <v>370.01343821532424</v>
      </c>
      <c r="DE283" s="36">
        <v>2537</v>
      </c>
      <c r="DF283" s="36">
        <v>-362.94954530394079</v>
      </c>
      <c r="DG283" s="36">
        <v>-156</v>
      </c>
      <c r="DH283" s="36">
        <v>1307.9975040911713</v>
      </c>
      <c r="DI283" s="36">
        <v>2656</v>
      </c>
      <c r="DJ283" s="36">
        <v>172</v>
      </c>
      <c r="DK283" s="36">
        <v>-389</v>
      </c>
      <c r="DL283" s="36">
        <v>345</v>
      </c>
      <c r="DM283" s="36">
        <v>3864</v>
      </c>
      <c r="DN283" s="36">
        <v>431</v>
      </c>
      <c r="DO283" s="69">
        <v>-1157</v>
      </c>
      <c r="DP283" s="36">
        <v>382</v>
      </c>
      <c r="DQ283" s="36">
        <v>4435</v>
      </c>
      <c r="DR283" s="36">
        <v>-344</v>
      </c>
      <c r="DS283" s="36">
        <v>-258</v>
      </c>
      <c r="DT283" s="36">
        <v>490</v>
      </c>
      <c r="DU283" s="36">
        <v>4134</v>
      </c>
      <c r="DV283" s="36">
        <v>-160</v>
      </c>
      <c r="DW283" s="71">
        <v>-190</v>
      </c>
      <c r="DX283" s="39">
        <v>402</v>
      </c>
      <c r="DY283" s="71">
        <v>3839</v>
      </c>
      <c r="DZ283" s="70">
        <v>5</v>
      </c>
      <c r="EA283" s="35">
        <v>-60</v>
      </c>
      <c r="EB283" s="35">
        <v>396</v>
      </c>
      <c r="EC283" s="38">
        <v>3588</v>
      </c>
      <c r="ED283" s="38">
        <v>861</v>
      </c>
      <c r="EE283" s="38">
        <v>-33</v>
      </c>
      <c r="EF283" s="38">
        <v>386</v>
      </c>
      <c r="EG283" s="73">
        <v>3313</v>
      </c>
      <c r="EH283" s="73">
        <v>1277</v>
      </c>
      <c r="EI283" s="73">
        <v>1</v>
      </c>
      <c r="EJ283" s="73">
        <v>385</v>
      </c>
      <c r="EK283" s="73">
        <v>2706</v>
      </c>
      <c r="EL283" s="73">
        <v>10972.075758569596</v>
      </c>
      <c r="EM283" s="73">
        <v>-329.6483358645616</v>
      </c>
      <c r="EN283" s="73">
        <v>10910.687165411144</v>
      </c>
      <c r="EO283" s="73">
        <v>596.89895101190268</v>
      </c>
      <c r="EP283" s="73">
        <v>11782.405188261155</v>
      </c>
      <c r="EQ283" s="73">
        <v>-1431.4474421139203</v>
      </c>
      <c r="ER283" s="73">
        <v>12373.081185993982</v>
      </c>
      <c r="ES283" s="73">
        <v>-1289.4968321804051</v>
      </c>
      <c r="ET283" s="73">
        <v>12689</v>
      </c>
      <c r="EU283" s="73">
        <v>-173</v>
      </c>
      <c r="EV283" s="73">
        <v>13039</v>
      </c>
      <c r="EW283" s="73">
        <v>49</v>
      </c>
      <c r="EX283" s="73">
        <v>15544</v>
      </c>
      <c r="EY283" s="73">
        <v>-767</v>
      </c>
      <c r="EZ283" s="73">
        <v>16118</v>
      </c>
      <c r="FA283" s="73">
        <v>-77</v>
      </c>
      <c r="FB283" s="73">
        <v>16323</v>
      </c>
      <c r="FC283" s="73">
        <v>-391</v>
      </c>
      <c r="FD283" s="73">
        <v>16186</v>
      </c>
      <c r="FE283" s="73">
        <v>475</v>
      </c>
      <c r="FF283" s="73">
        <v>16965</v>
      </c>
      <c r="FG283" s="73">
        <v>892</v>
      </c>
      <c r="FH283" s="73">
        <v>-1281</v>
      </c>
      <c r="FI283" s="73">
        <v>-389</v>
      </c>
      <c r="FJ283" s="79">
        <v>2412</v>
      </c>
      <c r="FK283" s="80">
        <v>5563</v>
      </c>
      <c r="FL283" s="80">
        <v>8854</v>
      </c>
      <c r="FM283" s="80">
        <v>3800</v>
      </c>
      <c r="FN283" s="76">
        <v>249</v>
      </c>
      <c r="FO283" s="80">
        <v>4784</v>
      </c>
      <c r="FP283" s="80">
        <v>406</v>
      </c>
      <c r="FQ283" s="80">
        <v>373</v>
      </c>
      <c r="FR283" s="80">
        <v>1189</v>
      </c>
      <c r="FS283" s="81">
        <v>-162</v>
      </c>
      <c r="FT283" s="76">
        <v>394</v>
      </c>
      <c r="FU283" s="76">
        <v>2036</v>
      </c>
      <c r="FV283" s="76">
        <v>162</v>
      </c>
      <c r="FW283" s="80">
        <v>17194</v>
      </c>
      <c r="FX283" s="80">
        <v>795</v>
      </c>
      <c r="FY283" s="73">
        <v>2426</v>
      </c>
      <c r="FZ283" s="73">
        <v>5385</v>
      </c>
      <c r="GA283" s="73">
        <v>8995</v>
      </c>
      <c r="GB283" s="73">
        <v>5145</v>
      </c>
      <c r="GC283" s="73">
        <v>220</v>
      </c>
      <c r="GD283" s="73">
        <v>4513</v>
      </c>
      <c r="GE283" s="73">
        <v>501</v>
      </c>
      <c r="GF283" s="73">
        <v>371</v>
      </c>
      <c r="GG283" s="73">
        <v>1395</v>
      </c>
      <c r="GH283" s="73">
        <v>-829</v>
      </c>
      <c r="GI283" s="73">
        <v>415</v>
      </c>
      <c r="GJ283" s="73">
        <v>1412</v>
      </c>
      <c r="GK283" s="73">
        <v>829</v>
      </c>
      <c r="GL283" s="73">
        <v>18324</v>
      </c>
      <c r="GM283" s="73">
        <v>980</v>
      </c>
      <c r="GN283" s="73">
        <v>1386</v>
      </c>
      <c r="GO283" s="77">
        <v>20</v>
      </c>
      <c r="GP283" s="78">
        <v>2390</v>
      </c>
      <c r="GQ283" s="73">
        <v>5606</v>
      </c>
      <c r="GR283" s="65">
        <v>9334</v>
      </c>
      <c r="GS283" s="65">
        <v>2628</v>
      </c>
      <c r="GT283" s="65">
        <v>166</v>
      </c>
      <c r="GU283" s="65">
        <v>4724</v>
      </c>
      <c r="GV283" s="65">
        <v>505</v>
      </c>
      <c r="GW283" s="65">
        <v>377</v>
      </c>
      <c r="GX283" s="65">
        <v>657</v>
      </c>
      <c r="GY283" s="65">
        <v>-687</v>
      </c>
      <c r="GZ283" s="65">
        <v>436</v>
      </c>
      <c r="HA283" s="65">
        <v>1508</v>
      </c>
      <c r="HB283" s="65">
        <v>687</v>
      </c>
      <c r="HC283" s="65">
        <v>17039</v>
      </c>
      <c r="HD283" s="65">
        <v>221</v>
      </c>
      <c r="HE283" s="78">
        <v>2328</v>
      </c>
      <c r="HF283" s="73">
        <v>5101</v>
      </c>
      <c r="HG283" s="65">
        <v>10017</v>
      </c>
      <c r="HH283" s="65">
        <v>2958</v>
      </c>
      <c r="HI283" s="65">
        <v>190</v>
      </c>
      <c r="HJ283" s="65">
        <v>4405</v>
      </c>
      <c r="HK283" s="65">
        <v>300</v>
      </c>
      <c r="HL283" s="65">
        <v>396</v>
      </c>
      <c r="HM283" s="65">
        <v>390</v>
      </c>
      <c r="HN283" s="65">
        <v>-978</v>
      </c>
      <c r="HO283" s="65">
        <v>475</v>
      </c>
      <c r="HP283" s="65">
        <v>1630</v>
      </c>
      <c r="HQ283" s="65">
        <v>978</v>
      </c>
      <c r="HR283" s="65">
        <v>17848</v>
      </c>
      <c r="HS283" s="65">
        <v>-85</v>
      </c>
      <c r="HT283" s="65">
        <v>1397</v>
      </c>
      <c r="HU283" s="77">
        <v>20</v>
      </c>
      <c r="HV283" s="180">
        <v>340</v>
      </c>
      <c r="HW283" s="30" t="s">
        <v>761</v>
      </c>
    </row>
    <row r="284" spans="1:231" ht="15" x14ac:dyDescent="0.25">
      <c r="A284" s="27">
        <v>922</v>
      </c>
      <c r="B284" s="27" t="s">
        <v>407</v>
      </c>
      <c r="C284" s="27">
        <v>6</v>
      </c>
      <c r="D284" s="27" t="s">
        <v>114</v>
      </c>
      <c r="E284" s="27">
        <v>2</v>
      </c>
      <c r="F284" s="27" t="s">
        <v>744</v>
      </c>
      <c r="G284" s="29" t="s">
        <v>130</v>
      </c>
      <c r="H284" s="27" t="s">
        <v>98</v>
      </c>
      <c r="I284" s="31" t="s">
        <v>114</v>
      </c>
      <c r="J284" s="69">
        <v>3318</v>
      </c>
      <c r="K284" s="69">
        <v>3391</v>
      </c>
      <c r="L284" s="36">
        <v>3421</v>
      </c>
      <c r="M284" s="36">
        <v>3481</v>
      </c>
      <c r="N284" s="36">
        <v>3596</v>
      </c>
      <c r="O284" s="36">
        <v>3663</v>
      </c>
      <c r="P284" s="36">
        <v>3675</v>
      </c>
      <c r="Q284" s="36">
        <v>3831</v>
      </c>
      <c r="R284" s="69">
        <v>3949</v>
      </c>
      <c r="S284" s="69">
        <v>4086</v>
      </c>
      <c r="T284" s="71">
        <v>4248</v>
      </c>
      <c r="U284" s="36">
        <v>5304</v>
      </c>
      <c r="V284" s="36">
        <v>2939</v>
      </c>
      <c r="W284" s="36">
        <v>1696</v>
      </c>
      <c r="X284" s="36">
        <v>278.8555820731853</v>
      </c>
      <c r="Y284" s="36">
        <v>5515</v>
      </c>
      <c r="Z284" s="36">
        <v>3269</v>
      </c>
      <c r="AA284" s="36">
        <v>1804</v>
      </c>
      <c r="AB284" s="36">
        <v>212.0849752679654</v>
      </c>
      <c r="AC284" s="36">
        <v>5835</v>
      </c>
      <c r="AD284" s="36">
        <v>3704</v>
      </c>
      <c r="AE284" s="36">
        <v>1831</v>
      </c>
      <c r="AF284" s="36">
        <v>141.44604615413078</v>
      </c>
      <c r="AG284" s="36">
        <v>6041</v>
      </c>
      <c r="AH284" s="36">
        <v>4104</v>
      </c>
      <c r="AI284" s="36">
        <v>1839</v>
      </c>
      <c r="AJ284" s="36">
        <v>151.70550966828296</v>
      </c>
      <c r="AK284" s="36">
        <v>7019</v>
      </c>
      <c r="AL284" s="36">
        <v>4737</v>
      </c>
      <c r="AM284" s="36">
        <v>1761</v>
      </c>
      <c r="AN284" s="36">
        <v>41</v>
      </c>
      <c r="AO284" s="36">
        <v>6680</v>
      </c>
      <c r="AP284" s="36">
        <v>5032</v>
      </c>
      <c r="AQ284" s="36">
        <v>1682</v>
      </c>
      <c r="AR284" s="36">
        <v>537</v>
      </c>
      <c r="AS284" s="36">
        <v>7107</v>
      </c>
      <c r="AT284" s="36">
        <v>5393</v>
      </c>
      <c r="AU284" s="36">
        <v>1803</v>
      </c>
      <c r="AV284" s="36">
        <v>225</v>
      </c>
      <c r="AW284" s="36">
        <v>7806</v>
      </c>
      <c r="AX284" s="69">
        <v>5552</v>
      </c>
      <c r="AY284" s="36">
        <v>1797</v>
      </c>
      <c r="AZ284" s="36">
        <v>76</v>
      </c>
      <c r="BA284" s="36">
        <v>8723</v>
      </c>
      <c r="BB284" s="36">
        <v>6117</v>
      </c>
      <c r="BC284" s="36">
        <v>2418</v>
      </c>
      <c r="BD284" s="36">
        <v>82</v>
      </c>
      <c r="BE284" s="70">
        <v>9151</v>
      </c>
      <c r="BF284" s="70">
        <v>6289</v>
      </c>
      <c r="BG284" s="70">
        <v>2172</v>
      </c>
      <c r="BH284" s="70">
        <v>125</v>
      </c>
      <c r="BI284" s="36">
        <v>10771</v>
      </c>
      <c r="BJ284" s="36">
        <v>7397</v>
      </c>
      <c r="BK284" s="36">
        <v>3103</v>
      </c>
      <c r="BL284" s="36">
        <v>42</v>
      </c>
      <c r="BM284" s="36">
        <v>4166.6876901574742</v>
      </c>
      <c r="BN284" s="36">
        <v>905.35560814231383</v>
      </c>
      <c r="BO284" s="36">
        <v>232.43571436980824</v>
      </c>
      <c r="BP284" s="36">
        <v>4536.3647525198758</v>
      </c>
      <c r="BQ284" s="36">
        <v>732.45841973988058</v>
      </c>
      <c r="BR284" s="36">
        <v>245.89074848672914</v>
      </c>
      <c r="BS284" s="36">
        <v>4798.0651660939866</v>
      </c>
      <c r="BT284" s="36">
        <v>789.64231473679433</v>
      </c>
      <c r="BU284" s="36">
        <v>247.57262775134424</v>
      </c>
      <c r="BV284" s="36">
        <v>5284</v>
      </c>
      <c r="BW284" s="36">
        <v>488</v>
      </c>
      <c r="BX284" s="36">
        <v>269</v>
      </c>
      <c r="BY284" s="36">
        <v>6288</v>
      </c>
      <c r="BZ284" s="36">
        <v>403</v>
      </c>
      <c r="CA284" s="36">
        <v>328</v>
      </c>
      <c r="CB284" s="36">
        <v>6156</v>
      </c>
      <c r="CC284" s="36">
        <v>191</v>
      </c>
      <c r="CD284" s="36">
        <v>333</v>
      </c>
      <c r="CE284" s="36">
        <v>6466</v>
      </c>
      <c r="CF284" s="36">
        <v>301</v>
      </c>
      <c r="CG284" s="36">
        <v>340</v>
      </c>
      <c r="CH284" s="36">
        <v>7041</v>
      </c>
      <c r="CI284" s="36">
        <v>406</v>
      </c>
      <c r="CJ284" s="70">
        <v>359</v>
      </c>
      <c r="CK284" s="70">
        <v>7903</v>
      </c>
      <c r="CL284" s="70">
        <v>443</v>
      </c>
      <c r="CM284" s="36">
        <v>377</v>
      </c>
      <c r="CN284" s="36">
        <v>8315</v>
      </c>
      <c r="CO284" s="36">
        <v>438</v>
      </c>
      <c r="CP284" s="36">
        <v>398</v>
      </c>
      <c r="CQ284" s="36">
        <v>9977</v>
      </c>
      <c r="CR284" s="36">
        <v>363</v>
      </c>
      <c r="CS284" s="36">
        <v>431</v>
      </c>
      <c r="CT284" s="36">
        <v>730.94472840172693</v>
      </c>
      <c r="CU284" s="36">
        <v>-1763.450409</v>
      </c>
      <c r="CV284" s="36">
        <v>463.1895494750014</v>
      </c>
      <c r="CW284" s="36">
        <v>2284</v>
      </c>
      <c r="CX284" s="36">
        <v>541.90149905898852</v>
      </c>
      <c r="CY284" s="36">
        <v>-847.83533729999999</v>
      </c>
      <c r="CZ284" s="36">
        <v>525.08270641283741</v>
      </c>
      <c r="DA284" s="36">
        <v>2053</v>
      </c>
      <c r="DB284" s="36">
        <v>211.07584770919635</v>
      </c>
      <c r="DC284" s="36">
        <v>-710.25761339999997</v>
      </c>
      <c r="DD284" s="36">
        <v>508.60028961960938</v>
      </c>
      <c r="DE284" s="36">
        <v>2281</v>
      </c>
      <c r="DF284" s="36">
        <v>89.13960102460085</v>
      </c>
      <c r="DG284" s="36">
        <v>-1190</v>
      </c>
      <c r="DH284" s="36">
        <v>521.88713581006868</v>
      </c>
      <c r="DI284" s="36">
        <v>2806</v>
      </c>
      <c r="DJ284" s="36">
        <v>1713</v>
      </c>
      <c r="DK284" s="36">
        <v>-100</v>
      </c>
      <c r="DL284" s="36">
        <v>537</v>
      </c>
      <c r="DM284" s="36">
        <v>2655</v>
      </c>
      <c r="DN284" s="36">
        <v>1026</v>
      </c>
      <c r="DO284" s="69">
        <v>1056</v>
      </c>
      <c r="DP284" s="36">
        <v>497</v>
      </c>
      <c r="DQ284" s="36">
        <v>974</v>
      </c>
      <c r="DR284" s="36">
        <v>1286</v>
      </c>
      <c r="DS284" s="36">
        <v>-1140</v>
      </c>
      <c r="DT284" s="36">
        <v>541</v>
      </c>
      <c r="DU284" s="36">
        <v>856</v>
      </c>
      <c r="DV284" s="36">
        <v>549</v>
      </c>
      <c r="DW284" s="71">
        <v>-2853</v>
      </c>
      <c r="DX284" s="39">
        <v>556</v>
      </c>
      <c r="DY284" s="71">
        <v>2185</v>
      </c>
      <c r="DZ284" s="70">
        <v>728</v>
      </c>
      <c r="EA284" s="35">
        <v>-3765</v>
      </c>
      <c r="EB284" s="35">
        <v>798</v>
      </c>
      <c r="EC284" s="38">
        <v>5278</v>
      </c>
      <c r="ED284" s="38">
        <v>-414</v>
      </c>
      <c r="EE284" s="38">
        <v>-1978</v>
      </c>
      <c r="EF284" s="38">
        <v>981</v>
      </c>
      <c r="EG284" s="73">
        <v>6845</v>
      </c>
      <c r="EH284" s="73">
        <v>1423</v>
      </c>
      <c r="EI284" s="73">
        <v>-4313</v>
      </c>
      <c r="EJ284" s="73">
        <v>1024</v>
      </c>
      <c r="EK284" s="73">
        <v>11002</v>
      </c>
      <c r="EL284" s="73">
        <v>8865.0174158597856</v>
      </c>
      <c r="EM284" s="73">
        <v>109.8267159793667</v>
      </c>
      <c r="EN284" s="73">
        <v>9657.8553011993481</v>
      </c>
      <c r="EO284" s="73">
        <v>27.078256160303276</v>
      </c>
      <c r="EP284" s="73">
        <v>10677.074135556104</v>
      </c>
      <c r="EQ284" s="73">
        <v>-183.82940362243156</v>
      </c>
      <c r="ER284" s="73">
        <v>11346.798458725842</v>
      </c>
      <c r="ES284" s="73">
        <v>-379.09558624424585</v>
      </c>
      <c r="ET284" s="73">
        <v>11732</v>
      </c>
      <c r="EU284" s="73">
        <v>1221</v>
      </c>
      <c r="EV284" s="73">
        <v>12383</v>
      </c>
      <c r="EW284" s="73">
        <v>1062</v>
      </c>
      <c r="EX284" s="73">
        <v>13065</v>
      </c>
      <c r="EY284" s="73">
        <v>948</v>
      </c>
      <c r="EZ284" s="73">
        <v>14642</v>
      </c>
      <c r="FA284" s="73">
        <v>36</v>
      </c>
      <c r="FB284" s="73">
        <v>16480</v>
      </c>
      <c r="FC284" s="73">
        <v>47</v>
      </c>
      <c r="FD284" s="73">
        <v>17926</v>
      </c>
      <c r="FE284" s="73">
        <v>-1278</v>
      </c>
      <c r="FF284" s="73">
        <v>19518</v>
      </c>
      <c r="FG284" s="73">
        <v>460</v>
      </c>
      <c r="FH284" s="73">
        <v>2068</v>
      </c>
      <c r="FI284" s="73">
        <v>2530</v>
      </c>
      <c r="FJ284" s="79">
        <v>4365</v>
      </c>
      <c r="FK284" s="80">
        <v>11940</v>
      </c>
      <c r="FL284" s="80">
        <v>8135</v>
      </c>
      <c r="FM284" s="80">
        <v>2696</v>
      </c>
      <c r="FN284" s="76">
        <v>36</v>
      </c>
      <c r="FO284" s="80">
        <v>11079</v>
      </c>
      <c r="FP284" s="80">
        <v>286</v>
      </c>
      <c r="FQ284" s="80">
        <v>575</v>
      </c>
      <c r="FR284" s="80">
        <v>1313</v>
      </c>
      <c r="FS284" s="81">
        <v>-3479</v>
      </c>
      <c r="FT284" s="76">
        <v>1111</v>
      </c>
      <c r="FU284" s="76">
        <v>12813</v>
      </c>
      <c r="FV284" s="76">
        <v>3479</v>
      </c>
      <c r="FW284" s="80">
        <v>21164</v>
      </c>
      <c r="FX284" s="80">
        <v>241</v>
      </c>
      <c r="FY284" s="73">
        <v>4345</v>
      </c>
      <c r="FZ284" s="73">
        <v>12340</v>
      </c>
      <c r="GA284" s="73">
        <v>8784</v>
      </c>
      <c r="GB284" s="73">
        <v>3093</v>
      </c>
      <c r="GC284" s="73">
        <v>63</v>
      </c>
      <c r="GD284" s="73">
        <v>11363</v>
      </c>
      <c r="GE284" s="73">
        <v>388</v>
      </c>
      <c r="GF284" s="73">
        <v>589</v>
      </c>
      <c r="GG284" s="73">
        <v>1986</v>
      </c>
      <c r="GH284" s="73">
        <v>-1552</v>
      </c>
      <c r="GI284" s="73">
        <v>1294</v>
      </c>
      <c r="GJ284" s="73">
        <v>13636</v>
      </c>
      <c r="GK284" s="73">
        <v>1552</v>
      </c>
      <c r="GL284" s="73">
        <v>22003</v>
      </c>
      <c r="GM284" s="73">
        <v>731</v>
      </c>
      <c r="GN284" s="73">
        <v>3502</v>
      </c>
      <c r="GO284" s="77">
        <v>20.5</v>
      </c>
      <c r="GP284" s="78">
        <v>4383</v>
      </c>
      <c r="GQ284" s="73">
        <v>12819</v>
      </c>
      <c r="GR284" s="65">
        <v>8836</v>
      </c>
      <c r="GS284" s="65">
        <v>3084</v>
      </c>
      <c r="GT284" s="65">
        <v>67</v>
      </c>
      <c r="GU284" s="65">
        <v>11789</v>
      </c>
      <c r="GV284" s="65">
        <v>410</v>
      </c>
      <c r="GW284" s="65">
        <v>620</v>
      </c>
      <c r="GX284" s="65">
        <v>864</v>
      </c>
      <c r="GY284" s="65">
        <v>-475</v>
      </c>
      <c r="GZ284" s="65">
        <v>1512</v>
      </c>
      <c r="HA284" s="65">
        <v>11853</v>
      </c>
      <c r="HB284" s="65">
        <v>475</v>
      </c>
      <c r="HC284" s="65">
        <v>23448</v>
      </c>
      <c r="HD284" s="65">
        <v>-609</v>
      </c>
      <c r="HE284" s="78">
        <v>4437</v>
      </c>
      <c r="HF284" s="73">
        <v>13500</v>
      </c>
      <c r="HG284" s="65">
        <v>9148</v>
      </c>
      <c r="HH284" s="65">
        <v>3122</v>
      </c>
      <c r="HI284" s="65">
        <v>65</v>
      </c>
      <c r="HJ284" s="65">
        <v>12484</v>
      </c>
      <c r="HK284" s="65">
        <v>238</v>
      </c>
      <c r="HL284" s="65">
        <v>778</v>
      </c>
      <c r="HM284" s="65">
        <v>859</v>
      </c>
      <c r="HN284" s="65">
        <v>-2324</v>
      </c>
      <c r="HO284" s="65">
        <v>1456</v>
      </c>
      <c r="HP284" s="65">
        <v>12921</v>
      </c>
      <c r="HQ284" s="65">
        <v>2324</v>
      </c>
      <c r="HR284" s="65">
        <v>24627</v>
      </c>
      <c r="HS284" s="65">
        <v>-558</v>
      </c>
      <c r="HT284" s="65">
        <v>2334</v>
      </c>
      <c r="HU284" s="77">
        <v>20.5</v>
      </c>
      <c r="HV284" s="180">
        <v>330</v>
      </c>
      <c r="HW284" s="30" t="s">
        <v>760</v>
      </c>
    </row>
    <row r="285" spans="1:231" ht="15" x14ac:dyDescent="0.25">
      <c r="A285" s="27">
        <v>924</v>
      </c>
      <c r="B285" s="27" t="s">
        <v>408</v>
      </c>
      <c r="C285" s="27">
        <v>16</v>
      </c>
      <c r="D285" s="27" t="s">
        <v>110</v>
      </c>
      <c r="E285" s="27">
        <v>2</v>
      </c>
      <c r="F285" s="27" t="s">
        <v>744</v>
      </c>
      <c r="G285" s="29" t="s">
        <v>130</v>
      </c>
      <c r="H285" s="27" t="s">
        <v>98</v>
      </c>
      <c r="I285" s="31" t="s">
        <v>110</v>
      </c>
      <c r="J285" s="69">
        <v>3922</v>
      </c>
      <c r="K285" s="69">
        <v>3853</v>
      </c>
      <c r="L285" s="36">
        <v>3811</v>
      </c>
      <c r="M285" s="36">
        <v>3754</v>
      </c>
      <c r="N285" s="36">
        <v>3696</v>
      </c>
      <c r="O285" s="36">
        <v>3690</v>
      </c>
      <c r="P285" s="36">
        <v>3637</v>
      </c>
      <c r="Q285" s="36">
        <v>3593</v>
      </c>
      <c r="R285" s="69">
        <v>3540</v>
      </c>
      <c r="S285" s="69">
        <v>3518</v>
      </c>
      <c r="T285" s="71">
        <v>3501</v>
      </c>
      <c r="U285" s="36">
        <v>6792</v>
      </c>
      <c r="V285" s="36">
        <v>5118</v>
      </c>
      <c r="W285" s="36">
        <v>2220</v>
      </c>
      <c r="X285" s="36">
        <v>171.55168499074125</v>
      </c>
      <c r="Y285" s="36">
        <v>6439</v>
      </c>
      <c r="Z285" s="36">
        <v>4844</v>
      </c>
      <c r="AA285" s="36">
        <v>2387</v>
      </c>
      <c r="AB285" s="36">
        <v>209.89853222396576</v>
      </c>
      <c r="AC285" s="36">
        <v>6374</v>
      </c>
      <c r="AD285" s="36">
        <v>5450</v>
      </c>
      <c r="AE285" s="36">
        <v>2505</v>
      </c>
      <c r="AF285" s="36">
        <v>93.007923333215601</v>
      </c>
      <c r="AG285" s="36">
        <v>7515</v>
      </c>
      <c r="AH285" s="36">
        <v>5811</v>
      </c>
      <c r="AI285" s="36">
        <v>2447</v>
      </c>
      <c r="AJ285" s="36">
        <v>201.82551175381323</v>
      </c>
      <c r="AK285" s="36">
        <v>7211</v>
      </c>
      <c r="AL285" s="36">
        <v>5908</v>
      </c>
      <c r="AM285" s="36">
        <v>2676</v>
      </c>
      <c r="AN285" s="36">
        <v>129</v>
      </c>
      <c r="AO285" s="36">
        <v>6998</v>
      </c>
      <c r="AP285" s="36">
        <v>6143</v>
      </c>
      <c r="AQ285" s="36">
        <v>2887</v>
      </c>
      <c r="AR285" s="36">
        <v>83</v>
      </c>
      <c r="AS285" s="36">
        <v>7150</v>
      </c>
      <c r="AT285" s="36">
        <v>6342</v>
      </c>
      <c r="AU285" s="36">
        <v>1894</v>
      </c>
      <c r="AV285" s="36">
        <v>137</v>
      </c>
      <c r="AW285" s="36">
        <v>7249</v>
      </c>
      <c r="AX285" s="69">
        <v>6787</v>
      </c>
      <c r="AY285" s="36">
        <v>2064</v>
      </c>
      <c r="AZ285" s="36">
        <v>115</v>
      </c>
      <c r="BA285" s="36">
        <v>7427</v>
      </c>
      <c r="BB285" s="36">
        <v>6753</v>
      </c>
      <c r="BC285" s="36">
        <v>2098</v>
      </c>
      <c r="BD285" s="36">
        <v>225</v>
      </c>
      <c r="BE285" s="70">
        <v>8458</v>
      </c>
      <c r="BF285" s="70">
        <v>7033</v>
      </c>
      <c r="BG285" s="70">
        <v>2364</v>
      </c>
      <c r="BH285" s="70">
        <v>93</v>
      </c>
      <c r="BI285" s="36">
        <v>8931</v>
      </c>
      <c r="BJ285" s="36">
        <v>7399</v>
      </c>
      <c r="BK285" s="36">
        <v>2591</v>
      </c>
      <c r="BL285" s="36">
        <v>85</v>
      </c>
      <c r="BM285" s="36">
        <v>5513.5366052612544</v>
      </c>
      <c r="BN285" s="36">
        <v>1093.7260857792062</v>
      </c>
      <c r="BO285" s="36">
        <v>174.74725559350995</v>
      </c>
      <c r="BP285" s="36">
        <v>5332.230020535746</v>
      </c>
      <c r="BQ285" s="36">
        <v>919.48339396508084</v>
      </c>
      <c r="BR285" s="36">
        <v>177.27007449043262</v>
      </c>
      <c r="BS285" s="36">
        <v>5185.4019607348464</v>
      </c>
      <c r="BT285" s="36">
        <v>952.61641547799843</v>
      </c>
      <c r="BU285" s="36">
        <v>226.38094901719384</v>
      </c>
      <c r="BV285" s="36">
        <v>6054</v>
      </c>
      <c r="BW285" s="36">
        <v>1209</v>
      </c>
      <c r="BX285" s="36">
        <v>244</v>
      </c>
      <c r="BY285" s="36">
        <v>6414</v>
      </c>
      <c r="BZ285" s="36">
        <v>541</v>
      </c>
      <c r="CA285" s="36">
        <v>248</v>
      </c>
      <c r="CB285" s="36">
        <v>6362</v>
      </c>
      <c r="CC285" s="36">
        <v>394</v>
      </c>
      <c r="CD285" s="36">
        <v>242</v>
      </c>
      <c r="CE285" s="36">
        <v>6459</v>
      </c>
      <c r="CF285" s="36">
        <v>442</v>
      </c>
      <c r="CG285" s="36">
        <v>249</v>
      </c>
      <c r="CH285" s="36">
        <v>6547</v>
      </c>
      <c r="CI285" s="36">
        <v>432</v>
      </c>
      <c r="CJ285" s="70">
        <v>270</v>
      </c>
      <c r="CK285" s="70">
        <v>6606</v>
      </c>
      <c r="CL285" s="70">
        <v>480</v>
      </c>
      <c r="CM285" s="36">
        <v>341</v>
      </c>
      <c r="CN285" s="36">
        <v>7505</v>
      </c>
      <c r="CO285" s="36">
        <v>606</v>
      </c>
      <c r="CP285" s="36">
        <v>347</v>
      </c>
      <c r="CQ285" s="36">
        <v>7907</v>
      </c>
      <c r="CR285" s="36">
        <v>656</v>
      </c>
      <c r="CS285" s="36">
        <v>368</v>
      </c>
      <c r="CT285" s="36">
        <v>723.03989585803606</v>
      </c>
      <c r="CU285" s="36">
        <v>-2216.548683</v>
      </c>
      <c r="CV285" s="36">
        <v>592.52606492390339</v>
      </c>
      <c r="CW285" s="36">
        <v>5423</v>
      </c>
      <c r="CX285" s="36">
        <v>100.57638002398359</v>
      </c>
      <c r="CY285" s="36">
        <v>-416.43330589999999</v>
      </c>
      <c r="CZ285" s="36">
        <v>621.95895205466775</v>
      </c>
      <c r="DA285" s="36">
        <v>5102</v>
      </c>
      <c r="DB285" s="36">
        <v>325.78001355594688</v>
      </c>
      <c r="DC285" s="36">
        <v>-872.89533830000005</v>
      </c>
      <c r="DD285" s="36">
        <v>585.12579615959692</v>
      </c>
      <c r="DE285" s="36">
        <v>5619</v>
      </c>
      <c r="DF285" s="36">
        <v>1118.2815230425867</v>
      </c>
      <c r="DG285" s="36">
        <v>-2156</v>
      </c>
      <c r="DH285" s="36">
        <v>590.33962187990369</v>
      </c>
      <c r="DI285" s="36">
        <v>6911</v>
      </c>
      <c r="DJ285" s="36">
        <v>888</v>
      </c>
      <c r="DK285" s="36">
        <v>-1206</v>
      </c>
      <c r="DL285" s="36">
        <v>545</v>
      </c>
      <c r="DM285" s="36">
        <v>6526</v>
      </c>
      <c r="DN285" s="36">
        <v>426</v>
      </c>
      <c r="DO285" s="69">
        <v>-1158</v>
      </c>
      <c r="DP285" s="36">
        <v>590</v>
      </c>
      <c r="DQ285" s="36">
        <v>7439</v>
      </c>
      <c r="DR285" s="36">
        <v>-87</v>
      </c>
      <c r="DS285" s="36">
        <v>-283</v>
      </c>
      <c r="DT285" s="36">
        <v>683</v>
      </c>
      <c r="DU285" s="36">
        <v>7630</v>
      </c>
      <c r="DV285" s="36">
        <v>261</v>
      </c>
      <c r="DW285" s="71">
        <v>-54</v>
      </c>
      <c r="DX285" s="39">
        <v>691</v>
      </c>
      <c r="DY285" s="71">
        <v>7241</v>
      </c>
      <c r="DZ285" s="70">
        <v>1140</v>
      </c>
      <c r="EA285" s="35">
        <v>-209</v>
      </c>
      <c r="EB285" s="35">
        <v>664</v>
      </c>
      <c r="EC285" s="38">
        <v>5938</v>
      </c>
      <c r="ED285" s="38">
        <v>1355</v>
      </c>
      <c r="EE285" s="38">
        <v>-924</v>
      </c>
      <c r="EF285" s="38">
        <v>636</v>
      </c>
      <c r="EG285" s="73">
        <v>5715</v>
      </c>
      <c r="EH285" s="73">
        <v>771</v>
      </c>
      <c r="EI285" s="73">
        <v>-740</v>
      </c>
      <c r="EJ285" s="73">
        <v>624</v>
      </c>
      <c r="EK285" s="73">
        <v>5493</v>
      </c>
      <c r="EL285" s="73">
        <v>12592.902805879177</v>
      </c>
      <c r="EM285" s="73">
        <v>-96.708057715368838</v>
      </c>
      <c r="EN285" s="73">
        <v>12923.392081376045</v>
      </c>
      <c r="EO285" s="73">
        <v>-478.6628387094604</v>
      </c>
      <c r="EP285" s="73">
        <v>13180.88779678862</v>
      </c>
      <c r="EQ285" s="73">
        <v>-162.63772488828116</v>
      </c>
      <c r="ER285" s="73">
        <v>13815.460843327901</v>
      </c>
      <c r="ES285" s="73">
        <v>536.35129748575866</v>
      </c>
      <c r="ET285" s="73">
        <v>14709</v>
      </c>
      <c r="EU285" s="73">
        <v>351</v>
      </c>
      <c r="EV285" s="73">
        <v>15362</v>
      </c>
      <c r="EW285" s="73">
        <v>-156</v>
      </c>
      <c r="EX285" s="73">
        <v>15163</v>
      </c>
      <c r="EY285" s="73">
        <v>-762</v>
      </c>
      <c r="EZ285" s="73">
        <v>15684</v>
      </c>
      <c r="FA285" s="73">
        <v>-422</v>
      </c>
      <c r="FB285" s="73">
        <v>15146</v>
      </c>
      <c r="FC285" s="73">
        <v>484</v>
      </c>
      <c r="FD285" s="73">
        <v>16341</v>
      </c>
      <c r="FE285" s="73">
        <v>727</v>
      </c>
      <c r="FF285" s="73">
        <v>17998</v>
      </c>
      <c r="FG285" s="73">
        <v>155</v>
      </c>
      <c r="FH285" s="73">
        <v>1035</v>
      </c>
      <c r="FI285" s="73">
        <v>1152</v>
      </c>
      <c r="FJ285" s="79">
        <v>3482</v>
      </c>
      <c r="FK285" s="80">
        <v>9120</v>
      </c>
      <c r="FL285" s="80">
        <v>7890</v>
      </c>
      <c r="FM285" s="80">
        <v>1599</v>
      </c>
      <c r="FN285" s="76">
        <v>98</v>
      </c>
      <c r="FO285" s="80">
        <v>8146</v>
      </c>
      <c r="FP285" s="80">
        <v>530</v>
      </c>
      <c r="FQ285" s="80">
        <v>444</v>
      </c>
      <c r="FR285" s="80">
        <v>-73</v>
      </c>
      <c r="FS285" s="81">
        <v>-965</v>
      </c>
      <c r="FT285" s="76">
        <v>659</v>
      </c>
      <c r="FU285" s="76">
        <v>5739</v>
      </c>
      <c r="FV285" s="76">
        <v>965</v>
      </c>
      <c r="FW285" s="80">
        <v>18650</v>
      </c>
      <c r="FX285" s="80">
        <v>-724</v>
      </c>
      <c r="FY285" s="73">
        <v>3466</v>
      </c>
      <c r="FZ285" s="73">
        <v>8832</v>
      </c>
      <c r="GA285" s="73">
        <v>8674</v>
      </c>
      <c r="GB285" s="73">
        <v>2176</v>
      </c>
      <c r="GC285" s="73">
        <v>190</v>
      </c>
      <c r="GD285" s="73">
        <v>7753</v>
      </c>
      <c r="GE285" s="73">
        <v>557</v>
      </c>
      <c r="GF285" s="73">
        <v>522</v>
      </c>
      <c r="GG285" s="73">
        <v>370</v>
      </c>
      <c r="GH285" s="73">
        <v>-1442</v>
      </c>
      <c r="GI285" s="73">
        <v>768</v>
      </c>
      <c r="GJ285" s="73">
        <v>6860</v>
      </c>
      <c r="GK285" s="73">
        <v>1442</v>
      </c>
      <c r="GL285" s="73">
        <v>19403</v>
      </c>
      <c r="GM285" s="73">
        <v>-390</v>
      </c>
      <c r="GN285" s="73">
        <v>38</v>
      </c>
      <c r="GO285" s="77">
        <v>20.5</v>
      </c>
      <c r="GP285" s="78">
        <v>3405</v>
      </c>
      <c r="GQ285" s="73">
        <v>9541</v>
      </c>
      <c r="GR285" s="65">
        <v>9375</v>
      </c>
      <c r="GS285" s="65">
        <v>1948</v>
      </c>
      <c r="GT285" s="65">
        <v>225</v>
      </c>
      <c r="GU285" s="65">
        <v>8416</v>
      </c>
      <c r="GV285" s="65">
        <v>532</v>
      </c>
      <c r="GW285" s="65">
        <v>593</v>
      </c>
      <c r="GX285" s="65">
        <v>300</v>
      </c>
      <c r="GY285" s="65">
        <v>-617</v>
      </c>
      <c r="GZ285" s="65">
        <v>796</v>
      </c>
      <c r="HA285" s="65">
        <v>6401</v>
      </c>
      <c r="HB285" s="65">
        <v>617</v>
      </c>
      <c r="HC285" s="65">
        <v>20659</v>
      </c>
      <c r="HD285" s="65">
        <v>-488</v>
      </c>
      <c r="HE285" s="78">
        <v>3382</v>
      </c>
      <c r="HF285" s="73">
        <v>9289</v>
      </c>
      <c r="HG285" s="65">
        <v>9152</v>
      </c>
      <c r="HH285" s="65">
        <v>2115</v>
      </c>
      <c r="HI285" s="65">
        <v>206</v>
      </c>
      <c r="HJ285" s="65">
        <v>8324</v>
      </c>
      <c r="HK285" s="65">
        <v>355</v>
      </c>
      <c r="HL285" s="65">
        <v>610</v>
      </c>
      <c r="HM285" s="65">
        <v>-679</v>
      </c>
      <c r="HN285" s="65">
        <v>-1494</v>
      </c>
      <c r="HO285" s="65">
        <v>837</v>
      </c>
      <c r="HP285" s="65">
        <v>8501</v>
      </c>
      <c r="HQ285" s="65">
        <v>1494</v>
      </c>
      <c r="HR285" s="65">
        <v>21353</v>
      </c>
      <c r="HS285" s="65">
        <v>-1508</v>
      </c>
      <c r="HT285" s="65">
        <v>-1907</v>
      </c>
      <c r="HU285" s="77">
        <v>21</v>
      </c>
      <c r="HV285" s="180">
        <v>340</v>
      </c>
      <c r="HW285" s="30" t="s">
        <v>761</v>
      </c>
    </row>
    <row r="286" spans="1:231" ht="15" x14ac:dyDescent="0.25">
      <c r="A286" s="27">
        <v>925</v>
      </c>
      <c r="B286" s="27" t="s">
        <v>409</v>
      </c>
      <c r="C286" s="27">
        <v>11</v>
      </c>
      <c r="D286" s="27" t="s">
        <v>118</v>
      </c>
      <c r="E286" s="27">
        <v>2</v>
      </c>
      <c r="F286" s="27" t="s">
        <v>744</v>
      </c>
      <c r="G286" s="29" t="s">
        <v>130</v>
      </c>
      <c r="H286" s="27" t="s">
        <v>98</v>
      </c>
      <c r="I286" s="31" t="s">
        <v>118</v>
      </c>
      <c r="J286" s="69">
        <v>4514</v>
      </c>
      <c r="K286" s="69">
        <v>4457</v>
      </c>
      <c r="L286" s="36">
        <v>4361</v>
      </c>
      <c r="M286" s="36">
        <v>4294</v>
      </c>
      <c r="N286" s="36">
        <v>4246</v>
      </c>
      <c r="O286" s="36">
        <v>4155</v>
      </c>
      <c r="P286" s="36">
        <v>4143</v>
      </c>
      <c r="Q286" s="36">
        <v>4125</v>
      </c>
      <c r="R286" s="69">
        <v>4095</v>
      </c>
      <c r="S286" s="69">
        <v>4054</v>
      </c>
      <c r="T286" s="71">
        <v>4062</v>
      </c>
      <c r="U286" s="36">
        <v>7692</v>
      </c>
      <c r="V286" s="36">
        <v>5949</v>
      </c>
      <c r="W286" s="36">
        <v>3155</v>
      </c>
      <c r="X286" s="36">
        <v>83.084835671986454</v>
      </c>
      <c r="Y286" s="36">
        <v>7453</v>
      </c>
      <c r="Z286" s="36">
        <v>5705</v>
      </c>
      <c r="AA286" s="36">
        <v>3325</v>
      </c>
      <c r="AB286" s="36">
        <v>180.29745716673983</v>
      </c>
      <c r="AC286" s="36">
        <v>7218</v>
      </c>
      <c r="AD286" s="36">
        <v>5716</v>
      </c>
      <c r="AE286" s="36">
        <v>3299</v>
      </c>
      <c r="AF286" s="36">
        <v>157.42389916797433</v>
      </c>
      <c r="AG286" s="36">
        <v>8338</v>
      </c>
      <c r="AH286" s="36">
        <v>6707</v>
      </c>
      <c r="AI286" s="36">
        <v>3584</v>
      </c>
      <c r="AJ286" s="36">
        <v>153.8919527122826</v>
      </c>
      <c r="AK286" s="36">
        <v>8231</v>
      </c>
      <c r="AL286" s="36">
        <v>6651</v>
      </c>
      <c r="AM286" s="36">
        <v>4620</v>
      </c>
      <c r="AN286" s="36">
        <v>133</v>
      </c>
      <c r="AO286" s="36">
        <v>7659</v>
      </c>
      <c r="AP286" s="36">
        <v>6772</v>
      </c>
      <c r="AQ286" s="36">
        <v>4376</v>
      </c>
      <c r="AR286" s="36">
        <v>349</v>
      </c>
      <c r="AS286" s="36">
        <v>7918</v>
      </c>
      <c r="AT286" s="36">
        <v>7715</v>
      </c>
      <c r="AU286" s="36">
        <v>4733</v>
      </c>
      <c r="AV286" s="36">
        <v>158</v>
      </c>
      <c r="AW286" s="36">
        <v>8164</v>
      </c>
      <c r="AX286" s="69">
        <v>7526</v>
      </c>
      <c r="AY286" s="36">
        <v>5398</v>
      </c>
      <c r="AZ286" s="36">
        <v>137</v>
      </c>
      <c r="BA286" s="36">
        <v>8995</v>
      </c>
      <c r="BB286" s="36">
        <v>8185</v>
      </c>
      <c r="BC286" s="36">
        <v>5848</v>
      </c>
      <c r="BD286" s="36">
        <v>84</v>
      </c>
      <c r="BE286" s="70">
        <v>10103</v>
      </c>
      <c r="BF286" s="70">
        <v>7982</v>
      </c>
      <c r="BG286" s="70">
        <v>5511</v>
      </c>
      <c r="BH286" s="70">
        <v>151</v>
      </c>
      <c r="BI286" s="36">
        <v>11179</v>
      </c>
      <c r="BJ286" s="36">
        <v>8359</v>
      </c>
      <c r="BK286" s="36">
        <v>5772</v>
      </c>
      <c r="BL286" s="36">
        <v>340</v>
      </c>
      <c r="BM286" s="36">
        <v>5501.4270745560261</v>
      </c>
      <c r="BN286" s="36">
        <v>1939.3749800276837</v>
      </c>
      <c r="BO286" s="36">
        <v>251.60913798642051</v>
      </c>
      <c r="BP286" s="36">
        <v>5282.2782063766772</v>
      </c>
      <c r="BQ286" s="36">
        <v>1918.6878650729179</v>
      </c>
      <c r="BR286" s="36">
        <v>252.11370176580502</v>
      </c>
      <c r="BS286" s="36">
        <v>5397.8233118557346</v>
      </c>
      <c r="BT286" s="36">
        <v>1566.3341591360522</v>
      </c>
      <c r="BU286" s="36">
        <v>254.13195688334315</v>
      </c>
      <c r="BV286" s="36">
        <v>6186</v>
      </c>
      <c r="BW286" s="36">
        <v>1877</v>
      </c>
      <c r="BX286" s="36">
        <v>275</v>
      </c>
      <c r="BY286" s="36">
        <v>6899</v>
      </c>
      <c r="BZ286" s="36">
        <v>1052</v>
      </c>
      <c r="CA286" s="36">
        <v>280</v>
      </c>
      <c r="CB286" s="36">
        <v>6719</v>
      </c>
      <c r="CC286" s="36">
        <v>664</v>
      </c>
      <c r="CD286" s="36">
        <v>276</v>
      </c>
      <c r="CE286" s="36">
        <v>6755</v>
      </c>
      <c r="CF286" s="36">
        <v>887</v>
      </c>
      <c r="CG286" s="36">
        <v>276</v>
      </c>
      <c r="CH286" s="36">
        <v>6696</v>
      </c>
      <c r="CI286" s="36">
        <v>1180</v>
      </c>
      <c r="CJ286" s="70">
        <v>288</v>
      </c>
      <c r="CK286" s="70">
        <v>7192</v>
      </c>
      <c r="CL286" s="70">
        <v>1486</v>
      </c>
      <c r="CM286" s="36">
        <v>317</v>
      </c>
      <c r="CN286" s="36">
        <v>7646</v>
      </c>
      <c r="CO286" s="36">
        <v>2058</v>
      </c>
      <c r="CP286" s="36">
        <v>399</v>
      </c>
      <c r="CQ286" s="36">
        <v>8486</v>
      </c>
      <c r="CR286" s="36">
        <v>2225</v>
      </c>
      <c r="CS286" s="36">
        <v>468</v>
      </c>
      <c r="CT286" s="36">
        <v>759.70486382664535</v>
      </c>
      <c r="CU286" s="36">
        <v>-925.70634719999998</v>
      </c>
      <c r="CV286" s="36">
        <v>730.77654047526539</v>
      </c>
      <c r="CW286" s="36">
        <v>3762</v>
      </c>
      <c r="CX286" s="36">
        <v>542.06968698545006</v>
      </c>
      <c r="CY286" s="36">
        <v>2782.6692429999998</v>
      </c>
      <c r="CZ286" s="36">
        <v>713.95774782911428</v>
      </c>
      <c r="DA286" s="36">
        <v>2561</v>
      </c>
      <c r="DB286" s="36">
        <v>-628.85465703958971</v>
      </c>
      <c r="DC286" s="36">
        <v>-334.52578569999997</v>
      </c>
      <c r="DD286" s="36">
        <v>645.67344968574082</v>
      </c>
      <c r="DE286" s="36">
        <v>1806</v>
      </c>
      <c r="DF286" s="36">
        <v>716.6487546524985</v>
      </c>
      <c r="DG286" s="36">
        <v>-851</v>
      </c>
      <c r="DH286" s="36">
        <v>597.06713893836411</v>
      </c>
      <c r="DI286" s="36">
        <v>2963</v>
      </c>
      <c r="DJ286" s="36">
        <v>790</v>
      </c>
      <c r="DK286" s="36">
        <v>-1659</v>
      </c>
      <c r="DL286" s="36">
        <v>556</v>
      </c>
      <c r="DM286" s="36">
        <v>2862</v>
      </c>
      <c r="DN286" s="36">
        <v>115</v>
      </c>
      <c r="DO286" s="69">
        <v>-1114</v>
      </c>
      <c r="DP286" s="36">
        <v>570</v>
      </c>
      <c r="DQ286" s="36">
        <v>2844</v>
      </c>
      <c r="DR286" s="36">
        <v>835</v>
      </c>
      <c r="DS286" s="36">
        <v>-730</v>
      </c>
      <c r="DT286" s="36">
        <v>575</v>
      </c>
      <c r="DU286" s="36">
        <v>3190</v>
      </c>
      <c r="DV286" s="36">
        <v>35</v>
      </c>
      <c r="DW286" s="71">
        <v>-3262</v>
      </c>
      <c r="DX286" s="39">
        <v>607</v>
      </c>
      <c r="DY286" s="71">
        <v>5792</v>
      </c>
      <c r="DZ286" s="70">
        <v>672</v>
      </c>
      <c r="EA286" s="35">
        <v>-2068</v>
      </c>
      <c r="EB286" s="35">
        <v>779</v>
      </c>
      <c r="EC286" s="38">
        <v>7475</v>
      </c>
      <c r="ED286" s="38">
        <v>1117</v>
      </c>
      <c r="EE286" s="38">
        <v>-433</v>
      </c>
      <c r="EF286" s="38">
        <v>690</v>
      </c>
      <c r="EG286" s="73">
        <v>6578</v>
      </c>
      <c r="EH286" s="73">
        <v>1575</v>
      </c>
      <c r="EI286" s="73">
        <v>-364</v>
      </c>
      <c r="EJ286" s="73">
        <v>689</v>
      </c>
      <c r="EK286" s="73">
        <v>5682</v>
      </c>
      <c r="EL286" s="73">
        <v>15314.015268099964</v>
      </c>
      <c r="EM286" s="73">
        <v>16.31422886676657</v>
      </c>
      <c r="EN286" s="73">
        <v>15287.777951571969</v>
      </c>
      <c r="EO286" s="73">
        <v>99.90362831813755</v>
      </c>
      <c r="EP286" s="73">
        <v>16207.42953346351</v>
      </c>
      <c r="EQ286" s="73">
        <v>-1273.5189791665616</v>
      </c>
      <c r="ER286" s="73">
        <v>17179.219372558124</v>
      </c>
      <c r="ES286" s="73">
        <v>56.847519143990731</v>
      </c>
      <c r="ET286" s="73">
        <v>18720</v>
      </c>
      <c r="EU286" s="73">
        <v>756</v>
      </c>
      <c r="EV286" s="73">
        <v>18711</v>
      </c>
      <c r="EW286" s="73">
        <v>-170</v>
      </c>
      <c r="EX286" s="73">
        <v>19588</v>
      </c>
      <c r="EY286" s="73">
        <v>281</v>
      </c>
      <c r="EZ286" s="73">
        <v>21067</v>
      </c>
      <c r="FA286" s="73">
        <v>-551</v>
      </c>
      <c r="FB286" s="73">
        <v>22232</v>
      </c>
      <c r="FC286" s="73">
        <v>574</v>
      </c>
      <c r="FD286" s="73">
        <v>22332</v>
      </c>
      <c r="FE286" s="73">
        <v>564</v>
      </c>
      <c r="FF286" s="73">
        <v>23860</v>
      </c>
      <c r="FG286" s="73">
        <v>901</v>
      </c>
      <c r="FH286" s="73">
        <v>-53</v>
      </c>
      <c r="FI286" s="73">
        <v>849</v>
      </c>
      <c r="FJ286" s="79">
        <v>3985</v>
      </c>
      <c r="FK286" s="80">
        <v>11437</v>
      </c>
      <c r="FL286" s="80">
        <v>8285</v>
      </c>
      <c r="FM286" s="80">
        <v>5715</v>
      </c>
      <c r="FN286" s="76">
        <v>435</v>
      </c>
      <c r="FO286" s="80">
        <v>9187</v>
      </c>
      <c r="FP286" s="80">
        <v>1724</v>
      </c>
      <c r="FQ286" s="80">
        <v>526</v>
      </c>
      <c r="FR286" s="80">
        <v>762</v>
      </c>
      <c r="FS286" s="81">
        <v>-197</v>
      </c>
      <c r="FT286" s="76">
        <v>744</v>
      </c>
      <c r="FU286" s="76">
        <v>4846</v>
      </c>
      <c r="FV286" s="76">
        <v>197</v>
      </c>
      <c r="FW286" s="80">
        <v>24957</v>
      </c>
      <c r="FX286" s="80">
        <v>36</v>
      </c>
      <c r="FY286" s="73">
        <v>3982</v>
      </c>
      <c r="FZ286" s="73">
        <v>10644</v>
      </c>
      <c r="GA286" s="73">
        <v>8578</v>
      </c>
      <c r="GB286" s="73">
        <v>5897</v>
      </c>
      <c r="GC286" s="73">
        <v>437</v>
      </c>
      <c r="GD286" s="73">
        <v>8093</v>
      </c>
      <c r="GE286" s="73">
        <v>1948</v>
      </c>
      <c r="GF286" s="73">
        <v>603</v>
      </c>
      <c r="GG286" s="73">
        <v>526</v>
      </c>
      <c r="GH286" s="73">
        <v>-731</v>
      </c>
      <c r="GI286" s="73">
        <v>711</v>
      </c>
      <c r="GJ286" s="73">
        <v>4413</v>
      </c>
      <c r="GK286" s="73">
        <v>731</v>
      </c>
      <c r="GL286" s="73">
        <v>24875</v>
      </c>
      <c r="GM286" s="73">
        <v>-221</v>
      </c>
      <c r="GN286" s="73">
        <v>763</v>
      </c>
      <c r="GO286" s="77">
        <v>19.75</v>
      </c>
      <c r="GP286" s="78">
        <v>3962</v>
      </c>
      <c r="GQ286" s="73">
        <v>11316</v>
      </c>
      <c r="GR286" s="65">
        <v>9035</v>
      </c>
      <c r="GS286" s="65">
        <v>2204</v>
      </c>
      <c r="GT286" s="65">
        <v>316</v>
      </c>
      <c r="GU286" s="65">
        <v>9117</v>
      </c>
      <c r="GV286" s="65">
        <v>1597</v>
      </c>
      <c r="GW286" s="65">
        <v>602</v>
      </c>
      <c r="GX286" s="65">
        <v>763</v>
      </c>
      <c r="GY286" s="65">
        <v>348</v>
      </c>
      <c r="GZ286" s="65">
        <v>618</v>
      </c>
      <c r="HA286" s="65">
        <v>3194</v>
      </c>
      <c r="HB286" s="65">
        <v>-348</v>
      </c>
      <c r="HC286" s="65">
        <v>22014</v>
      </c>
      <c r="HD286" s="65">
        <v>163</v>
      </c>
      <c r="HE286" s="78">
        <v>3930</v>
      </c>
      <c r="HF286" s="73">
        <v>10956</v>
      </c>
      <c r="HG286" s="65">
        <v>9479</v>
      </c>
      <c r="HH286" s="65">
        <v>2114</v>
      </c>
      <c r="HI286" s="65">
        <v>260</v>
      </c>
      <c r="HJ286" s="65">
        <v>9439</v>
      </c>
      <c r="HK286" s="65">
        <v>874</v>
      </c>
      <c r="HL286" s="65">
        <v>643</v>
      </c>
      <c r="HM286" s="65">
        <v>-503</v>
      </c>
      <c r="HN286" s="65">
        <v>-592</v>
      </c>
      <c r="HO286" s="65">
        <v>685</v>
      </c>
      <c r="HP286" s="65">
        <v>2701</v>
      </c>
      <c r="HQ286" s="65">
        <v>592</v>
      </c>
      <c r="HR286" s="65">
        <v>23253</v>
      </c>
      <c r="HS286" s="65">
        <v>-1170</v>
      </c>
      <c r="HT286" s="65">
        <v>-244</v>
      </c>
      <c r="HU286" s="77">
        <v>19.75</v>
      </c>
      <c r="HV286" s="180">
        <v>330</v>
      </c>
      <c r="HW286" s="30" t="s">
        <v>760</v>
      </c>
    </row>
    <row r="287" spans="1:231" ht="15" x14ac:dyDescent="0.25">
      <c r="A287" s="27">
        <v>927</v>
      </c>
      <c r="B287" s="27" t="s">
        <v>410</v>
      </c>
      <c r="C287" s="27">
        <v>1</v>
      </c>
      <c r="D287" s="27" t="s">
        <v>121</v>
      </c>
      <c r="E287" s="27">
        <v>5</v>
      </c>
      <c r="F287" s="27" t="s">
        <v>101</v>
      </c>
      <c r="G287" s="29" t="s">
        <v>132</v>
      </c>
      <c r="H287" s="27" t="s">
        <v>99</v>
      </c>
      <c r="I287" s="31" t="s">
        <v>121</v>
      </c>
      <c r="J287" s="69">
        <v>23385</v>
      </c>
      <c r="K287" s="69">
        <v>23611</v>
      </c>
      <c r="L287" s="36">
        <v>23858</v>
      </c>
      <c r="M287" s="36">
        <v>24214</v>
      </c>
      <c r="N287" s="36">
        <v>24732</v>
      </c>
      <c r="O287" s="36">
        <v>24954</v>
      </c>
      <c r="P287" s="36">
        <v>25561</v>
      </c>
      <c r="Q287" s="36">
        <v>25935</v>
      </c>
      <c r="R287" s="69">
        <v>26427</v>
      </c>
      <c r="S287" s="69">
        <v>27040</v>
      </c>
      <c r="T287" s="71">
        <v>27628</v>
      </c>
      <c r="U287" s="36">
        <v>51106</v>
      </c>
      <c r="V287" s="36">
        <v>10820</v>
      </c>
      <c r="W287" s="36">
        <v>8035</v>
      </c>
      <c r="X287" s="36">
        <v>943.02970366969237</v>
      </c>
      <c r="Y287" s="36">
        <v>53745</v>
      </c>
      <c r="Z287" s="36">
        <v>10410</v>
      </c>
      <c r="AA287" s="36">
        <v>8709</v>
      </c>
      <c r="AB287" s="36">
        <v>973.47171835922586</v>
      </c>
      <c r="AC287" s="36">
        <v>61450</v>
      </c>
      <c r="AD287" s="36">
        <v>9664</v>
      </c>
      <c r="AE287" s="36">
        <v>11518</v>
      </c>
      <c r="AF287" s="36">
        <v>1078.5891723976702</v>
      </c>
      <c r="AG287" s="36">
        <v>62258</v>
      </c>
      <c r="AH287" s="36">
        <v>9210</v>
      </c>
      <c r="AI287" s="36">
        <v>10827</v>
      </c>
      <c r="AJ287" s="36">
        <v>790.31506644264027</v>
      </c>
      <c r="AK287" s="36">
        <v>66400</v>
      </c>
      <c r="AL287" s="36">
        <v>10745</v>
      </c>
      <c r="AM287" s="36">
        <v>11307</v>
      </c>
      <c r="AN287" s="36">
        <v>682</v>
      </c>
      <c r="AO287" s="36">
        <v>65043</v>
      </c>
      <c r="AP287" s="36">
        <v>12159</v>
      </c>
      <c r="AQ287" s="36">
        <v>12440</v>
      </c>
      <c r="AR287" s="36">
        <v>533</v>
      </c>
      <c r="AS287" s="36">
        <v>66654</v>
      </c>
      <c r="AT287" s="36">
        <v>14415</v>
      </c>
      <c r="AU287" s="36">
        <v>13647</v>
      </c>
      <c r="AV287" s="36">
        <v>667</v>
      </c>
      <c r="AW287" s="36">
        <v>71183</v>
      </c>
      <c r="AX287" s="69">
        <v>16168</v>
      </c>
      <c r="AY287" s="36">
        <v>14045</v>
      </c>
      <c r="AZ287" s="36">
        <v>572</v>
      </c>
      <c r="BA287" s="36">
        <v>77203</v>
      </c>
      <c r="BB287" s="36">
        <v>16483</v>
      </c>
      <c r="BC287" s="36">
        <v>16950</v>
      </c>
      <c r="BD287" s="36">
        <v>7570</v>
      </c>
      <c r="BE287" s="70">
        <v>85595</v>
      </c>
      <c r="BF287" s="70">
        <v>17114</v>
      </c>
      <c r="BG287" s="70">
        <v>18979</v>
      </c>
      <c r="BH287" s="70">
        <v>6575</v>
      </c>
      <c r="BI287" s="36">
        <v>93467</v>
      </c>
      <c r="BJ287" s="36">
        <v>19160</v>
      </c>
      <c r="BK287" s="36">
        <v>17090</v>
      </c>
      <c r="BL287" s="36">
        <v>572</v>
      </c>
      <c r="BM287" s="36">
        <v>44516.484939612121</v>
      </c>
      <c r="BN287" s="36">
        <v>4799.0742936527558</v>
      </c>
      <c r="BO287" s="36">
        <v>1790.8650409621694</v>
      </c>
      <c r="BP287" s="36">
        <v>47534.953655816862</v>
      </c>
      <c r="BQ287" s="36">
        <v>4457.9891787888109</v>
      </c>
      <c r="BR287" s="36">
        <v>1752.1818178760216</v>
      </c>
      <c r="BS287" s="36">
        <v>53112.738048986415</v>
      </c>
      <c r="BT287" s="36">
        <v>6431.3381199617206</v>
      </c>
      <c r="BU287" s="36">
        <v>1905.5692068089197</v>
      </c>
      <c r="BV287" s="36">
        <v>55491</v>
      </c>
      <c r="BW287" s="36">
        <v>4575</v>
      </c>
      <c r="BX287" s="36">
        <v>2191</v>
      </c>
      <c r="BY287" s="36">
        <v>61100</v>
      </c>
      <c r="BZ287" s="36">
        <v>3051</v>
      </c>
      <c r="CA287" s="36">
        <v>2249</v>
      </c>
      <c r="CB287" s="36">
        <v>60699</v>
      </c>
      <c r="CC287" s="36">
        <v>1974</v>
      </c>
      <c r="CD287" s="36">
        <v>2370</v>
      </c>
      <c r="CE287" s="36">
        <v>62113</v>
      </c>
      <c r="CF287" s="36">
        <v>2116</v>
      </c>
      <c r="CG287" s="36">
        <v>2425</v>
      </c>
      <c r="CH287" s="36">
        <v>66326</v>
      </c>
      <c r="CI287" s="36">
        <v>2314</v>
      </c>
      <c r="CJ287" s="70">
        <v>2543</v>
      </c>
      <c r="CK287" s="70">
        <v>71371</v>
      </c>
      <c r="CL287" s="70">
        <v>2488</v>
      </c>
      <c r="CM287" s="36">
        <v>3344</v>
      </c>
      <c r="CN287" s="36">
        <v>78892</v>
      </c>
      <c r="CO287" s="36">
        <v>3047</v>
      </c>
      <c r="CP287" s="36">
        <v>3656</v>
      </c>
      <c r="CQ287" s="36">
        <v>86334</v>
      </c>
      <c r="CR287" s="36">
        <v>3211</v>
      </c>
      <c r="CS287" s="36">
        <v>3922</v>
      </c>
      <c r="CT287" s="36">
        <v>3863.4448587473698</v>
      </c>
      <c r="CU287" s="36">
        <v>-3991.7722469999999</v>
      </c>
      <c r="CV287" s="36">
        <v>3851.1671401156791</v>
      </c>
      <c r="CW287" s="36">
        <v>17803</v>
      </c>
      <c r="CX287" s="36">
        <v>4869.8814106930522</v>
      </c>
      <c r="CY287" s="36">
        <v>-3926.6835190000002</v>
      </c>
      <c r="CZ287" s="36">
        <v>4126.3225878067115</v>
      </c>
      <c r="DA287" s="36">
        <v>16582</v>
      </c>
      <c r="DB287" s="36">
        <v>8767.3002305856462</v>
      </c>
      <c r="DC287" s="36">
        <v>-3068.7569060000001</v>
      </c>
      <c r="DD287" s="36">
        <v>4381.9682360282086</v>
      </c>
      <c r="DE287" s="36">
        <v>15267</v>
      </c>
      <c r="DF287" s="36">
        <v>946.05708634599955</v>
      </c>
      <c r="DG287" s="36">
        <v>-7299</v>
      </c>
      <c r="DH287" s="36">
        <v>4159.6237972460904</v>
      </c>
      <c r="DI287" s="36">
        <v>18209</v>
      </c>
      <c r="DJ287" s="36">
        <v>7394</v>
      </c>
      <c r="DK287" s="36">
        <v>-6232</v>
      </c>
      <c r="DL287" s="36">
        <v>4617</v>
      </c>
      <c r="DM287" s="36">
        <v>18056</v>
      </c>
      <c r="DN287" s="36">
        <v>4365</v>
      </c>
      <c r="DO287" s="69">
        <v>-12544</v>
      </c>
      <c r="DP287" s="36">
        <v>5013</v>
      </c>
      <c r="DQ287" s="36">
        <v>27134</v>
      </c>
      <c r="DR287" s="36">
        <v>2065</v>
      </c>
      <c r="DS287" s="36">
        <v>-16244</v>
      </c>
      <c r="DT287" s="36">
        <v>6234</v>
      </c>
      <c r="DU287" s="36">
        <v>43401</v>
      </c>
      <c r="DV287" s="36">
        <v>2460</v>
      </c>
      <c r="DW287" s="71">
        <v>-4703</v>
      </c>
      <c r="DX287" s="39">
        <v>6484</v>
      </c>
      <c r="DY287" s="71">
        <v>45210</v>
      </c>
      <c r="DZ287" s="70">
        <v>6679</v>
      </c>
      <c r="EA287" s="35">
        <v>-10834</v>
      </c>
      <c r="EB287" s="35">
        <v>6611</v>
      </c>
      <c r="EC287" s="38">
        <v>48565</v>
      </c>
      <c r="ED287" s="38">
        <v>10103</v>
      </c>
      <c r="EE287" s="38">
        <v>-12987</v>
      </c>
      <c r="EF287" s="38">
        <v>7125</v>
      </c>
      <c r="EG287" s="73">
        <v>54820</v>
      </c>
      <c r="EH287" s="73">
        <v>5353</v>
      </c>
      <c r="EI287" s="73">
        <v>-15213</v>
      </c>
      <c r="EJ287" s="73">
        <v>7378</v>
      </c>
      <c r="EK287" s="73">
        <v>64373</v>
      </c>
      <c r="EL287" s="73">
        <v>62559.685690403028</v>
      </c>
      <c r="EM287" s="73">
        <v>125.80456899321025</v>
      </c>
      <c r="EN287" s="73">
        <v>64614.43758798331</v>
      </c>
      <c r="EO287" s="73">
        <v>810.16124176509868</v>
      </c>
      <c r="EP287" s="73">
        <v>70312.139972719917</v>
      </c>
      <c r="EQ287" s="73">
        <v>4986.0992678779558</v>
      </c>
      <c r="ER287" s="73">
        <v>77278.820262608628</v>
      </c>
      <c r="ES287" s="73">
        <v>-3407.1510142572906</v>
      </c>
      <c r="ET287" s="73">
        <v>80913</v>
      </c>
      <c r="EU287" s="73">
        <v>1821</v>
      </c>
      <c r="EV287" s="73">
        <v>84975</v>
      </c>
      <c r="EW287" s="73">
        <v>-604</v>
      </c>
      <c r="EX287" s="73">
        <v>92004</v>
      </c>
      <c r="EY287" s="73">
        <v>-4052</v>
      </c>
      <c r="EZ287" s="73">
        <v>99888</v>
      </c>
      <c r="FA287" s="73">
        <v>-3834</v>
      </c>
      <c r="FB287" s="73">
        <v>102973</v>
      </c>
      <c r="FC287" s="73">
        <v>7400</v>
      </c>
      <c r="FD287" s="73">
        <v>110082</v>
      </c>
      <c r="FE287" s="73">
        <v>9033</v>
      </c>
      <c r="FF287" s="73">
        <v>122740</v>
      </c>
      <c r="FG287" s="73">
        <v>-1835</v>
      </c>
      <c r="FH287" s="73">
        <v>16323</v>
      </c>
      <c r="FI287" s="73">
        <v>14489</v>
      </c>
      <c r="FJ287" s="79">
        <v>27869</v>
      </c>
      <c r="FK287" s="80">
        <v>96205</v>
      </c>
      <c r="FL287" s="80">
        <v>20695</v>
      </c>
      <c r="FM287" s="80">
        <v>19437</v>
      </c>
      <c r="FN287" s="76">
        <v>276</v>
      </c>
      <c r="FO287" s="80">
        <v>89405</v>
      </c>
      <c r="FP287" s="80">
        <v>2565</v>
      </c>
      <c r="FQ287" s="80">
        <v>4235</v>
      </c>
      <c r="FR287" s="80">
        <v>6652</v>
      </c>
      <c r="FS287" s="81">
        <v>-7557</v>
      </c>
      <c r="FT287" s="76">
        <v>7824</v>
      </c>
      <c r="FU287" s="76">
        <v>69759</v>
      </c>
      <c r="FV287" s="76">
        <v>7557</v>
      </c>
      <c r="FW287" s="80">
        <v>127969</v>
      </c>
      <c r="FX287" s="80">
        <v>-982</v>
      </c>
      <c r="FY287" s="73">
        <v>28311</v>
      </c>
      <c r="FZ287" s="73">
        <v>100782</v>
      </c>
      <c r="GA287" s="73">
        <v>23692</v>
      </c>
      <c r="GB287" s="73">
        <v>17942</v>
      </c>
      <c r="GC287" s="73">
        <v>299</v>
      </c>
      <c r="GD287" s="73">
        <v>90535</v>
      </c>
      <c r="GE287" s="73">
        <v>3728</v>
      </c>
      <c r="GF287" s="73">
        <v>6519</v>
      </c>
      <c r="GG287" s="73">
        <v>8156</v>
      </c>
      <c r="GH287" s="73">
        <v>-9677</v>
      </c>
      <c r="GI287" s="73">
        <v>7870</v>
      </c>
      <c r="GJ287" s="73">
        <v>75164</v>
      </c>
      <c r="GK287" s="73">
        <v>9677</v>
      </c>
      <c r="GL287" s="73">
        <v>132865</v>
      </c>
      <c r="GM287" s="73">
        <v>475</v>
      </c>
      <c r="GN287" s="73">
        <v>13980</v>
      </c>
      <c r="GO287" s="77">
        <v>19.25</v>
      </c>
      <c r="GP287" s="78">
        <v>28581</v>
      </c>
      <c r="GQ287" s="73">
        <v>105707</v>
      </c>
      <c r="GR287" s="65">
        <v>23878</v>
      </c>
      <c r="GS287" s="65">
        <v>17773</v>
      </c>
      <c r="GT287" s="65">
        <v>378</v>
      </c>
      <c r="GU287" s="65">
        <v>94095</v>
      </c>
      <c r="GV287" s="65">
        <v>4778</v>
      </c>
      <c r="GW287" s="65">
        <v>6834</v>
      </c>
      <c r="GX287" s="65">
        <v>9730</v>
      </c>
      <c r="GY287" s="65">
        <v>-9689</v>
      </c>
      <c r="GZ287" s="65">
        <v>7748</v>
      </c>
      <c r="HA287" s="65">
        <v>69267</v>
      </c>
      <c r="HB287" s="65">
        <v>9689</v>
      </c>
      <c r="HC287" s="65">
        <v>136318</v>
      </c>
      <c r="HD287" s="65">
        <v>2171</v>
      </c>
      <c r="HE287" s="78">
        <v>28674</v>
      </c>
      <c r="HF287" s="73">
        <v>106355</v>
      </c>
      <c r="HG287" s="65">
        <v>24303</v>
      </c>
      <c r="HH287" s="65">
        <v>18607</v>
      </c>
      <c r="HI287" s="65">
        <v>464</v>
      </c>
      <c r="HJ287" s="65">
        <v>96844</v>
      </c>
      <c r="HK287" s="65">
        <v>2981</v>
      </c>
      <c r="HL287" s="65">
        <v>6530</v>
      </c>
      <c r="HM287" s="65">
        <v>4118</v>
      </c>
      <c r="HN287" s="65">
        <v>-6015</v>
      </c>
      <c r="HO287" s="65">
        <v>7928</v>
      </c>
      <c r="HP287" s="65">
        <v>72148</v>
      </c>
      <c r="HQ287" s="65">
        <v>6015</v>
      </c>
      <c r="HR287" s="65">
        <v>143978</v>
      </c>
      <c r="HS287" s="65">
        <v>-3621</v>
      </c>
      <c r="HT287" s="65">
        <v>12530</v>
      </c>
      <c r="HU287" s="77">
        <v>19.5</v>
      </c>
      <c r="HV287" s="180">
        <v>220</v>
      </c>
      <c r="HW287" s="30" t="s">
        <v>755</v>
      </c>
    </row>
    <row r="288" spans="1:231" ht="15" x14ac:dyDescent="0.25">
      <c r="A288" s="32">
        <v>931</v>
      </c>
      <c r="B288" s="32" t="s">
        <v>411</v>
      </c>
      <c r="C288" s="32">
        <v>13</v>
      </c>
      <c r="D288" s="32" t="s">
        <v>111</v>
      </c>
      <c r="E288" s="27">
        <v>3</v>
      </c>
      <c r="F288" s="27" t="s">
        <v>743</v>
      </c>
      <c r="G288" s="43" t="s">
        <v>130</v>
      </c>
      <c r="H288" s="32" t="s">
        <v>98</v>
      </c>
      <c r="I288" s="33" t="s">
        <v>111</v>
      </c>
      <c r="J288" s="69">
        <v>8050</v>
      </c>
      <c r="K288" s="69">
        <v>8010</v>
      </c>
      <c r="L288" s="36">
        <v>7915</v>
      </c>
      <c r="M288" s="36">
        <v>7800</v>
      </c>
      <c r="N288" s="36">
        <v>7728</v>
      </c>
      <c r="O288" s="36">
        <v>7602</v>
      </c>
      <c r="P288" s="36">
        <v>7524</v>
      </c>
      <c r="Q288" s="36">
        <v>7458</v>
      </c>
      <c r="R288" s="69">
        <v>7445</v>
      </c>
      <c r="S288" s="69">
        <v>7406</v>
      </c>
      <c r="T288" s="71">
        <v>7330</v>
      </c>
      <c r="U288" s="36">
        <v>15632</v>
      </c>
      <c r="V288" s="36">
        <v>9487</v>
      </c>
      <c r="W288" s="36">
        <v>4604</v>
      </c>
      <c r="X288" s="36">
        <v>413.57411116885561</v>
      </c>
      <c r="Y288" s="36">
        <v>15388</v>
      </c>
      <c r="Z288" s="36">
        <v>8932</v>
      </c>
      <c r="AA288" s="36">
        <v>5506</v>
      </c>
      <c r="AB288" s="36">
        <v>464.03048910730888</v>
      </c>
      <c r="AC288" s="36">
        <v>15212</v>
      </c>
      <c r="AD288" s="36">
        <v>8895</v>
      </c>
      <c r="AE288" s="36">
        <v>5818</v>
      </c>
      <c r="AF288" s="36">
        <v>1062.9476952367497</v>
      </c>
      <c r="AG288" s="36">
        <v>14729</v>
      </c>
      <c r="AH288" s="36">
        <v>9853</v>
      </c>
      <c r="AI288" s="36">
        <v>6234</v>
      </c>
      <c r="AJ288" s="36">
        <v>931.59292467030957</v>
      </c>
      <c r="AK288" s="36">
        <v>15614</v>
      </c>
      <c r="AL288" s="36">
        <v>11891</v>
      </c>
      <c r="AM288" s="36">
        <v>6567</v>
      </c>
      <c r="AN288" s="36">
        <v>764</v>
      </c>
      <c r="AO288" s="36">
        <v>14687</v>
      </c>
      <c r="AP288" s="36">
        <v>12630</v>
      </c>
      <c r="AQ288" s="36">
        <v>6979</v>
      </c>
      <c r="AR288" s="36">
        <v>1181</v>
      </c>
      <c r="AS288" s="36">
        <v>14916</v>
      </c>
      <c r="AT288" s="36">
        <v>13309</v>
      </c>
      <c r="AU288" s="36">
        <v>7217</v>
      </c>
      <c r="AV288" s="36">
        <v>838</v>
      </c>
      <c r="AW288" s="36">
        <v>15782</v>
      </c>
      <c r="AX288" s="69">
        <v>13828</v>
      </c>
      <c r="AY288" s="36">
        <v>6825</v>
      </c>
      <c r="AZ288" s="36">
        <v>1488</v>
      </c>
      <c r="BA288" s="36">
        <v>17005</v>
      </c>
      <c r="BB288" s="36">
        <v>15452</v>
      </c>
      <c r="BC288" s="36">
        <v>7672</v>
      </c>
      <c r="BD288" s="36">
        <v>82</v>
      </c>
      <c r="BE288" s="70">
        <v>17907</v>
      </c>
      <c r="BF288" s="70">
        <v>16081</v>
      </c>
      <c r="BG288" s="70">
        <v>8125</v>
      </c>
      <c r="BH288" s="70">
        <v>576</v>
      </c>
      <c r="BI288" s="36">
        <v>18459</v>
      </c>
      <c r="BJ288" s="36">
        <v>17759</v>
      </c>
      <c r="BK288" s="36">
        <v>8207</v>
      </c>
      <c r="BL288" s="36">
        <v>0</v>
      </c>
      <c r="BM288" s="36">
        <v>10853.166894561307</v>
      </c>
      <c r="BN288" s="36">
        <v>4108.9992313811763</v>
      </c>
      <c r="BO288" s="36">
        <v>669.72432316973686</v>
      </c>
      <c r="BP288" s="36">
        <v>10966.02099321698</v>
      </c>
      <c r="BQ288" s="36">
        <v>3777.3326403990764</v>
      </c>
      <c r="BR288" s="36">
        <v>644.49613420051026</v>
      </c>
      <c r="BS288" s="36">
        <v>10795.982999564392</v>
      </c>
      <c r="BT288" s="36">
        <v>3750.4225721652342</v>
      </c>
      <c r="BU288" s="36">
        <v>665.18324915527614</v>
      </c>
      <c r="BV288" s="36">
        <v>11321</v>
      </c>
      <c r="BW288" s="36">
        <v>2694</v>
      </c>
      <c r="BX288" s="36">
        <v>714</v>
      </c>
      <c r="BY288" s="36">
        <v>13331</v>
      </c>
      <c r="BZ288" s="36">
        <v>1547</v>
      </c>
      <c r="CA288" s="36">
        <v>736</v>
      </c>
      <c r="CB288" s="36">
        <v>12832</v>
      </c>
      <c r="CC288" s="36">
        <v>996</v>
      </c>
      <c r="CD288" s="36">
        <v>859</v>
      </c>
      <c r="CE288" s="36">
        <v>12676</v>
      </c>
      <c r="CF288" s="36">
        <v>1188</v>
      </c>
      <c r="CG288" s="36">
        <v>1052</v>
      </c>
      <c r="CH288" s="36">
        <v>13124</v>
      </c>
      <c r="CI288" s="36">
        <v>1558</v>
      </c>
      <c r="CJ288" s="70">
        <v>1100</v>
      </c>
      <c r="CK288" s="70">
        <v>13935</v>
      </c>
      <c r="CL288" s="70">
        <v>1958</v>
      </c>
      <c r="CM288" s="36">
        <v>1112</v>
      </c>
      <c r="CN288" s="36">
        <v>14430</v>
      </c>
      <c r="CO288" s="36">
        <v>2314</v>
      </c>
      <c r="CP288" s="36">
        <v>1163</v>
      </c>
      <c r="CQ288" s="36">
        <v>15031</v>
      </c>
      <c r="CR288" s="36">
        <v>2202</v>
      </c>
      <c r="CS288" s="36">
        <v>1226</v>
      </c>
      <c r="CT288" s="36">
        <v>1495.5270420957561</v>
      </c>
      <c r="CU288" s="36">
        <v>-1886.563971</v>
      </c>
      <c r="CV288" s="36">
        <v>1151.5827324819661</v>
      </c>
      <c r="CW288" s="36">
        <v>2578</v>
      </c>
      <c r="CX288" s="36">
        <v>980.53561127060925</v>
      </c>
      <c r="CY288" s="36">
        <v>-1949.4662559999999</v>
      </c>
      <c r="CZ288" s="36">
        <v>1278.3964290339454</v>
      </c>
      <c r="DA288" s="36">
        <v>2231</v>
      </c>
      <c r="DB288" s="36">
        <v>346.29894058425123</v>
      </c>
      <c r="DC288" s="36">
        <v>12733.171539999999</v>
      </c>
      <c r="DD288" s="36">
        <v>1406.3874410711553</v>
      </c>
      <c r="DE288" s="36">
        <v>4399</v>
      </c>
      <c r="DF288" s="36">
        <v>-1538.0785874905184</v>
      </c>
      <c r="DG288" s="36">
        <v>-3287</v>
      </c>
      <c r="DH288" s="36">
        <v>1438.3431470988423</v>
      </c>
      <c r="DI288" s="36">
        <v>7940</v>
      </c>
      <c r="DJ288" s="36">
        <v>1381</v>
      </c>
      <c r="DK288" s="36">
        <v>-2793</v>
      </c>
      <c r="DL288" s="36">
        <v>1623</v>
      </c>
      <c r="DM288" s="36">
        <v>8795</v>
      </c>
      <c r="DN288" s="36">
        <v>1552</v>
      </c>
      <c r="DO288" s="69">
        <v>-4607</v>
      </c>
      <c r="DP288" s="36">
        <v>1722</v>
      </c>
      <c r="DQ288" s="36">
        <v>9160</v>
      </c>
      <c r="DR288" s="36">
        <v>121</v>
      </c>
      <c r="DS288" s="36">
        <v>-3997</v>
      </c>
      <c r="DT288" s="36">
        <v>1775</v>
      </c>
      <c r="DU288" s="36">
        <v>12810</v>
      </c>
      <c r="DV288" s="36">
        <v>1028</v>
      </c>
      <c r="DW288" s="71">
        <v>-2841</v>
      </c>
      <c r="DX288" s="39">
        <v>1977</v>
      </c>
      <c r="DY288" s="71">
        <v>14223</v>
      </c>
      <c r="DZ288" s="70">
        <v>2263</v>
      </c>
      <c r="EA288" s="35">
        <v>-3917</v>
      </c>
      <c r="EB288" s="35">
        <v>2134</v>
      </c>
      <c r="EC288" s="38">
        <v>14403</v>
      </c>
      <c r="ED288" s="38">
        <v>2232</v>
      </c>
      <c r="EE288" s="38">
        <v>-3424</v>
      </c>
      <c r="EF288" s="38">
        <v>1931</v>
      </c>
      <c r="EG288" s="73">
        <v>13507</v>
      </c>
      <c r="EH288" s="73">
        <v>286</v>
      </c>
      <c r="EI288" s="73">
        <v>-1836</v>
      </c>
      <c r="EJ288" s="73">
        <v>1968</v>
      </c>
      <c r="EK288" s="73">
        <v>16515</v>
      </c>
      <c r="EL288" s="73">
        <v>27133.758176035575</v>
      </c>
      <c r="EM288" s="73">
        <v>491.44512112053525</v>
      </c>
      <c r="EN288" s="73">
        <v>27788.513773750237</v>
      </c>
      <c r="EO288" s="73">
        <v>-252.45007761872805</v>
      </c>
      <c r="EP288" s="73">
        <v>29108.452620620174</v>
      </c>
      <c r="EQ288" s="73">
        <v>1574.5753675326662</v>
      </c>
      <c r="ER288" s="73">
        <v>31494.702921256096</v>
      </c>
      <c r="ES288" s="73">
        <v>-2940.2613304001356</v>
      </c>
      <c r="ET288" s="73">
        <v>32676</v>
      </c>
      <c r="EU288" s="73">
        <v>-241</v>
      </c>
      <c r="EV288" s="73">
        <v>33215</v>
      </c>
      <c r="EW288" s="73">
        <v>4518</v>
      </c>
      <c r="EX288" s="73">
        <v>35618</v>
      </c>
      <c r="EY288" s="73">
        <v>-1708</v>
      </c>
      <c r="EZ288" s="73">
        <v>35953</v>
      </c>
      <c r="FA288" s="73">
        <v>-1376</v>
      </c>
      <c r="FB288" s="73">
        <v>37948</v>
      </c>
      <c r="FC288" s="73">
        <v>129</v>
      </c>
      <c r="FD288" s="73">
        <v>39746</v>
      </c>
      <c r="FE288" s="73">
        <v>301</v>
      </c>
      <c r="FF288" s="73">
        <v>43296</v>
      </c>
      <c r="FG288" s="73">
        <v>-1682</v>
      </c>
      <c r="FH288" s="73">
        <v>4137</v>
      </c>
      <c r="FI288" s="73">
        <v>2456</v>
      </c>
      <c r="FJ288" s="79">
        <v>7195</v>
      </c>
      <c r="FK288" s="80">
        <v>18627</v>
      </c>
      <c r="FL288" s="80">
        <v>19075</v>
      </c>
      <c r="FM288" s="80">
        <v>8889</v>
      </c>
      <c r="FN288" s="76">
        <v>214</v>
      </c>
      <c r="FO288" s="80">
        <v>15582</v>
      </c>
      <c r="FP288" s="80">
        <v>1697</v>
      </c>
      <c r="FQ288" s="80">
        <v>1348</v>
      </c>
      <c r="FR288" s="80">
        <v>1548</v>
      </c>
      <c r="FS288" s="81">
        <v>-1176</v>
      </c>
      <c r="FT288" s="76">
        <v>1841</v>
      </c>
      <c r="FU288" s="76">
        <v>16530</v>
      </c>
      <c r="FV288" s="76">
        <v>1176</v>
      </c>
      <c r="FW288" s="80">
        <v>45243</v>
      </c>
      <c r="FX288" s="80">
        <v>-293</v>
      </c>
      <c r="FY288" s="73">
        <v>7174</v>
      </c>
      <c r="FZ288" s="73">
        <v>18695</v>
      </c>
      <c r="GA288" s="73">
        <v>20613</v>
      </c>
      <c r="GB288" s="73">
        <v>9354</v>
      </c>
      <c r="GC288" s="73">
        <v>604</v>
      </c>
      <c r="GD288" s="73">
        <v>15279</v>
      </c>
      <c r="GE288" s="73">
        <v>2109</v>
      </c>
      <c r="GF288" s="73">
        <v>1307</v>
      </c>
      <c r="GG288" s="73">
        <v>2821</v>
      </c>
      <c r="GH288" s="73">
        <v>-10077</v>
      </c>
      <c r="GI288" s="73">
        <v>1827</v>
      </c>
      <c r="GJ288" s="73">
        <v>17183</v>
      </c>
      <c r="GK288" s="73">
        <v>10077</v>
      </c>
      <c r="GL288" s="73">
        <v>46445</v>
      </c>
      <c r="GM288" s="73">
        <v>995</v>
      </c>
      <c r="GN288" s="73">
        <v>3158</v>
      </c>
      <c r="GO288" s="77">
        <v>19.5</v>
      </c>
      <c r="GP288" s="78">
        <v>7065</v>
      </c>
      <c r="GQ288" s="73">
        <v>19222</v>
      </c>
      <c r="GR288" s="65">
        <v>20676</v>
      </c>
      <c r="GS288" s="65">
        <v>8379</v>
      </c>
      <c r="GT288" s="65">
        <v>0</v>
      </c>
      <c r="GU288" s="65">
        <v>15688</v>
      </c>
      <c r="GV288" s="65">
        <v>2232</v>
      </c>
      <c r="GW288" s="65">
        <v>1302</v>
      </c>
      <c r="GX288" s="65">
        <v>558</v>
      </c>
      <c r="GY288" s="65">
        <v>-8437</v>
      </c>
      <c r="GZ288" s="65">
        <v>2020</v>
      </c>
      <c r="HA288" s="65">
        <v>21776</v>
      </c>
      <c r="HB288" s="65">
        <v>8437</v>
      </c>
      <c r="HC288" s="65">
        <v>47377</v>
      </c>
      <c r="HD288" s="65">
        <v>-1462</v>
      </c>
      <c r="HE288" s="78">
        <v>6957</v>
      </c>
      <c r="HF288" s="73">
        <v>18978</v>
      </c>
      <c r="HG288" s="65">
        <v>21694</v>
      </c>
      <c r="HH288" s="65">
        <v>30803</v>
      </c>
      <c r="HI288" s="65">
        <v>2490</v>
      </c>
      <c r="HJ288" s="65">
        <v>15871</v>
      </c>
      <c r="HK288" s="65">
        <v>1545</v>
      </c>
      <c r="HL288" s="65">
        <v>1562</v>
      </c>
      <c r="HM288" s="65">
        <v>809</v>
      </c>
      <c r="HN288" s="65">
        <v>-3367</v>
      </c>
      <c r="HO288" s="65">
        <v>2239</v>
      </c>
      <c r="HP288" s="65">
        <v>27926</v>
      </c>
      <c r="HQ288" s="65">
        <v>3367</v>
      </c>
      <c r="HR288" s="65">
        <v>70192</v>
      </c>
      <c r="HS288" s="65">
        <v>1060</v>
      </c>
      <c r="HT288" s="65">
        <v>2799</v>
      </c>
      <c r="HU288" s="77">
        <v>20</v>
      </c>
      <c r="HV288" s="180">
        <v>340</v>
      </c>
      <c r="HW288" s="30" t="s">
        <v>761</v>
      </c>
    </row>
    <row r="289" spans="1:231" ht="15" x14ac:dyDescent="0.25">
      <c r="A289" s="27">
        <v>934</v>
      </c>
      <c r="B289" s="27" t="s">
        <v>412</v>
      </c>
      <c r="C289" s="27">
        <v>14</v>
      </c>
      <c r="D289" s="27" t="s">
        <v>106</v>
      </c>
      <c r="E289" s="27">
        <v>2</v>
      </c>
      <c r="F289" s="27" t="s">
        <v>744</v>
      </c>
      <c r="G289" s="29" t="s">
        <v>130</v>
      </c>
      <c r="H289" s="27" t="s">
        <v>98</v>
      </c>
      <c r="I289" s="31" t="s">
        <v>106</v>
      </c>
      <c r="J289" s="69">
        <v>3629</v>
      </c>
      <c r="K289" s="69">
        <v>3602</v>
      </c>
      <c r="L289" s="36">
        <v>3553</v>
      </c>
      <c r="M289" s="36">
        <v>3469</v>
      </c>
      <c r="N289" s="36">
        <v>3458</v>
      </c>
      <c r="O289" s="36">
        <v>3403</v>
      </c>
      <c r="P289" s="36">
        <v>3415</v>
      </c>
      <c r="Q289" s="36">
        <v>3414</v>
      </c>
      <c r="R289" s="69">
        <v>3387</v>
      </c>
      <c r="S289" s="69">
        <v>3332</v>
      </c>
      <c r="T289" s="71">
        <v>3302</v>
      </c>
      <c r="U289" s="36">
        <v>6863</v>
      </c>
      <c r="V289" s="36">
        <v>4313</v>
      </c>
      <c r="W289" s="36">
        <v>2308</v>
      </c>
      <c r="X289" s="36">
        <v>218.1397406205798</v>
      </c>
      <c r="Y289" s="36">
        <v>7292</v>
      </c>
      <c r="Z289" s="36">
        <v>4272</v>
      </c>
      <c r="AA289" s="36">
        <v>2367</v>
      </c>
      <c r="AB289" s="36">
        <v>278.01464244087771</v>
      </c>
      <c r="AC289" s="36">
        <v>7198</v>
      </c>
      <c r="AD289" s="36">
        <v>4385</v>
      </c>
      <c r="AE289" s="36">
        <v>2458</v>
      </c>
      <c r="AF289" s="36">
        <v>146.82805980089913</v>
      </c>
      <c r="AG289" s="36">
        <v>7638</v>
      </c>
      <c r="AH289" s="36">
        <v>4618</v>
      </c>
      <c r="AI289" s="36">
        <v>2903</v>
      </c>
      <c r="AJ289" s="36">
        <v>102.25825928859871</v>
      </c>
      <c r="AK289" s="36">
        <v>7111</v>
      </c>
      <c r="AL289" s="36">
        <v>5039</v>
      </c>
      <c r="AM289" s="36">
        <v>4277</v>
      </c>
      <c r="AN289" s="36">
        <v>109</v>
      </c>
      <c r="AO289" s="36">
        <v>7203</v>
      </c>
      <c r="AP289" s="36">
        <v>5921</v>
      </c>
      <c r="AQ289" s="36">
        <v>4237</v>
      </c>
      <c r="AR289" s="36">
        <v>95</v>
      </c>
      <c r="AS289" s="36">
        <v>7023</v>
      </c>
      <c r="AT289" s="36">
        <v>5601</v>
      </c>
      <c r="AU289" s="36">
        <v>3840</v>
      </c>
      <c r="AV289" s="36">
        <v>120</v>
      </c>
      <c r="AW289" s="36">
        <v>7404</v>
      </c>
      <c r="AX289" s="69">
        <v>6338</v>
      </c>
      <c r="AY289" s="36">
        <v>2825</v>
      </c>
      <c r="AZ289" s="36">
        <v>218</v>
      </c>
      <c r="BA289" s="36">
        <v>7985</v>
      </c>
      <c r="BB289" s="36">
        <v>6220</v>
      </c>
      <c r="BC289" s="36">
        <v>3102</v>
      </c>
      <c r="BD289" s="36">
        <v>24</v>
      </c>
      <c r="BE289" s="70">
        <v>9014</v>
      </c>
      <c r="BF289" s="70">
        <v>6422</v>
      </c>
      <c r="BG289" s="70">
        <v>3168</v>
      </c>
      <c r="BH289" s="70">
        <v>70</v>
      </c>
      <c r="BI289" s="36">
        <v>9967</v>
      </c>
      <c r="BJ289" s="36">
        <v>6693</v>
      </c>
      <c r="BK289" s="36">
        <v>3350</v>
      </c>
      <c r="BL289" s="36">
        <v>67</v>
      </c>
      <c r="BM289" s="36">
        <v>5219.3759218800715</v>
      </c>
      <c r="BN289" s="36">
        <v>1480.7265045671431</v>
      </c>
      <c r="BO289" s="36">
        <v>162.46953696181964</v>
      </c>
      <c r="BP289" s="36">
        <v>5595.9486892273953</v>
      </c>
      <c r="BQ289" s="36">
        <v>1530.678318726212</v>
      </c>
      <c r="BR289" s="36">
        <v>165.83329549104988</v>
      </c>
      <c r="BS289" s="36">
        <v>5420.8650577809622</v>
      </c>
      <c r="BT289" s="36">
        <v>1570.3706693711285</v>
      </c>
      <c r="BU289" s="36">
        <v>206.70296162119706</v>
      </c>
      <c r="BV289" s="36">
        <v>5939</v>
      </c>
      <c r="BW289" s="36">
        <v>1464</v>
      </c>
      <c r="BX289" s="36">
        <v>235</v>
      </c>
      <c r="BY289" s="36">
        <v>6465</v>
      </c>
      <c r="BZ289" s="36">
        <v>429</v>
      </c>
      <c r="CA289" s="36">
        <v>217</v>
      </c>
      <c r="CB289" s="36">
        <v>6474</v>
      </c>
      <c r="CC289" s="36">
        <v>545</v>
      </c>
      <c r="CD289" s="36">
        <v>184</v>
      </c>
      <c r="CE289" s="36">
        <v>6399</v>
      </c>
      <c r="CF289" s="36">
        <v>397</v>
      </c>
      <c r="CG289" s="36">
        <v>227</v>
      </c>
      <c r="CH289" s="36">
        <v>6706</v>
      </c>
      <c r="CI289" s="36">
        <v>464</v>
      </c>
      <c r="CJ289" s="70">
        <v>234</v>
      </c>
      <c r="CK289" s="70">
        <v>6972</v>
      </c>
      <c r="CL289" s="70">
        <v>739</v>
      </c>
      <c r="CM289" s="36">
        <v>274</v>
      </c>
      <c r="CN289" s="36">
        <v>7398</v>
      </c>
      <c r="CO289" s="36">
        <v>1331</v>
      </c>
      <c r="CP289" s="36">
        <v>285</v>
      </c>
      <c r="CQ289" s="36">
        <v>8153</v>
      </c>
      <c r="CR289" s="36">
        <v>1508</v>
      </c>
      <c r="CS289" s="36">
        <v>306</v>
      </c>
      <c r="CT289" s="36">
        <v>827.65278611709573</v>
      </c>
      <c r="CU289" s="36">
        <v>-1260.736697</v>
      </c>
      <c r="CV289" s="36">
        <v>499.34995366422629</v>
      </c>
      <c r="CW289" s="36">
        <v>3289</v>
      </c>
      <c r="CX289" s="36">
        <v>684.69304862481135</v>
      </c>
      <c r="CY289" s="36">
        <v>-913.93319240000005</v>
      </c>
      <c r="CZ289" s="36">
        <v>510.28216888422446</v>
      </c>
      <c r="DA289" s="36">
        <v>3293</v>
      </c>
      <c r="DB289" s="36">
        <v>238.32229179596112</v>
      </c>
      <c r="DC289" s="36">
        <v>-1949.9708190000001</v>
      </c>
      <c r="DD289" s="36">
        <v>549.13357989683345</v>
      </c>
      <c r="DE289" s="36">
        <v>4275</v>
      </c>
      <c r="DF289" s="36">
        <v>141.6142340805923</v>
      </c>
      <c r="DG289" s="36">
        <v>-1299</v>
      </c>
      <c r="DH289" s="36">
        <v>709.24848588819191</v>
      </c>
      <c r="DI289" s="36">
        <v>5370</v>
      </c>
      <c r="DJ289" s="36">
        <v>228</v>
      </c>
      <c r="DK289" s="36">
        <v>-981</v>
      </c>
      <c r="DL289" s="36">
        <v>601</v>
      </c>
      <c r="DM289" s="36">
        <v>5936</v>
      </c>
      <c r="DN289" s="36">
        <v>1180</v>
      </c>
      <c r="DO289" s="69">
        <v>-950</v>
      </c>
      <c r="DP289" s="36">
        <v>626</v>
      </c>
      <c r="DQ289" s="36">
        <v>6226</v>
      </c>
      <c r="DR289" s="36">
        <v>-212</v>
      </c>
      <c r="DS289" s="36">
        <v>-159</v>
      </c>
      <c r="DT289" s="36">
        <v>663</v>
      </c>
      <c r="DU289" s="36">
        <v>6566</v>
      </c>
      <c r="DV289" s="36">
        <v>407</v>
      </c>
      <c r="DW289" s="71">
        <v>265</v>
      </c>
      <c r="DX289" s="39">
        <v>643</v>
      </c>
      <c r="DY289" s="71">
        <v>5561</v>
      </c>
      <c r="DZ289" s="70">
        <v>587</v>
      </c>
      <c r="EA289" s="35">
        <v>-1077</v>
      </c>
      <c r="EB289" s="35">
        <v>655</v>
      </c>
      <c r="EC289" s="38">
        <v>6786</v>
      </c>
      <c r="ED289" s="38">
        <v>1250</v>
      </c>
      <c r="EE289" s="38">
        <v>-407</v>
      </c>
      <c r="EF289" s="38">
        <v>715</v>
      </c>
      <c r="EG289" s="73">
        <v>5131</v>
      </c>
      <c r="EH289" s="73">
        <v>1844</v>
      </c>
      <c r="EI289" s="73">
        <v>-165</v>
      </c>
      <c r="EJ289" s="73">
        <v>677</v>
      </c>
      <c r="EK289" s="73">
        <v>4106</v>
      </c>
      <c r="EL289" s="73">
        <v>12094.057415994335</v>
      </c>
      <c r="EM289" s="73">
        <v>328.30283245286955</v>
      </c>
      <c r="EN289" s="73">
        <v>12797.923888235759</v>
      </c>
      <c r="EO289" s="73">
        <v>177.27007449043262</v>
      </c>
      <c r="EP289" s="73">
        <v>13173.151152171389</v>
      </c>
      <c r="EQ289" s="73">
        <v>-303.5792072630274</v>
      </c>
      <c r="ER289" s="73">
        <v>14250.058445304447</v>
      </c>
      <c r="ES289" s="73">
        <v>-783.25117353125688</v>
      </c>
      <c r="ET289" s="73">
        <v>15845</v>
      </c>
      <c r="EU289" s="73">
        <v>-373</v>
      </c>
      <c r="EV289" s="73">
        <v>16090</v>
      </c>
      <c r="EW289" s="73">
        <v>554</v>
      </c>
      <c r="EX289" s="73">
        <v>16563</v>
      </c>
      <c r="EY289" s="73">
        <v>-875</v>
      </c>
      <c r="EZ289" s="73">
        <v>16119</v>
      </c>
      <c r="FA289" s="73">
        <v>-236</v>
      </c>
      <c r="FB289" s="73">
        <v>16531</v>
      </c>
      <c r="FC289" s="73">
        <v>-68</v>
      </c>
      <c r="FD289" s="73">
        <v>17147</v>
      </c>
      <c r="FE289" s="73">
        <v>535</v>
      </c>
      <c r="FF289" s="73">
        <v>18060</v>
      </c>
      <c r="FG289" s="73">
        <v>1167</v>
      </c>
      <c r="FH289" s="73">
        <v>-448</v>
      </c>
      <c r="FI289" s="73">
        <v>718</v>
      </c>
      <c r="FJ289" s="79">
        <v>3298</v>
      </c>
      <c r="FK289" s="80">
        <v>9325</v>
      </c>
      <c r="FL289" s="80">
        <v>5827</v>
      </c>
      <c r="FM289" s="80">
        <v>1781</v>
      </c>
      <c r="FN289" s="76">
        <v>79</v>
      </c>
      <c r="FO289" s="80">
        <v>7986</v>
      </c>
      <c r="FP289" s="80">
        <v>1020</v>
      </c>
      <c r="FQ289" s="80">
        <v>319</v>
      </c>
      <c r="FR289" s="80">
        <v>3</v>
      </c>
      <c r="FS289" s="81">
        <v>-1032</v>
      </c>
      <c r="FT289" s="76">
        <v>636</v>
      </c>
      <c r="FU289" s="76">
        <v>5957</v>
      </c>
      <c r="FV289" s="76">
        <v>1032</v>
      </c>
      <c r="FW289" s="80">
        <v>16881</v>
      </c>
      <c r="FX289" s="80">
        <v>-633</v>
      </c>
      <c r="FY289" s="73">
        <v>3255</v>
      </c>
      <c r="FZ289" s="73">
        <v>9612</v>
      </c>
      <c r="GA289" s="73">
        <v>6898</v>
      </c>
      <c r="GB289" s="73">
        <v>1705</v>
      </c>
      <c r="GC289" s="73">
        <v>51</v>
      </c>
      <c r="GD289" s="73">
        <v>7889</v>
      </c>
      <c r="GE289" s="73">
        <v>1382</v>
      </c>
      <c r="GF289" s="73">
        <v>341</v>
      </c>
      <c r="GG289" s="73">
        <v>711</v>
      </c>
      <c r="GH289" s="73">
        <v>-666</v>
      </c>
      <c r="GI289" s="73">
        <v>648</v>
      </c>
      <c r="GJ289" s="73">
        <v>5363</v>
      </c>
      <c r="GK289" s="73">
        <v>666</v>
      </c>
      <c r="GL289" s="73">
        <v>17426</v>
      </c>
      <c r="GM289" s="73">
        <v>63</v>
      </c>
      <c r="GN289" s="73">
        <v>149</v>
      </c>
      <c r="GO289" s="77">
        <v>19.75</v>
      </c>
      <c r="GP289" s="78">
        <v>3222</v>
      </c>
      <c r="GQ289" s="73">
        <v>9609</v>
      </c>
      <c r="GR289" s="65">
        <v>6768</v>
      </c>
      <c r="GS289" s="65">
        <v>1873</v>
      </c>
      <c r="GT289" s="65">
        <v>53</v>
      </c>
      <c r="GU289" s="65">
        <v>7838</v>
      </c>
      <c r="GV289" s="65">
        <v>1361</v>
      </c>
      <c r="GW289" s="65">
        <v>410</v>
      </c>
      <c r="GX289" s="65">
        <v>-686</v>
      </c>
      <c r="GY289" s="65">
        <v>-777</v>
      </c>
      <c r="GZ289" s="65">
        <v>650</v>
      </c>
      <c r="HA289" s="65">
        <v>6161</v>
      </c>
      <c r="HB289" s="65">
        <v>777</v>
      </c>
      <c r="HC289" s="65">
        <v>18862</v>
      </c>
      <c r="HD289" s="65">
        <v>-1336</v>
      </c>
      <c r="HE289" s="78">
        <v>3205</v>
      </c>
      <c r="HF289" s="73">
        <v>9220</v>
      </c>
      <c r="HG289" s="65">
        <v>7105</v>
      </c>
      <c r="HH289" s="65">
        <v>2049</v>
      </c>
      <c r="HI289" s="65">
        <v>69</v>
      </c>
      <c r="HJ289" s="65">
        <v>8250</v>
      </c>
      <c r="HK289" s="65">
        <v>451</v>
      </c>
      <c r="HL289" s="65">
        <v>519</v>
      </c>
      <c r="HM289" s="65">
        <v>-1007</v>
      </c>
      <c r="HN289" s="65">
        <v>-764</v>
      </c>
      <c r="HO289" s="65">
        <v>648</v>
      </c>
      <c r="HP289" s="65">
        <v>8080</v>
      </c>
      <c r="HQ289" s="65">
        <v>764</v>
      </c>
      <c r="HR289" s="65">
        <v>19327</v>
      </c>
      <c r="HS289" s="65">
        <v>-1655</v>
      </c>
      <c r="HT289" s="65">
        <v>-2843</v>
      </c>
      <c r="HU289" s="77">
        <v>20.5</v>
      </c>
      <c r="HV289" s="180">
        <v>340</v>
      </c>
      <c r="HW289" s="30" t="s">
        <v>761</v>
      </c>
    </row>
    <row r="290" spans="1:231" ht="15" x14ac:dyDescent="0.25">
      <c r="A290" s="27">
        <v>935</v>
      </c>
      <c r="B290" s="27" t="s">
        <v>413</v>
      </c>
      <c r="C290" s="27">
        <v>8</v>
      </c>
      <c r="D290" s="27" t="s">
        <v>112</v>
      </c>
      <c r="E290" s="32">
        <v>2</v>
      </c>
      <c r="F290" s="32" t="s">
        <v>744</v>
      </c>
      <c r="G290" s="29" t="s">
        <v>130</v>
      </c>
      <c r="H290" s="27" t="s">
        <v>98</v>
      </c>
      <c r="I290" s="31" t="s">
        <v>112</v>
      </c>
      <c r="J290" s="69">
        <v>3972</v>
      </c>
      <c r="K290" s="69">
        <v>3918</v>
      </c>
      <c r="L290" s="36">
        <v>3904</v>
      </c>
      <c r="M290" s="36">
        <v>3837</v>
      </c>
      <c r="N290" s="36">
        <v>3772</v>
      </c>
      <c r="O290" s="36">
        <v>3752</v>
      </c>
      <c r="P290" s="36">
        <v>3718</v>
      </c>
      <c r="Q290" s="36">
        <v>3641</v>
      </c>
      <c r="R290" s="69">
        <v>3611</v>
      </c>
      <c r="S290" s="69">
        <v>3617</v>
      </c>
      <c r="T290" s="71">
        <v>3541</v>
      </c>
      <c r="U290" s="36">
        <v>7326</v>
      </c>
      <c r="V290" s="36">
        <v>3705</v>
      </c>
      <c r="W290" s="36">
        <v>2835</v>
      </c>
      <c r="X290" s="36">
        <v>147.16443565382215</v>
      </c>
      <c r="Y290" s="36">
        <v>7279</v>
      </c>
      <c r="Z290" s="36">
        <v>4009</v>
      </c>
      <c r="AA290" s="36">
        <v>2913</v>
      </c>
      <c r="AB290" s="36">
        <v>192.91155165135314</v>
      </c>
      <c r="AC290" s="36">
        <v>7421</v>
      </c>
      <c r="AD290" s="36">
        <v>4689</v>
      </c>
      <c r="AE290" s="36">
        <v>3010</v>
      </c>
      <c r="AF290" s="36">
        <v>76.357318613526004</v>
      </c>
      <c r="AG290" s="36">
        <v>7767</v>
      </c>
      <c r="AH290" s="36">
        <v>5069</v>
      </c>
      <c r="AI290" s="36">
        <v>3158</v>
      </c>
      <c r="AJ290" s="36">
        <v>91.326044068600496</v>
      </c>
      <c r="AK290" s="36">
        <v>7886</v>
      </c>
      <c r="AL290" s="36">
        <v>5333</v>
      </c>
      <c r="AM290" s="36">
        <v>3350</v>
      </c>
      <c r="AN290" s="36">
        <v>66</v>
      </c>
      <c r="AO290" s="36">
        <v>7668</v>
      </c>
      <c r="AP290" s="36">
        <v>5664</v>
      </c>
      <c r="AQ290" s="36">
        <v>3299</v>
      </c>
      <c r="AR290" s="36">
        <v>600</v>
      </c>
      <c r="AS290" s="36">
        <v>7818</v>
      </c>
      <c r="AT290" s="36">
        <v>5847</v>
      </c>
      <c r="AU290" s="36">
        <v>2992</v>
      </c>
      <c r="AV290" s="36">
        <v>186</v>
      </c>
      <c r="AW290" s="36">
        <v>8005</v>
      </c>
      <c r="AX290" s="69">
        <v>6020</v>
      </c>
      <c r="AY290" s="36">
        <v>3066</v>
      </c>
      <c r="AZ290" s="36">
        <v>236</v>
      </c>
      <c r="BA290" s="36">
        <v>8376</v>
      </c>
      <c r="BB290" s="36">
        <v>6490</v>
      </c>
      <c r="BC290" s="36">
        <v>3176</v>
      </c>
      <c r="BD290" s="36">
        <v>145</v>
      </c>
      <c r="BE290" s="70">
        <v>9025</v>
      </c>
      <c r="BF290" s="70">
        <v>5976</v>
      </c>
      <c r="BG290" s="70">
        <v>3391</v>
      </c>
      <c r="BH290" s="70">
        <v>156</v>
      </c>
      <c r="BI290" s="36">
        <v>9686</v>
      </c>
      <c r="BJ290" s="36">
        <v>6850</v>
      </c>
      <c r="BK290" s="36">
        <v>5963</v>
      </c>
      <c r="BL290" s="36">
        <v>135</v>
      </c>
      <c r="BM290" s="36">
        <v>5570.215936478784</v>
      </c>
      <c r="BN290" s="36">
        <v>1437.8385833194577</v>
      </c>
      <c r="BO290" s="36">
        <v>317.53880515933281</v>
      </c>
      <c r="BP290" s="36">
        <v>5735.0401044110649</v>
      </c>
      <c r="BQ290" s="36">
        <v>1199.011727744112</v>
      </c>
      <c r="BR290" s="36">
        <v>344.44887339317461</v>
      </c>
      <c r="BS290" s="36">
        <v>5775.4052067618268</v>
      </c>
      <c r="BT290" s="36">
        <v>1285.7966977982519</v>
      </c>
      <c r="BU290" s="36">
        <v>360.0903505540951</v>
      </c>
      <c r="BV290" s="36">
        <v>6560</v>
      </c>
      <c r="BW290" s="36">
        <v>837</v>
      </c>
      <c r="BX290" s="36">
        <v>371</v>
      </c>
      <c r="BY290" s="36">
        <v>6880</v>
      </c>
      <c r="BZ290" s="36">
        <v>614</v>
      </c>
      <c r="CA290" s="36">
        <v>392</v>
      </c>
      <c r="CB290" s="36">
        <v>6955</v>
      </c>
      <c r="CC290" s="36">
        <v>321</v>
      </c>
      <c r="CD290" s="36">
        <v>392</v>
      </c>
      <c r="CE290" s="36">
        <v>6990</v>
      </c>
      <c r="CF290" s="36">
        <v>445</v>
      </c>
      <c r="CG290" s="36">
        <v>383</v>
      </c>
      <c r="CH290" s="36">
        <v>6938</v>
      </c>
      <c r="CI290" s="36">
        <v>540</v>
      </c>
      <c r="CJ290" s="70">
        <v>527</v>
      </c>
      <c r="CK290" s="70">
        <v>7155</v>
      </c>
      <c r="CL290" s="70">
        <v>683</v>
      </c>
      <c r="CM290" s="36">
        <v>538</v>
      </c>
      <c r="CN290" s="36">
        <v>7580</v>
      </c>
      <c r="CO290" s="36">
        <v>885</v>
      </c>
      <c r="CP290" s="36">
        <v>560</v>
      </c>
      <c r="CQ290" s="36">
        <v>8270</v>
      </c>
      <c r="CR290" s="36">
        <v>824</v>
      </c>
      <c r="CS290" s="36">
        <v>592</v>
      </c>
      <c r="CT290" s="36">
        <v>254.8047085891892</v>
      </c>
      <c r="CU290" s="36">
        <v>-204.01195480000001</v>
      </c>
      <c r="CV290" s="36">
        <v>441.49330696146643</v>
      </c>
      <c r="CW290" s="36">
        <v>1686</v>
      </c>
      <c r="CX290" s="36">
        <v>247.23625189842119</v>
      </c>
      <c r="CY290" s="36">
        <v>-470.08525450000002</v>
      </c>
      <c r="CZ290" s="36">
        <v>449.56632743161896</v>
      </c>
      <c r="DA290" s="36">
        <v>1971</v>
      </c>
      <c r="DB290" s="36">
        <v>638.44136884789589</v>
      </c>
      <c r="DC290" s="36">
        <v>-1596.944362</v>
      </c>
      <c r="DD290" s="36">
        <v>426.35639357993045</v>
      </c>
      <c r="DE290" s="36">
        <v>2188</v>
      </c>
      <c r="DF290" s="36">
        <v>129.84107922828647</v>
      </c>
      <c r="DG290" s="36">
        <v>-1289</v>
      </c>
      <c r="DH290" s="36">
        <v>478.83102663592189</v>
      </c>
      <c r="DI290" s="36">
        <v>4297</v>
      </c>
      <c r="DJ290" s="36">
        <v>631</v>
      </c>
      <c r="DK290" s="36">
        <v>-1616</v>
      </c>
      <c r="DL290" s="36">
        <v>579</v>
      </c>
      <c r="DM290" s="36">
        <v>5322</v>
      </c>
      <c r="DN290" s="36">
        <v>44</v>
      </c>
      <c r="DO290" s="69">
        <v>-290</v>
      </c>
      <c r="DP290" s="36">
        <v>762</v>
      </c>
      <c r="DQ290" s="36">
        <v>4359</v>
      </c>
      <c r="DR290" s="36">
        <v>-52</v>
      </c>
      <c r="DS290" s="36">
        <v>-1202</v>
      </c>
      <c r="DT290" s="36">
        <v>357</v>
      </c>
      <c r="DU290" s="36">
        <v>6983</v>
      </c>
      <c r="DV290" s="36">
        <v>279</v>
      </c>
      <c r="DW290" s="71">
        <v>-830</v>
      </c>
      <c r="DX290" s="39">
        <v>415</v>
      </c>
      <c r="DY290" s="71">
        <v>6588</v>
      </c>
      <c r="DZ290" s="70">
        <v>1391</v>
      </c>
      <c r="EA290" s="35">
        <v>-3256</v>
      </c>
      <c r="EB290" s="35">
        <v>432</v>
      </c>
      <c r="EC290" s="38">
        <v>9154</v>
      </c>
      <c r="ED290" s="38">
        <v>221</v>
      </c>
      <c r="EE290" s="38">
        <v>-3657</v>
      </c>
      <c r="EF290" s="38">
        <v>548</v>
      </c>
      <c r="EG290" s="73">
        <v>12032</v>
      </c>
      <c r="EH290" s="73">
        <v>432</v>
      </c>
      <c r="EI290" s="73">
        <v>-1292</v>
      </c>
      <c r="EJ290" s="73">
        <v>679</v>
      </c>
      <c r="EK290" s="73">
        <v>12760</v>
      </c>
      <c r="EL290" s="73">
        <v>13022.622957988337</v>
      </c>
      <c r="EM290" s="73">
        <v>-73.666311790141833</v>
      </c>
      <c r="EN290" s="73">
        <v>13442.924586215653</v>
      </c>
      <c r="EO290" s="73">
        <v>-78.880137510448677</v>
      </c>
      <c r="EP290" s="73">
        <v>13806.715071151903</v>
      </c>
      <c r="EQ290" s="73">
        <v>212.0849752679654</v>
      </c>
      <c r="ER290" s="73">
        <v>15094.361836141228</v>
      </c>
      <c r="ES290" s="73">
        <v>-227.22188864950141</v>
      </c>
      <c r="ET290" s="73">
        <v>15819</v>
      </c>
      <c r="EU290" s="73">
        <v>52</v>
      </c>
      <c r="EV290" s="73">
        <v>16467</v>
      </c>
      <c r="EW290" s="73">
        <v>-243</v>
      </c>
      <c r="EX290" s="73">
        <v>16753</v>
      </c>
      <c r="EY290" s="73">
        <v>-408</v>
      </c>
      <c r="EZ290" s="73">
        <v>16845</v>
      </c>
      <c r="FA290" s="73">
        <v>-78</v>
      </c>
      <c r="FB290" s="73">
        <v>16594</v>
      </c>
      <c r="FC290" s="73">
        <v>969</v>
      </c>
      <c r="FD290" s="73">
        <v>17869</v>
      </c>
      <c r="FE290" s="73">
        <v>53</v>
      </c>
      <c r="FF290" s="73">
        <v>21655</v>
      </c>
      <c r="FG290" s="73">
        <v>-247</v>
      </c>
      <c r="FH290" s="73">
        <v>594</v>
      </c>
      <c r="FI290" s="73">
        <v>349</v>
      </c>
      <c r="FJ290" s="79">
        <v>3530</v>
      </c>
      <c r="FK290" s="80">
        <v>9871</v>
      </c>
      <c r="FL290" s="80">
        <v>7209</v>
      </c>
      <c r="FM290" s="80">
        <v>5936</v>
      </c>
      <c r="FN290" s="76">
        <v>153</v>
      </c>
      <c r="FO290" s="80">
        <v>8516</v>
      </c>
      <c r="FP290" s="80">
        <v>661</v>
      </c>
      <c r="FQ290" s="80">
        <v>694</v>
      </c>
      <c r="FR290" s="80">
        <v>588</v>
      </c>
      <c r="FS290" s="81">
        <v>-1156</v>
      </c>
      <c r="FT290" s="76">
        <v>688</v>
      </c>
      <c r="FU290" s="76">
        <v>14175</v>
      </c>
      <c r="FV290" s="76">
        <v>1156</v>
      </c>
      <c r="FW290" s="80">
        <v>22321</v>
      </c>
      <c r="FX290" s="80">
        <v>-100</v>
      </c>
      <c r="FY290" s="73">
        <v>3516</v>
      </c>
      <c r="FZ290" s="73">
        <v>9715</v>
      </c>
      <c r="GA290" s="73">
        <v>8836</v>
      </c>
      <c r="GB290" s="73">
        <v>6177</v>
      </c>
      <c r="GC290" s="73">
        <v>227</v>
      </c>
      <c r="GD290" s="73">
        <v>8120</v>
      </c>
      <c r="GE290" s="73">
        <v>885</v>
      </c>
      <c r="GF290" s="73">
        <v>710</v>
      </c>
      <c r="GG290" s="73">
        <v>2316</v>
      </c>
      <c r="GH290" s="73">
        <v>-491</v>
      </c>
      <c r="GI290" s="73">
        <v>697</v>
      </c>
      <c r="GJ290" s="73">
        <v>13309</v>
      </c>
      <c r="GK290" s="73">
        <v>491</v>
      </c>
      <c r="GL290" s="73">
        <v>22496</v>
      </c>
      <c r="GM290" s="73">
        <v>1619</v>
      </c>
      <c r="GN290" s="73">
        <v>1868</v>
      </c>
      <c r="GO290" s="77">
        <v>20</v>
      </c>
      <c r="GP290" s="78">
        <v>3485</v>
      </c>
      <c r="GQ290" s="73">
        <v>9959</v>
      </c>
      <c r="GR290" s="65">
        <v>10958</v>
      </c>
      <c r="GS290" s="65">
        <v>6518</v>
      </c>
      <c r="GT290" s="65">
        <v>218</v>
      </c>
      <c r="GU290" s="65">
        <v>8265</v>
      </c>
      <c r="GV290" s="65">
        <v>956</v>
      </c>
      <c r="GW290" s="65">
        <v>738</v>
      </c>
      <c r="GX290" s="65">
        <v>3439</v>
      </c>
      <c r="GY290" s="65">
        <v>-1306</v>
      </c>
      <c r="GZ290" s="65">
        <v>745</v>
      </c>
      <c r="HA290" s="65">
        <v>12435</v>
      </c>
      <c r="HB290" s="65">
        <v>1306</v>
      </c>
      <c r="HC290" s="65">
        <v>24181</v>
      </c>
      <c r="HD290" s="65">
        <v>2694</v>
      </c>
      <c r="HE290" s="78">
        <v>3487</v>
      </c>
      <c r="HF290" s="73">
        <v>9869</v>
      </c>
      <c r="HG290" s="65">
        <v>8427</v>
      </c>
      <c r="HH290" s="65">
        <v>6522</v>
      </c>
      <c r="HI290" s="65">
        <v>224</v>
      </c>
      <c r="HJ290" s="65">
        <v>8366</v>
      </c>
      <c r="HK290" s="65">
        <v>636</v>
      </c>
      <c r="HL290" s="65">
        <v>867</v>
      </c>
      <c r="HM290" s="65">
        <v>89</v>
      </c>
      <c r="HN290" s="65">
        <v>-1040</v>
      </c>
      <c r="HO290" s="65">
        <v>818</v>
      </c>
      <c r="HP290" s="65">
        <v>11948</v>
      </c>
      <c r="HQ290" s="65">
        <v>1040</v>
      </c>
      <c r="HR290" s="65">
        <v>24887</v>
      </c>
      <c r="HS290" s="65">
        <v>-729</v>
      </c>
      <c r="HT290" s="65">
        <v>3832</v>
      </c>
      <c r="HU290" s="77">
        <v>20</v>
      </c>
      <c r="HV290" s="180">
        <v>340</v>
      </c>
      <c r="HW290" s="30" t="s">
        <v>761</v>
      </c>
    </row>
    <row r="291" spans="1:231" ht="15" x14ac:dyDescent="0.25">
      <c r="A291" s="27">
        <v>936</v>
      </c>
      <c r="B291" s="27" t="s">
        <v>414</v>
      </c>
      <c r="C291" s="27">
        <v>6</v>
      </c>
      <c r="D291" s="27" t="s">
        <v>114</v>
      </c>
      <c r="E291" s="27">
        <v>3</v>
      </c>
      <c r="F291" s="27" t="s">
        <v>743</v>
      </c>
      <c r="G291" s="29" t="s">
        <v>130</v>
      </c>
      <c r="H291" s="27" t="s">
        <v>98</v>
      </c>
      <c r="I291" s="31" t="s">
        <v>114</v>
      </c>
      <c r="J291" s="69">
        <v>8580</v>
      </c>
      <c r="K291" s="69">
        <v>8442</v>
      </c>
      <c r="L291" s="36">
        <v>8236</v>
      </c>
      <c r="M291" s="36">
        <v>8161</v>
      </c>
      <c r="N291" s="36">
        <v>8077</v>
      </c>
      <c r="O291" s="36">
        <v>7982</v>
      </c>
      <c r="P291" s="36">
        <v>7943</v>
      </c>
      <c r="Q291" s="36">
        <v>7851</v>
      </c>
      <c r="R291" s="69">
        <v>7778</v>
      </c>
      <c r="S291" s="69">
        <v>7693</v>
      </c>
      <c r="T291" s="71">
        <v>7629</v>
      </c>
      <c r="U291" s="36">
        <v>17311</v>
      </c>
      <c r="V291" s="36">
        <v>7870</v>
      </c>
      <c r="W291" s="36">
        <v>6415</v>
      </c>
      <c r="X291" s="36">
        <v>674.76996096358221</v>
      </c>
      <c r="Y291" s="36">
        <v>16712</v>
      </c>
      <c r="Z291" s="36">
        <v>8060</v>
      </c>
      <c r="AA291" s="36">
        <v>6396</v>
      </c>
      <c r="AB291" s="36">
        <v>774.67358928171984</v>
      </c>
      <c r="AC291" s="36">
        <v>17010</v>
      </c>
      <c r="AD291" s="36">
        <v>8049</v>
      </c>
      <c r="AE291" s="36">
        <v>6417</v>
      </c>
      <c r="AF291" s="36">
        <v>721.35801659342076</v>
      </c>
      <c r="AG291" s="36">
        <v>16524</v>
      </c>
      <c r="AH291" s="36">
        <v>9302</v>
      </c>
      <c r="AI291" s="36">
        <v>6990</v>
      </c>
      <c r="AJ291" s="36">
        <v>833.37117561678713</v>
      </c>
      <c r="AK291" s="36">
        <v>16638</v>
      </c>
      <c r="AL291" s="36">
        <v>10396</v>
      </c>
      <c r="AM291" s="36">
        <v>7608</v>
      </c>
      <c r="AN291" s="36">
        <v>571</v>
      </c>
      <c r="AO291" s="36">
        <v>15779</v>
      </c>
      <c r="AP291" s="36">
        <v>11996</v>
      </c>
      <c r="AQ291" s="36">
        <v>8050</v>
      </c>
      <c r="AR291" s="36">
        <v>502</v>
      </c>
      <c r="AS291" s="36">
        <v>15909</v>
      </c>
      <c r="AT291" s="36">
        <v>12426</v>
      </c>
      <c r="AU291" s="36">
        <v>8165</v>
      </c>
      <c r="AV291" s="36">
        <v>493</v>
      </c>
      <c r="AW291" s="36">
        <v>16544</v>
      </c>
      <c r="AX291" s="69">
        <v>13342</v>
      </c>
      <c r="AY291" s="36">
        <v>7866</v>
      </c>
      <c r="AZ291" s="36">
        <v>566</v>
      </c>
      <c r="BA291" s="36">
        <v>16998</v>
      </c>
      <c r="BB291" s="36">
        <v>13714</v>
      </c>
      <c r="BC291" s="36">
        <v>8883</v>
      </c>
      <c r="BD291" s="36">
        <v>1580</v>
      </c>
      <c r="BE291" s="70">
        <v>18047</v>
      </c>
      <c r="BF291" s="70">
        <v>14271</v>
      </c>
      <c r="BG291" s="70">
        <v>8734</v>
      </c>
      <c r="BH291" s="70">
        <v>507</v>
      </c>
      <c r="BI291" s="36">
        <v>19938</v>
      </c>
      <c r="BJ291" s="36">
        <v>15732</v>
      </c>
      <c r="BK291" s="36">
        <v>9095</v>
      </c>
      <c r="BL291" s="36">
        <v>449</v>
      </c>
      <c r="BM291" s="36">
        <v>12231.130576060466</v>
      </c>
      <c r="BN291" s="36">
        <v>4269.9550770048418</v>
      </c>
      <c r="BO291" s="36">
        <v>810.32942969156011</v>
      </c>
      <c r="BP291" s="36">
        <v>12343.816486789679</v>
      </c>
      <c r="BQ291" s="36">
        <v>3562.5566583077266</v>
      </c>
      <c r="BR291" s="36">
        <v>805.28379189771476</v>
      </c>
      <c r="BS291" s="36">
        <v>11532.309741612888</v>
      </c>
      <c r="BT291" s="36">
        <v>4680.5018054973907</v>
      </c>
      <c r="BU291" s="36">
        <v>797.04258350110081</v>
      </c>
      <c r="BV291" s="36">
        <v>13196</v>
      </c>
      <c r="BW291" s="36">
        <v>2397</v>
      </c>
      <c r="BX291" s="36">
        <v>931</v>
      </c>
      <c r="BY291" s="36">
        <v>14097</v>
      </c>
      <c r="BZ291" s="36">
        <v>1621</v>
      </c>
      <c r="CA291" s="36">
        <v>920</v>
      </c>
      <c r="CB291" s="36">
        <v>13872</v>
      </c>
      <c r="CC291" s="36">
        <v>976</v>
      </c>
      <c r="CD291" s="36">
        <v>931</v>
      </c>
      <c r="CE291" s="36">
        <v>13807</v>
      </c>
      <c r="CF291" s="36">
        <v>1174</v>
      </c>
      <c r="CG291" s="36">
        <v>928</v>
      </c>
      <c r="CH291" s="36">
        <v>14097</v>
      </c>
      <c r="CI291" s="36">
        <v>1483</v>
      </c>
      <c r="CJ291" s="70">
        <v>964</v>
      </c>
      <c r="CK291" s="70">
        <v>14435</v>
      </c>
      <c r="CL291" s="70">
        <v>1600</v>
      </c>
      <c r="CM291" s="36">
        <v>963</v>
      </c>
      <c r="CN291" s="36">
        <v>15048</v>
      </c>
      <c r="CO291" s="36">
        <v>2003</v>
      </c>
      <c r="CP291" s="36">
        <v>996</v>
      </c>
      <c r="CQ291" s="36">
        <v>16630</v>
      </c>
      <c r="CR291" s="36">
        <v>2194</v>
      </c>
      <c r="CS291" s="36">
        <v>1114</v>
      </c>
      <c r="CT291" s="36">
        <v>3862.267543262139</v>
      </c>
      <c r="CU291" s="36">
        <v>-3904.3145249999998</v>
      </c>
      <c r="CV291" s="36">
        <v>1427.9154956582286</v>
      </c>
      <c r="CW291" s="36">
        <v>3477</v>
      </c>
      <c r="CX291" s="36">
        <v>2844.8987760964592</v>
      </c>
      <c r="CY291" s="36">
        <v>-3381.9228250000001</v>
      </c>
      <c r="CZ291" s="36">
        <v>1574.5753675326662</v>
      </c>
      <c r="DA291" s="36">
        <v>3433</v>
      </c>
      <c r="DB291" s="36">
        <v>2333.4392917270038</v>
      </c>
      <c r="DC291" s="36">
        <v>-3263.518525</v>
      </c>
      <c r="DD291" s="36">
        <v>1601.149059913585</v>
      </c>
      <c r="DE291" s="36">
        <v>3266</v>
      </c>
      <c r="DF291" s="36">
        <v>2589.7576916543467</v>
      </c>
      <c r="DG291" s="36">
        <v>-2958</v>
      </c>
      <c r="DH291" s="36">
        <v>1640.0004709261941</v>
      </c>
      <c r="DI291" s="36">
        <v>3534</v>
      </c>
      <c r="DJ291" s="36">
        <v>3372</v>
      </c>
      <c r="DK291" s="36">
        <v>-2436</v>
      </c>
      <c r="DL291" s="36">
        <v>1810</v>
      </c>
      <c r="DM291" s="36">
        <v>2958</v>
      </c>
      <c r="DN291" s="36">
        <v>3350</v>
      </c>
      <c r="DO291" s="69">
        <v>-2837</v>
      </c>
      <c r="DP291" s="36">
        <v>1868</v>
      </c>
      <c r="DQ291" s="36">
        <v>2550</v>
      </c>
      <c r="DR291" s="36">
        <v>2110</v>
      </c>
      <c r="DS291" s="36">
        <v>-2543</v>
      </c>
      <c r="DT291" s="36">
        <v>1958</v>
      </c>
      <c r="DU291" s="36">
        <v>3365</v>
      </c>
      <c r="DV291" s="36">
        <v>2284</v>
      </c>
      <c r="DW291" s="71">
        <v>-3253</v>
      </c>
      <c r="DX291" s="39">
        <v>2311</v>
      </c>
      <c r="DY291" s="71">
        <v>4750</v>
      </c>
      <c r="DZ291" s="70">
        <v>3052</v>
      </c>
      <c r="EA291" s="35">
        <v>-3796</v>
      </c>
      <c r="EB291" s="35">
        <v>2178</v>
      </c>
      <c r="EC291" s="38">
        <v>3519</v>
      </c>
      <c r="ED291" s="38">
        <v>2339</v>
      </c>
      <c r="EE291" s="38">
        <v>-2164</v>
      </c>
      <c r="EF291" s="38">
        <v>2264</v>
      </c>
      <c r="EG291" s="73">
        <v>2968</v>
      </c>
      <c r="EH291" s="73">
        <v>3235</v>
      </c>
      <c r="EI291" s="73">
        <v>-3096</v>
      </c>
      <c r="EJ291" s="73">
        <v>2454</v>
      </c>
      <c r="EK291" s="73">
        <v>3903</v>
      </c>
      <c r="EL291" s="73">
        <v>26886.017360357768</v>
      </c>
      <c r="EM291" s="73">
        <v>2464.7940622934443</v>
      </c>
      <c r="EN291" s="73">
        <v>27637.481015787798</v>
      </c>
      <c r="EO291" s="73">
        <v>1889.2549779421533</v>
      </c>
      <c r="EP291" s="73">
        <v>28322.846816118457</v>
      </c>
      <c r="EQ291" s="73">
        <v>1096.2489046761289</v>
      </c>
      <c r="ER291" s="73">
        <v>29479.138810541343</v>
      </c>
      <c r="ES291" s="73">
        <v>1107.6856836755117</v>
      </c>
      <c r="ET291" s="73">
        <v>31687</v>
      </c>
      <c r="EU291" s="73">
        <v>1690</v>
      </c>
      <c r="EV291" s="73">
        <v>32877</v>
      </c>
      <c r="EW291" s="73">
        <v>1275</v>
      </c>
      <c r="EX291" s="73">
        <v>34783</v>
      </c>
      <c r="EY291" s="73">
        <v>268</v>
      </c>
      <c r="EZ291" s="73">
        <v>35942</v>
      </c>
      <c r="FA291" s="73">
        <v>83</v>
      </c>
      <c r="FB291" s="73">
        <v>38056</v>
      </c>
      <c r="FC291" s="73">
        <v>1120</v>
      </c>
      <c r="FD291" s="73">
        <v>39090</v>
      </c>
      <c r="FE291" s="73">
        <v>184</v>
      </c>
      <c r="FF291" s="73">
        <v>41886</v>
      </c>
      <c r="FG291" s="73">
        <v>91</v>
      </c>
      <c r="FH291" s="73">
        <v>14296</v>
      </c>
      <c r="FI291" s="73">
        <v>14387</v>
      </c>
      <c r="FJ291" s="79">
        <v>7612</v>
      </c>
      <c r="FK291" s="80">
        <v>19653</v>
      </c>
      <c r="FL291" s="80">
        <v>16636</v>
      </c>
      <c r="FM291" s="80">
        <v>9493</v>
      </c>
      <c r="FN291" s="76">
        <v>345</v>
      </c>
      <c r="FO291" s="80">
        <v>16745</v>
      </c>
      <c r="FP291" s="80">
        <v>1731</v>
      </c>
      <c r="FQ291" s="80">
        <v>1177</v>
      </c>
      <c r="FR291" s="80">
        <v>2463</v>
      </c>
      <c r="FS291" s="81">
        <v>-3599</v>
      </c>
      <c r="FT291" s="76">
        <v>2360</v>
      </c>
      <c r="FU291" s="76">
        <v>2961</v>
      </c>
      <c r="FV291" s="76">
        <v>3599</v>
      </c>
      <c r="FW291" s="80">
        <v>43562</v>
      </c>
      <c r="FX291" s="80">
        <v>213</v>
      </c>
      <c r="FY291" s="73">
        <v>7514</v>
      </c>
      <c r="FZ291" s="73">
        <v>20245</v>
      </c>
      <c r="GA291" s="73">
        <v>17547</v>
      </c>
      <c r="GB291" s="73">
        <v>10269</v>
      </c>
      <c r="GC291" s="73">
        <v>324</v>
      </c>
      <c r="GD291" s="73">
        <v>16843</v>
      </c>
      <c r="GE291" s="73">
        <v>2093</v>
      </c>
      <c r="GF291" s="73">
        <v>1309</v>
      </c>
      <c r="GG291" s="73">
        <v>2914</v>
      </c>
      <c r="GH291" s="73">
        <v>-4077</v>
      </c>
      <c r="GI291" s="73">
        <v>2511</v>
      </c>
      <c r="GJ291" s="73">
        <v>2516</v>
      </c>
      <c r="GK291" s="73">
        <v>4077</v>
      </c>
      <c r="GL291" s="73">
        <v>45410</v>
      </c>
      <c r="GM291" s="73">
        <v>515</v>
      </c>
      <c r="GN291" s="73">
        <v>13615</v>
      </c>
      <c r="GO291" s="77">
        <v>19.75</v>
      </c>
      <c r="GP291" s="78">
        <v>7453</v>
      </c>
      <c r="GQ291" s="73">
        <v>19907</v>
      </c>
      <c r="GR291" s="65">
        <v>18811</v>
      </c>
      <c r="GS291" s="65">
        <v>10604</v>
      </c>
      <c r="GT291" s="65">
        <v>309</v>
      </c>
      <c r="GU291" s="65">
        <v>16380</v>
      </c>
      <c r="GV291" s="65">
        <v>2136</v>
      </c>
      <c r="GW291" s="65">
        <v>1391</v>
      </c>
      <c r="GX291" s="65">
        <v>1725</v>
      </c>
      <c r="GY291" s="65">
        <v>-4890</v>
      </c>
      <c r="GZ291" s="65">
        <v>2545</v>
      </c>
      <c r="HA291" s="65">
        <v>5072</v>
      </c>
      <c r="HB291" s="65">
        <v>4890</v>
      </c>
      <c r="HC291" s="65">
        <v>47823</v>
      </c>
      <c r="HD291" s="65">
        <v>-684</v>
      </c>
      <c r="HE291" s="78">
        <v>7384</v>
      </c>
      <c r="HF291" s="73">
        <v>20268</v>
      </c>
      <c r="HG291" s="65">
        <v>20334</v>
      </c>
      <c r="HH291" s="65">
        <v>11722</v>
      </c>
      <c r="HI291" s="65">
        <v>305</v>
      </c>
      <c r="HJ291" s="65">
        <v>17212</v>
      </c>
      <c r="HK291" s="65">
        <v>1417</v>
      </c>
      <c r="HL291" s="65">
        <v>1639</v>
      </c>
      <c r="HM291" s="65">
        <v>1447</v>
      </c>
      <c r="HN291" s="65">
        <v>-3308</v>
      </c>
      <c r="HO291" s="65">
        <v>2623</v>
      </c>
      <c r="HP291" s="65">
        <v>5831</v>
      </c>
      <c r="HQ291" s="65">
        <v>3308</v>
      </c>
      <c r="HR291" s="65">
        <v>51052</v>
      </c>
      <c r="HS291" s="65">
        <v>-1040</v>
      </c>
      <c r="HT291" s="65">
        <v>11891</v>
      </c>
      <c r="HU291" s="77">
        <v>19.75</v>
      </c>
      <c r="HV291" s="180">
        <v>340</v>
      </c>
      <c r="HW291" s="30" t="s">
        <v>761</v>
      </c>
    </row>
    <row r="292" spans="1:231" ht="15" x14ac:dyDescent="0.25">
      <c r="A292" s="27">
        <v>946</v>
      </c>
      <c r="B292" s="27" t="s">
        <v>560</v>
      </c>
      <c r="C292" s="27">
        <v>15</v>
      </c>
      <c r="D292" s="27" t="s">
        <v>115</v>
      </c>
      <c r="E292" s="27">
        <v>3</v>
      </c>
      <c r="F292" s="27" t="s">
        <v>743</v>
      </c>
      <c r="G292" s="29" t="s">
        <v>130</v>
      </c>
      <c r="H292" s="27" t="s">
        <v>98</v>
      </c>
      <c r="I292" s="31" t="s">
        <v>115</v>
      </c>
      <c r="J292" s="69">
        <v>7106</v>
      </c>
      <c r="K292" s="69">
        <v>7022</v>
      </c>
      <c r="L292" s="36">
        <v>6935</v>
      </c>
      <c r="M292" s="36">
        <v>6882</v>
      </c>
      <c r="N292" s="36">
        <v>6785</v>
      </c>
      <c r="O292" s="36">
        <v>6773</v>
      </c>
      <c r="P292" s="36">
        <v>6775</v>
      </c>
      <c r="Q292" s="36">
        <v>6749</v>
      </c>
      <c r="R292" s="69">
        <v>6663</v>
      </c>
      <c r="S292" s="69">
        <v>6683</v>
      </c>
      <c r="T292" s="71">
        <v>6628</v>
      </c>
      <c r="U292" s="36">
        <v>13945</v>
      </c>
      <c r="V292" s="36">
        <v>8096</v>
      </c>
      <c r="W292" s="36">
        <v>5624</v>
      </c>
      <c r="X292" s="36">
        <v>396.08256681685856</v>
      </c>
      <c r="Y292" s="36">
        <v>13748</v>
      </c>
      <c r="Z292" s="36">
        <v>8736</v>
      </c>
      <c r="AA292" s="36">
        <v>6208</v>
      </c>
      <c r="AB292" s="36">
        <v>427.19733321223805</v>
      </c>
      <c r="AC292" s="36">
        <v>12809</v>
      </c>
      <c r="AD292" s="36">
        <v>9668</v>
      </c>
      <c r="AE292" s="36">
        <v>5733</v>
      </c>
      <c r="AF292" s="36">
        <v>263.71866869164933</v>
      </c>
      <c r="AG292" s="36">
        <v>14440</v>
      </c>
      <c r="AH292" s="36">
        <v>11149</v>
      </c>
      <c r="AI292" s="36">
        <v>6030</v>
      </c>
      <c r="AJ292" s="36">
        <v>309.12940883625726</v>
      </c>
      <c r="AK292" s="36">
        <v>15214</v>
      </c>
      <c r="AL292" s="36">
        <v>11221</v>
      </c>
      <c r="AM292" s="36">
        <v>5805</v>
      </c>
      <c r="AN292" s="36">
        <v>217</v>
      </c>
      <c r="AO292" s="36">
        <v>13997</v>
      </c>
      <c r="AP292" s="36">
        <v>11494</v>
      </c>
      <c r="AQ292" s="36">
        <v>6605</v>
      </c>
      <c r="AR292" s="36">
        <v>485</v>
      </c>
      <c r="AS292" s="36">
        <v>13822</v>
      </c>
      <c r="AT292" s="36">
        <v>12511</v>
      </c>
      <c r="AU292" s="36">
        <v>7436</v>
      </c>
      <c r="AV292" s="36">
        <v>440</v>
      </c>
      <c r="AW292" s="36">
        <v>14924</v>
      </c>
      <c r="AX292" s="69">
        <v>12957</v>
      </c>
      <c r="AY292" s="36">
        <v>7695</v>
      </c>
      <c r="AZ292" s="36">
        <v>161</v>
      </c>
      <c r="BA292" s="36">
        <v>15747</v>
      </c>
      <c r="BB292" s="36">
        <v>12902</v>
      </c>
      <c r="BC292" s="36">
        <v>8377</v>
      </c>
      <c r="BD292" s="36">
        <v>113</v>
      </c>
      <c r="BE292" s="70">
        <v>16578</v>
      </c>
      <c r="BF292" s="70">
        <v>12846</v>
      </c>
      <c r="BG292" s="70">
        <v>9368</v>
      </c>
      <c r="BH292" s="70">
        <v>186</v>
      </c>
      <c r="BI292" s="36">
        <v>17866</v>
      </c>
      <c r="BJ292" s="36">
        <v>14170</v>
      </c>
      <c r="BK292" s="36">
        <v>11914</v>
      </c>
      <c r="BL292" s="36">
        <v>113</v>
      </c>
      <c r="BM292" s="36">
        <v>10618.544737147498</v>
      </c>
      <c r="BN292" s="36">
        <v>2724.9807845294017</v>
      </c>
      <c r="BO292" s="36">
        <v>601.60821295282494</v>
      </c>
      <c r="BP292" s="36">
        <v>10610.976280456729</v>
      </c>
      <c r="BQ292" s="36">
        <v>2507.5137956146682</v>
      </c>
      <c r="BR292" s="36">
        <v>629.35922081897422</v>
      </c>
      <c r="BS292" s="36">
        <v>9827.0523552196282</v>
      </c>
      <c r="BT292" s="36">
        <v>2381.204662842073</v>
      </c>
      <c r="BU292" s="36">
        <v>600.93546124697889</v>
      </c>
      <c r="BV292" s="36">
        <v>11831</v>
      </c>
      <c r="BW292" s="36">
        <v>1911</v>
      </c>
      <c r="BX292" s="36">
        <v>698</v>
      </c>
      <c r="BY292" s="36">
        <v>12835</v>
      </c>
      <c r="BZ292" s="36">
        <v>1652</v>
      </c>
      <c r="CA292" s="36">
        <v>727</v>
      </c>
      <c r="CB292" s="36">
        <v>12456</v>
      </c>
      <c r="CC292" s="36">
        <v>794</v>
      </c>
      <c r="CD292" s="36">
        <v>747</v>
      </c>
      <c r="CE292" s="36">
        <v>11999</v>
      </c>
      <c r="CF292" s="36">
        <v>1062</v>
      </c>
      <c r="CG292" s="36">
        <v>761</v>
      </c>
      <c r="CH292" s="36">
        <v>12908</v>
      </c>
      <c r="CI292" s="36">
        <v>1207</v>
      </c>
      <c r="CJ292" s="70">
        <v>809</v>
      </c>
      <c r="CK292" s="70">
        <v>13544</v>
      </c>
      <c r="CL292" s="70">
        <v>1384</v>
      </c>
      <c r="CM292" s="36">
        <v>819</v>
      </c>
      <c r="CN292" s="36">
        <v>14144</v>
      </c>
      <c r="CO292" s="36">
        <v>1686</v>
      </c>
      <c r="CP292" s="36">
        <v>748</v>
      </c>
      <c r="CQ292" s="36">
        <v>15284</v>
      </c>
      <c r="CR292" s="36">
        <v>1723</v>
      </c>
      <c r="CS292" s="36">
        <v>859</v>
      </c>
      <c r="CT292" s="36">
        <v>709.75304966757665</v>
      </c>
      <c r="CU292" s="36">
        <v>-1101.7991062000001</v>
      </c>
      <c r="CV292" s="36">
        <v>740.69962813649454</v>
      </c>
      <c r="CW292" s="36">
        <v>2757</v>
      </c>
      <c r="CX292" s="36">
        <v>789.64231473679422</v>
      </c>
      <c r="CY292" s="36">
        <v>-964.0531946000001</v>
      </c>
      <c r="CZ292" s="36">
        <v>765.42325332633663</v>
      </c>
      <c r="DA292" s="36">
        <v>2347</v>
      </c>
      <c r="DB292" s="36">
        <v>-432.74753478546791</v>
      </c>
      <c r="DC292" s="36">
        <v>-791.49238189999994</v>
      </c>
      <c r="DD292" s="36">
        <v>796.20164386879321</v>
      </c>
      <c r="DE292" s="36">
        <v>2038</v>
      </c>
      <c r="DF292" s="36">
        <v>1551.5336216074393</v>
      </c>
      <c r="DG292" s="36">
        <v>-2030</v>
      </c>
      <c r="DH292" s="36">
        <v>813.8613761472518</v>
      </c>
      <c r="DI292" s="36">
        <v>2944</v>
      </c>
      <c r="DJ292" s="36">
        <v>1919</v>
      </c>
      <c r="DK292" s="36">
        <v>-2017</v>
      </c>
      <c r="DL292" s="36">
        <v>836</v>
      </c>
      <c r="DM292" s="36">
        <v>2510</v>
      </c>
      <c r="DN292" s="36">
        <v>769</v>
      </c>
      <c r="DO292" s="69">
        <v>-1315</v>
      </c>
      <c r="DP292" s="36">
        <v>838</v>
      </c>
      <c r="DQ292" s="36">
        <v>2710</v>
      </c>
      <c r="DR292" s="36">
        <v>418</v>
      </c>
      <c r="DS292" s="36">
        <v>-1110</v>
      </c>
      <c r="DT292" s="36">
        <v>990</v>
      </c>
      <c r="DU292" s="36">
        <v>2789</v>
      </c>
      <c r="DV292" s="36">
        <v>-42</v>
      </c>
      <c r="DW292" s="71">
        <v>-694</v>
      </c>
      <c r="DX292" s="39">
        <v>936</v>
      </c>
      <c r="DY292" s="71">
        <v>3043</v>
      </c>
      <c r="DZ292" s="70">
        <v>890</v>
      </c>
      <c r="EA292" s="35">
        <v>-392</v>
      </c>
      <c r="EB292" s="35">
        <v>1053</v>
      </c>
      <c r="EC292" s="38">
        <v>2732</v>
      </c>
      <c r="ED292" s="38">
        <v>1786</v>
      </c>
      <c r="EE292" s="38">
        <v>-1684</v>
      </c>
      <c r="EF292" s="38">
        <v>1038</v>
      </c>
      <c r="EG292" s="73">
        <v>3044</v>
      </c>
      <c r="EH292" s="73">
        <v>1417</v>
      </c>
      <c r="EI292" s="73">
        <v>-1504</v>
      </c>
      <c r="EJ292" s="73">
        <v>1032</v>
      </c>
      <c r="EK292" s="73">
        <v>2284</v>
      </c>
      <c r="EL292" s="73">
        <v>25958.460945922532</v>
      </c>
      <c r="EM292" s="73">
        <v>-298.36538154272057</v>
      </c>
      <c r="EN292" s="73">
        <v>27004.085284733752</v>
      </c>
      <c r="EO292" s="73">
        <v>-245.3861847073446</v>
      </c>
      <c r="EP292" s="73">
        <v>27564.655643629965</v>
      </c>
      <c r="EQ292" s="73">
        <v>-1228.949178654261</v>
      </c>
      <c r="ER292" s="73">
        <v>28963.642815936815</v>
      </c>
      <c r="ES292" s="73">
        <v>673.4244575518901</v>
      </c>
      <c r="ET292" s="73">
        <v>30353</v>
      </c>
      <c r="EU292" s="73">
        <v>619</v>
      </c>
      <c r="EV292" s="73">
        <v>31425</v>
      </c>
      <c r="EW292" s="73">
        <v>19</v>
      </c>
      <c r="EX292" s="73">
        <v>33527</v>
      </c>
      <c r="EY292" s="73">
        <v>-460</v>
      </c>
      <c r="EZ292" s="73">
        <v>35658</v>
      </c>
      <c r="FA292" s="73">
        <v>-932</v>
      </c>
      <c r="FB292" s="73">
        <v>36180</v>
      </c>
      <c r="FC292" s="73">
        <v>-115</v>
      </c>
      <c r="FD292" s="73">
        <v>37043</v>
      </c>
      <c r="FE292" s="73">
        <v>769</v>
      </c>
      <c r="FF292" s="73">
        <v>42572</v>
      </c>
      <c r="FG292" s="73">
        <v>408</v>
      </c>
      <c r="FH292" s="73">
        <v>3292</v>
      </c>
      <c r="FI292" s="73">
        <v>3700</v>
      </c>
      <c r="FJ292" s="79">
        <v>6686</v>
      </c>
      <c r="FK292" s="80">
        <v>18138</v>
      </c>
      <c r="FL292" s="80">
        <v>15754</v>
      </c>
      <c r="FM292" s="80">
        <v>15374</v>
      </c>
      <c r="FN292" s="76">
        <v>69</v>
      </c>
      <c r="FO292" s="80">
        <v>15956</v>
      </c>
      <c r="FP292" s="80">
        <v>1282</v>
      </c>
      <c r="FQ292" s="80">
        <v>900</v>
      </c>
      <c r="FR292" s="80">
        <v>1979</v>
      </c>
      <c r="FS292" s="81">
        <v>-2417</v>
      </c>
      <c r="FT292" s="76">
        <v>1071</v>
      </c>
      <c r="FU292" s="76">
        <v>2814</v>
      </c>
      <c r="FV292" s="76">
        <v>2417</v>
      </c>
      <c r="FW292" s="80">
        <v>47125</v>
      </c>
      <c r="FX292" s="80">
        <v>951</v>
      </c>
      <c r="FY292" s="73">
        <v>6689</v>
      </c>
      <c r="FZ292" s="73">
        <v>17850</v>
      </c>
      <c r="GA292" s="73">
        <v>16840</v>
      </c>
      <c r="GB292" s="73">
        <v>16818</v>
      </c>
      <c r="GC292" s="73">
        <v>70</v>
      </c>
      <c r="GD292" s="73">
        <v>15207</v>
      </c>
      <c r="GE292" s="73">
        <v>1662</v>
      </c>
      <c r="GF292" s="73">
        <v>981</v>
      </c>
      <c r="GG292" s="73">
        <v>1308</v>
      </c>
      <c r="GH292" s="73">
        <v>-2533</v>
      </c>
      <c r="GI292" s="73">
        <v>1069</v>
      </c>
      <c r="GJ292" s="73">
        <v>1635</v>
      </c>
      <c r="GK292" s="73">
        <v>2533</v>
      </c>
      <c r="GL292" s="73">
        <v>50243</v>
      </c>
      <c r="GM292" s="73">
        <v>298</v>
      </c>
      <c r="GN292" s="73">
        <v>4949</v>
      </c>
      <c r="GO292" s="77">
        <v>19</v>
      </c>
      <c r="GP292" s="78">
        <v>6743</v>
      </c>
      <c r="GQ292" s="73">
        <v>19273</v>
      </c>
      <c r="GR292" s="65">
        <v>17567</v>
      </c>
      <c r="GS292" s="65">
        <v>16454</v>
      </c>
      <c r="GT292" s="65">
        <v>0</v>
      </c>
      <c r="GU292" s="65">
        <v>16012</v>
      </c>
      <c r="GV292" s="65">
        <v>2180</v>
      </c>
      <c r="GW292" s="65">
        <v>1081</v>
      </c>
      <c r="GX292" s="65">
        <v>1396</v>
      </c>
      <c r="GY292" s="65">
        <v>-3902</v>
      </c>
      <c r="GZ292" s="65">
        <v>1351</v>
      </c>
      <c r="HA292" s="65">
        <v>3841</v>
      </c>
      <c r="HB292" s="65">
        <v>3902</v>
      </c>
      <c r="HC292" s="65">
        <v>51854</v>
      </c>
      <c r="HD292" s="65">
        <v>122</v>
      </c>
      <c r="HE292" s="78">
        <v>6680</v>
      </c>
      <c r="HF292" s="73">
        <v>19993</v>
      </c>
      <c r="HG292" s="65">
        <v>18260</v>
      </c>
      <c r="HH292" s="65">
        <v>17239</v>
      </c>
      <c r="HI292" s="65">
        <v>93</v>
      </c>
      <c r="HJ292" s="65">
        <v>17265</v>
      </c>
      <c r="HK292" s="65">
        <v>1612</v>
      </c>
      <c r="HL292" s="65">
        <v>1116</v>
      </c>
      <c r="HM292" s="65">
        <v>763</v>
      </c>
      <c r="HN292" s="65">
        <v>-2699</v>
      </c>
      <c r="HO292" s="65">
        <v>1332</v>
      </c>
      <c r="HP292" s="65">
        <v>3943</v>
      </c>
      <c r="HQ292" s="65">
        <v>2699</v>
      </c>
      <c r="HR292" s="65">
        <v>54740</v>
      </c>
      <c r="HS292" s="65">
        <v>-488</v>
      </c>
      <c r="HT292" s="65">
        <v>4652</v>
      </c>
      <c r="HU292" s="77">
        <v>19</v>
      </c>
      <c r="HV292" s="180">
        <v>330</v>
      </c>
      <c r="HW292" s="30" t="s">
        <v>760</v>
      </c>
    </row>
    <row r="293" spans="1:231" ht="15" x14ac:dyDescent="0.25">
      <c r="A293" s="27">
        <v>976</v>
      </c>
      <c r="B293" s="27" t="s">
        <v>415</v>
      </c>
      <c r="C293" s="27">
        <v>19</v>
      </c>
      <c r="D293" s="27" t="s">
        <v>113</v>
      </c>
      <c r="E293" s="27">
        <v>2</v>
      </c>
      <c r="F293" s="27" t="s">
        <v>744</v>
      </c>
      <c r="G293" s="29" t="s">
        <v>130</v>
      </c>
      <c r="H293" s="27" t="s">
        <v>98</v>
      </c>
      <c r="I293" s="31" t="s">
        <v>113</v>
      </c>
      <c r="J293" s="71">
        <v>5752</v>
      </c>
      <c r="K293" s="71">
        <v>5652</v>
      </c>
      <c r="L293" s="71">
        <v>5535</v>
      </c>
      <c r="M293" s="71">
        <v>5404</v>
      </c>
      <c r="N293" s="71">
        <v>5330</v>
      </c>
      <c r="O293" s="71">
        <v>5314</v>
      </c>
      <c r="P293" s="71">
        <v>5275</v>
      </c>
      <c r="Q293" s="71">
        <v>5184</v>
      </c>
      <c r="R293" s="71">
        <v>5095</v>
      </c>
      <c r="S293" s="71">
        <v>4943</v>
      </c>
      <c r="T293" s="71">
        <v>4847</v>
      </c>
      <c r="U293" s="71">
        <v>9461</v>
      </c>
      <c r="V293" s="71">
        <v>7723</v>
      </c>
      <c r="W293" s="71">
        <v>4725</v>
      </c>
      <c r="X293" s="71">
        <v>808.47936250048349</v>
      </c>
      <c r="Y293" s="71">
        <v>9322</v>
      </c>
      <c r="Z293" s="71">
        <v>7487</v>
      </c>
      <c r="AA293" s="71">
        <v>4695</v>
      </c>
      <c r="AB293" s="71">
        <v>594.20794418851847</v>
      </c>
      <c r="AC293" s="71">
        <v>8869</v>
      </c>
      <c r="AD293" s="71">
        <v>8022</v>
      </c>
      <c r="AE293" s="71">
        <v>4880</v>
      </c>
      <c r="AF293" s="71">
        <v>473.11263713623049</v>
      </c>
      <c r="AG293" s="71">
        <v>9747</v>
      </c>
      <c r="AH293" s="71">
        <v>8820</v>
      </c>
      <c r="AI293" s="71">
        <v>4833</v>
      </c>
      <c r="AJ293" s="71">
        <v>799.22902654510051</v>
      </c>
      <c r="AK293" s="71">
        <v>9663</v>
      </c>
      <c r="AL293" s="71">
        <v>9905</v>
      </c>
      <c r="AM293" s="71">
        <v>5102</v>
      </c>
      <c r="AN293" s="71">
        <v>417</v>
      </c>
      <c r="AO293" s="71">
        <v>9475</v>
      </c>
      <c r="AP293" s="71">
        <v>10202</v>
      </c>
      <c r="AQ293" s="71">
        <v>5119</v>
      </c>
      <c r="AR293" s="71">
        <v>430</v>
      </c>
      <c r="AS293" s="71">
        <v>9666</v>
      </c>
      <c r="AT293" s="71">
        <v>10745</v>
      </c>
      <c r="AU293" s="71">
        <v>7461</v>
      </c>
      <c r="AV293" s="71">
        <v>312</v>
      </c>
      <c r="AW293" s="71">
        <v>9818</v>
      </c>
      <c r="AX293" s="71">
        <v>10663</v>
      </c>
      <c r="AY293" s="71">
        <v>7603</v>
      </c>
      <c r="AZ293" s="71">
        <v>326</v>
      </c>
      <c r="BA293" s="71">
        <v>10082</v>
      </c>
      <c r="BB293" s="71">
        <v>12175</v>
      </c>
      <c r="BC293" s="71">
        <v>7503</v>
      </c>
      <c r="BD293" s="71">
        <v>242</v>
      </c>
      <c r="BE293" s="71">
        <v>11282</v>
      </c>
      <c r="BF293" s="71">
        <v>12514</v>
      </c>
      <c r="BG293" s="71">
        <v>7480</v>
      </c>
      <c r="BH293" s="71">
        <v>444</v>
      </c>
      <c r="BI293" s="71">
        <v>11469</v>
      </c>
      <c r="BJ293" s="71">
        <v>13630</v>
      </c>
      <c r="BK293" s="71">
        <v>7341</v>
      </c>
      <c r="BL293" s="71">
        <v>392</v>
      </c>
      <c r="BM293" s="71">
        <v>7807.1153584168806</v>
      </c>
      <c r="BN293" s="71">
        <v>1379.3091849108516</v>
      </c>
      <c r="BO293" s="71">
        <v>274.98725976457052</v>
      </c>
      <c r="BP293" s="71">
        <v>7849.6669038116434</v>
      </c>
      <c r="BQ293" s="71">
        <v>1165.5423303782713</v>
      </c>
      <c r="BR293" s="71">
        <v>307.11115371871915</v>
      </c>
      <c r="BS293" s="71">
        <v>7319.0339958255754</v>
      </c>
      <c r="BT293" s="71">
        <v>1112.731321469357</v>
      </c>
      <c r="BU293" s="71">
        <v>436.78404502054417</v>
      </c>
      <c r="BV293" s="71">
        <v>8411</v>
      </c>
      <c r="BW293" s="71">
        <v>876</v>
      </c>
      <c r="BX293" s="71">
        <v>460</v>
      </c>
      <c r="BY293" s="71">
        <v>8553</v>
      </c>
      <c r="BZ293" s="71">
        <v>642</v>
      </c>
      <c r="CA293" s="71">
        <v>468</v>
      </c>
      <c r="CB293" s="71">
        <v>8703</v>
      </c>
      <c r="CC293" s="71">
        <v>325</v>
      </c>
      <c r="CD293" s="71">
        <v>447</v>
      </c>
      <c r="CE293" s="71">
        <v>8763</v>
      </c>
      <c r="CF293" s="71">
        <v>440</v>
      </c>
      <c r="CG293" s="71">
        <v>463</v>
      </c>
      <c r="CH293" s="71">
        <v>8800</v>
      </c>
      <c r="CI293" s="71">
        <v>546</v>
      </c>
      <c r="CJ293" s="71">
        <v>472</v>
      </c>
      <c r="CK293" s="71">
        <v>8904</v>
      </c>
      <c r="CL293" s="71">
        <v>696</v>
      </c>
      <c r="CM293" s="71">
        <v>482</v>
      </c>
      <c r="CN293" s="71">
        <v>9960</v>
      </c>
      <c r="CO293" s="71">
        <v>795</v>
      </c>
      <c r="CP293" s="71">
        <v>527</v>
      </c>
      <c r="CQ293" s="71">
        <v>10149</v>
      </c>
      <c r="CR293" s="71">
        <v>712</v>
      </c>
      <c r="CS293" s="71">
        <v>608</v>
      </c>
      <c r="CT293" s="71">
        <v>584.78942030667383</v>
      </c>
      <c r="CU293" s="71">
        <v>-1584.3302669999998</v>
      </c>
      <c r="CV293" s="71">
        <v>636.25492580389619</v>
      </c>
      <c r="CW293" s="71">
        <v>774</v>
      </c>
      <c r="CX293" s="71">
        <v>519.53250483960755</v>
      </c>
      <c r="CY293" s="71">
        <v>-555.69290899999999</v>
      </c>
      <c r="CZ293" s="71">
        <v>702.52096882973171</v>
      </c>
      <c r="DA293" s="71">
        <v>611</v>
      </c>
      <c r="DB293" s="71">
        <v>-107.47208500890555</v>
      </c>
      <c r="DC293" s="71">
        <v>-560.57035889999997</v>
      </c>
      <c r="DD293" s="71">
        <v>756.3411052974152</v>
      </c>
      <c r="DE293" s="71">
        <v>586</v>
      </c>
      <c r="DF293" s="71">
        <v>672.75170584604416</v>
      </c>
      <c r="DG293" s="71">
        <v>-529</v>
      </c>
      <c r="DH293" s="71">
        <v>786.44674413402561</v>
      </c>
      <c r="DI293" s="71">
        <v>481</v>
      </c>
      <c r="DJ293" s="71">
        <v>836</v>
      </c>
      <c r="DK293" s="71">
        <v>-2254</v>
      </c>
      <c r="DL293" s="71">
        <v>792</v>
      </c>
      <c r="DM293" s="71">
        <v>1890</v>
      </c>
      <c r="DN293" s="71">
        <v>-604</v>
      </c>
      <c r="DO293" s="71">
        <v>-2212</v>
      </c>
      <c r="DP293" s="71">
        <v>865</v>
      </c>
      <c r="DQ293" s="71">
        <v>2351</v>
      </c>
      <c r="DR293" s="71">
        <v>-378</v>
      </c>
      <c r="DS293" s="71">
        <v>-355</v>
      </c>
      <c r="DT293" s="71">
        <v>1080</v>
      </c>
      <c r="DU293" s="71">
        <v>2012</v>
      </c>
      <c r="DV293" s="71">
        <v>-1233</v>
      </c>
      <c r="DW293" s="71">
        <v>-554</v>
      </c>
      <c r="DX293" s="39">
        <v>909</v>
      </c>
      <c r="DY293" s="71">
        <v>3546</v>
      </c>
      <c r="DZ293" s="70">
        <v>1082</v>
      </c>
      <c r="EA293" s="35">
        <v>-1131</v>
      </c>
      <c r="EB293" s="35">
        <v>910</v>
      </c>
      <c r="EC293" s="38">
        <v>3319</v>
      </c>
      <c r="ED293" s="38">
        <v>1913</v>
      </c>
      <c r="EE293" s="38">
        <v>-861</v>
      </c>
      <c r="EF293" s="38">
        <v>921</v>
      </c>
      <c r="EG293" s="73">
        <v>2646</v>
      </c>
      <c r="EH293" s="73">
        <v>2233</v>
      </c>
      <c r="EI293" s="73">
        <v>-1745</v>
      </c>
      <c r="EJ293" s="73">
        <v>931</v>
      </c>
      <c r="EK293" s="73">
        <v>2508</v>
      </c>
      <c r="EL293" s="73">
        <v>21166.282357254702</v>
      </c>
      <c r="EM293" s="73">
        <v>366.98605553901706</v>
      </c>
      <c r="EN293" s="73">
        <v>20662.727705428937</v>
      </c>
      <c r="EO293" s="73">
        <v>-198.96631700396756</v>
      </c>
      <c r="EP293" s="73">
        <v>21465.993242209115</v>
      </c>
      <c r="EQ293" s="73">
        <v>-800.40634203033096</v>
      </c>
      <c r="ER293" s="73">
        <v>22425.841738524952</v>
      </c>
      <c r="ES293" s="73">
        <v>-219.31705610581039</v>
      </c>
      <c r="ET293" s="73">
        <v>24162</v>
      </c>
      <c r="EU293" s="73">
        <v>1020</v>
      </c>
      <c r="EV293" s="73">
        <v>25654</v>
      </c>
      <c r="EW293" s="73">
        <v>-1445</v>
      </c>
      <c r="EX293" s="73">
        <v>28422</v>
      </c>
      <c r="EY293" s="73">
        <v>-1429</v>
      </c>
      <c r="EZ293" s="73">
        <v>29568</v>
      </c>
      <c r="FA293" s="73">
        <v>-2120</v>
      </c>
      <c r="FB293" s="73">
        <v>28920</v>
      </c>
      <c r="FC293" s="73">
        <v>194</v>
      </c>
      <c r="FD293" s="73">
        <v>29643</v>
      </c>
      <c r="FE293" s="73">
        <v>839</v>
      </c>
      <c r="FF293" s="73">
        <v>30341</v>
      </c>
      <c r="FG293" s="73">
        <v>1325</v>
      </c>
      <c r="FH293" s="73">
        <v>-2868</v>
      </c>
      <c r="FI293" s="73">
        <v>-1544</v>
      </c>
      <c r="FJ293" s="79">
        <v>4807</v>
      </c>
      <c r="FK293" s="80">
        <v>11070</v>
      </c>
      <c r="FL293" s="80">
        <v>14849</v>
      </c>
      <c r="FM293" s="80">
        <v>8065</v>
      </c>
      <c r="FN293" s="76">
        <v>276</v>
      </c>
      <c r="FO293" s="80">
        <v>9921</v>
      </c>
      <c r="FP293" s="80">
        <v>523</v>
      </c>
      <c r="FQ293" s="80">
        <v>626</v>
      </c>
      <c r="FR293" s="80">
        <v>3033</v>
      </c>
      <c r="FS293" s="81">
        <v>-1325</v>
      </c>
      <c r="FT293" s="76">
        <v>920</v>
      </c>
      <c r="FU293" s="76">
        <v>1870</v>
      </c>
      <c r="FV293" s="76">
        <v>1325</v>
      </c>
      <c r="FW293" s="80">
        <v>31227</v>
      </c>
      <c r="FX293" s="80">
        <v>1635</v>
      </c>
      <c r="FY293" s="73">
        <v>4731</v>
      </c>
      <c r="FZ293" s="73">
        <v>11071</v>
      </c>
      <c r="GA293" s="73">
        <v>15882</v>
      </c>
      <c r="GB293" s="73">
        <v>8371</v>
      </c>
      <c r="GC293" s="73">
        <v>168</v>
      </c>
      <c r="GD293" s="73">
        <v>9571</v>
      </c>
      <c r="GE293" s="73">
        <v>749</v>
      </c>
      <c r="GF293" s="73">
        <v>751</v>
      </c>
      <c r="GG293" s="73">
        <v>3375</v>
      </c>
      <c r="GH293" s="73">
        <v>-463</v>
      </c>
      <c r="GI293" s="73">
        <v>1047</v>
      </c>
      <c r="GJ293" s="73">
        <v>1255</v>
      </c>
      <c r="GK293" s="73">
        <v>463</v>
      </c>
      <c r="GL293" s="73">
        <v>32117</v>
      </c>
      <c r="GM293" s="73">
        <v>1153</v>
      </c>
      <c r="GN293" s="73">
        <v>1244</v>
      </c>
      <c r="GO293" s="77">
        <v>19.25</v>
      </c>
      <c r="GP293" s="78">
        <v>4650</v>
      </c>
      <c r="GQ293" s="73">
        <v>11574</v>
      </c>
      <c r="GR293" s="65">
        <v>16359</v>
      </c>
      <c r="GS293" s="65">
        <v>9339</v>
      </c>
      <c r="GT293" s="65">
        <v>298</v>
      </c>
      <c r="GU293" s="65">
        <v>9870</v>
      </c>
      <c r="GV293" s="65">
        <v>972</v>
      </c>
      <c r="GW293" s="65">
        <v>732</v>
      </c>
      <c r="GX293" s="65">
        <v>3886</v>
      </c>
      <c r="GY293" s="65">
        <v>65</v>
      </c>
      <c r="GZ293" s="65">
        <v>1013</v>
      </c>
      <c r="HA293" s="65">
        <v>865</v>
      </c>
      <c r="HB293" s="65">
        <v>-65</v>
      </c>
      <c r="HC293" s="65">
        <v>33684</v>
      </c>
      <c r="HD293" s="65">
        <v>2898</v>
      </c>
      <c r="HE293" s="78">
        <v>4556</v>
      </c>
      <c r="HF293" s="73">
        <v>11536</v>
      </c>
      <c r="HG293" s="65">
        <v>18951</v>
      </c>
      <c r="HH293" s="65">
        <v>9663</v>
      </c>
      <c r="HI293" s="65">
        <v>349</v>
      </c>
      <c r="HJ293" s="65">
        <v>10132</v>
      </c>
      <c r="HK293" s="65">
        <v>666</v>
      </c>
      <c r="HL293" s="65">
        <v>738</v>
      </c>
      <c r="HM293" s="65">
        <v>2812</v>
      </c>
      <c r="HN293" s="65">
        <v>-1244</v>
      </c>
      <c r="HO293" s="65">
        <v>1889</v>
      </c>
      <c r="HP293" s="65">
        <v>696</v>
      </c>
      <c r="HQ293" s="65">
        <v>1244</v>
      </c>
      <c r="HR293" s="65">
        <v>37687</v>
      </c>
      <c r="HS293" s="65">
        <v>948</v>
      </c>
      <c r="HT293" s="65">
        <v>5248</v>
      </c>
      <c r="HU293" s="77">
        <v>19.25</v>
      </c>
      <c r="HV293" s="180">
        <v>340</v>
      </c>
      <c r="HW293" s="30" t="s">
        <v>761</v>
      </c>
    </row>
    <row r="294" spans="1:231" ht="15" x14ac:dyDescent="0.25">
      <c r="A294" s="27">
        <v>977</v>
      </c>
      <c r="B294" s="27" t="s">
        <v>416</v>
      </c>
      <c r="C294" s="27">
        <v>17</v>
      </c>
      <c r="D294" s="27" t="s">
        <v>117</v>
      </c>
      <c r="E294" s="27">
        <v>4</v>
      </c>
      <c r="F294" s="27" t="s">
        <v>100</v>
      </c>
      <c r="G294" s="29" t="s">
        <v>132</v>
      </c>
      <c r="H294" s="27" t="s">
        <v>99</v>
      </c>
      <c r="I294" s="31" t="s">
        <v>117</v>
      </c>
      <c r="J294" s="69">
        <v>13263</v>
      </c>
      <c r="K294" s="69">
        <v>13276</v>
      </c>
      <c r="L294" s="36">
        <v>13248</v>
      </c>
      <c r="M294" s="36">
        <v>13235</v>
      </c>
      <c r="N294" s="36">
        <v>13220</v>
      </c>
      <c r="O294" s="36">
        <v>13185</v>
      </c>
      <c r="P294" s="36">
        <v>13343</v>
      </c>
      <c r="Q294" s="36">
        <v>13482</v>
      </c>
      <c r="R294" s="69">
        <v>13571</v>
      </c>
      <c r="S294" s="69">
        <v>13650</v>
      </c>
      <c r="T294" s="71">
        <v>13803</v>
      </c>
      <c r="U294" s="36">
        <v>24375</v>
      </c>
      <c r="V294" s="36">
        <v>12673</v>
      </c>
      <c r="W294" s="36">
        <v>6041</v>
      </c>
      <c r="X294" s="36">
        <v>802.42459714786924</v>
      </c>
      <c r="Y294" s="36">
        <v>24976</v>
      </c>
      <c r="Z294" s="36">
        <v>12795</v>
      </c>
      <c r="AA294" s="36">
        <v>6060</v>
      </c>
      <c r="AB294" s="36">
        <v>1231.6401854776452</v>
      </c>
      <c r="AC294" s="36">
        <v>26798</v>
      </c>
      <c r="AD294" s="36">
        <v>15451</v>
      </c>
      <c r="AE294" s="36">
        <v>6169</v>
      </c>
      <c r="AF294" s="36">
        <v>127.65463618428686</v>
      </c>
      <c r="AG294" s="36">
        <v>29880</v>
      </c>
      <c r="AH294" s="36">
        <v>14342</v>
      </c>
      <c r="AI294" s="36">
        <v>6448</v>
      </c>
      <c r="AJ294" s="36">
        <v>1428.5882473640747</v>
      </c>
      <c r="AK294" s="36">
        <v>30944</v>
      </c>
      <c r="AL294" s="36">
        <v>15931</v>
      </c>
      <c r="AM294" s="36">
        <v>6842</v>
      </c>
      <c r="AN294" s="36">
        <v>137</v>
      </c>
      <c r="AO294" s="36">
        <v>29373</v>
      </c>
      <c r="AP294" s="36">
        <v>14977</v>
      </c>
      <c r="AQ294" s="36">
        <v>7492</v>
      </c>
      <c r="AR294" s="36">
        <v>404</v>
      </c>
      <c r="AS294" s="36">
        <v>30655</v>
      </c>
      <c r="AT294" s="36">
        <v>17468</v>
      </c>
      <c r="AU294" s="36">
        <v>14843</v>
      </c>
      <c r="AV294" s="36">
        <v>120</v>
      </c>
      <c r="AW294" s="36">
        <v>31717</v>
      </c>
      <c r="AX294" s="69">
        <v>18029</v>
      </c>
      <c r="AY294" s="36">
        <v>15568</v>
      </c>
      <c r="AZ294" s="36">
        <v>95</v>
      </c>
      <c r="BA294" s="36">
        <v>34706</v>
      </c>
      <c r="BB294" s="36">
        <v>19623</v>
      </c>
      <c r="BC294" s="36">
        <v>17101</v>
      </c>
      <c r="BD294" s="36">
        <v>6</v>
      </c>
      <c r="BE294" s="70">
        <v>37436</v>
      </c>
      <c r="BF294" s="70">
        <v>20619</v>
      </c>
      <c r="BG294" s="70">
        <v>18030</v>
      </c>
      <c r="BH294" s="70">
        <v>87</v>
      </c>
      <c r="BI294" s="36">
        <v>40141</v>
      </c>
      <c r="BJ294" s="36">
        <v>22080</v>
      </c>
      <c r="BK294" s="36">
        <v>17843</v>
      </c>
      <c r="BL294" s="36">
        <v>559</v>
      </c>
      <c r="BM294" s="36">
        <v>21441.942368725118</v>
      </c>
      <c r="BN294" s="36">
        <v>1934.3293422338384</v>
      </c>
      <c r="BO294" s="36">
        <v>985.91762491737768</v>
      </c>
      <c r="BP294" s="36">
        <v>21524.354452691259</v>
      </c>
      <c r="BQ294" s="36">
        <v>2425.942651280835</v>
      </c>
      <c r="BR294" s="36">
        <v>1012.659505224758</v>
      </c>
      <c r="BS294" s="36">
        <v>21646.122511449394</v>
      </c>
      <c r="BT294" s="36">
        <v>4124.6407085420951</v>
      </c>
      <c r="BU294" s="36">
        <v>1015.6868879010652</v>
      </c>
      <c r="BV294" s="36">
        <v>24258</v>
      </c>
      <c r="BW294" s="36">
        <v>4558</v>
      </c>
      <c r="BX294" s="36">
        <v>1064</v>
      </c>
      <c r="BY294" s="36">
        <v>26404</v>
      </c>
      <c r="BZ294" s="36">
        <v>3449</v>
      </c>
      <c r="CA294" s="36">
        <v>1091</v>
      </c>
      <c r="CB294" s="36">
        <v>25918</v>
      </c>
      <c r="CC294" s="36">
        <v>2097</v>
      </c>
      <c r="CD294" s="36">
        <v>1358</v>
      </c>
      <c r="CE294" s="36">
        <v>27077</v>
      </c>
      <c r="CF294" s="36">
        <v>2094</v>
      </c>
      <c r="CG294" s="36">
        <v>1484</v>
      </c>
      <c r="CH294" s="36">
        <v>27893</v>
      </c>
      <c r="CI294" s="36">
        <v>2184</v>
      </c>
      <c r="CJ294" s="70">
        <v>1640</v>
      </c>
      <c r="CK294" s="70">
        <v>30391</v>
      </c>
      <c r="CL294" s="70">
        <v>2580</v>
      </c>
      <c r="CM294" s="36">
        <v>1735</v>
      </c>
      <c r="CN294" s="36">
        <v>32482</v>
      </c>
      <c r="CO294" s="36">
        <v>3102</v>
      </c>
      <c r="CP294" s="36">
        <v>1852</v>
      </c>
      <c r="CQ294" s="36">
        <v>34655</v>
      </c>
      <c r="CR294" s="36">
        <v>3221</v>
      </c>
      <c r="CS294" s="36">
        <v>2265</v>
      </c>
      <c r="CT294" s="36">
        <v>779.71922707556519</v>
      </c>
      <c r="CU294" s="36">
        <v>-724.04902340000001</v>
      </c>
      <c r="CV294" s="36">
        <v>1584.1620793409725</v>
      </c>
      <c r="CW294" s="36">
        <v>24213</v>
      </c>
      <c r="CX294" s="36">
        <v>535.34216992698964</v>
      </c>
      <c r="CY294" s="36">
        <v>-1907.5874619999997</v>
      </c>
      <c r="CZ294" s="36">
        <v>1620.3224835301974</v>
      </c>
      <c r="DA294" s="36">
        <v>28295</v>
      </c>
      <c r="DB294" s="36">
        <v>2144.7324382371885</v>
      </c>
      <c r="DC294" s="36">
        <v>-2542.8332599999999</v>
      </c>
      <c r="DD294" s="36">
        <v>1589.0395292083563</v>
      </c>
      <c r="DE294" s="36">
        <v>20967</v>
      </c>
      <c r="DF294" s="36">
        <v>3100.2080484650328</v>
      </c>
      <c r="DG294" s="36">
        <v>-3465</v>
      </c>
      <c r="DH294" s="36">
        <v>1809.8702766523204</v>
      </c>
      <c r="DI294" s="36">
        <v>19032</v>
      </c>
      <c r="DJ294" s="36">
        <v>3942</v>
      </c>
      <c r="DK294" s="36">
        <v>-6445</v>
      </c>
      <c r="DL294" s="36">
        <v>2083</v>
      </c>
      <c r="DM294" s="36">
        <v>17471</v>
      </c>
      <c r="DN294" s="36">
        <v>-1020</v>
      </c>
      <c r="DO294" s="69">
        <v>-4068</v>
      </c>
      <c r="DP294" s="36">
        <v>2262</v>
      </c>
      <c r="DQ294" s="36">
        <v>29478</v>
      </c>
      <c r="DR294" s="36">
        <v>-797</v>
      </c>
      <c r="DS294" s="36">
        <v>-2986</v>
      </c>
      <c r="DT294" s="36">
        <v>2234</v>
      </c>
      <c r="DU294" s="36">
        <v>31644</v>
      </c>
      <c r="DV294" s="36">
        <v>-1265</v>
      </c>
      <c r="DW294" s="71">
        <v>-5121</v>
      </c>
      <c r="DX294" s="39">
        <v>2265</v>
      </c>
      <c r="DY294" s="71">
        <v>37898</v>
      </c>
      <c r="DZ294" s="70">
        <v>1267</v>
      </c>
      <c r="EA294" s="35">
        <v>-7279</v>
      </c>
      <c r="EB294" s="35">
        <v>2579</v>
      </c>
      <c r="EC294" s="38">
        <v>44508</v>
      </c>
      <c r="ED294" s="38">
        <v>2826</v>
      </c>
      <c r="EE294" s="38">
        <v>-4859</v>
      </c>
      <c r="EF294" s="38">
        <v>2787</v>
      </c>
      <c r="EG294" s="73">
        <v>46607</v>
      </c>
      <c r="EH294" s="73">
        <v>2013</v>
      </c>
      <c r="EI294" s="73">
        <v>-7094</v>
      </c>
      <c r="EJ294" s="73">
        <v>2970</v>
      </c>
      <c r="EK294" s="73">
        <v>51158</v>
      </c>
      <c r="EL294" s="73">
        <v>39861.21132308396</v>
      </c>
      <c r="EM294" s="73">
        <v>-1648.4098672492696</v>
      </c>
      <c r="EN294" s="73">
        <v>41456.810181424313</v>
      </c>
      <c r="EO294" s="73">
        <v>-826.13909477894219</v>
      </c>
      <c r="EP294" s="73">
        <v>42907.094671301922</v>
      </c>
      <c r="EQ294" s="73">
        <v>443.51156207900459</v>
      </c>
      <c r="ER294" s="73">
        <v>45332.869134656299</v>
      </c>
      <c r="ES294" s="73">
        <v>3628.6545134071002</v>
      </c>
      <c r="ET294" s="73">
        <v>48983</v>
      </c>
      <c r="EU294" s="73">
        <v>4315</v>
      </c>
      <c r="EV294" s="73">
        <v>52489</v>
      </c>
      <c r="EW294" s="73">
        <v>-3305</v>
      </c>
      <c r="EX294" s="73">
        <v>63189</v>
      </c>
      <c r="EY294" s="73">
        <v>-3969</v>
      </c>
      <c r="EZ294" s="73">
        <v>65814</v>
      </c>
      <c r="FA294" s="73">
        <v>-4243</v>
      </c>
      <c r="FB294" s="73">
        <v>68910</v>
      </c>
      <c r="FC294" s="73">
        <v>-1755</v>
      </c>
      <c r="FD294" s="73">
        <v>71664</v>
      </c>
      <c r="FE294" s="73">
        <v>-699</v>
      </c>
      <c r="FF294" s="73">
        <v>76260</v>
      </c>
      <c r="FG294" s="73">
        <v>-553</v>
      </c>
      <c r="FH294" s="73">
        <v>-9302</v>
      </c>
      <c r="FI294" s="73">
        <v>-9855</v>
      </c>
      <c r="FJ294" s="79">
        <v>13895</v>
      </c>
      <c r="FK294" s="80">
        <v>41254</v>
      </c>
      <c r="FL294" s="80">
        <v>25073</v>
      </c>
      <c r="FM294" s="80">
        <v>19232</v>
      </c>
      <c r="FN294" s="76">
        <v>7</v>
      </c>
      <c r="FO294" s="80">
        <v>36175</v>
      </c>
      <c r="FP294" s="80">
        <v>2593</v>
      </c>
      <c r="FQ294" s="80">
        <v>2486</v>
      </c>
      <c r="FR294" s="80">
        <v>4184</v>
      </c>
      <c r="FS294" s="81">
        <v>-3362</v>
      </c>
      <c r="FT294" s="76">
        <v>2915</v>
      </c>
      <c r="FU294" s="76">
        <v>53776</v>
      </c>
      <c r="FV294" s="76">
        <v>3362</v>
      </c>
      <c r="FW294" s="80">
        <v>80174</v>
      </c>
      <c r="FX294" s="80">
        <v>1129</v>
      </c>
      <c r="FY294" s="73">
        <v>14067</v>
      </c>
      <c r="FZ294" s="73">
        <v>43077</v>
      </c>
      <c r="GA294" s="73">
        <v>25380</v>
      </c>
      <c r="GB294" s="73">
        <v>20384</v>
      </c>
      <c r="GC294" s="73">
        <v>21</v>
      </c>
      <c r="GD294" s="73">
        <v>37168</v>
      </c>
      <c r="GE294" s="73">
        <v>3068</v>
      </c>
      <c r="GF294" s="73">
        <v>2841</v>
      </c>
      <c r="GG294" s="73">
        <v>3880</v>
      </c>
      <c r="GH294" s="73">
        <v>-4266</v>
      </c>
      <c r="GI294" s="73">
        <v>3037</v>
      </c>
      <c r="GJ294" s="73">
        <v>54395</v>
      </c>
      <c r="GK294" s="73">
        <v>4266</v>
      </c>
      <c r="GL294" s="73">
        <v>84134</v>
      </c>
      <c r="GM294" s="73">
        <v>1042</v>
      </c>
      <c r="GN294" s="73">
        <v>-7685</v>
      </c>
      <c r="GO294" s="77">
        <v>21</v>
      </c>
      <c r="GP294" s="78">
        <v>14266</v>
      </c>
      <c r="GQ294" s="73">
        <v>45860</v>
      </c>
      <c r="GR294" s="65">
        <v>26671</v>
      </c>
      <c r="GS294" s="65">
        <v>21658</v>
      </c>
      <c r="GT294" s="65">
        <v>441</v>
      </c>
      <c r="GU294" s="65">
        <v>39264</v>
      </c>
      <c r="GV294" s="65">
        <v>3563</v>
      </c>
      <c r="GW294" s="65">
        <v>3033</v>
      </c>
      <c r="GX294" s="65">
        <v>4101</v>
      </c>
      <c r="GY294" s="65">
        <v>7</v>
      </c>
      <c r="GZ294" s="65">
        <v>3257</v>
      </c>
      <c r="HA294" s="65">
        <v>48895</v>
      </c>
      <c r="HB294" s="65">
        <v>-7</v>
      </c>
      <c r="HC294" s="65">
        <v>89193</v>
      </c>
      <c r="HD294" s="65">
        <v>1262</v>
      </c>
      <c r="HE294" s="78">
        <v>14533</v>
      </c>
      <c r="HF294" s="73">
        <v>45976</v>
      </c>
      <c r="HG294" s="65">
        <v>27856</v>
      </c>
      <c r="HH294" s="65">
        <v>22228</v>
      </c>
      <c r="HI294" s="65">
        <v>50</v>
      </c>
      <c r="HJ294" s="65">
        <v>40275</v>
      </c>
      <c r="HK294" s="65">
        <v>2498</v>
      </c>
      <c r="HL294" s="65">
        <v>3203</v>
      </c>
      <c r="HM294" s="65">
        <v>2502</v>
      </c>
      <c r="HN294" s="65">
        <v>-5786</v>
      </c>
      <c r="HO294" s="65">
        <v>3451</v>
      </c>
      <c r="HP294" s="65">
        <v>51044</v>
      </c>
      <c r="HQ294" s="65">
        <v>5786</v>
      </c>
      <c r="HR294" s="65">
        <v>93079</v>
      </c>
      <c r="HS294" s="65">
        <v>-1168</v>
      </c>
      <c r="HT294" s="65">
        <v>-7590</v>
      </c>
      <c r="HU294" s="77">
        <v>21</v>
      </c>
      <c r="HV294" s="180">
        <v>220</v>
      </c>
      <c r="HW294" s="30" t="s">
        <v>755</v>
      </c>
    </row>
    <row r="295" spans="1:231" ht="15" x14ac:dyDescent="0.25">
      <c r="A295" s="27">
        <v>980</v>
      </c>
      <c r="B295" s="27" t="s">
        <v>417</v>
      </c>
      <c r="C295" s="27">
        <v>6</v>
      </c>
      <c r="D295" s="27" t="s">
        <v>114</v>
      </c>
      <c r="E295" s="27">
        <v>5</v>
      </c>
      <c r="F295" s="27" t="s">
        <v>101</v>
      </c>
      <c r="G295" s="29" t="s">
        <v>141</v>
      </c>
      <c r="H295" s="27" t="s">
        <v>97</v>
      </c>
      <c r="I295" s="31" t="s">
        <v>114</v>
      </c>
      <c r="J295" s="69">
        <v>24805</v>
      </c>
      <c r="K295" s="69">
        <v>25070</v>
      </c>
      <c r="L295" s="36">
        <v>25299</v>
      </c>
      <c r="M295" s="36">
        <v>25747</v>
      </c>
      <c r="N295" s="36">
        <v>26060</v>
      </c>
      <c r="O295" s="36">
        <v>26502</v>
      </c>
      <c r="P295" s="36">
        <v>27178</v>
      </c>
      <c r="Q295" s="36">
        <v>27876</v>
      </c>
      <c r="R295" s="69">
        <v>28466</v>
      </c>
      <c r="S295" s="69">
        <v>29148</v>
      </c>
      <c r="T295" s="71">
        <v>29762</v>
      </c>
      <c r="U295" s="36">
        <v>50352</v>
      </c>
      <c r="V295" s="36">
        <v>11267</v>
      </c>
      <c r="W295" s="36">
        <v>12350</v>
      </c>
      <c r="X295" s="36">
        <v>944.5433950078459</v>
      </c>
      <c r="Y295" s="36">
        <v>51390</v>
      </c>
      <c r="Z295" s="36">
        <v>10920</v>
      </c>
      <c r="AA295" s="36">
        <v>13345</v>
      </c>
      <c r="AB295" s="36">
        <v>927.89279028815633</v>
      </c>
      <c r="AC295" s="36">
        <v>52397</v>
      </c>
      <c r="AD295" s="36">
        <v>12627</v>
      </c>
      <c r="AE295" s="36">
        <v>14215</v>
      </c>
      <c r="AF295" s="36">
        <v>707.06204284419232</v>
      </c>
      <c r="AG295" s="36">
        <v>59461</v>
      </c>
      <c r="AH295" s="36">
        <v>15367</v>
      </c>
      <c r="AI295" s="36">
        <v>15835</v>
      </c>
      <c r="AJ295" s="36">
        <v>694.44794835957907</v>
      </c>
      <c r="AK295" s="36">
        <v>63039</v>
      </c>
      <c r="AL295" s="36">
        <v>16761</v>
      </c>
      <c r="AM295" s="36">
        <v>16585</v>
      </c>
      <c r="AN295" s="36">
        <v>437</v>
      </c>
      <c r="AO295" s="36">
        <v>61329</v>
      </c>
      <c r="AP295" s="36">
        <v>18082</v>
      </c>
      <c r="AQ295" s="36">
        <v>16350</v>
      </c>
      <c r="AR295" s="36">
        <v>7778</v>
      </c>
      <c r="AS295" s="36">
        <v>64389</v>
      </c>
      <c r="AT295" s="36">
        <v>19673</v>
      </c>
      <c r="AU295" s="36">
        <v>16209</v>
      </c>
      <c r="AV295" s="36">
        <v>1007</v>
      </c>
      <c r="AW295" s="36">
        <v>68163</v>
      </c>
      <c r="AX295" s="69">
        <v>21642</v>
      </c>
      <c r="AY295" s="36">
        <v>17434</v>
      </c>
      <c r="AZ295" s="36">
        <v>1412</v>
      </c>
      <c r="BA295" s="36">
        <v>74382</v>
      </c>
      <c r="BB295" s="36">
        <v>23360</v>
      </c>
      <c r="BC295" s="36">
        <v>19906</v>
      </c>
      <c r="BD295" s="36">
        <v>770</v>
      </c>
      <c r="BE295" s="70">
        <v>80547</v>
      </c>
      <c r="BF295" s="70">
        <v>25248</v>
      </c>
      <c r="BG295" s="70">
        <v>27007</v>
      </c>
      <c r="BH295" s="70">
        <v>1141</v>
      </c>
      <c r="BI295" s="36">
        <v>91839</v>
      </c>
      <c r="BJ295" s="36">
        <v>28567</v>
      </c>
      <c r="BK295" s="36">
        <v>27486</v>
      </c>
      <c r="BL295" s="36">
        <v>122</v>
      </c>
      <c r="BM295" s="36">
        <v>43806.900077871011</v>
      </c>
      <c r="BN295" s="36">
        <v>4742.5631503616878</v>
      </c>
      <c r="BO295" s="36">
        <v>1767.991482963404</v>
      </c>
      <c r="BP295" s="36">
        <v>44915.258513252367</v>
      </c>
      <c r="BQ295" s="36">
        <v>4258.5182980054587</v>
      </c>
      <c r="BR295" s="36">
        <v>2183.9202251027209</v>
      </c>
      <c r="BS295" s="36">
        <v>44350.315268268154</v>
      </c>
      <c r="BT295" s="36">
        <v>5598.8078839772415</v>
      </c>
      <c r="BU295" s="36">
        <v>2416.692315325452</v>
      </c>
      <c r="BV295" s="36">
        <v>52647</v>
      </c>
      <c r="BW295" s="36">
        <v>4262</v>
      </c>
      <c r="BX295" s="36">
        <v>2522</v>
      </c>
      <c r="BY295" s="36">
        <v>57340</v>
      </c>
      <c r="BZ295" s="36">
        <v>2673</v>
      </c>
      <c r="CA295" s="36">
        <v>2990</v>
      </c>
      <c r="CB295" s="36">
        <v>56928</v>
      </c>
      <c r="CC295" s="36">
        <v>1689</v>
      </c>
      <c r="CD295" s="36">
        <v>2677</v>
      </c>
      <c r="CE295" s="36">
        <v>59249</v>
      </c>
      <c r="CF295" s="36">
        <v>2334</v>
      </c>
      <c r="CG295" s="36">
        <v>2773</v>
      </c>
      <c r="CH295" s="36">
        <v>62510</v>
      </c>
      <c r="CI295" s="36">
        <v>2555</v>
      </c>
      <c r="CJ295" s="70">
        <v>3098</v>
      </c>
      <c r="CK295" s="70">
        <v>67931</v>
      </c>
      <c r="CL295" s="70">
        <v>3069</v>
      </c>
      <c r="CM295" s="36">
        <v>3382</v>
      </c>
      <c r="CN295" s="36">
        <v>72837</v>
      </c>
      <c r="CO295" s="36">
        <v>4092</v>
      </c>
      <c r="CP295" s="36">
        <v>3618</v>
      </c>
      <c r="CQ295" s="36">
        <v>83604</v>
      </c>
      <c r="CR295" s="36">
        <v>4243</v>
      </c>
      <c r="CS295" s="36">
        <v>3992</v>
      </c>
      <c r="CT295" s="36">
        <v>5703.0843983833774</v>
      </c>
      <c r="CU295" s="36">
        <v>-5918.1967567000002</v>
      </c>
      <c r="CV295" s="36">
        <v>3658.4237763907877</v>
      </c>
      <c r="CW295" s="36">
        <v>8944</v>
      </c>
      <c r="CX295" s="36">
        <v>4423.6788417906628</v>
      </c>
      <c r="CY295" s="36">
        <v>-7005.1953253000001</v>
      </c>
      <c r="CZ295" s="36">
        <v>3837.5439180722974</v>
      </c>
      <c r="DA295" s="36">
        <v>10714</v>
      </c>
      <c r="DB295" s="36">
        <v>3051.2653618647323</v>
      </c>
      <c r="DC295" s="36">
        <v>-9572.2476466999997</v>
      </c>
      <c r="DD295" s="36">
        <v>4187.3748051122402</v>
      </c>
      <c r="DE295" s="36">
        <v>13242</v>
      </c>
      <c r="DF295" s="36">
        <v>7569.9703821061503</v>
      </c>
      <c r="DG295" s="36">
        <v>-7070</v>
      </c>
      <c r="DH295" s="36">
        <v>4357.9173625442118</v>
      </c>
      <c r="DI295" s="36">
        <v>13754</v>
      </c>
      <c r="DJ295" s="36">
        <v>11597</v>
      </c>
      <c r="DK295" s="36">
        <v>-10032</v>
      </c>
      <c r="DL295" s="36">
        <v>4350</v>
      </c>
      <c r="DM295" s="36">
        <v>14884</v>
      </c>
      <c r="DN295" s="36">
        <v>5350</v>
      </c>
      <c r="DO295" s="69">
        <v>-720</v>
      </c>
      <c r="DP295" s="36">
        <v>4538</v>
      </c>
      <c r="DQ295" s="36">
        <v>14950</v>
      </c>
      <c r="DR295" s="36">
        <v>4400</v>
      </c>
      <c r="DS295" s="36">
        <v>-13491</v>
      </c>
      <c r="DT295" s="36">
        <v>4666</v>
      </c>
      <c r="DU295" s="36">
        <v>24596</v>
      </c>
      <c r="DV295" s="36">
        <v>5680</v>
      </c>
      <c r="DW295" s="71">
        <v>-12232</v>
      </c>
      <c r="DX295" s="39">
        <v>5395</v>
      </c>
      <c r="DY295" s="71">
        <v>32935</v>
      </c>
      <c r="DZ295" s="70">
        <v>6102</v>
      </c>
      <c r="EA295" s="35">
        <v>-14524</v>
      </c>
      <c r="EB295" s="35">
        <v>5774</v>
      </c>
      <c r="EC295" s="38">
        <v>43617</v>
      </c>
      <c r="ED295" s="38">
        <v>8962</v>
      </c>
      <c r="EE295" s="38">
        <v>-13159</v>
      </c>
      <c r="EF295" s="38">
        <v>6439</v>
      </c>
      <c r="EG295" s="73">
        <v>47421</v>
      </c>
      <c r="EH295" s="73">
        <v>11202</v>
      </c>
      <c r="EI295" s="73">
        <v>-17537</v>
      </c>
      <c r="EJ295" s="73">
        <v>8374</v>
      </c>
      <c r="EK295" s="73">
        <v>58971</v>
      </c>
      <c r="EL295" s="73">
        <v>64944.926863480177</v>
      </c>
      <c r="EM295" s="73">
        <v>3296.4833586456166</v>
      </c>
      <c r="EN295" s="73">
        <v>68040.089274151367</v>
      </c>
      <c r="EO295" s="73">
        <v>-1202.5436741998037</v>
      </c>
      <c r="EP295" s="73">
        <v>72349.063950095268</v>
      </c>
      <c r="EQ295" s="73">
        <v>1975.5353842169084</v>
      </c>
      <c r="ER295" s="73">
        <v>78826.317373980986</v>
      </c>
      <c r="ES295" s="73">
        <v>961.02581180107404</v>
      </c>
      <c r="ET295" s="73">
        <v>84546</v>
      </c>
      <c r="EU295" s="73">
        <v>72</v>
      </c>
      <c r="EV295" s="73">
        <v>90234</v>
      </c>
      <c r="EW295" s="73">
        <v>5557</v>
      </c>
      <c r="EX295" s="73">
        <v>96078</v>
      </c>
      <c r="EY295" s="73">
        <v>3143</v>
      </c>
      <c r="EZ295" s="73">
        <v>102505</v>
      </c>
      <c r="FA295" s="73">
        <v>686</v>
      </c>
      <c r="FB295" s="73">
        <v>111379</v>
      </c>
      <c r="FC295" s="73">
        <v>956</v>
      </c>
      <c r="FD295" s="73">
        <v>123168</v>
      </c>
      <c r="FE295" s="73">
        <v>2768</v>
      </c>
      <c r="FF295" s="73">
        <v>133973</v>
      </c>
      <c r="FG295" s="73">
        <v>3122</v>
      </c>
      <c r="FH295" s="73">
        <v>20739</v>
      </c>
      <c r="FI295" s="73">
        <v>23860</v>
      </c>
      <c r="FJ295" s="79">
        <v>30175</v>
      </c>
      <c r="FK295" s="80">
        <v>92829</v>
      </c>
      <c r="FL295" s="80">
        <v>31319</v>
      </c>
      <c r="FM295" s="80">
        <v>26776</v>
      </c>
      <c r="FN295" s="76">
        <v>1109</v>
      </c>
      <c r="FO295" s="80">
        <v>84754</v>
      </c>
      <c r="FP295" s="80">
        <v>3336</v>
      </c>
      <c r="FQ295" s="80">
        <v>4739</v>
      </c>
      <c r="FR295" s="80">
        <v>9190</v>
      </c>
      <c r="FS295" s="81">
        <v>-13607</v>
      </c>
      <c r="FT295" s="76">
        <v>9892</v>
      </c>
      <c r="FU295" s="76">
        <v>61598</v>
      </c>
      <c r="FV295" s="76">
        <v>13607</v>
      </c>
      <c r="FW295" s="80">
        <v>141236</v>
      </c>
      <c r="FX295" s="80">
        <v>-286</v>
      </c>
      <c r="FY295" s="73">
        <v>30500</v>
      </c>
      <c r="FZ295" s="73">
        <v>98549</v>
      </c>
      <c r="GA295" s="73">
        <v>34476</v>
      </c>
      <c r="GB295" s="73">
        <v>29429</v>
      </c>
      <c r="GC295" s="73">
        <v>937</v>
      </c>
      <c r="GD295" s="73">
        <v>87977</v>
      </c>
      <c r="GE295" s="73">
        <v>4425</v>
      </c>
      <c r="GF295" s="73">
        <v>6147</v>
      </c>
      <c r="GG295" s="73">
        <v>15206</v>
      </c>
      <c r="GH295" s="73">
        <v>-14798</v>
      </c>
      <c r="GI295" s="73">
        <v>9574</v>
      </c>
      <c r="GJ295" s="73">
        <v>62546</v>
      </c>
      <c r="GK295" s="73">
        <v>14798</v>
      </c>
      <c r="GL295" s="73">
        <v>146317</v>
      </c>
      <c r="GM295" s="73">
        <v>1595</v>
      </c>
      <c r="GN295" s="73">
        <v>25168</v>
      </c>
      <c r="GO295" s="77">
        <v>19.75</v>
      </c>
      <c r="GP295" s="78">
        <v>30942</v>
      </c>
      <c r="GQ295" s="73">
        <v>104688</v>
      </c>
      <c r="GR295" s="65">
        <v>37086</v>
      </c>
      <c r="GS295" s="65">
        <v>32155</v>
      </c>
      <c r="GT295" s="65">
        <v>603</v>
      </c>
      <c r="GU295" s="65">
        <v>93051</v>
      </c>
      <c r="GV295" s="65">
        <v>5339</v>
      </c>
      <c r="GW295" s="65">
        <v>6298</v>
      </c>
      <c r="GX295" s="65">
        <v>14042</v>
      </c>
      <c r="GY295" s="65">
        <v>-12920</v>
      </c>
      <c r="GZ295" s="65">
        <v>9531</v>
      </c>
      <c r="HA295" s="65">
        <v>62505</v>
      </c>
      <c r="HB295" s="65">
        <v>12920</v>
      </c>
      <c r="HC295" s="65">
        <v>158156</v>
      </c>
      <c r="HD295" s="65">
        <v>4907</v>
      </c>
      <c r="HE295" s="78">
        <v>31515</v>
      </c>
      <c r="HF295" s="73">
        <v>106938</v>
      </c>
      <c r="HG295" s="65">
        <v>37021</v>
      </c>
      <c r="HH295" s="65">
        <v>34243</v>
      </c>
      <c r="HI295" s="65">
        <v>1059</v>
      </c>
      <c r="HJ295" s="65">
        <v>96659</v>
      </c>
      <c r="HK295" s="65">
        <v>3779</v>
      </c>
      <c r="HL295" s="65">
        <v>6492</v>
      </c>
      <c r="HM295" s="65">
        <v>5913</v>
      </c>
      <c r="HN295" s="65">
        <v>-23284</v>
      </c>
      <c r="HO295" s="65">
        <v>10570</v>
      </c>
      <c r="HP295" s="65">
        <v>77936</v>
      </c>
      <c r="HQ295" s="65">
        <v>23284</v>
      </c>
      <c r="HR295" s="65">
        <v>171145</v>
      </c>
      <c r="HS295" s="65">
        <v>-4352</v>
      </c>
      <c r="HT295" s="65">
        <v>25968</v>
      </c>
      <c r="HU295" s="77">
        <v>19.75</v>
      </c>
      <c r="HV295" s="180">
        <v>120</v>
      </c>
      <c r="HW295" s="30" t="s">
        <v>751</v>
      </c>
    </row>
    <row r="296" spans="1:231" ht="15" x14ac:dyDescent="0.25">
      <c r="A296" s="27">
        <v>981</v>
      </c>
      <c r="B296" s="27" t="s">
        <v>418</v>
      </c>
      <c r="C296" s="27">
        <v>5</v>
      </c>
      <c r="D296" s="27" t="s">
        <v>109</v>
      </c>
      <c r="E296" s="27">
        <v>2</v>
      </c>
      <c r="F296" s="27" t="s">
        <v>744</v>
      </c>
      <c r="G296" s="29" t="s">
        <v>130</v>
      </c>
      <c r="H296" s="27" t="s">
        <v>98</v>
      </c>
      <c r="I296" s="31" t="s">
        <v>109</v>
      </c>
      <c r="J296" s="69">
        <v>2780</v>
      </c>
      <c r="K296" s="69">
        <v>2757</v>
      </c>
      <c r="L296" s="36">
        <v>2735</v>
      </c>
      <c r="M296" s="36">
        <v>2706</v>
      </c>
      <c r="N296" s="36">
        <v>2654</v>
      </c>
      <c r="O296" s="36">
        <v>2677</v>
      </c>
      <c r="P296" s="36">
        <v>2678</v>
      </c>
      <c r="Q296" s="36">
        <v>2678</v>
      </c>
      <c r="R296" s="69">
        <v>2659</v>
      </c>
      <c r="S296" s="69">
        <v>2641</v>
      </c>
      <c r="T296" s="71">
        <v>2630</v>
      </c>
      <c r="U296" s="36">
        <v>4915</v>
      </c>
      <c r="V296" s="36">
        <v>2232</v>
      </c>
      <c r="W296" s="36">
        <v>1484</v>
      </c>
      <c r="X296" s="36">
        <v>202.33007553319777</v>
      </c>
      <c r="Y296" s="36">
        <v>4760</v>
      </c>
      <c r="Z296" s="36">
        <v>2418</v>
      </c>
      <c r="AA296" s="36">
        <v>1434</v>
      </c>
      <c r="AB296" s="36">
        <v>213.09410282673448</v>
      </c>
      <c r="AC296" s="36">
        <v>4824</v>
      </c>
      <c r="AD296" s="36">
        <v>2543</v>
      </c>
      <c r="AE296" s="36">
        <v>2064</v>
      </c>
      <c r="AF296" s="36">
        <v>159.27396635905095</v>
      </c>
      <c r="AG296" s="36">
        <v>5080</v>
      </c>
      <c r="AH296" s="36">
        <v>3209</v>
      </c>
      <c r="AI296" s="36">
        <v>2142</v>
      </c>
      <c r="AJ296" s="36">
        <v>240.17235898703774</v>
      </c>
      <c r="AK296" s="36">
        <v>5148</v>
      </c>
      <c r="AL296" s="36">
        <v>3539</v>
      </c>
      <c r="AM296" s="36">
        <v>2346</v>
      </c>
      <c r="AN296" s="36">
        <v>89</v>
      </c>
      <c r="AO296" s="36">
        <v>4948</v>
      </c>
      <c r="AP296" s="36">
        <v>3938</v>
      </c>
      <c r="AQ296" s="36">
        <v>2606</v>
      </c>
      <c r="AR296" s="36">
        <v>73</v>
      </c>
      <c r="AS296" s="36">
        <v>4904</v>
      </c>
      <c r="AT296" s="36">
        <v>3916</v>
      </c>
      <c r="AU296" s="36">
        <v>2458</v>
      </c>
      <c r="AV296" s="36">
        <v>77</v>
      </c>
      <c r="AW296" s="36">
        <v>5054</v>
      </c>
      <c r="AX296" s="69">
        <v>3998</v>
      </c>
      <c r="AY296" s="36">
        <v>2545</v>
      </c>
      <c r="AZ296" s="36">
        <v>68</v>
      </c>
      <c r="BA296" s="36">
        <v>5409</v>
      </c>
      <c r="BB296" s="36">
        <v>4208</v>
      </c>
      <c r="BC296" s="36">
        <v>3692</v>
      </c>
      <c r="BD296" s="36">
        <v>33</v>
      </c>
      <c r="BE296" s="70">
        <v>5700</v>
      </c>
      <c r="BF296" s="70">
        <v>4300</v>
      </c>
      <c r="BG296" s="70">
        <v>4138</v>
      </c>
      <c r="BH296" s="70">
        <v>92</v>
      </c>
      <c r="BI296" s="36">
        <v>6349</v>
      </c>
      <c r="BJ296" s="36">
        <v>4783</v>
      </c>
      <c r="BK296" s="36">
        <v>4189</v>
      </c>
      <c r="BL296" s="36">
        <v>0</v>
      </c>
      <c r="BM296" s="36">
        <v>3739.4903569452367</v>
      </c>
      <c r="BN296" s="36">
        <v>1057.5656815899813</v>
      </c>
      <c r="BO296" s="36">
        <v>112.6859107292124</v>
      </c>
      <c r="BP296" s="36">
        <v>3854.1945227919869</v>
      </c>
      <c r="BQ296" s="36">
        <v>782.9147976783338</v>
      </c>
      <c r="BR296" s="36">
        <v>117.39517267013468</v>
      </c>
      <c r="BS296" s="36">
        <v>3818.3704944556848</v>
      </c>
      <c r="BT296" s="36">
        <v>874.7454055263189</v>
      </c>
      <c r="BU296" s="36">
        <v>124.79544143444119</v>
      </c>
      <c r="BV296" s="36">
        <v>4531</v>
      </c>
      <c r="BW296" s="36">
        <v>412</v>
      </c>
      <c r="BX296" s="36">
        <v>132</v>
      </c>
      <c r="BY296" s="36">
        <v>4794</v>
      </c>
      <c r="BZ296" s="36">
        <v>216</v>
      </c>
      <c r="CA296" s="36">
        <v>133</v>
      </c>
      <c r="CB296" s="36">
        <v>4675</v>
      </c>
      <c r="CC296" s="36">
        <v>135</v>
      </c>
      <c r="CD296" s="36">
        <v>132</v>
      </c>
      <c r="CE296" s="36">
        <v>4612</v>
      </c>
      <c r="CF296" s="36">
        <v>157</v>
      </c>
      <c r="CG296" s="36">
        <v>130</v>
      </c>
      <c r="CH296" s="36">
        <v>4710</v>
      </c>
      <c r="CI296" s="36">
        <v>199</v>
      </c>
      <c r="CJ296" s="70">
        <v>140</v>
      </c>
      <c r="CK296" s="70">
        <v>5003</v>
      </c>
      <c r="CL296" s="70">
        <v>251</v>
      </c>
      <c r="CM296" s="36">
        <v>150</v>
      </c>
      <c r="CN296" s="36">
        <v>5227</v>
      </c>
      <c r="CO296" s="36">
        <v>313</v>
      </c>
      <c r="CP296" s="36">
        <v>160</v>
      </c>
      <c r="CQ296" s="36">
        <v>5838</v>
      </c>
      <c r="CR296" s="36">
        <v>301</v>
      </c>
      <c r="CS296" s="36">
        <v>210</v>
      </c>
      <c r="CT296" s="36">
        <v>590.33962187990369</v>
      </c>
      <c r="CU296" s="36">
        <v>-397.25988230000002</v>
      </c>
      <c r="CV296" s="36">
        <v>294.49705923410579</v>
      </c>
      <c r="CW296" s="36">
        <v>769</v>
      </c>
      <c r="CX296" s="36">
        <v>352.85826971625016</v>
      </c>
      <c r="CY296" s="36">
        <v>-883.82755359999999</v>
      </c>
      <c r="CZ296" s="36">
        <v>311.65222773317993</v>
      </c>
      <c r="DA296" s="36">
        <v>966</v>
      </c>
      <c r="DB296" s="36">
        <v>273.80994427933996</v>
      </c>
      <c r="DC296" s="36">
        <v>-924.19265589999986</v>
      </c>
      <c r="DD296" s="36">
        <v>304.58833482179648</v>
      </c>
      <c r="DE296" s="36">
        <v>918</v>
      </c>
      <c r="DF296" s="36">
        <v>706.22110321188484</v>
      </c>
      <c r="DG296" s="36">
        <v>-614</v>
      </c>
      <c r="DH296" s="36">
        <v>301.39276421902775</v>
      </c>
      <c r="DI296" s="36">
        <v>893</v>
      </c>
      <c r="DJ296" s="36">
        <v>1208</v>
      </c>
      <c r="DK296" s="36">
        <v>-561</v>
      </c>
      <c r="DL296" s="36">
        <v>314</v>
      </c>
      <c r="DM296" s="36">
        <v>879</v>
      </c>
      <c r="DN296" s="36">
        <v>1133</v>
      </c>
      <c r="DO296" s="69">
        <v>-611</v>
      </c>
      <c r="DP296" s="36">
        <v>307</v>
      </c>
      <c r="DQ296" s="36">
        <v>872</v>
      </c>
      <c r="DR296" s="36">
        <v>389</v>
      </c>
      <c r="DS296" s="36">
        <v>-268</v>
      </c>
      <c r="DT296" s="36">
        <v>335</v>
      </c>
      <c r="DU296" s="36">
        <v>858</v>
      </c>
      <c r="DV296" s="36">
        <v>167</v>
      </c>
      <c r="DW296" s="71">
        <v>-967</v>
      </c>
      <c r="DX296" s="39">
        <v>369</v>
      </c>
      <c r="DY296" s="71">
        <v>844</v>
      </c>
      <c r="DZ296" s="70">
        <v>402</v>
      </c>
      <c r="EA296" s="35">
        <v>-1257</v>
      </c>
      <c r="EB296" s="35">
        <v>356</v>
      </c>
      <c r="EC296" s="38">
        <v>831</v>
      </c>
      <c r="ED296" s="38">
        <v>317</v>
      </c>
      <c r="EE296" s="38">
        <v>-945</v>
      </c>
      <c r="EF296" s="38">
        <v>361</v>
      </c>
      <c r="EG296" s="73">
        <v>1645</v>
      </c>
      <c r="EH296" s="73">
        <v>237</v>
      </c>
      <c r="EI296" s="73">
        <v>-2547</v>
      </c>
      <c r="EJ296" s="73">
        <v>340</v>
      </c>
      <c r="EK296" s="73">
        <v>2084</v>
      </c>
      <c r="EL296" s="73">
        <v>7792.6511967411907</v>
      </c>
      <c r="EM296" s="73">
        <v>295.8425626457979</v>
      </c>
      <c r="EN296" s="73">
        <v>8022.0595284346919</v>
      </c>
      <c r="EO296" s="73">
        <v>110.49946768521275</v>
      </c>
      <c r="EP296" s="73">
        <v>8830.3707030087135</v>
      </c>
      <c r="EQ296" s="73">
        <v>43.560672953531359</v>
      </c>
      <c r="ER296" s="73">
        <v>9446.4430776372283</v>
      </c>
      <c r="ES296" s="73">
        <v>417.44243347747039</v>
      </c>
      <c r="ET296" s="73">
        <v>9830</v>
      </c>
      <c r="EU296" s="73">
        <v>907</v>
      </c>
      <c r="EV296" s="73">
        <v>10361</v>
      </c>
      <c r="EW296" s="73">
        <v>838</v>
      </c>
      <c r="EX296" s="73">
        <v>10942</v>
      </c>
      <c r="EY296" s="73">
        <v>67</v>
      </c>
      <c r="EZ296" s="73">
        <v>11491</v>
      </c>
      <c r="FA296" s="73">
        <v>-189</v>
      </c>
      <c r="FB296" s="73">
        <v>12940</v>
      </c>
      <c r="FC296" s="73">
        <v>59</v>
      </c>
      <c r="FD296" s="73">
        <v>13859</v>
      </c>
      <c r="FE296" s="73">
        <v>-31</v>
      </c>
      <c r="FF296" s="73">
        <v>15026</v>
      </c>
      <c r="FG296" s="73">
        <v>-4</v>
      </c>
      <c r="FH296" s="73">
        <v>3114</v>
      </c>
      <c r="FI296" s="73">
        <v>3110</v>
      </c>
      <c r="FJ296" s="79">
        <v>2584</v>
      </c>
      <c r="FK296" s="80">
        <v>6327</v>
      </c>
      <c r="FL296" s="80">
        <v>5124</v>
      </c>
      <c r="FM296" s="80">
        <v>4168</v>
      </c>
      <c r="FN296" s="76">
        <v>0</v>
      </c>
      <c r="FO296" s="80">
        <v>5880</v>
      </c>
      <c r="FP296" s="80">
        <v>221</v>
      </c>
      <c r="FQ296" s="80">
        <v>226</v>
      </c>
      <c r="FR296" s="80">
        <v>455</v>
      </c>
      <c r="FS296" s="81">
        <v>-293</v>
      </c>
      <c r="FT296" s="76">
        <v>690</v>
      </c>
      <c r="FU296" s="76">
        <v>2772</v>
      </c>
      <c r="FV296" s="76">
        <v>293</v>
      </c>
      <c r="FW296" s="80">
        <v>15094</v>
      </c>
      <c r="FX296" s="80">
        <v>-222</v>
      </c>
      <c r="FY296" s="73">
        <v>2565</v>
      </c>
      <c r="FZ296" s="73">
        <v>6188</v>
      </c>
      <c r="GA296" s="73">
        <v>5419</v>
      </c>
      <c r="GB296" s="73">
        <v>4222</v>
      </c>
      <c r="GC296" s="73">
        <v>9</v>
      </c>
      <c r="GD296" s="73">
        <v>5716</v>
      </c>
      <c r="GE296" s="73">
        <v>250</v>
      </c>
      <c r="GF296" s="73">
        <v>222</v>
      </c>
      <c r="GG296" s="73">
        <v>563</v>
      </c>
      <c r="GH296" s="73">
        <v>-186</v>
      </c>
      <c r="GI296" s="73">
        <v>726</v>
      </c>
      <c r="GJ296" s="73">
        <v>2397</v>
      </c>
      <c r="GK296" s="73">
        <v>186</v>
      </c>
      <c r="GL296" s="73">
        <v>15259</v>
      </c>
      <c r="GM296" s="73">
        <v>-151</v>
      </c>
      <c r="GN296" s="73">
        <v>2736</v>
      </c>
      <c r="GO296" s="77">
        <v>19.5</v>
      </c>
      <c r="GP296" s="78">
        <v>2550</v>
      </c>
      <c r="GQ296" s="73">
        <v>6319</v>
      </c>
      <c r="GR296" s="65">
        <v>5639</v>
      </c>
      <c r="GS296" s="65">
        <v>6013</v>
      </c>
      <c r="GT296" s="65">
        <v>33</v>
      </c>
      <c r="GU296" s="65">
        <v>5822</v>
      </c>
      <c r="GV296" s="65">
        <v>267</v>
      </c>
      <c r="GW296" s="65">
        <v>230</v>
      </c>
      <c r="GX296" s="65">
        <v>196</v>
      </c>
      <c r="GY296" s="65">
        <v>-572</v>
      </c>
      <c r="GZ296" s="65">
        <v>618</v>
      </c>
      <c r="HA296" s="65">
        <v>2318</v>
      </c>
      <c r="HB296" s="65">
        <v>572</v>
      </c>
      <c r="HC296" s="65">
        <v>17770</v>
      </c>
      <c r="HD296" s="65">
        <v>-409</v>
      </c>
      <c r="HE296" s="78">
        <v>2509</v>
      </c>
      <c r="HF296" s="73">
        <v>6850</v>
      </c>
      <c r="HG296" s="65">
        <v>5584</v>
      </c>
      <c r="HH296" s="65">
        <v>6134</v>
      </c>
      <c r="HI296" s="65">
        <v>216</v>
      </c>
      <c r="HJ296" s="65">
        <v>6372</v>
      </c>
      <c r="HK296" s="65">
        <v>190</v>
      </c>
      <c r="HL296" s="65">
        <v>288</v>
      </c>
      <c r="HM296" s="65">
        <v>284</v>
      </c>
      <c r="HN296" s="65">
        <v>-481</v>
      </c>
      <c r="HO296" s="65">
        <v>661</v>
      </c>
      <c r="HP296" s="65">
        <v>1944</v>
      </c>
      <c r="HQ296" s="65">
        <v>481</v>
      </c>
      <c r="HR296" s="65">
        <v>18480</v>
      </c>
      <c r="HS296" s="65">
        <v>-364</v>
      </c>
      <c r="HT296" s="65">
        <v>1962</v>
      </c>
      <c r="HU296" s="77">
        <v>20.25</v>
      </c>
      <c r="HV296" s="180">
        <v>330</v>
      </c>
      <c r="HW296" s="30" t="s">
        <v>760</v>
      </c>
    </row>
    <row r="297" spans="1:231" ht="15" x14ac:dyDescent="0.25">
      <c r="A297" s="27">
        <v>989</v>
      </c>
      <c r="B297" s="27" t="s">
        <v>419</v>
      </c>
      <c r="C297" s="27">
        <v>14</v>
      </c>
      <c r="D297" s="27" t="s">
        <v>106</v>
      </c>
      <c r="E297" s="27">
        <v>3</v>
      </c>
      <c r="F297" s="27" t="s">
        <v>743</v>
      </c>
      <c r="G297" s="29">
        <v>3</v>
      </c>
      <c r="H297" s="27" t="s">
        <v>98</v>
      </c>
      <c r="I297" s="28" t="s">
        <v>106</v>
      </c>
      <c r="J297" s="69">
        <v>7393</v>
      </c>
      <c r="K297" s="69">
        <v>7255</v>
      </c>
      <c r="L297" s="36">
        <v>7215</v>
      </c>
      <c r="M297" s="36">
        <v>7133</v>
      </c>
      <c r="N297" s="36">
        <v>7060</v>
      </c>
      <c r="O297" s="36">
        <v>7000</v>
      </c>
      <c r="P297" s="36">
        <v>6964</v>
      </c>
      <c r="Q297" s="36">
        <v>6885</v>
      </c>
      <c r="R297" s="69">
        <v>6857</v>
      </c>
      <c r="S297" s="69">
        <v>6758</v>
      </c>
      <c r="T297" s="71">
        <v>6620</v>
      </c>
      <c r="U297" s="36">
        <v>14297</v>
      </c>
      <c r="V297" s="36">
        <v>8428</v>
      </c>
      <c r="W297" s="36">
        <v>2981</v>
      </c>
      <c r="X297" s="36">
        <v>431.57021930023728</v>
      </c>
      <c r="Y297" s="36">
        <v>15065</v>
      </c>
      <c r="Z297" s="36">
        <v>7518</v>
      </c>
      <c r="AA297" s="36">
        <v>3612</v>
      </c>
      <c r="AB297" s="36">
        <v>556.70203658760158</v>
      </c>
      <c r="AC297" s="36">
        <v>13534</v>
      </c>
      <c r="AD297" s="36">
        <v>8087</v>
      </c>
      <c r="AE297" s="36">
        <v>3992</v>
      </c>
      <c r="AF297" s="36">
        <v>453.93921351961831</v>
      </c>
      <c r="AG297" s="36">
        <v>17351</v>
      </c>
      <c r="AH297" s="36">
        <v>9322</v>
      </c>
      <c r="AI297" s="36">
        <v>3695</v>
      </c>
      <c r="AJ297" s="36">
        <v>514.82324289868529</v>
      </c>
      <c r="AK297" s="36">
        <v>16786</v>
      </c>
      <c r="AL297" s="36">
        <v>8321</v>
      </c>
      <c r="AM297" s="36">
        <v>4110</v>
      </c>
      <c r="AN297" s="36">
        <v>429</v>
      </c>
      <c r="AO297" s="36">
        <v>15710</v>
      </c>
      <c r="AP297" s="36">
        <v>8403</v>
      </c>
      <c r="AQ297" s="36">
        <v>4252</v>
      </c>
      <c r="AR297" s="36">
        <v>339</v>
      </c>
      <c r="AS297" s="36">
        <v>16647</v>
      </c>
      <c r="AT297" s="36">
        <v>11091</v>
      </c>
      <c r="AU297" s="36">
        <v>3983</v>
      </c>
      <c r="AV297" s="36">
        <v>344</v>
      </c>
      <c r="AW297" s="36">
        <v>16848</v>
      </c>
      <c r="AX297" s="69">
        <v>9727</v>
      </c>
      <c r="AY297" s="36">
        <v>4055</v>
      </c>
      <c r="AZ297" s="36">
        <v>326</v>
      </c>
      <c r="BA297" s="36">
        <v>16594</v>
      </c>
      <c r="BB297" s="36">
        <v>10588</v>
      </c>
      <c r="BC297" s="36">
        <v>4422</v>
      </c>
      <c r="BD297" s="36">
        <v>2762</v>
      </c>
      <c r="BE297" s="70">
        <v>18154</v>
      </c>
      <c r="BF297" s="70">
        <v>11576</v>
      </c>
      <c r="BG297" s="70">
        <v>3791</v>
      </c>
      <c r="BH297" s="70">
        <v>691</v>
      </c>
      <c r="BI297" s="36">
        <v>19361</v>
      </c>
      <c r="BJ297" s="36">
        <v>13702</v>
      </c>
      <c r="BK297" s="36">
        <v>4008</v>
      </c>
      <c r="BL297" s="36">
        <v>176</v>
      </c>
      <c r="BM297" s="36">
        <v>11292.978322258157</v>
      </c>
      <c r="BN297" s="36">
        <v>2318.6387541983909</v>
      </c>
      <c r="BO297" s="36">
        <v>685.36580033065741</v>
      </c>
      <c r="BP297" s="36">
        <v>11537.019003553811</v>
      </c>
      <c r="BQ297" s="36">
        <v>2621.5452097555726</v>
      </c>
      <c r="BR297" s="36">
        <v>906.02835984815988</v>
      </c>
      <c r="BS297" s="36">
        <v>10786.059911903163</v>
      </c>
      <c r="BT297" s="36">
        <v>1836.9485328126234</v>
      </c>
      <c r="BU297" s="36">
        <v>911.07399764200534</v>
      </c>
      <c r="BV297" s="36">
        <v>12711</v>
      </c>
      <c r="BW297" s="36">
        <v>3650</v>
      </c>
      <c r="BX297" s="36">
        <v>990</v>
      </c>
      <c r="BY297" s="36">
        <v>13644</v>
      </c>
      <c r="BZ297" s="36">
        <v>2151</v>
      </c>
      <c r="CA297" s="36">
        <v>991</v>
      </c>
      <c r="CB297" s="36">
        <v>13326</v>
      </c>
      <c r="CC297" s="36">
        <v>1321</v>
      </c>
      <c r="CD297" s="36">
        <v>1063</v>
      </c>
      <c r="CE297" s="36">
        <v>13613</v>
      </c>
      <c r="CF297" s="36">
        <v>1994</v>
      </c>
      <c r="CG297" s="36">
        <v>1040</v>
      </c>
      <c r="CH297" s="36">
        <v>13935</v>
      </c>
      <c r="CI297" s="36">
        <v>1829</v>
      </c>
      <c r="CJ297" s="70">
        <v>1084</v>
      </c>
      <c r="CK297" s="70">
        <v>14421</v>
      </c>
      <c r="CL297" s="70">
        <v>1050</v>
      </c>
      <c r="CM297" s="36">
        <v>1123</v>
      </c>
      <c r="CN297" s="36">
        <v>15856</v>
      </c>
      <c r="CO297" s="36">
        <v>1158</v>
      </c>
      <c r="CP297" s="36">
        <v>1140</v>
      </c>
      <c r="CQ297" s="36">
        <v>16947</v>
      </c>
      <c r="CR297" s="36">
        <v>1185</v>
      </c>
      <c r="CS297" s="36">
        <v>1229</v>
      </c>
      <c r="CT297" s="36">
        <v>1263.7640794317938</v>
      </c>
      <c r="CU297" s="36">
        <v>-1082.4574950000001</v>
      </c>
      <c r="CV297" s="36">
        <v>1515.5414053446759</v>
      </c>
      <c r="CW297" s="36">
        <v>6859</v>
      </c>
      <c r="CX297" s="36">
        <v>382.45934477347606</v>
      </c>
      <c r="CY297" s="36">
        <v>-1399.8281119999999</v>
      </c>
      <c r="CZ297" s="36">
        <v>1045.1197750318297</v>
      </c>
      <c r="DA297" s="36">
        <v>7322</v>
      </c>
      <c r="DB297" s="36">
        <v>-1122.3180332776631</v>
      </c>
      <c r="DC297" s="36">
        <v>2016.9096139999997</v>
      </c>
      <c r="DD297" s="36">
        <v>1407.9011324093087</v>
      </c>
      <c r="DE297" s="36">
        <v>4968</v>
      </c>
      <c r="DF297" s="36">
        <v>1933.9929663809153</v>
      </c>
      <c r="DG297" s="36">
        <v>-1665</v>
      </c>
      <c r="DH297" s="36">
        <v>982.8902422410705</v>
      </c>
      <c r="DI297" s="36">
        <v>7568</v>
      </c>
      <c r="DJ297" s="36">
        <v>1637</v>
      </c>
      <c r="DK297" s="36">
        <v>-1796</v>
      </c>
      <c r="DL297" s="36">
        <v>993</v>
      </c>
      <c r="DM297" s="36">
        <v>7228</v>
      </c>
      <c r="DN297" s="36">
        <v>-1603</v>
      </c>
      <c r="DO297" s="69">
        <v>-3018</v>
      </c>
      <c r="DP297" s="36">
        <v>997</v>
      </c>
      <c r="DQ297" s="36">
        <v>9610</v>
      </c>
      <c r="DR297" s="36">
        <v>830</v>
      </c>
      <c r="DS297" s="36">
        <v>-1569</v>
      </c>
      <c r="DT297" s="36">
        <v>1184</v>
      </c>
      <c r="DU297" s="36">
        <v>12807</v>
      </c>
      <c r="DV297" s="36">
        <v>-2082</v>
      </c>
      <c r="DW297" s="71">
        <v>-1301</v>
      </c>
      <c r="DX297" s="39">
        <v>1378</v>
      </c>
      <c r="DY297" s="71">
        <v>16087</v>
      </c>
      <c r="DZ297" s="70">
        <v>-2610</v>
      </c>
      <c r="EA297" s="35">
        <v>4976</v>
      </c>
      <c r="EB297" s="35">
        <v>1270</v>
      </c>
      <c r="EC297" s="38">
        <v>20992</v>
      </c>
      <c r="ED297" s="38">
        <v>-1446</v>
      </c>
      <c r="EE297" s="38">
        <v>-2329</v>
      </c>
      <c r="EF297" s="38">
        <v>921</v>
      </c>
      <c r="EG297" s="73">
        <v>25983</v>
      </c>
      <c r="EH297" s="73">
        <v>2036</v>
      </c>
      <c r="EI297" s="73">
        <v>-587</v>
      </c>
      <c r="EJ297" s="73">
        <v>935</v>
      </c>
      <c r="EK297" s="73">
        <v>15879</v>
      </c>
      <c r="EL297" s="73">
        <v>23088.50216878331</v>
      </c>
      <c r="EM297" s="73">
        <v>-215.95329757658016</v>
      </c>
      <c r="EN297" s="73">
        <v>24523.817933205846</v>
      </c>
      <c r="EO297" s="73">
        <v>-662.66043025835347</v>
      </c>
      <c r="EP297" s="73">
        <v>25444.815018509082</v>
      </c>
      <c r="EQ297" s="73">
        <v>972.79896665337981</v>
      </c>
      <c r="ER297" s="73">
        <v>26916.963938826688</v>
      </c>
      <c r="ES297" s="73">
        <v>496.9953226937651</v>
      </c>
      <c r="ET297" s="73">
        <v>27644</v>
      </c>
      <c r="EU297" s="73">
        <v>644</v>
      </c>
      <c r="EV297" s="73">
        <v>29803</v>
      </c>
      <c r="EW297" s="73">
        <v>-2553</v>
      </c>
      <c r="EX297" s="73">
        <v>30720</v>
      </c>
      <c r="EY297" s="73">
        <v>-349</v>
      </c>
      <c r="EZ297" s="73">
        <v>32557</v>
      </c>
      <c r="FA297" s="73">
        <v>-3460</v>
      </c>
      <c r="FB297" s="73">
        <v>33900</v>
      </c>
      <c r="FC297" s="73">
        <v>-1071</v>
      </c>
      <c r="FD297" s="73">
        <v>34642</v>
      </c>
      <c r="FE297" s="73">
        <v>-2367</v>
      </c>
      <c r="FF297" s="73">
        <v>34670</v>
      </c>
      <c r="FG297" s="73">
        <v>1101</v>
      </c>
      <c r="FH297" s="73">
        <v>-7686</v>
      </c>
      <c r="FI297" s="73">
        <v>-6585</v>
      </c>
      <c r="FJ297" s="79">
        <v>6565</v>
      </c>
      <c r="FK297" s="80">
        <v>18545</v>
      </c>
      <c r="FL297" s="80">
        <v>14006</v>
      </c>
      <c r="FM297" s="80">
        <v>4033</v>
      </c>
      <c r="FN297" s="76">
        <v>309</v>
      </c>
      <c r="FO297" s="80">
        <v>16349</v>
      </c>
      <c r="FP297" s="80">
        <v>905</v>
      </c>
      <c r="FQ297" s="80">
        <v>1291</v>
      </c>
      <c r="FR297" s="80">
        <v>1275</v>
      </c>
      <c r="FS297" s="81">
        <v>-550</v>
      </c>
      <c r="FT297" s="76">
        <v>1144</v>
      </c>
      <c r="FU297" s="76">
        <v>14370</v>
      </c>
      <c r="FV297" s="76">
        <v>550</v>
      </c>
      <c r="FW297" s="80">
        <v>35515</v>
      </c>
      <c r="FX297" s="80">
        <v>131</v>
      </c>
      <c r="FY297" s="73">
        <v>6482</v>
      </c>
      <c r="FZ297" s="73">
        <v>18451</v>
      </c>
      <c r="GA297" s="73">
        <v>15009</v>
      </c>
      <c r="GB297" s="73">
        <v>4467</v>
      </c>
      <c r="GC297" s="73">
        <v>282</v>
      </c>
      <c r="GD297" s="73">
        <v>15993</v>
      </c>
      <c r="GE297" s="73">
        <v>1287</v>
      </c>
      <c r="GF297" s="73">
        <v>1171</v>
      </c>
      <c r="GG297" s="73">
        <v>1596</v>
      </c>
      <c r="GH297" s="73">
        <v>-769</v>
      </c>
      <c r="GI297" s="73">
        <v>1019</v>
      </c>
      <c r="GJ297" s="73">
        <v>13803</v>
      </c>
      <c r="GK297" s="73">
        <v>769</v>
      </c>
      <c r="GL297" s="73">
        <v>36517</v>
      </c>
      <c r="GM297" s="73">
        <v>577</v>
      </c>
      <c r="GN297" s="73">
        <v>-5877</v>
      </c>
      <c r="GO297" s="77">
        <v>20.75</v>
      </c>
      <c r="GP297" s="78">
        <v>6412</v>
      </c>
      <c r="GQ297" s="73">
        <v>18942</v>
      </c>
      <c r="GR297" s="65">
        <v>16270</v>
      </c>
      <c r="GS297" s="65">
        <v>4501</v>
      </c>
      <c r="GT297" s="65">
        <v>279</v>
      </c>
      <c r="GU297" s="65">
        <v>16197</v>
      </c>
      <c r="GV297" s="65">
        <v>1421</v>
      </c>
      <c r="GW297" s="65">
        <v>1324</v>
      </c>
      <c r="GX297" s="65">
        <v>1396</v>
      </c>
      <c r="GY297" s="65">
        <v>-923</v>
      </c>
      <c r="GZ297" s="65">
        <v>1011</v>
      </c>
      <c r="HA297" s="65">
        <v>13201</v>
      </c>
      <c r="HB297" s="65">
        <v>923</v>
      </c>
      <c r="HC297" s="65">
        <v>38383</v>
      </c>
      <c r="HD297" s="65">
        <v>385</v>
      </c>
      <c r="HE297" s="78">
        <v>6363</v>
      </c>
      <c r="HF297" s="73">
        <v>18851</v>
      </c>
      <c r="HG297" s="65">
        <v>16075</v>
      </c>
      <c r="HH297" s="65">
        <v>5319</v>
      </c>
      <c r="HI297" s="65">
        <v>282</v>
      </c>
      <c r="HJ297" s="65">
        <v>16237</v>
      </c>
      <c r="HK297" s="65">
        <v>1041</v>
      </c>
      <c r="HL297" s="65">
        <v>1573</v>
      </c>
      <c r="HM297" s="65">
        <v>599</v>
      </c>
      <c r="HN297" s="65">
        <v>-432</v>
      </c>
      <c r="HO297" s="65">
        <v>1036</v>
      </c>
      <c r="HP297" s="65">
        <v>13400</v>
      </c>
      <c r="HQ297" s="65">
        <v>432</v>
      </c>
      <c r="HR297" s="65">
        <v>39648</v>
      </c>
      <c r="HS297" s="65">
        <v>-437</v>
      </c>
      <c r="HT297" s="65">
        <v>-5929</v>
      </c>
      <c r="HU297" s="77">
        <v>20.75</v>
      </c>
      <c r="HV297" s="180">
        <v>340</v>
      </c>
      <c r="HW297" s="30" t="s">
        <v>761</v>
      </c>
    </row>
    <row r="298" spans="1:231" ht="15" x14ac:dyDescent="0.25">
      <c r="A298" s="27">
        <v>992</v>
      </c>
      <c r="B298" s="27" t="s">
        <v>420</v>
      </c>
      <c r="C298" s="27">
        <v>13</v>
      </c>
      <c r="D298" s="27" t="s">
        <v>111</v>
      </c>
      <c r="E298" s="27">
        <v>4</v>
      </c>
      <c r="F298" s="27" t="s">
        <v>100</v>
      </c>
      <c r="G298" s="29" t="s">
        <v>132</v>
      </c>
      <c r="H298" s="27" t="s">
        <v>99</v>
      </c>
      <c r="I298" s="31" t="s">
        <v>111</v>
      </c>
      <c r="J298" s="69">
        <v>20975</v>
      </c>
      <c r="K298" s="69">
        <v>20898</v>
      </c>
      <c r="L298" s="36">
        <v>20713</v>
      </c>
      <c r="M298" s="36">
        <v>20543</v>
      </c>
      <c r="N298" s="36">
        <v>20425</v>
      </c>
      <c r="O298" s="36">
        <v>20457</v>
      </c>
      <c r="P298" s="36">
        <v>20384</v>
      </c>
      <c r="Q298" s="36">
        <v>20345</v>
      </c>
      <c r="R298" s="69">
        <v>20341</v>
      </c>
      <c r="S298" s="69">
        <v>20404</v>
      </c>
      <c r="T298" s="71">
        <v>20325</v>
      </c>
      <c r="U298" s="36">
        <v>44073</v>
      </c>
      <c r="V298" s="36">
        <v>12403</v>
      </c>
      <c r="W298" s="36">
        <v>12650</v>
      </c>
      <c r="X298" s="36">
        <v>951.77547584569083</v>
      </c>
      <c r="Y298" s="36">
        <v>48483</v>
      </c>
      <c r="Z298" s="36">
        <v>12274</v>
      </c>
      <c r="AA298" s="36">
        <v>12639</v>
      </c>
      <c r="AB298" s="36">
        <v>1447.425295127764</v>
      </c>
      <c r="AC298" s="36">
        <v>48193</v>
      </c>
      <c r="AD298" s="36">
        <v>13594</v>
      </c>
      <c r="AE298" s="36">
        <v>13366</v>
      </c>
      <c r="AF298" s="36">
        <v>1413.7877098354618</v>
      </c>
      <c r="AG298" s="36">
        <v>54270</v>
      </c>
      <c r="AH298" s="36">
        <v>14228</v>
      </c>
      <c r="AI298" s="36">
        <v>13936</v>
      </c>
      <c r="AJ298" s="36">
        <v>1264.1004552847169</v>
      </c>
      <c r="AK298" s="36">
        <v>53454</v>
      </c>
      <c r="AL298" s="36">
        <v>15215</v>
      </c>
      <c r="AM298" s="36">
        <v>13970</v>
      </c>
      <c r="AN298" s="36">
        <v>1396</v>
      </c>
      <c r="AO298" s="36">
        <v>51496</v>
      </c>
      <c r="AP298" s="36">
        <v>16626</v>
      </c>
      <c r="AQ298" s="36">
        <v>14004</v>
      </c>
      <c r="AR298" s="36">
        <v>1188</v>
      </c>
      <c r="AS298" s="36">
        <v>50667</v>
      </c>
      <c r="AT298" s="36">
        <v>18292</v>
      </c>
      <c r="AU298" s="36">
        <v>13359</v>
      </c>
      <c r="AV298" s="36">
        <v>1086</v>
      </c>
      <c r="AW298" s="36">
        <v>50888</v>
      </c>
      <c r="AX298" s="69">
        <v>20079</v>
      </c>
      <c r="AY298" s="36">
        <v>13121</v>
      </c>
      <c r="AZ298" s="36">
        <v>1014</v>
      </c>
      <c r="BA298" s="36">
        <v>52868</v>
      </c>
      <c r="BB298" s="36">
        <v>22745</v>
      </c>
      <c r="BC298" s="36">
        <v>15048</v>
      </c>
      <c r="BD298" s="36">
        <v>1121</v>
      </c>
      <c r="BE298" s="70">
        <v>55801</v>
      </c>
      <c r="BF298" s="70">
        <v>25575</v>
      </c>
      <c r="BG298" s="70">
        <v>20658</v>
      </c>
      <c r="BH298" s="70">
        <v>1598</v>
      </c>
      <c r="BI298" s="36">
        <v>61325</v>
      </c>
      <c r="BJ298" s="36">
        <v>29202</v>
      </c>
      <c r="BK298" s="36">
        <v>19770</v>
      </c>
      <c r="BL298" s="36">
        <v>11539</v>
      </c>
      <c r="BM298" s="36">
        <v>37841.610702134138</v>
      </c>
      <c r="BN298" s="36">
        <v>4623.149722574015</v>
      </c>
      <c r="BO298" s="36">
        <v>1608.3811407514299</v>
      </c>
      <c r="BP298" s="36">
        <v>38725.942819468757</v>
      </c>
      <c r="BQ298" s="36">
        <v>7998.345030803619</v>
      </c>
      <c r="BR298" s="36">
        <v>1758.5729590815595</v>
      </c>
      <c r="BS298" s="36">
        <v>36693.055352328476</v>
      </c>
      <c r="BT298" s="36">
        <v>9707.6389274319554</v>
      </c>
      <c r="BU298" s="36">
        <v>1792.378732300323</v>
      </c>
      <c r="BV298" s="36">
        <v>41405</v>
      </c>
      <c r="BW298" s="36">
        <v>11034</v>
      </c>
      <c r="BX298" s="36">
        <v>1830</v>
      </c>
      <c r="BY298" s="36">
        <v>45132</v>
      </c>
      <c r="BZ298" s="36">
        <v>6447</v>
      </c>
      <c r="CA298" s="36">
        <v>1875</v>
      </c>
      <c r="CB298" s="36">
        <v>44151</v>
      </c>
      <c r="CC298" s="36">
        <v>5463</v>
      </c>
      <c r="CD298" s="36">
        <v>1882</v>
      </c>
      <c r="CE298" s="36">
        <v>44305</v>
      </c>
      <c r="CF298" s="36">
        <v>4318</v>
      </c>
      <c r="CG298" s="36">
        <v>2044</v>
      </c>
      <c r="CH298" s="36">
        <v>44722</v>
      </c>
      <c r="CI298" s="36">
        <v>3840</v>
      </c>
      <c r="CJ298" s="70">
        <v>2326</v>
      </c>
      <c r="CK298" s="70">
        <v>46504</v>
      </c>
      <c r="CL298" s="70">
        <v>3983</v>
      </c>
      <c r="CM298" s="36">
        <v>2381</v>
      </c>
      <c r="CN298" s="36">
        <v>48673</v>
      </c>
      <c r="CO298" s="36">
        <v>4546</v>
      </c>
      <c r="CP298" s="36">
        <v>2582</v>
      </c>
      <c r="CQ298" s="36">
        <v>53574</v>
      </c>
      <c r="CR298" s="36">
        <v>4905</v>
      </c>
      <c r="CS298" s="36">
        <v>2846</v>
      </c>
      <c r="CT298" s="36">
        <v>887.35950001093215</v>
      </c>
      <c r="CU298" s="36">
        <v>-4188.383933000001</v>
      </c>
      <c r="CV298" s="36">
        <v>3793.4786813393812</v>
      </c>
      <c r="CW298" s="36">
        <v>19580</v>
      </c>
      <c r="CX298" s="36">
        <v>6052.9152854233198</v>
      </c>
      <c r="CY298" s="36">
        <v>-4407.7009889000001</v>
      </c>
      <c r="CZ298" s="36">
        <v>3905.1554645098249</v>
      </c>
      <c r="DA298" s="36">
        <v>13913</v>
      </c>
      <c r="DB298" s="36">
        <v>3327.0935612616108</v>
      </c>
      <c r="DC298" s="36">
        <v>-1641.5141623200002</v>
      </c>
      <c r="DD298" s="36">
        <v>4200.3252754497762</v>
      </c>
      <c r="DE298" s="36">
        <v>11267</v>
      </c>
      <c r="DF298" s="36">
        <v>5349.7215648877427</v>
      </c>
      <c r="DG298" s="36">
        <v>-6182</v>
      </c>
      <c r="DH298" s="36">
        <v>4499.1952207718814</v>
      </c>
      <c r="DI298" s="36">
        <v>12174</v>
      </c>
      <c r="DJ298" s="36">
        <v>6010</v>
      </c>
      <c r="DK298" s="36">
        <v>-4352</v>
      </c>
      <c r="DL298" s="36">
        <v>5073</v>
      </c>
      <c r="DM298" s="36">
        <v>9488</v>
      </c>
      <c r="DN298" s="36">
        <v>494</v>
      </c>
      <c r="DO298" s="69">
        <v>-4944</v>
      </c>
      <c r="DP298" s="36">
        <v>4826</v>
      </c>
      <c r="DQ298" s="36">
        <v>13067</v>
      </c>
      <c r="DR298" s="36">
        <v>-1707</v>
      </c>
      <c r="DS298" s="36">
        <v>-5162</v>
      </c>
      <c r="DT298" s="36">
        <v>4609</v>
      </c>
      <c r="DU298" s="36">
        <v>16584</v>
      </c>
      <c r="DV298" s="36">
        <v>-3325</v>
      </c>
      <c r="DW298" s="71">
        <v>-3883</v>
      </c>
      <c r="DX298" s="39">
        <v>4770</v>
      </c>
      <c r="DY298" s="71">
        <v>21877</v>
      </c>
      <c r="DZ298" s="70">
        <v>-1517</v>
      </c>
      <c r="EA298" s="35">
        <v>-4559</v>
      </c>
      <c r="EB298" s="35">
        <v>5291</v>
      </c>
      <c r="EC298" s="38">
        <v>38562</v>
      </c>
      <c r="ED298" s="38">
        <v>4338</v>
      </c>
      <c r="EE298" s="38">
        <v>-4688</v>
      </c>
      <c r="EF298" s="38">
        <v>5573</v>
      </c>
      <c r="EG298" s="73">
        <v>33001</v>
      </c>
      <c r="EH298" s="73">
        <v>5076</v>
      </c>
      <c r="EI298" s="73">
        <v>11724</v>
      </c>
      <c r="EJ298" s="73">
        <v>5324</v>
      </c>
      <c r="EK298" s="73">
        <v>35381</v>
      </c>
      <c r="EL298" s="73">
        <v>64651.943495584223</v>
      </c>
      <c r="EM298" s="73">
        <v>-214.27141831196491</v>
      </c>
      <c r="EN298" s="73">
        <v>64751.342560122976</v>
      </c>
      <c r="EO298" s="73">
        <v>2731.8764895143236</v>
      </c>
      <c r="EP298" s="73">
        <v>69165.098314252406</v>
      </c>
      <c r="EQ298" s="73">
        <v>5173.6288058825412</v>
      </c>
      <c r="ER298" s="73">
        <v>73905.979585349472</v>
      </c>
      <c r="ES298" s="73">
        <v>1259.3911933437944</v>
      </c>
      <c r="ET298" s="73">
        <v>77388</v>
      </c>
      <c r="EU298" s="73">
        <v>1519</v>
      </c>
      <c r="EV298" s="73">
        <v>82206</v>
      </c>
      <c r="EW298" s="73">
        <v>-4240</v>
      </c>
      <c r="EX298" s="73">
        <v>84301</v>
      </c>
      <c r="EY298" s="73">
        <v>-6237</v>
      </c>
      <c r="EZ298" s="73">
        <v>87566</v>
      </c>
      <c r="FA298" s="73">
        <v>-8032</v>
      </c>
      <c r="FB298" s="73">
        <v>92245</v>
      </c>
      <c r="FC298" s="73">
        <v>-3011</v>
      </c>
      <c r="FD298" s="73">
        <v>97846</v>
      </c>
      <c r="FE298" s="73">
        <v>-1601</v>
      </c>
      <c r="FF298" s="73">
        <v>105214</v>
      </c>
      <c r="FG298" s="73">
        <v>10433</v>
      </c>
      <c r="FH298" s="73">
        <v>-13352</v>
      </c>
      <c r="FI298" s="73">
        <v>-2919</v>
      </c>
      <c r="FJ298" s="79">
        <v>20243</v>
      </c>
      <c r="FK298" s="80">
        <v>60934</v>
      </c>
      <c r="FL298" s="80">
        <v>32796</v>
      </c>
      <c r="FM298" s="80">
        <v>17444</v>
      </c>
      <c r="FN298" s="76">
        <v>1299</v>
      </c>
      <c r="FO298" s="80">
        <v>53514</v>
      </c>
      <c r="FP298" s="80">
        <v>4526</v>
      </c>
      <c r="FQ298" s="80">
        <v>2894</v>
      </c>
      <c r="FR298" s="80">
        <v>4113</v>
      </c>
      <c r="FS298" s="81">
        <v>-5749</v>
      </c>
      <c r="FT298" s="76">
        <v>5094</v>
      </c>
      <c r="FU298" s="76">
        <v>36852</v>
      </c>
      <c r="FV298" s="76">
        <v>5749</v>
      </c>
      <c r="FW298" s="80">
        <v>108164</v>
      </c>
      <c r="FX298" s="80">
        <v>-765</v>
      </c>
      <c r="FY298" s="73">
        <v>20244</v>
      </c>
      <c r="FZ298" s="73">
        <v>61718</v>
      </c>
      <c r="GA298" s="73">
        <v>34725</v>
      </c>
      <c r="GB298" s="73">
        <v>19582</v>
      </c>
      <c r="GC298" s="73">
        <v>944</v>
      </c>
      <c r="GD298" s="73">
        <v>53675</v>
      </c>
      <c r="GE298" s="73">
        <v>4743</v>
      </c>
      <c r="GF298" s="73">
        <v>3300</v>
      </c>
      <c r="GG298" s="73">
        <v>5878</v>
      </c>
      <c r="GH298" s="73">
        <v>-4434</v>
      </c>
      <c r="GI298" s="73">
        <v>5150</v>
      </c>
      <c r="GJ298" s="73">
        <v>40987</v>
      </c>
      <c r="GK298" s="73">
        <v>4434</v>
      </c>
      <c r="GL298" s="73">
        <v>111091</v>
      </c>
      <c r="GM298" s="73">
        <v>748</v>
      </c>
      <c r="GN298" s="73">
        <v>-2936</v>
      </c>
      <c r="GO298" s="77">
        <v>19.75</v>
      </c>
      <c r="GP298" s="78">
        <v>20334</v>
      </c>
      <c r="GQ298" s="73">
        <v>62706</v>
      </c>
      <c r="GR298" s="65">
        <v>35475</v>
      </c>
      <c r="GS298" s="65">
        <v>18293</v>
      </c>
      <c r="GT298" s="65">
        <v>745</v>
      </c>
      <c r="GU298" s="65">
        <v>55322</v>
      </c>
      <c r="GV298" s="65">
        <v>3938</v>
      </c>
      <c r="GW298" s="65">
        <v>3446</v>
      </c>
      <c r="GX298" s="65">
        <v>561</v>
      </c>
      <c r="GY298" s="65">
        <v>-10621</v>
      </c>
      <c r="GZ298" s="65">
        <v>4960</v>
      </c>
      <c r="HA298" s="65">
        <v>44637</v>
      </c>
      <c r="HB298" s="65">
        <v>10621</v>
      </c>
      <c r="HC298" s="65">
        <v>116658</v>
      </c>
      <c r="HD298" s="65">
        <v>-4379</v>
      </c>
      <c r="HE298" s="78">
        <v>20265</v>
      </c>
      <c r="HF298" s="73">
        <v>66243</v>
      </c>
      <c r="HG298" s="65">
        <v>38365</v>
      </c>
      <c r="HH298" s="65">
        <v>18508</v>
      </c>
      <c r="HI298" s="65">
        <v>363</v>
      </c>
      <c r="HJ298" s="65">
        <v>58218</v>
      </c>
      <c r="HK298" s="65">
        <v>4446</v>
      </c>
      <c r="HL298" s="65">
        <v>3579</v>
      </c>
      <c r="HM298" s="65">
        <v>3469</v>
      </c>
      <c r="HN298" s="65">
        <v>-12388</v>
      </c>
      <c r="HO298" s="65">
        <v>5821</v>
      </c>
      <c r="HP298" s="65">
        <v>59317</v>
      </c>
      <c r="HQ298" s="65">
        <v>12388</v>
      </c>
      <c r="HR298" s="65">
        <v>120010</v>
      </c>
      <c r="HS298" s="65">
        <v>-2332</v>
      </c>
      <c r="HT298" s="65">
        <v>-9647</v>
      </c>
      <c r="HU298" s="77">
        <v>21</v>
      </c>
      <c r="HV298" s="180">
        <v>240</v>
      </c>
      <c r="HW298" s="30" t="s">
        <v>757</v>
      </c>
    </row>
    <row r="299" spans="1:231" x14ac:dyDescent="0.25">
      <c r="I299" s="31"/>
      <c r="J299" s="69"/>
      <c r="K299" s="69"/>
      <c r="R299" s="69"/>
      <c r="S299" s="69"/>
      <c r="T299" s="71"/>
      <c r="AX299" s="69"/>
      <c r="DO299" s="69"/>
      <c r="DW299" s="71"/>
      <c r="DX299" s="39"/>
      <c r="DY299" s="71"/>
      <c r="EA299" s="35"/>
      <c r="EB299" s="35"/>
      <c r="EC299" s="38"/>
      <c r="ED299" s="38"/>
      <c r="EE299" s="38"/>
      <c r="EF299" s="38"/>
      <c r="FJ299" s="79"/>
      <c r="FK299" s="80"/>
      <c r="FL299" s="80"/>
      <c r="FM299" s="80"/>
      <c r="FN299" s="76"/>
      <c r="FO299" s="80"/>
      <c r="FP299" s="80"/>
      <c r="FQ299" s="80"/>
      <c r="FR299" s="80"/>
      <c r="FS299" s="81"/>
      <c r="FT299" s="76"/>
      <c r="FU299" s="76"/>
      <c r="FV299" s="76"/>
      <c r="FW299" s="80"/>
      <c r="FX299" s="80"/>
      <c r="GP299" s="68"/>
      <c r="GQ299" s="65"/>
      <c r="GR299" s="65"/>
      <c r="GS299" s="65"/>
      <c r="GT299" s="65"/>
      <c r="GU299" s="65"/>
      <c r="GV299" s="65"/>
      <c r="GW299" s="65"/>
      <c r="GX299" s="65"/>
      <c r="GY299" s="65"/>
      <c r="GZ299" s="65"/>
      <c r="HA299" s="65"/>
      <c r="HB299" s="65"/>
      <c r="HC299" s="65"/>
      <c r="HD299" s="65"/>
      <c r="HE299" s="68"/>
      <c r="HF299" s="65"/>
      <c r="HG299" s="65"/>
      <c r="HH299" s="65"/>
      <c r="HI299" s="65"/>
      <c r="HJ299" s="65"/>
      <c r="HK299" s="65"/>
      <c r="HL299" s="65"/>
      <c r="HM299" s="65"/>
      <c r="HN299" s="65"/>
      <c r="HO299" s="65"/>
      <c r="HP299" s="65"/>
      <c r="HQ299" s="65"/>
      <c r="HR299" s="65"/>
      <c r="HS299" s="65"/>
      <c r="HT299" s="65"/>
      <c r="HU299" s="67"/>
      <c r="HV299" s="179"/>
    </row>
    <row r="300" spans="1:231" x14ac:dyDescent="0.25">
      <c r="I300" s="31"/>
      <c r="J300" s="69">
        <f>SUM(J3:J298)</f>
        <v>10266227</v>
      </c>
      <c r="K300" s="69">
        <f t="shared" ref="K300:BV300" si="0">SUM(K3:K298)</f>
        <v>10289395</v>
      </c>
      <c r="L300" s="69">
        <f t="shared" si="0"/>
        <v>10308881</v>
      </c>
      <c r="M300" s="69">
        <f t="shared" si="0"/>
        <v>10336026</v>
      </c>
      <c r="N300" s="69">
        <f t="shared" si="0"/>
        <v>10358348</v>
      </c>
      <c r="O300" s="69">
        <f t="shared" si="0"/>
        <v>10385036</v>
      </c>
      <c r="P300" s="69">
        <f t="shared" si="0"/>
        <v>10418459</v>
      </c>
      <c r="Q300" s="69">
        <f t="shared" si="0"/>
        <v>10455955</v>
      </c>
      <c r="R300" s="69">
        <f t="shared" si="0"/>
        <v>10498420</v>
      </c>
      <c r="S300" s="69">
        <f t="shared" si="0"/>
        <v>10546662</v>
      </c>
      <c r="T300" s="69">
        <f t="shared" si="0"/>
        <v>10597716</v>
      </c>
      <c r="U300" s="69">
        <f t="shared" si="0"/>
        <v>23468758.439953204</v>
      </c>
      <c r="V300" s="69">
        <f t="shared" si="0"/>
        <v>6326532.1025291458</v>
      </c>
      <c r="W300" s="69">
        <f t="shared" si="0"/>
        <v>9005879.3425908443</v>
      </c>
      <c r="X300" s="69">
        <f t="shared" si="0"/>
        <v>746128.22843222052</v>
      </c>
      <c r="Y300" s="69">
        <f t="shared" si="0"/>
        <v>24088512.114204027</v>
      </c>
      <c r="Z300" s="69">
        <f t="shared" si="0"/>
        <v>6342983.1467831144</v>
      </c>
      <c r="AA300" s="69">
        <f t="shared" si="0"/>
        <v>9260790.0316111352</v>
      </c>
      <c r="AB300" s="69">
        <f t="shared" si="0"/>
        <v>794978.3754595787</v>
      </c>
      <c r="AC300" s="69">
        <f t="shared" si="0"/>
        <v>25707522.490541525</v>
      </c>
      <c r="AD300" s="69">
        <f t="shared" si="0"/>
        <v>6655668.9919328336</v>
      </c>
      <c r="AE300" s="69">
        <f t="shared" si="0"/>
        <v>9822500.5491325296</v>
      </c>
      <c r="AF300" s="69">
        <f t="shared" si="0"/>
        <v>734352.18244952254</v>
      </c>
      <c r="AG300" s="69">
        <f t="shared" si="0"/>
        <v>28065052.861902196</v>
      </c>
      <c r="AH300" s="69">
        <f t="shared" si="0"/>
        <v>7288876.7032862874</v>
      </c>
      <c r="AI300" s="69">
        <f t="shared" si="0"/>
        <v>10331230.92450285</v>
      </c>
      <c r="AJ300" s="69">
        <f t="shared" si="0"/>
        <v>756002.40000867355</v>
      </c>
      <c r="AK300" s="69">
        <f t="shared" si="0"/>
        <v>28016208.728724077</v>
      </c>
      <c r="AL300" s="69">
        <f t="shared" si="0"/>
        <v>7735478.9110731445</v>
      </c>
      <c r="AM300" s="69">
        <f t="shared" si="0"/>
        <v>10970168.65131573</v>
      </c>
      <c r="AN300" s="69">
        <f t="shared" si="0"/>
        <v>671156.81399109261</v>
      </c>
      <c r="AO300" s="69">
        <f t="shared" si="0"/>
        <v>26874542</v>
      </c>
      <c r="AP300" s="69">
        <f t="shared" si="0"/>
        <v>8529757</v>
      </c>
      <c r="AQ300" s="69">
        <f t="shared" si="0"/>
        <v>11657768</v>
      </c>
      <c r="AR300" s="69">
        <f t="shared" si="0"/>
        <v>1191253</v>
      </c>
      <c r="AS300" s="69">
        <f t="shared" si="0"/>
        <v>27219954</v>
      </c>
      <c r="AT300" s="69">
        <f t="shared" si="0"/>
        <v>9424395</v>
      </c>
      <c r="AU300" s="69">
        <f t="shared" si="0"/>
        <v>12322122</v>
      </c>
      <c r="AV300" s="69">
        <f t="shared" si="0"/>
        <v>1079224</v>
      </c>
      <c r="AW300" s="69">
        <f t="shared" si="0"/>
        <v>28362640</v>
      </c>
      <c r="AX300" s="69">
        <f t="shared" si="0"/>
        <v>10092296</v>
      </c>
      <c r="AY300" s="69">
        <f t="shared" si="0"/>
        <v>11777900</v>
      </c>
      <c r="AZ300" s="69">
        <f t="shared" si="0"/>
        <v>1461042</v>
      </c>
      <c r="BA300" s="69">
        <f t="shared" si="0"/>
        <v>30175480</v>
      </c>
      <c r="BB300" s="69">
        <f t="shared" si="0"/>
        <v>10944377</v>
      </c>
      <c r="BC300" s="69">
        <f t="shared" si="0"/>
        <v>13488732</v>
      </c>
      <c r="BD300" s="69">
        <f t="shared" si="0"/>
        <v>2119944</v>
      </c>
      <c r="BE300" s="69">
        <f t="shared" si="0"/>
        <v>32442414</v>
      </c>
      <c r="BF300" s="69">
        <f t="shared" si="0"/>
        <v>11459668</v>
      </c>
      <c r="BG300" s="69">
        <f t="shared" si="0"/>
        <v>13930804</v>
      </c>
      <c r="BH300" s="69">
        <f t="shared" si="0"/>
        <v>1496608</v>
      </c>
      <c r="BI300" s="69">
        <f t="shared" si="0"/>
        <v>34892704</v>
      </c>
      <c r="BJ300" s="69">
        <f t="shared" si="0"/>
        <v>12776446</v>
      </c>
      <c r="BK300" s="69">
        <f t="shared" si="0"/>
        <v>14980904</v>
      </c>
      <c r="BL300" s="69">
        <f t="shared" si="0"/>
        <v>831787</v>
      </c>
      <c r="BM300" s="69">
        <f t="shared" si="0"/>
        <v>18424771.409726419</v>
      </c>
      <c r="BN300" s="69">
        <f t="shared" si="0"/>
        <v>4116975.7427348038</v>
      </c>
      <c r="BO300" s="69">
        <f t="shared" si="0"/>
        <v>918188.47445934883</v>
      </c>
      <c r="BP300" s="69">
        <f t="shared" si="0"/>
        <v>18901944.888710745</v>
      </c>
      <c r="BQ300" s="69">
        <f t="shared" si="0"/>
        <v>4141549.9143030001</v>
      </c>
      <c r="BR300" s="69">
        <f t="shared" si="0"/>
        <v>1036290.0192430178</v>
      </c>
      <c r="BS300" s="69">
        <f t="shared" si="0"/>
        <v>19257382.60764695</v>
      </c>
      <c r="BT300" s="69">
        <f t="shared" si="0"/>
        <v>5304814.0886430806</v>
      </c>
      <c r="BU300" s="69">
        <f t="shared" si="0"/>
        <v>1136764.2444891282</v>
      </c>
      <c r="BV300" s="69">
        <f t="shared" si="0"/>
        <v>21980110.41262044</v>
      </c>
      <c r="BW300" s="69">
        <f t="shared" ref="BW300:EH300" si="1">SUM(BW3:BW298)</f>
        <v>4869800.16435837</v>
      </c>
      <c r="BX300" s="69">
        <f t="shared" si="1"/>
        <v>1207357.2638855909</v>
      </c>
      <c r="BY300" s="69">
        <f t="shared" si="1"/>
        <v>23782498.284540765</v>
      </c>
      <c r="BZ300" s="69">
        <f t="shared" si="1"/>
        <v>2960670.0027413075</v>
      </c>
      <c r="CA300" s="69">
        <f t="shared" si="1"/>
        <v>1266026.422485285</v>
      </c>
      <c r="CB300" s="69">
        <f t="shared" si="1"/>
        <v>23566493</v>
      </c>
      <c r="CC300" s="69">
        <f t="shared" si="1"/>
        <v>1979091</v>
      </c>
      <c r="CD300" s="69">
        <f t="shared" si="1"/>
        <v>1322512</v>
      </c>
      <c r="CE300" s="69">
        <f t="shared" si="1"/>
        <v>23747361</v>
      </c>
      <c r="CF300" s="69">
        <f t="shared" si="1"/>
        <v>2098832</v>
      </c>
      <c r="CG300" s="69">
        <f t="shared" si="1"/>
        <v>1367561</v>
      </c>
      <c r="CH300" s="69">
        <f t="shared" si="1"/>
        <v>24607843</v>
      </c>
      <c r="CI300" s="69">
        <f t="shared" si="1"/>
        <v>2301201</v>
      </c>
      <c r="CJ300" s="69">
        <f t="shared" si="1"/>
        <v>1447938</v>
      </c>
      <c r="CK300" s="69">
        <f t="shared" si="1"/>
        <v>26126097</v>
      </c>
      <c r="CL300" s="69">
        <f t="shared" si="1"/>
        <v>2476822</v>
      </c>
      <c r="CM300" s="69">
        <f t="shared" si="1"/>
        <v>1567267</v>
      </c>
      <c r="CN300" s="69">
        <f t="shared" si="1"/>
        <v>27804286</v>
      </c>
      <c r="CO300" s="69">
        <f t="shared" si="1"/>
        <v>2923884</v>
      </c>
      <c r="CP300" s="69">
        <f t="shared" si="1"/>
        <v>1709798</v>
      </c>
      <c r="CQ300" s="69">
        <f t="shared" si="1"/>
        <v>30017838</v>
      </c>
      <c r="CR300" s="69">
        <f t="shared" si="1"/>
        <v>3046264</v>
      </c>
      <c r="CS300" s="69">
        <f t="shared" si="1"/>
        <v>1825924</v>
      </c>
      <c r="CT300" s="69">
        <f t="shared" si="1"/>
        <v>2510482.2025159821</v>
      </c>
      <c r="CU300" s="69">
        <f t="shared" si="1"/>
        <v>-3088588.5564866215</v>
      </c>
      <c r="CV300" s="69">
        <f t="shared" si="1"/>
        <v>2163815.5071982653</v>
      </c>
      <c r="CW300" s="69">
        <f t="shared" si="1"/>
        <v>8045921.7482336909</v>
      </c>
      <c r="CX300" s="69">
        <f t="shared" si="1"/>
        <v>2618797.3692535195</v>
      </c>
      <c r="CY300" s="69">
        <f t="shared" si="1"/>
        <v>-2361706.1256105429</v>
      </c>
      <c r="CZ300" s="69">
        <f t="shared" si="1"/>
        <v>2310493.4353649835</v>
      </c>
      <c r="DA300" s="69">
        <f t="shared" si="1"/>
        <v>7863260.2541481582</v>
      </c>
      <c r="DB300" s="69">
        <f t="shared" si="1"/>
        <v>2958643.3532708948</v>
      </c>
      <c r="DC300" s="69">
        <f t="shared" si="1"/>
        <v>-2894920.4771435885</v>
      </c>
      <c r="DD300" s="69">
        <f t="shared" si="1"/>
        <v>2365009.5127058709</v>
      </c>
      <c r="DE300" s="69">
        <f t="shared" si="1"/>
        <v>7690864.7888517585</v>
      </c>
      <c r="DF300" s="69">
        <f t="shared" si="1"/>
        <v>3410143.0429209024</v>
      </c>
      <c r="DG300" s="69">
        <f t="shared" si="1"/>
        <v>-4096620.0721461931</v>
      </c>
      <c r="DH300" s="69">
        <f t="shared" si="1"/>
        <v>2384453.7712058844</v>
      </c>
      <c r="DI300" s="69">
        <f t="shared" si="1"/>
        <v>8070947.816757882</v>
      </c>
      <c r="DJ300" s="69">
        <f t="shared" si="1"/>
        <v>3933315.6289200215</v>
      </c>
      <c r="DK300" s="69">
        <f t="shared" si="1"/>
        <v>-3892518.5204769876</v>
      </c>
      <c r="DL300" s="69">
        <f t="shared" si="1"/>
        <v>2570921.9490838824</v>
      </c>
      <c r="DM300" s="69">
        <f t="shared" si="1"/>
        <v>8933851.1496236492</v>
      </c>
      <c r="DN300" s="69">
        <f t="shared" si="1"/>
        <v>2475089</v>
      </c>
      <c r="DO300" s="69">
        <f t="shared" si="1"/>
        <v>-3775880</v>
      </c>
      <c r="DP300" s="69">
        <f t="shared" si="1"/>
        <v>2664089</v>
      </c>
      <c r="DQ300" s="69">
        <f t="shared" si="1"/>
        <v>10374639</v>
      </c>
      <c r="DR300" s="69">
        <f t="shared" si="1"/>
        <v>2196763</v>
      </c>
      <c r="DS300" s="69">
        <f t="shared" si="1"/>
        <v>-4020547</v>
      </c>
      <c r="DT300" s="69">
        <f t="shared" si="1"/>
        <v>2793461</v>
      </c>
      <c r="DU300" s="69">
        <f t="shared" si="1"/>
        <v>12216709</v>
      </c>
      <c r="DV300" s="69">
        <f t="shared" si="1"/>
        <v>2229294</v>
      </c>
      <c r="DW300" s="69">
        <f t="shared" si="1"/>
        <v>-3252646</v>
      </c>
      <c r="DX300" s="69">
        <f t="shared" si="1"/>
        <v>2887023</v>
      </c>
      <c r="DY300" s="69">
        <f t="shared" si="1"/>
        <v>14087224</v>
      </c>
      <c r="DZ300" s="69">
        <f t="shared" si="1"/>
        <v>3434093</v>
      </c>
      <c r="EA300" s="69">
        <f t="shared" si="1"/>
        <v>-2436228</v>
      </c>
      <c r="EB300" s="69">
        <f t="shared" si="1"/>
        <v>2897125</v>
      </c>
      <c r="EC300" s="69">
        <f t="shared" si="1"/>
        <v>15335463</v>
      </c>
      <c r="ED300" s="69">
        <f t="shared" si="1"/>
        <v>4030932</v>
      </c>
      <c r="EE300" s="69">
        <f t="shared" si="1"/>
        <v>-4369424</v>
      </c>
      <c r="EF300" s="69">
        <f t="shared" si="1"/>
        <v>2960728</v>
      </c>
      <c r="EG300" s="69">
        <f t="shared" si="1"/>
        <v>16295522</v>
      </c>
      <c r="EH300" s="69">
        <f t="shared" si="1"/>
        <v>3836818</v>
      </c>
      <c r="EI300" s="69">
        <f t="shared" ref="EI300:GT300" si="2">SUM(EI3:EI298)</f>
        <v>-4918228</v>
      </c>
      <c r="EJ300" s="69">
        <f t="shared" si="2"/>
        <v>3139030</v>
      </c>
      <c r="EK300" s="69">
        <f t="shared" si="2"/>
        <v>17261732</v>
      </c>
      <c r="EL300" s="69">
        <f t="shared" si="2"/>
        <v>34830964.070013255</v>
      </c>
      <c r="EM300" s="69">
        <f t="shared" si="2"/>
        <v>293324.78938666912</v>
      </c>
      <c r="EN300" s="69">
        <f t="shared" si="2"/>
        <v>35840164.958718248</v>
      </c>
      <c r="EO300" s="69">
        <f t="shared" si="2"/>
        <v>543912.01753190916</v>
      </c>
      <c r="EP300" s="69">
        <f t="shared" si="2"/>
        <v>37835490.343490191</v>
      </c>
      <c r="EQ300" s="69">
        <f t="shared" si="2"/>
        <v>796129.65943626815</v>
      </c>
      <c r="ER300" s="69">
        <f t="shared" si="2"/>
        <v>40678963.390534058</v>
      </c>
      <c r="ES300" s="69">
        <f t="shared" si="2"/>
        <v>1003627.1408220681</v>
      </c>
      <c r="ET300" s="69">
        <f t="shared" si="2"/>
        <v>42894389</v>
      </c>
      <c r="EU300" s="69">
        <f t="shared" si="2"/>
        <v>1609818</v>
      </c>
      <c r="EV300" s="69">
        <f t="shared" si="2"/>
        <v>44887046</v>
      </c>
      <c r="EW300" s="69">
        <f t="shared" si="2"/>
        <v>148664</v>
      </c>
      <c r="EX300" s="69">
        <f t="shared" si="2"/>
        <v>47130334</v>
      </c>
      <c r="EY300" s="69">
        <f t="shared" si="2"/>
        <v>-201170</v>
      </c>
      <c r="EZ300" s="69">
        <f t="shared" si="2"/>
        <v>49124780</v>
      </c>
      <c r="FA300" s="69">
        <f t="shared" si="2"/>
        <v>-36615.000000000015</v>
      </c>
      <c r="FB300" s="69">
        <f t="shared" si="2"/>
        <v>51544462</v>
      </c>
      <c r="FC300" s="69">
        <f t="shared" si="2"/>
        <v>1049617</v>
      </c>
      <c r="FD300" s="69">
        <f t="shared" si="2"/>
        <v>54098104</v>
      </c>
      <c r="FE300" s="69">
        <f t="shared" si="2"/>
        <v>1114462</v>
      </c>
      <c r="FF300" s="69">
        <f t="shared" si="2"/>
        <v>58647678</v>
      </c>
      <c r="FG300" s="69">
        <f t="shared" si="2"/>
        <v>1470218</v>
      </c>
      <c r="FH300" s="69">
        <f t="shared" si="2"/>
        <v>8014580</v>
      </c>
      <c r="FI300" s="69">
        <f t="shared" si="2"/>
        <v>9861816</v>
      </c>
      <c r="FJ300" s="69">
        <f t="shared" si="2"/>
        <v>10647386</v>
      </c>
      <c r="FK300" s="69">
        <f t="shared" si="2"/>
        <v>35052158</v>
      </c>
      <c r="FL300" s="69">
        <f t="shared" si="2"/>
        <v>13708612</v>
      </c>
      <c r="FM300" s="69">
        <f t="shared" si="2"/>
        <v>15478296</v>
      </c>
      <c r="FN300" s="69">
        <f t="shared" si="2"/>
        <v>1029382</v>
      </c>
      <c r="FO300" s="69">
        <f t="shared" si="2"/>
        <v>30730304</v>
      </c>
      <c r="FP300" s="69">
        <f t="shared" si="2"/>
        <v>2378004</v>
      </c>
      <c r="FQ300" s="69">
        <f t="shared" si="2"/>
        <v>1942136</v>
      </c>
      <c r="FR300" s="69">
        <f t="shared" si="2"/>
        <v>3591954</v>
      </c>
      <c r="FS300" s="69">
        <f t="shared" si="2"/>
        <v>-4932430</v>
      </c>
      <c r="FT300" s="69">
        <f t="shared" si="2"/>
        <v>3317912</v>
      </c>
      <c r="FU300" s="69">
        <f t="shared" si="2"/>
        <v>19566984</v>
      </c>
      <c r="FV300" s="69">
        <f t="shared" si="2"/>
        <v>4932430</v>
      </c>
      <c r="FW300" s="69">
        <f t="shared" si="2"/>
        <v>61130116</v>
      </c>
      <c r="FX300" s="69">
        <f t="shared" si="2"/>
        <v>576784</v>
      </c>
      <c r="FY300" s="69">
        <f t="shared" si="2"/>
        <v>10694538</v>
      </c>
      <c r="FZ300" s="69">
        <f t="shared" si="2"/>
        <v>36532588</v>
      </c>
      <c r="GA300" s="69">
        <f t="shared" si="2"/>
        <v>14789388</v>
      </c>
      <c r="GB300" s="69">
        <f t="shared" si="2"/>
        <v>16570698</v>
      </c>
      <c r="GC300" s="69">
        <f t="shared" si="2"/>
        <v>2840196</v>
      </c>
      <c r="GD300" s="69">
        <f t="shared" si="2"/>
        <v>31381352</v>
      </c>
      <c r="GE300" s="69">
        <f t="shared" si="2"/>
        <v>2814324</v>
      </c>
      <c r="GF300" s="69">
        <f t="shared" si="2"/>
        <v>2335304</v>
      </c>
      <c r="GG300" s="69">
        <f t="shared" si="2"/>
        <v>4931976</v>
      </c>
      <c r="GH300" s="69">
        <f t="shared" si="2"/>
        <v>-2162708</v>
      </c>
      <c r="GI300" s="69">
        <f t="shared" si="2"/>
        <v>3392456</v>
      </c>
      <c r="GJ300" s="69">
        <f t="shared" si="2"/>
        <v>20918062</v>
      </c>
      <c r="GK300" s="69">
        <f t="shared" si="2"/>
        <v>2162708</v>
      </c>
      <c r="GL300" s="69">
        <f t="shared" si="2"/>
        <v>63530768</v>
      </c>
      <c r="GM300" s="69">
        <f t="shared" si="2"/>
        <v>3674914</v>
      </c>
      <c r="GN300" s="69">
        <f t="shared" si="2"/>
        <v>14011318</v>
      </c>
      <c r="GO300" s="69">
        <f t="shared" si="2"/>
        <v>5819.47</v>
      </c>
      <c r="GP300" s="69">
        <f t="shared" si="2"/>
        <v>10745826</v>
      </c>
      <c r="GQ300" s="69">
        <f t="shared" si="2"/>
        <v>37947476</v>
      </c>
      <c r="GR300" s="69">
        <f t="shared" si="2"/>
        <v>15243682</v>
      </c>
      <c r="GS300" s="69">
        <f t="shared" si="2"/>
        <v>17465554</v>
      </c>
      <c r="GT300" s="69">
        <f t="shared" si="2"/>
        <v>786014</v>
      </c>
      <c r="GU300" s="69">
        <f t="shared" ref="GU300:HU300" si="3">SUM(GU3:GU298)</f>
        <v>32255732</v>
      </c>
      <c r="GV300" s="69">
        <f t="shared" si="3"/>
        <v>3290434</v>
      </c>
      <c r="GW300" s="69">
        <f t="shared" si="3"/>
        <v>2399910</v>
      </c>
      <c r="GX300" s="69">
        <f t="shared" si="3"/>
        <v>4108944</v>
      </c>
      <c r="GY300" s="69">
        <f t="shared" si="3"/>
        <v>-5281536</v>
      </c>
      <c r="GZ300" s="69">
        <f t="shared" si="3"/>
        <v>3490670</v>
      </c>
      <c r="HA300" s="69">
        <f t="shared" si="3"/>
        <v>21895338</v>
      </c>
      <c r="HB300" s="69">
        <f t="shared" si="3"/>
        <v>5281536</v>
      </c>
      <c r="HC300" s="69">
        <f t="shared" si="3"/>
        <v>66920618</v>
      </c>
      <c r="HD300" s="69">
        <f t="shared" si="3"/>
        <v>931938</v>
      </c>
      <c r="HE300" s="69">
        <f t="shared" si="3"/>
        <v>10796346</v>
      </c>
      <c r="HF300" s="69">
        <f t="shared" si="3"/>
        <v>38457302</v>
      </c>
      <c r="HG300" s="69">
        <f t="shared" si="3"/>
        <v>16063162</v>
      </c>
      <c r="HH300" s="69">
        <f t="shared" si="3"/>
        <v>18113552</v>
      </c>
      <c r="HI300" s="69">
        <f t="shared" si="3"/>
        <v>1288410</v>
      </c>
      <c r="HJ300" s="69">
        <f t="shared" si="3"/>
        <v>33508826</v>
      </c>
      <c r="HK300" s="69">
        <f t="shared" si="3"/>
        <v>2410758</v>
      </c>
      <c r="HL300" s="69">
        <f t="shared" si="3"/>
        <v>2536356</v>
      </c>
      <c r="HM300" s="69">
        <f t="shared" si="3"/>
        <v>2681624</v>
      </c>
      <c r="HN300" s="69">
        <f t="shared" si="3"/>
        <v>-5438390</v>
      </c>
      <c r="HO300" s="69">
        <f t="shared" si="3"/>
        <v>3783652</v>
      </c>
      <c r="HP300" s="69">
        <f t="shared" si="3"/>
        <v>24424892</v>
      </c>
      <c r="HQ300" s="69">
        <f t="shared" si="3"/>
        <v>5438390</v>
      </c>
      <c r="HR300" s="69">
        <f t="shared" si="3"/>
        <v>70567876</v>
      </c>
      <c r="HS300" s="69">
        <f t="shared" si="3"/>
        <v>-567834</v>
      </c>
      <c r="HT300" s="69">
        <f t="shared" si="3"/>
        <v>13143510</v>
      </c>
      <c r="HU300" s="69">
        <f t="shared" si="3"/>
        <v>5879.26</v>
      </c>
      <c r="HV300" s="179"/>
    </row>
    <row r="301" spans="1:231" x14ac:dyDescent="0.25">
      <c r="I301" s="31" t="s">
        <v>745</v>
      </c>
      <c r="J301" s="69">
        <f>J98</f>
        <v>5134021</v>
      </c>
      <c r="K301" s="69">
        <f t="shared" ref="K301:BV301" si="4">K98</f>
        <v>5145596</v>
      </c>
      <c r="L301" s="69">
        <f t="shared" si="4"/>
        <v>5155339</v>
      </c>
      <c r="M301" s="69">
        <f t="shared" si="4"/>
        <v>5168893</v>
      </c>
      <c r="N301" s="69">
        <f t="shared" si="4"/>
        <v>5180038</v>
      </c>
      <c r="O301" s="69">
        <f t="shared" si="4"/>
        <v>5193385</v>
      </c>
      <c r="P301" s="69">
        <f t="shared" si="4"/>
        <v>5210081</v>
      </c>
      <c r="Q301" s="69">
        <f t="shared" si="4"/>
        <v>5228814</v>
      </c>
      <c r="R301" s="69">
        <f t="shared" si="4"/>
        <v>5250032</v>
      </c>
      <c r="S301" s="69">
        <f t="shared" si="4"/>
        <v>5273331</v>
      </c>
      <c r="T301" s="69">
        <f t="shared" si="4"/>
        <v>5298858</v>
      </c>
      <c r="U301" s="69">
        <f t="shared" si="4"/>
        <v>11736477.439953204</v>
      </c>
      <c r="V301" s="69">
        <f t="shared" si="4"/>
        <v>3163991.1025291458</v>
      </c>
      <c r="W301" s="69">
        <f t="shared" si="4"/>
        <v>4503412.3425908443</v>
      </c>
      <c r="X301" s="69">
        <f t="shared" si="4"/>
        <v>373119.6996224696</v>
      </c>
      <c r="Y301" s="69">
        <f t="shared" si="4"/>
        <v>12046216.114204025</v>
      </c>
      <c r="Z301" s="69">
        <f t="shared" si="4"/>
        <v>3172178.1467831144</v>
      </c>
      <c r="AA301" s="69">
        <f t="shared" si="4"/>
        <v>4630882.0316111352</v>
      </c>
      <c r="AB301" s="69">
        <f t="shared" si="4"/>
        <v>397535.16831764654</v>
      </c>
      <c r="AC301" s="69">
        <f t="shared" si="4"/>
        <v>12855844.490541525</v>
      </c>
      <c r="AD301" s="69">
        <f t="shared" si="4"/>
        <v>3328531.991932834</v>
      </c>
      <c r="AE301" s="69">
        <f t="shared" si="4"/>
        <v>4911625.5491325306</v>
      </c>
      <c r="AF301" s="69">
        <f t="shared" si="4"/>
        <v>367211.56220608664</v>
      </c>
      <c r="AG301" s="69">
        <f t="shared" si="4"/>
        <v>14034554.861902196</v>
      </c>
      <c r="AH301" s="69">
        <f t="shared" si="4"/>
        <v>3645134.7032862874</v>
      </c>
      <c r="AI301" s="69">
        <f t="shared" si="4"/>
        <v>5166070.9245028486</v>
      </c>
      <c r="AJ301" s="69">
        <f t="shared" si="4"/>
        <v>378041.07314048446</v>
      </c>
      <c r="AK301" s="69">
        <f t="shared" si="4"/>
        <v>14009916.728724077</v>
      </c>
      <c r="AL301" s="69">
        <f t="shared" si="4"/>
        <v>3868576.911073145</v>
      </c>
      <c r="AM301" s="69">
        <f t="shared" si="4"/>
        <v>5485533.651315731</v>
      </c>
      <c r="AN301" s="69">
        <f t="shared" si="4"/>
        <v>335590.81399109267</v>
      </c>
      <c r="AO301" s="69">
        <f t="shared" si="4"/>
        <v>13438997</v>
      </c>
      <c r="AP301" s="69">
        <f t="shared" si="4"/>
        <v>4266185</v>
      </c>
      <c r="AQ301" s="69">
        <f t="shared" si="4"/>
        <v>5829315</v>
      </c>
      <c r="AR301" s="69">
        <f t="shared" si="4"/>
        <v>595637</v>
      </c>
      <c r="AS301" s="69">
        <f t="shared" si="4"/>
        <v>13611820</v>
      </c>
      <c r="AT301" s="69">
        <f t="shared" si="4"/>
        <v>4713554</v>
      </c>
      <c r="AU301" s="69">
        <f t="shared" si="4"/>
        <v>6161560</v>
      </c>
      <c r="AV301" s="69">
        <f t="shared" si="4"/>
        <v>539622</v>
      </c>
      <c r="AW301" s="69">
        <f t="shared" si="4"/>
        <v>14183218</v>
      </c>
      <c r="AX301" s="69">
        <f t="shared" si="4"/>
        <v>5047466</v>
      </c>
      <c r="AY301" s="69">
        <f t="shared" si="4"/>
        <v>5889576</v>
      </c>
      <c r="AZ301" s="69">
        <f t="shared" si="4"/>
        <v>730543</v>
      </c>
      <c r="BA301" s="69">
        <f t="shared" si="4"/>
        <v>15089917</v>
      </c>
      <c r="BB301" s="69">
        <f t="shared" si="4"/>
        <v>5473539</v>
      </c>
      <c r="BC301" s="69">
        <f t="shared" si="4"/>
        <v>6744897</v>
      </c>
      <c r="BD301" s="69">
        <f t="shared" si="4"/>
        <v>1027003</v>
      </c>
      <c r="BE301" s="69">
        <f t="shared" si="4"/>
        <v>16221207</v>
      </c>
      <c r="BF301" s="69">
        <f t="shared" si="4"/>
        <v>5729834</v>
      </c>
      <c r="BG301" s="69">
        <f t="shared" si="4"/>
        <v>6965402</v>
      </c>
      <c r="BH301" s="69">
        <f t="shared" si="4"/>
        <v>748304</v>
      </c>
      <c r="BI301" s="69">
        <f t="shared" si="4"/>
        <v>17446352</v>
      </c>
      <c r="BJ301" s="69">
        <f t="shared" si="4"/>
        <v>6388223</v>
      </c>
      <c r="BK301" s="69">
        <f t="shared" si="4"/>
        <v>7490452</v>
      </c>
      <c r="BL301" s="69">
        <f t="shared" si="4"/>
        <v>314807</v>
      </c>
      <c r="BM301" s="69">
        <f t="shared" si="4"/>
        <v>9213584.0534219667</v>
      </c>
      <c r="BN301" s="69">
        <f t="shared" si="4"/>
        <v>2059279.0427501088</v>
      </c>
      <c r="BO301" s="69">
        <f t="shared" si="4"/>
        <v>459202.78220625286</v>
      </c>
      <c r="BP301" s="69">
        <f t="shared" si="4"/>
        <v>9452211.2142922897</v>
      </c>
      <c r="BQ301" s="69">
        <f t="shared" si="4"/>
        <v>2071386.4524572736</v>
      </c>
      <c r="BR301" s="69">
        <f t="shared" si="4"/>
        <v>518254.89151269739</v>
      </c>
      <c r="BS301" s="69">
        <f t="shared" si="4"/>
        <v>9629834.6026080474</v>
      </c>
      <c r="BT301" s="69">
        <f t="shared" si="4"/>
        <v>2653215.0419322504</v>
      </c>
      <c r="BU301" s="69">
        <f t="shared" si="4"/>
        <v>568514.08849482774</v>
      </c>
      <c r="BV301" s="69">
        <f t="shared" si="4"/>
        <v>10991415.41262044</v>
      </c>
      <c r="BW301" s="69">
        <f t="shared" ref="BW301:EH301" si="5">BW98</f>
        <v>2435424.16435837</v>
      </c>
      <c r="BX301" s="69">
        <f t="shared" si="5"/>
        <v>603823.26388559095</v>
      </c>
      <c r="BY301" s="69">
        <f t="shared" si="5"/>
        <v>11892727.284540763</v>
      </c>
      <c r="BZ301" s="69">
        <f t="shared" si="5"/>
        <v>1480518.0027413075</v>
      </c>
      <c r="CA301" s="69">
        <f t="shared" si="5"/>
        <v>633164.42248528486</v>
      </c>
      <c r="CB301" s="69">
        <f t="shared" si="5"/>
        <v>11784667</v>
      </c>
      <c r="CC301" s="69">
        <f t="shared" si="5"/>
        <v>989676</v>
      </c>
      <c r="CD301" s="69">
        <f t="shared" si="5"/>
        <v>661431</v>
      </c>
      <c r="CE301" s="69">
        <f t="shared" si="5"/>
        <v>11875138</v>
      </c>
      <c r="CF301" s="69">
        <f t="shared" si="5"/>
        <v>1049624</v>
      </c>
      <c r="CG301" s="69">
        <f t="shared" si="5"/>
        <v>683958</v>
      </c>
      <c r="CH301" s="69">
        <f t="shared" si="5"/>
        <v>12305346</v>
      </c>
      <c r="CI301" s="69">
        <f t="shared" si="5"/>
        <v>1150891</v>
      </c>
      <c r="CJ301" s="69">
        <f t="shared" si="5"/>
        <v>724152</v>
      </c>
      <c r="CK301" s="69">
        <f t="shared" si="5"/>
        <v>13064707</v>
      </c>
      <c r="CL301" s="69">
        <f t="shared" si="5"/>
        <v>1238741</v>
      </c>
      <c r="CM301" s="69">
        <f t="shared" si="5"/>
        <v>783822</v>
      </c>
      <c r="CN301" s="69">
        <f t="shared" si="5"/>
        <v>13902143</v>
      </c>
      <c r="CO301" s="69">
        <f t="shared" si="5"/>
        <v>1461942</v>
      </c>
      <c r="CP301" s="69">
        <f t="shared" si="5"/>
        <v>854899</v>
      </c>
      <c r="CQ301" s="69">
        <f t="shared" si="5"/>
        <v>15008919</v>
      </c>
      <c r="CR301" s="69">
        <f t="shared" si="5"/>
        <v>1523132</v>
      </c>
      <c r="CS301" s="69">
        <f t="shared" si="5"/>
        <v>912962</v>
      </c>
      <c r="CT301" s="69">
        <f t="shared" si="5"/>
        <v>1255364.4961956479</v>
      </c>
      <c r="CU301" s="69">
        <f t="shared" si="5"/>
        <v>-1544477.0680529359</v>
      </c>
      <c r="CV301" s="69">
        <f t="shared" si="5"/>
        <v>1082043.0419164591</v>
      </c>
      <c r="CW301" s="69">
        <f t="shared" si="5"/>
        <v>4023452.7482336909</v>
      </c>
      <c r="CX301" s="69">
        <f t="shared" si="5"/>
        <v>1309390.2821506739</v>
      </c>
      <c r="CY301" s="69">
        <f t="shared" si="5"/>
        <v>-1181194.9015904546</v>
      </c>
      <c r="CZ301" s="69">
        <f t="shared" si="5"/>
        <v>1155407.1801868971</v>
      </c>
      <c r="DA301" s="69">
        <f t="shared" si="5"/>
        <v>3932046.2541481582</v>
      </c>
      <c r="DB301" s="69">
        <f t="shared" si="5"/>
        <v>1479357.5464818189</v>
      </c>
      <c r="DC301" s="69">
        <f t="shared" si="5"/>
        <v>-1447742.2500963819</v>
      </c>
      <c r="DD301" s="69">
        <f t="shared" si="5"/>
        <v>1182680.3453874753</v>
      </c>
      <c r="DE301" s="69">
        <f t="shared" si="5"/>
        <v>3845965.7888517589</v>
      </c>
      <c r="DF301" s="69">
        <f t="shared" si="5"/>
        <v>1704933.2537108304</v>
      </c>
      <c r="DG301" s="69">
        <f t="shared" si="5"/>
        <v>-2048362.0721461929</v>
      </c>
      <c r="DH301" s="69">
        <f t="shared" si="5"/>
        <v>1192359.9492529875</v>
      </c>
      <c r="DI301" s="69">
        <f t="shared" si="5"/>
        <v>4036129.8167578825</v>
      </c>
      <c r="DJ301" s="69">
        <f t="shared" si="5"/>
        <v>1966364.6289200212</v>
      </c>
      <c r="DK301" s="69">
        <f t="shared" si="5"/>
        <v>-1946302.5204769876</v>
      </c>
      <c r="DL301" s="69">
        <f t="shared" si="5"/>
        <v>1285589.9490838822</v>
      </c>
      <c r="DM301" s="69">
        <f t="shared" si="5"/>
        <v>4467713.1496236492</v>
      </c>
      <c r="DN301" s="69">
        <f t="shared" si="5"/>
        <v>1237594</v>
      </c>
      <c r="DO301" s="69">
        <f t="shared" si="5"/>
        <v>-1888009</v>
      </c>
      <c r="DP301" s="69">
        <f t="shared" si="5"/>
        <v>1332160</v>
      </c>
      <c r="DQ301" s="69">
        <f t="shared" si="5"/>
        <v>5188314</v>
      </c>
      <c r="DR301" s="69">
        <f t="shared" si="5"/>
        <v>1098449</v>
      </c>
      <c r="DS301" s="69">
        <f t="shared" si="5"/>
        <v>-2010619</v>
      </c>
      <c r="DT301" s="69">
        <f t="shared" si="5"/>
        <v>1396841</v>
      </c>
      <c r="DU301" s="69">
        <f t="shared" si="5"/>
        <v>6109512</v>
      </c>
      <c r="DV301" s="69">
        <f t="shared" si="5"/>
        <v>1114634</v>
      </c>
      <c r="DW301" s="69">
        <f t="shared" si="5"/>
        <v>-1626649</v>
      </c>
      <c r="DX301" s="69">
        <f t="shared" si="5"/>
        <v>1443636</v>
      </c>
      <c r="DY301" s="69">
        <f t="shared" si="5"/>
        <v>7045174</v>
      </c>
      <c r="DZ301" s="69">
        <f t="shared" si="5"/>
        <v>1717132</v>
      </c>
      <c r="EA301" s="69">
        <f t="shared" si="5"/>
        <v>-1218117</v>
      </c>
      <c r="EB301" s="69">
        <f t="shared" si="5"/>
        <v>1448769</v>
      </c>
      <c r="EC301" s="69">
        <f t="shared" si="5"/>
        <v>7669363.9999999991</v>
      </c>
      <c r="ED301" s="69">
        <f t="shared" si="5"/>
        <v>2015466</v>
      </c>
      <c r="EE301" s="69">
        <f t="shared" si="5"/>
        <v>-2184712</v>
      </c>
      <c r="EF301" s="69">
        <f t="shared" si="5"/>
        <v>1480364</v>
      </c>
      <c r="EG301" s="69">
        <f t="shared" si="5"/>
        <v>8147760.9999999991</v>
      </c>
      <c r="EH301" s="69">
        <f t="shared" si="5"/>
        <v>1918409</v>
      </c>
      <c r="EI301" s="69">
        <f t="shared" ref="EI301:GT301" si="6">EI98</f>
        <v>-2459114</v>
      </c>
      <c r="EJ301" s="69">
        <f t="shared" si="6"/>
        <v>1569515</v>
      </c>
      <c r="EK301" s="69">
        <f t="shared" si="6"/>
        <v>8630704</v>
      </c>
      <c r="EL301" s="69">
        <f t="shared" si="6"/>
        <v>17415482.035006635</v>
      </c>
      <c r="EM301" s="69">
        <f t="shared" si="6"/>
        <v>146662.39469333453</v>
      </c>
      <c r="EN301" s="69">
        <f t="shared" si="6"/>
        <v>17920082.479359135</v>
      </c>
      <c r="EO301" s="69">
        <f t="shared" si="6"/>
        <v>271956.0087659547</v>
      </c>
      <c r="EP301" s="69">
        <f t="shared" si="6"/>
        <v>18917745.171745099</v>
      </c>
      <c r="EQ301" s="69">
        <f t="shared" si="6"/>
        <v>398064.82971813384</v>
      </c>
      <c r="ER301" s="69">
        <f t="shared" si="6"/>
        <v>20367484.059989288</v>
      </c>
      <c r="ES301" s="69">
        <f t="shared" si="6"/>
        <v>501913.97860313137</v>
      </c>
      <c r="ET301" s="69">
        <f t="shared" si="6"/>
        <v>21477247</v>
      </c>
      <c r="EU301" s="69">
        <f t="shared" si="6"/>
        <v>806307</v>
      </c>
      <c r="EV301" s="69">
        <f t="shared" si="6"/>
        <v>22443523</v>
      </c>
      <c r="EW301" s="69">
        <f t="shared" si="6"/>
        <v>74332</v>
      </c>
      <c r="EX301" s="69">
        <f t="shared" si="6"/>
        <v>23565167</v>
      </c>
      <c r="EY301" s="69">
        <f t="shared" si="6"/>
        <v>-102568</v>
      </c>
      <c r="EZ301" s="69">
        <f t="shared" si="6"/>
        <v>24562390</v>
      </c>
      <c r="FA301" s="69">
        <f t="shared" si="6"/>
        <v>-18274</v>
      </c>
      <c r="FB301" s="69">
        <f t="shared" si="6"/>
        <v>25772231</v>
      </c>
      <c r="FC301" s="69">
        <f t="shared" si="6"/>
        <v>522946</v>
      </c>
      <c r="FD301" s="69">
        <f t="shared" si="6"/>
        <v>27049052</v>
      </c>
      <c r="FE301" s="69">
        <f t="shared" si="6"/>
        <v>557231</v>
      </c>
      <c r="FF301" s="69">
        <f t="shared" si="6"/>
        <v>29323839</v>
      </c>
      <c r="FG301" s="69">
        <f t="shared" si="6"/>
        <v>735109</v>
      </c>
      <c r="FH301" s="69">
        <f t="shared" si="6"/>
        <v>4007290</v>
      </c>
      <c r="FI301" s="69">
        <f t="shared" si="6"/>
        <v>4930908</v>
      </c>
      <c r="FJ301" s="69">
        <f t="shared" si="6"/>
        <v>5323693</v>
      </c>
      <c r="FK301" s="69">
        <f t="shared" si="6"/>
        <v>17526079</v>
      </c>
      <c r="FL301" s="69">
        <f t="shared" si="6"/>
        <v>6854306</v>
      </c>
      <c r="FM301" s="69">
        <f t="shared" si="6"/>
        <v>7739148</v>
      </c>
      <c r="FN301" s="69">
        <f t="shared" si="6"/>
        <v>471498</v>
      </c>
      <c r="FO301" s="69">
        <f t="shared" si="6"/>
        <v>15365152</v>
      </c>
      <c r="FP301" s="69">
        <f t="shared" si="6"/>
        <v>1189002</v>
      </c>
      <c r="FQ301" s="69">
        <f t="shared" si="6"/>
        <v>971068</v>
      </c>
      <c r="FR301" s="69">
        <f t="shared" si="6"/>
        <v>1795977</v>
      </c>
      <c r="FS301" s="69">
        <f t="shared" si="6"/>
        <v>-2466166</v>
      </c>
      <c r="FT301" s="69">
        <f t="shared" si="6"/>
        <v>1658956</v>
      </c>
      <c r="FU301" s="69">
        <f t="shared" si="6"/>
        <v>9783492</v>
      </c>
      <c r="FV301" s="69">
        <f t="shared" si="6"/>
        <v>2466166</v>
      </c>
      <c r="FW301" s="69">
        <f t="shared" si="6"/>
        <v>30565058</v>
      </c>
      <c r="FX301" s="69">
        <f t="shared" si="6"/>
        <v>288392</v>
      </c>
      <c r="FY301" s="69">
        <f t="shared" si="6"/>
        <v>5347269</v>
      </c>
      <c r="FZ301" s="69">
        <f t="shared" si="6"/>
        <v>18266294</v>
      </c>
      <c r="GA301" s="69">
        <f t="shared" si="6"/>
        <v>7394694</v>
      </c>
      <c r="GB301" s="69">
        <f t="shared" si="6"/>
        <v>8285349</v>
      </c>
      <c r="GC301" s="69">
        <f t="shared" si="6"/>
        <v>1367712</v>
      </c>
      <c r="GD301" s="69">
        <f t="shared" si="6"/>
        <v>15690676</v>
      </c>
      <c r="GE301" s="69">
        <f t="shared" si="6"/>
        <v>1407162</v>
      </c>
      <c r="GF301" s="69">
        <f t="shared" si="6"/>
        <v>1167652</v>
      </c>
      <c r="GG301" s="69">
        <f t="shared" si="6"/>
        <v>2465988</v>
      </c>
      <c r="GH301" s="69">
        <f t="shared" si="6"/>
        <v>-1081354</v>
      </c>
      <c r="GI301" s="69">
        <f t="shared" si="6"/>
        <v>1696228</v>
      </c>
      <c r="GJ301" s="69">
        <f t="shared" si="6"/>
        <v>10459031</v>
      </c>
      <c r="GK301" s="69">
        <f t="shared" si="6"/>
        <v>1081354</v>
      </c>
      <c r="GL301" s="69">
        <f t="shared" si="6"/>
        <v>31765384</v>
      </c>
      <c r="GM301" s="69">
        <f t="shared" si="6"/>
        <v>1837457</v>
      </c>
      <c r="GN301" s="69">
        <f t="shared" si="6"/>
        <v>7005659</v>
      </c>
      <c r="GO301" s="69">
        <f t="shared" si="6"/>
        <v>18.97</v>
      </c>
      <c r="GP301" s="69">
        <f t="shared" si="6"/>
        <v>5372913</v>
      </c>
      <c r="GQ301" s="69">
        <f t="shared" si="6"/>
        <v>18973738</v>
      </c>
      <c r="GR301" s="69">
        <f t="shared" si="6"/>
        <v>7621841</v>
      </c>
      <c r="GS301" s="69">
        <f t="shared" si="6"/>
        <v>8732777</v>
      </c>
      <c r="GT301" s="69">
        <f t="shared" si="6"/>
        <v>331490</v>
      </c>
      <c r="GU301" s="69">
        <f t="shared" ref="GU301:HU301" si="7">GU98</f>
        <v>16127866</v>
      </c>
      <c r="GV301" s="69">
        <f t="shared" si="7"/>
        <v>1645217</v>
      </c>
      <c r="GW301" s="69">
        <f t="shared" si="7"/>
        <v>1199955</v>
      </c>
      <c r="GX301" s="69">
        <f t="shared" si="7"/>
        <v>2054472</v>
      </c>
      <c r="GY301" s="69">
        <f t="shared" si="7"/>
        <v>-2640768</v>
      </c>
      <c r="GZ301" s="69">
        <f t="shared" si="7"/>
        <v>1745335</v>
      </c>
      <c r="HA301" s="69">
        <f t="shared" si="7"/>
        <v>10947669</v>
      </c>
      <c r="HB301" s="69">
        <f t="shared" si="7"/>
        <v>2640768</v>
      </c>
      <c r="HC301" s="69">
        <f t="shared" si="7"/>
        <v>33460309</v>
      </c>
      <c r="HD301" s="69">
        <f t="shared" si="7"/>
        <v>465969</v>
      </c>
      <c r="HE301" s="69">
        <f t="shared" si="7"/>
        <v>5398173</v>
      </c>
      <c r="HF301" s="69">
        <f t="shared" si="7"/>
        <v>19228651</v>
      </c>
      <c r="HG301" s="69">
        <f t="shared" si="7"/>
        <v>8031581</v>
      </c>
      <c r="HH301" s="69">
        <f t="shared" si="7"/>
        <v>9056776</v>
      </c>
      <c r="HI301" s="69">
        <f t="shared" si="7"/>
        <v>594615</v>
      </c>
      <c r="HJ301" s="69">
        <f t="shared" si="7"/>
        <v>16754413</v>
      </c>
      <c r="HK301" s="69">
        <f t="shared" si="7"/>
        <v>1205379</v>
      </c>
      <c r="HL301" s="69">
        <f t="shared" si="7"/>
        <v>1268178</v>
      </c>
      <c r="HM301" s="69">
        <f t="shared" si="7"/>
        <v>1340812</v>
      </c>
      <c r="HN301" s="69">
        <f t="shared" si="7"/>
        <v>-2719195</v>
      </c>
      <c r="HO301" s="69">
        <f t="shared" si="7"/>
        <v>1891826</v>
      </c>
      <c r="HP301" s="69">
        <f t="shared" si="7"/>
        <v>12212446</v>
      </c>
      <c r="HQ301" s="69">
        <f t="shared" si="7"/>
        <v>2719195</v>
      </c>
      <c r="HR301" s="69">
        <f t="shared" si="7"/>
        <v>35283938</v>
      </c>
      <c r="HS301" s="69">
        <f t="shared" si="7"/>
        <v>-283917</v>
      </c>
      <c r="HT301" s="69">
        <f t="shared" si="7"/>
        <v>6571755</v>
      </c>
      <c r="HU301" s="69">
        <f t="shared" si="7"/>
        <v>19.260000000000002</v>
      </c>
      <c r="HV301" s="179"/>
    </row>
    <row r="302" spans="1:231" x14ac:dyDescent="0.25">
      <c r="I302" s="31" t="s">
        <v>746</v>
      </c>
      <c r="J302" s="69">
        <f>J300-J301</f>
        <v>5132206</v>
      </c>
      <c r="K302" s="69">
        <f t="shared" ref="K302:BV302" si="8">K300-K301</f>
        <v>5143799</v>
      </c>
      <c r="L302" s="69">
        <f t="shared" si="8"/>
        <v>5153542</v>
      </c>
      <c r="M302" s="69">
        <f t="shared" si="8"/>
        <v>5167133</v>
      </c>
      <c r="N302" s="69">
        <f t="shared" si="8"/>
        <v>5178310</v>
      </c>
      <c r="O302" s="69">
        <f t="shared" si="8"/>
        <v>5191651</v>
      </c>
      <c r="P302" s="69">
        <f t="shared" si="8"/>
        <v>5208378</v>
      </c>
      <c r="Q302" s="69">
        <f t="shared" si="8"/>
        <v>5227141</v>
      </c>
      <c r="R302" s="69">
        <f t="shared" si="8"/>
        <v>5248388</v>
      </c>
      <c r="S302" s="69">
        <f t="shared" si="8"/>
        <v>5273331</v>
      </c>
      <c r="T302" s="69">
        <f t="shared" si="8"/>
        <v>5298858</v>
      </c>
      <c r="U302" s="69">
        <f t="shared" si="8"/>
        <v>11732281</v>
      </c>
      <c r="V302" s="69">
        <f t="shared" si="8"/>
        <v>3162541</v>
      </c>
      <c r="W302" s="69">
        <f t="shared" si="8"/>
        <v>4502467</v>
      </c>
      <c r="X302" s="69">
        <f t="shared" si="8"/>
        <v>373008.52880975092</v>
      </c>
      <c r="Y302" s="69">
        <f t="shared" si="8"/>
        <v>12042296.000000002</v>
      </c>
      <c r="Z302" s="69">
        <f t="shared" si="8"/>
        <v>3170805</v>
      </c>
      <c r="AA302" s="69">
        <f t="shared" si="8"/>
        <v>4629908</v>
      </c>
      <c r="AB302" s="69">
        <f t="shared" si="8"/>
        <v>397443.20714193216</v>
      </c>
      <c r="AC302" s="69">
        <f t="shared" si="8"/>
        <v>12851678</v>
      </c>
      <c r="AD302" s="69">
        <f t="shared" si="8"/>
        <v>3327136.9999999995</v>
      </c>
      <c r="AE302" s="69">
        <f t="shared" si="8"/>
        <v>4910874.9999999991</v>
      </c>
      <c r="AF302" s="69">
        <f t="shared" si="8"/>
        <v>367140.6202434359</v>
      </c>
      <c r="AG302" s="69">
        <f t="shared" si="8"/>
        <v>14030498</v>
      </c>
      <c r="AH302" s="69">
        <f t="shared" si="8"/>
        <v>3643742</v>
      </c>
      <c r="AI302" s="69">
        <f t="shared" si="8"/>
        <v>5165160.0000000009</v>
      </c>
      <c r="AJ302" s="69">
        <f t="shared" si="8"/>
        <v>377961.32686818909</v>
      </c>
      <c r="AK302" s="69">
        <f t="shared" si="8"/>
        <v>14006292</v>
      </c>
      <c r="AL302" s="69">
        <f t="shared" si="8"/>
        <v>3866901.9999999995</v>
      </c>
      <c r="AM302" s="69">
        <f t="shared" si="8"/>
        <v>5484634.9999999991</v>
      </c>
      <c r="AN302" s="69">
        <f t="shared" si="8"/>
        <v>335565.99999999994</v>
      </c>
      <c r="AO302" s="69">
        <f t="shared" si="8"/>
        <v>13435545</v>
      </c>
      <c r="AP302" s="69">
        <f t="shared" si="8"/>
        <v>4263572</v>
      </c>
      <c r="AQ302" s="69">
        <f t="shared" si="8"/>
        <v>5828453</v>
      </c>
      <c r="AR302" s="69">
        <f t="shared" si="8"/>
        <v>595616</v>
      </c>
      <c r="AS302" s="69">
        <f t="shared" si="8"/>
        <v>13608134</v>
      </c>
      <c r="AT302" s="69">
        <f t="shared" si="8"/>
        <v>4710841</v>
      </c>
      <c r="AU302" s="69">
        <f t="shared" si="8"/>
        <v>6160562</v>
      </c>
      <c r="AV302" s="69">
        <f t="shared" si="8"/>
        <v>539602</v>
      </c>
      <c r="AW302" s="69">
        <f t="shared" si="8"/>
        <v>14179422</v>
      </c>
      <c r="AX302" s="69">
        <f t="shared" si="8"/>
        <v>5044830</v>
      </c>
      <c r="AY302" s="69">
        <f t="shared" si="8"/>
        <v>5888324</v>
      </c>
      <c r="AZ302" s="69">
        <f t="shared" si="8"/>
        <v>730499</v>
      </c>
      <c r="BA302" s="69">
        <f t="shared" si="8"/>
        <v>15085563</v>
      </c>
      <c r="BB302" s="69">
        <f t="shared" si="8"/>
        <v>5470838</v>
      </c>
      <c r="BC302" s="69">
        <f t="shared" si="8"/>
        <v>6743835</v>
      </c>
      <c r="BD302" s="69">
        <f t="shared" si="8"/>
        <v>1092941</v>
      </c>
      <c r="BE302" s="69">
        <f t="shared" si="8"/>
        <v>16221207</v>
      </c>
      <c r="BF302" s="69">
        <f t="shared" si="8"/>
        <v>5729834</v>
      </c>
      <c r="BG302" s="69">
        <f t="shared" si="8"/>
        <v>6965402</v>
      </c>
      <c r="BH302" s="69">
        <f t="shared" si="8"/>
        <v>748304</v>
      </c>
      <c r="BI302" s="69">
        <f t="shared" si="8"/>
        <v>17446352</v>
      </c>
      <c r="BJ302" s="69">
        <f t="shared" si="8"/>
        <v>6388223</v>
      </c>
      <c r="BK302" s="69">
        <f t="shared" si="8"/>
        <v>7490452</v>
      </c>
      <c r="BL302" s="69">
        <f t="shared" si="8"/>
        <v>516980</v>
      </c>
      <c r="BM302" s="69">
        <f t="shared" si="8"/>
        <v>9211187.3563044518</v>
      </c>
      <c r="BN302" s="69">
        <f t="shared" si="8"/>
        <v>2057696.6999846951</v>
      </c>
      <c r="BO302" s="69">
        <f t="shared" si="8"/>
        <v>458985.69225309597</v>
      </c>
      <c r="BP302" s="69">
        <f t="shared" si="8"/>
        <v>9449733.674418455</v>
      </c>
      <c r="BQ302" s="69">
        <f t="shared" si="8"/>
        <v>2070163.4618457265</v>
      </c>
      <c r="BR302" s="69">
        <f t="shared" si="8"/>
        <v>518035.12773032038</v>
      </c>
      <c r="BS302" s="69">
        <f t="shared" si="8"/>
        <v>9627548.0050389022</v>
      </c>
      <c r="BT302" s="69">
        <f t="shared" si="8"/>
        <v>2651599.0467108302</v>
      </c>
      <c r="BU302" s="69">
        <f t="shared" si="8"/>
        <v>568250.1559943005</v>
      </c>
      <c r="BV302" s="69">
        <f t="shared" si="8"/>
        <v>10988695</v>
      </c>
      <c r="BW302" s="69">
        <f t="shared" ref="BW302:EH302" si="9">BW300-BW301</f>
        <v>2434376</v>
      </c>
      <c r="BX302" s="69">
        <f t="shared" si="9"/>
        <v>603534</v>
      </c>
      <c r="BY302" s="69">
        <f t="shared" si="9"/>
        <v>11889771.000000002</v>
      </c>
      <c r="BZ302" s="69">
        <f t="shared" si="9"/>
        <v>1480152</v>
      </c>
      <c r="CA302" s="69">
        <f t="shared" si="9"/>
        <v>632862.00000000012</v>
      </c>
      <c r="CB302" s="69">
        <f t="shared" si="9"/>
        <v>11781826</v>
      </c>
      <c r="CC302" s="69">
        <f t="shared" si="9"/>
        <v>989415</v>
      </c>
      <c r="CD302" s="69">
        <f t="shared" si="9"/>
        <v>661081</v>
      </c>
      <c r="CE302" s="69">
        <f t="shared" si="9"/>
        <v>11872223</v>
      </c>
      <c r="CF302" s="69">
        <f t="shared" si="9"/>
        <v>1049208</v>
      </c>
      <c r="CG302" s="69">
        <f t="shared" si="9"/>
        <v>683603</v>
      </c>
      <c r="CH302" s="69">
        <f t="shared" si="9"/>
        <v>12302497</v>
      </c>
      <c r="CI302" s="69">
        <f t="shared" si="9"/>
        <v>1150310</v>
      </c>
      <c r="CJ302" s="69">
        <f t="shared" si="9"/>
        <v>723786</v>
      </c>
      <c r="CK302" s="69">
        <f t="shared" si="9"/>
        <v>13061390</v>
      </c>
      <c r="CL302" s="69">
        <f t="shared" si="9"/>
        <v>1238081</v>
      </c>
      <c r="CM302" s="69">
        <f t="shared" si="9"/>
        <v>783445</v>
      </c>
      <c r="CN302" s="69">
        <f t="shared" si="9"/>
        <v>13902143</v>
      </c>
      <c r="CO302" s="69">
        <f t="shared" si="9"/>
        <v>1461942</v>
      </c>
      <c r="CP302" s="69">
        <f t="shared" si="9"/>
        <v>854899</v>
      </c>
      <c r="CQ302" s="69">
        <f t="shared" si="9"/>
        <v>15008919</v>
      </c>
      <c r="CR302" s="69">
        <f t="shared" si="9"/>
        <v>1523132</v>
      </c>
      <c r="CS302" s="69">
        <f t="shared" si="9"/>
        <v>912962</v>
      </c>
      <c r="CT302" s="69">
        <f t="shared" si="9"/>
        <v>1255117.7063203342</v>
      </c>
      <c r="CU302" s="69">
        <f t="shared" si="9"/>
        <v>-1544111.4884336856</v>
      </c>
      <c r="CV302" s="69">
        <f t="shared" si="9"/>
        <v>1081772.4652818062</v>
      </c>
      <c r="CW302" s="69">
        <f t="shared" si="9"/>
        <v>4022469</v>
      </c>
      <c r="CX302" s="69">
        <f t="shared" si="9"/>
        <v>1309407.0871028455</v>
      </c>
      <c r="CY302" s="69">
        <f t="shared" si="9"/>
        <v>-1180511.2240200883</v>
      </c>
      <c r="CZ302" s="69">
        <f t="shared" si="9"/>
        <v>1155086.2551780865</v>
      </c>
      <c r="DA302" s="69">
        <f t="shared" si="9"/>
        <v>3931214</v>
      </c>
      <c r="DB302" s="69">
        <f t="shared" si="9"/>
        <v>1479285.806789076</v>
      </c>
      <c r="DC302" s="69">
        <f t="shared" si="9"/>
        <v>-1447178.2270472066</v>
      </c>
      <c r="DD302" s="69">
        <f t="shared" si="9"/>
        <v>1182329.1673183956</v>
      </c>
      <c r="DE302" s="69">
        <f t="shared" si="9"/>
        <v>3844898.9999999995</v>
      </c>
      <c r="DF302" s="69">
        <f t="shared" si="9"/>
        <v>1705209.789210072</v>
      </c>
      <c r="DG302" s="69">
        <f t="shared" si="9"/>
        <v>-2048258.0000000002</v>
      </c>
      <c r="DH302" s="69">
        <f t="shared" si="9"/>
        <v>1192093.8219528969</v>
      </c>
      <c r="DI302" s="69">
        <f t="shared" si="9"/>
        <v>4034817.9999999995</v>
      </c>
      <c r="DJ302" s="69">
        <f t="shared" si="9"/>
        <v>1966951.0000000002</v>
      </c>
      <c r="DK302" s="69">
        <f t="shared" si="9"/>
        <v>-1946216</v>
      </c>
      <c r="DL302" s="69">
        <f t="shared" si="9"/>
        <v>1285332.0000000002</v>
      </c>
      <c r="DM302" s="69">
        <f t="shared" si="9"/>
        <v>4466138</v>
      </c>
      <c r="DN302" s="69">
        <f t="shared" si="9"/>
        <v>1237495</v>
      </c>
      <c r="DO302" s="69">
        <f t="shared" si="9"/>
        <v>-1887871</v>
      </c>
      <c r="DP302" s="69">
        <f t="shared" si="9"/>
        <v>1331929</v>
      </c>
      <c r="DQ302" s="69">
        <f t="shared" si="9"/>
        <v>5186325</v>
      </c>
      <c r="DR302" s="69">
        <f t="shared" si="9"/>
        <v>1098314</v>
      </c>
      <c r="DS302" s="69">
        <f t="shared" si="9"/>
        <v>-2009928</v>
      </c>
      <c r="DT302" s="69">
        <f t="shared" si="9"/>
        <v>1396620</v>
      </c>
      <c r="DU302" s="69">
        <f t="shared" si="9"/>
        <v>6107197</v>
      </c>
      <c r="DV302" s="69">
        <f t="shared" si="9"/>
        <v>1114660</v>
      </c>
      <c r="DW302" s="69">
        <f t="shared" si="9"/>
        <v>-1625997</v>
      </c>
      <c r="DX302" s="69">
        <f t="shared" si="9"/>
        <v>1443387</v>
      </c>
      <c r="DY302" s="69">
        <f t="shared" si="9"/>
        <v>7042050</v>
      </c>
      <c r="DZ302" s="69">
        <f t="shared" si="9"/>
        <v>1716961</v>
      </c>
      <c r="EA302" s="69">
        <f t="shared" si="9"/>
        <v>-1218111</v>
      </c>
      <c r="EB302" s="69">
        <f t="shared" si="9"/>
        <v>1448356</v>
      </c>
      <c r="EC302" s="69">
        <f t="shared" si="9"/>
        <v>7666099.0000000009</v>
      </c>
      <c r="ED302" s="69">
        <f t="shared" si="9"/>
        <v>2015466</v>
      </c>
      <c r="EE302" s="69">
        <f t="shared" si="9"/>
        <v>-2184712</v>
      </c>
      <c r="EF302" s="69">
        <f t="shared" si="9"/>
        <v>1480364</v>
      </c>
      <c r="EG302" s="69">
        <f t="shared" si="9"/>
        <v>8147761.0000000009</v>
      </c>
      <c r="EH302" s="69">
        <f t="shared" si="9"/>
        <v>1918409</v>
      </c>
      <c r="EI302" s="69">
        <f t="shared" ref="EI302:GT302" si="10">EI300-EI301</f>
        <v>-2459114</v>
      </c>
      <c r="EJ302" s="69">
        <f t="shared" si="10"/>
        <v>1569515</v>
      </c>
      <c r="EK302" s="69">
        <f t="shared" si="10"/>
        <v>8631028</v>
      </c>
      <c r="EL302" s="69">
        <f t="shared" si="10"/>
        <v>17415482.03500662</v>
      </c>
      <c r="EM302" s="69">
        <f t="shared" si="10"/>
        <v>146662.39469333459</v>
      </c>
      <c r="EN302" s="69">
        <f t="shared" si="10"/>
        <v>17920082.479359113</v>
      </c>
      <c r="EO302" s="69">
        <f t="shared" si="10"/>
        <v>271956.00876595447</v>
      </c>
      <c r="EP302" s="69">
        <f t="shared" si="10"/>
        <v>18917745.171745092</v>
      </c>
      <c r="EQ302" s="69">
        <f t="shared" si="10"/>
        <v>398064.82971813431</v>
      </c>
      <c r="ER302" s="69">
        <f t="shared" si="10"/>
        <v>20311479.33054477</v>
      </c>
      <c r="ES302" s="69">
        <f t="shared" si="10"/>
        <v>501713.16221893672</v>
      </c>
      <c r="ET302" s="69">
        <f t="shared" si="10"/>
        <v>21417142</v>
      </c>
      <c r="EU302" s="69">
        <f t="shared" si="10"/>
        <v>803511</v>
      </c>
      <c r="EV302" s="69">
        <f t="shared" si="10"/>
        <v>22443523</v>
      </c>
      <c r="EW302" s="69">
        <f t="shared" si="10"/>
        <v>74332</v>
      </c>
      <c r="EX302" s="69">
        <f t="shared" si="10"/>
        <v>23565167</v>
      </c>
      <c r="EY302" s="69">
        <f t="shared" si="10"/>
        <v>-98602</v>
      </c>
      <c r="EZ302" s="69">
        <f t="shared" si="10"/>
        <v>24562390</v>
      </c>
      <c r="FA302" s="69">
        <f t="shared" si="10"/>
        <v>-18341.000000000015</v>
      </c>
      <c r="FB302" s="69">
        <f t="shared" si="10"/>
        <v>25772231</v>
      </c>
      <c r="FC302" s="69">
        <f t="shared" si="10"/>
        <v>526671</v>
      </c>
      <c r="FD302" s="69">
        <f t="shared" si="10"/>
        <v>27049052</v>
      </c>
      <c r="FE302" s="69">
        <f t="shared" si="10"/>
        <v>557231</v>
      </c>
      <c r="FF302" s="69">
        <f t="shared" si="10"/>
        <v>29323839</v>
      </c>
      <c r="FG302" s="69">
        <f t="shared" si="10"/>
        <v>735109</v>
      </c>
      <c r="FH302" s="69">
        <f t="shared" si="10"/>
        <v>4007290</v>
      </c>
      <c r="FI302" s="69">
        <f t="shared" si="10"/>
        <v>4930908</v>
      </c>
      <c r="FJ302" s="69">
        <f t="shared" si="10"/>
        <v>5323693</v>
      </c>
      <c r="FK302" s="69">
        <f t="shared" si="10"/>
        <v>17526079</v>
      </c>
      <c r="FL302" s="69">
        <f t="shared" si="10"/>
        <v>6854306</v>
      </c>
      <c r="FM302" s="69">
        <f t="shared" si="10"/>
        <v>7739148</v>
      </c>
      <c r="FN302" s="69">
        <f t="shared" si="10"/>
        <v>557884</v>
      </c>
      <c r="FO302" s="69">
        <f t="shared" si="10"/>
        <v>15365152</v>
      </c>
      <c r="FP302" s="69">
        <f t="shared" si="10"/>
        <v>1189002</v>
      </c>
      <c r="FQ302" s="69">
        <f t="shared" si="10"/>
        <v>971068</v>
      </c>
      <c r="FR302" s="69">
        <f t="shared" si="10"/>
        <v>1795977</v>
      </c>
      <c r="FS302" s="69">
        <f t="shared" si="10"/>
        <v>-2466264</v>
      </c>
      <c r="FT302" s="69">
        <f t="shared" si="10"/>
        <v>1658956</v>
      </c>
      <c r="FU302" s="69">
        <f t="shared" si="10"/>
        <v>9783492</v>
      </c>
      <c r="FV302" s="69">
        <f t="shared" si="10"/>
        <v>2466264</v>
      </c>
      <c r="FW302" s="69">
        <f t="shared" si="10"/>
        <v>30565058</v>
      </c>
      <c r="FX302" s="69">
        <f t="shared" si="10"/>
        <v>288392</v>
      </c>
      <c r="FY302" s="69">
        <f t="shared" si="10"/>
        <v>5347269</v>
      </c>
      <c r="FZ302" s="69">
        <f t="shared" si="10"/>
        <v>18266294</v>
      </c>
      <c r="GA302" s="69">
        <f t="shared" si="10"/>
        <v>7394694</v>
      </c>
      <c r="GB302" s="69">
        <f t="shared" si="10"/>
        <v>8285349</v>
      </c>
      <c r="GC302" s="69">
        <f t="shared" si="10"/>
        <v>1472484</v>
      </c>
      <c r="GD302" s="69">
        <f t="shared" si="10"/>
        <v>15690676</v>
      </c>
      <c r="GE302" s="69">
        <f t="shared" si="10"/>
        <v>1407162</v>
      </c>
      <c r="GF302" s="69">
        <f t="shared" si="10"/>
        <v>1167652</v>
      </c>
      <c r="GG302" s="69">
        <f t="shared" si="10"/>
        <v>2465988</v>
      </c>
      <c r="GH302" s="69">
        <f t="shared" si="10"/>
        <v>-1081354</v>
      </c>
      <c r="GI302" s="69">
        <f t="shared" si="10"/>
        <v>1696228</v>
      </c>
      <c r="GJ302" s="69">
        <f t="shared" si="10"/>
        <v>10459031</v>
      </c>
      <c r="GK302" s="69">
        <f t="shared" si="10"/>
        <v>1081354</v>
      </c>
      <c r="GL302" s="69">
        <f t="shared" si="10"/>
        <v>31765384</v>
      </c>
      <c r="GM302" s="69">
        <f t="shared" si="10"/>
        <v>1837457</v>
      </c>
      <c r="GN302" s="69">
        <f t="shared" si="10"/>
        <v>7005659</v>
      </c>
      <c r="GO302" s="69">
        <f t="shared" si="10"/>
        <v>5800.5</v>
      </c>
      <c r="GP302" s="69">
        <f t="shared" si="10"/>
        <v>5372913</v>
      </c>
      <c r="GQ302" s="69">
        <f t="shared" si="10"/>
        <v>18973738</v>
      </c>
      <c r="GR302" s="69">
        <f t="shared" si="10"/>
        <v>7621841</v>
      </c>
      <c r="GS302" s="69">
        <f t="shared" si="10"/>
        <v>8732777</v>
      </c>
      <c r="GT302" s="69">
        <f t="shared" si="10"/>
        <v>454524</v>
      </c>
      <c r="GU302" s="69">
        <f t="shared" ref="GU302:HU302" si="11">GU300-GU301</f>
        <v>16127866</v>
      </c>
      <c r="GV302" s="69">
        <f t="shared" si="11"/>
        <v>1645217</v>
      </c>
      <c r="GW302" s="69">
        <f t="shared" si="11"/>
        <v>1199955</v>
      </c>
      <c r="GX302" s="69">
        <f t="shared" si="11"/>
        <v>2054472</v>
      </c>
      <c r="GY302" s="69">
        <f t="shared" si="11"/>
        <v>-2640768</v>
      </c>
      <c r="GZ302" s="69">
        <f t="shared" si="11"/>
        <v>1745335</v>
      </c>
      <c r="HA302" s="69">
        <f t="shared" si="11"/>
        <v>10947669</v>
      </c>
      <c r="HB302" s="69">
        <f t="shared" si="11"/>
        <v>2640768</v>
      </c>
      <c r="HC302" s="69">
        <f t="shared" si="11"/>
        <v>33460309</v>
      </c>
      <c r="HD302" s="69">
        <f t="shared" si="11"/>
        <v>465969</v>
      </c>
      <c r="HE302" s="69">
        <f t="shared" si="11"/>
        <v>5398173</v>
      </c>
      <c r="HF302" s="69">
        <f t="shared" si="11"/>
        <v>19228651</v>
      </c>
      <c r="HG302" s="69">
        <f t="shared" si="11"/>
        <v>8031581</v>
      </c>
      <c r="HH302" s="69">
        <f t="shared" si="11"/>
        <v>9056776</v>
      </c>
      <c r="HI302" s="69">
        <f t="shared" si="11"/>
        <v>693795</v>
      </c>
      <c r="HJ302" s="69">
        <f t="shared" si="11"/>
        <v>16754413</v>
      </c>
      <c r="HK302" s="69">
        <f t="shared" si="11"/>
        <v>1205379</v>
      </c>
      <c r="HL302" s="69">
        <f t="shared" si="11"/>
        <v>1268178</v>
      </c>
      <c r="HM302" s="69">
        <f t="shared" si="11"/>
        <v>1340812</v>
      </c>
      <c r="HN302" s="69">
        <f t="shared" si="11"/>
        <v>-2719195</v>
      </c>
      <c r="HO302" s="69">
        <f t="shared" si="11"/>
        <v>1891826</v>
      </c>
      <c r="HP302" s="69">
        <f t="shared" si="11"/>
        <v>12212446</v>
      </c>
      <c r="HQ302" s="69">
        <f t="shared" si="11"/>
        <v>2719195</v>
      </c>
      <c r="HR302" s="69">
        <f t="shared" si="11"/>
        <v>35283938</v>
      </c>
      <c r="HS302" s="69">
        <f t="shared" si="11"/>
        <v>-283917</v>
      </c>
      <c r="HT302" s="69">
        <f t="shared" si="11"/>
        <v>6571755</v>
      </c>
      <c r="HU302" s="69">
        <f t="shared" si="11"/>
        <v>5860</v>
      </c>
      <c r="HV302" s="179"/>
    </row>
    <row r="303" spans="1:231" x14ac:dyDescent="0.25">
      <c r="I303" s="31"/>
      <c r="J303" s="69"/>
      <c r="K303" s="69"/>
      <c r="R303" s="69"/>
      <c r="S303" s="69"/>
      <c r="T303" s="71"/>
      <c r="AX303" s="69"/>
      <c r="DO303" s="69"/>
      <c r="DW303" s="71"/>
      <c r="DX303" s="39"/>
      <c r="DY303" s="71"/>
      <c r="EA303" s="35"/>
      <c r="EB303" s="35"/>
      <c r="EC303" s="38"/>
      <c r="ED303" s="38"/>
      <c r="EE303" s="38"/>
      <c r="EF303" s="38"/>
      <c r="FJ303" s="79"/>
      <c r="FK303" s="80"/>
      <c r="FL303" s="80"/>
      <c r="FM303" s="80"/>
      <c r="FN303" s="76"/>
      <c r="FO303" s="80"/>
      <c r="FP303" s="80"/>
      <c r="FQ303" s="80"/>
      <c r="FR303" s="80"/>
      <c r="FS303" s="81"/>
      <c r="FT303" s="76"/>
      <c r="FU303" s="76"/>
      <c r="FV303" s="76"/>
      <c r="FW303" s="80"/>
      <c r="FX303" s="80"/>
      <c r="GP303" s="68"/>
      <c r="GQ303" s="65"/>
      <c r="GR303" s="65"/>
      <c r="GS303" s="65"/>
      <c r="GT303" s="65"/>
      <c r="GU303" s="65"/>
      <c r="GV303" s="65"/>
      <c r="GW303" s="65"/>
      <c r="GX303" s="65"/>
      <c r="GY303" s="65"/>
      <c r="GZ303" s="65"/>
      <c r="HA303" s="65"/>
      <c r="HB303" s="65"/>
      <c r="HC303" s="65"/>
      <c r="HD303" s="65"/>
      <c r="HE303" s="68"/>
      <c r="HF303" s="65"/>
      <c r="HG303" s="65"/>
      <c r="HH303" s="65"/>
      <c r="HI303" s="65"/>
      <c r="HJ303" s="65"/>
      <c r="HK303" s="65"/>
      <c r="HL303" s="65"/>
      <c r="HM303" s="65"/>
      <c r="HN303" s="65"/>
      <c r="HO303" s="65"/>
      <c r="HP303" s="65"/>
      <c r="HQ303" s="65"/>
      <c r="HR303" s="65"/>
      <c r="HS303" s="65"/>
      <c r="HT303" s="65"/>
      <c r="HU303" s="67"/>
      <c r="HV303" s="179"/>
    </row>
    <row r="304" spans="1:231" x14ac:dyDescent="0.25">
      <c r="I304" s="31"/>
      <c r="J304" s="69"/>
      <c r="K304" s="69"/>
      <c r="R304" s="69"/>
      <c r="S304" s="69"/>
      <c r="T304" s="71"/>
      <c r="AX304" s="69"/>
      <c r="DO304" s="69"/>
      <c r="DW304" s="71"/>
      <c r="DX304" s="39"/>
      <c r="DY304" s="71"/>
      <c r="EA304" s="35"/>
      <c r="EB304" s="35"/>
      <c r="EC304" s="38"/>
      <c r="ED304" s="38"/>
      <c r="EE304" s="38"/>
      <c r="EF304" s="38"/>
      <c r="FJ304" s="79"/>
      <c r="FK304" s="80"/>
      <c r="FL304" s="80"/>
      <c r="FM304" s="80"/>
      <c r="FN304" s="76"/>
      <c r="FO304" s="80"/>
      <c r="FP304" s="80"/>
      <c r="FQ304" s="80"/>
      <c r="FR304" s="80"/>
      <c r="FS304" s="81"/>
      <c r="FT304" s="76"/>
      <c r="FU304" s="76"/>
      <c r="FV304" s="76"/>
      <c r="FW304" s="80"/>
      <c r="FX304" s="80"/>
      <c r="GP304" s="68"/>
      <c r="GQ304" s="65"/>
      <c r="GR304" s="65"/>
      <c r="GS304" s="65"/>
      <c r="GT304" s="65"/>
      <c r="GU304" s="65"/>
      <c r="GV304" s="65"/>
      <c r="GW304" s="65"/>
      <c r="GX304" s="65"/>
      <c r="GY304" s="65"/>
      <c r="GZ304" s="65"/>
      <c r="HA304" s="65"/>
      <c r="HB304" s="65"/>
      <c r="HC304" s="65"/>
      <c r="HD304" s="65"/>
      <c r="HE304" s="68"/>
      <c r="HF304" s="65"/>
      <c r="HG304" s="65"/>
      <c r="HH304" s="65"/>
      <c r="HI304" s="65"/>
      <c r="HJ304" s="65"/>
      <c r="HK304" s="65"/>
      <c r="HL304" s="65"/>
      <c r="HM304" s="65"/>
      <c r="HN304" s="65"/>
      <c r="HO304" s="65"/>
      <c r="HP304" s="65"/>
      <c r="HQ304" s="65"/>
      <c r="HR304" s="65"/>
      <c r="HS304" s="65"/>
      <c r="HT304" s="65"/>
      <c r="HU304" s="67"/>
      <c r="HV304" s="179"/>
    </row>
    <row r="305" spans="1:230" x14ac:dyDescent="0.25">
      <c r="I305" s="31"/>
      <c r="J305" s="69"/>
      <c r="K305" s="69"/>
      <c r="R305" s="69"/>
      <c r="S305" s="69"/>
      <c r="T305" s="71"/>
      <c r="AX305" s="69"/>
      <c r="DO305" s="69"/>
      <c r="DW305" s="71"/>
      <c r="DX305" s="39"/>
      <c r="DY305" s="71"/>
      <c r="EA305" s="35"/>
      <c r="EB305" s="35"/>
      <c r="EC305" s="38"/>
      <c r="ED305" s="38"/>
      <c r="EE305" s="38"/>
      <c r="EF305" s="38"/>
      <c r="FJ305" s="79"/>
      <c r="FK305" s="80"/>
      <c r="FL305" s="80"/>
      <c r="FM305" s="80"/>
      <c r="FN305" s="76"/>
      <c r="FO305" s="80"/>
      <c r="FP305" s="80"/>
      <c r="FQ305" s="80"/>
      <c r="FR305" s="80"/>
      <c r="FS305" s="81"/>
      <c r="FT305" s="76"/>
      <c r="FU305" s="76"/>
      <c r="FV305" s="76"/>
      <c r="FW305" s="80"/>
      <c r="FX305" s="80"/>
      <c r="GP305" s="68"/>
      <c r="GQ305" s="65"/>
      <c r="GR305" s="65"/>
      <c r="GS305" s="65"/>
      <c r="GT305" s="65"/>
      <c r="GU305" s="65"/>
      <c r="GV305" s="65"/>
      <c r="GW305" s="65"/>
      <c r="GX305" s="65"/>
      <c r="GY305" s="65"/>
      <c r="GZ305" s="65"/>
      <c r="HA305" s="65"/>
      <c r="HB305" s="65"/>
      <c r="HC305" s="65"/>
      <c r="HD305" s="65"/>
      <c r="HE305" s="68"/>
      <c r="HF305" s="65"/>
      <c r="HG305" s="65"/>
      <c r="HH305" s="65"/>
      <c r="HI305" s="65"/>
      <c r="HJ305" s="65"/>
      <c r="HK305" s="65"/>
      <c r="HL305" s="65"/>
      <c r="HM305" s="65"/>
      <c r="HN305" s="65"/>
      <c r="HO305" s="65"/>
      <c r="HP305" s="65"/>
      <c r="HQ305" s="65"/>
      <c r="HR305" s="65"/>
      <c r="HS305" s="65"/>
      <c r="HT305" s="65"/>
      <c r="HU305" s="67"/>
      <c r="HV305" s="179"/>
    </row>
    <row r="306" spans="1:230" x14ac:dyDescent="0.25">
      <c r="I306" s="31"/>
      <c r="J306" s="69"/>
      <c r="K306" s="69"/>
      <c r="R306" s="69"/>
      <c r="S306" s="69"/>
      <c r="T306" s="71"/>
      <c r="AX306" s="69"/>
      <c r="DO306" s="69"/>
      <c r="DW306" s="71"/>
      <c r="DX306" s="39"/>
      <c r="DY306" s="71"/>
      <c r="EA306" s="35"/>
      <c r="EB306" s="35"/>
      <c r="EC306" s="38"/>
      <c r="ED306" s="38"/>
      <c r="EE306" s="38"/>
      <c r="EF306" s="38"/>
      <c r="FJ306" s="79"/>
      <c r="FK306" s="80"/>
      <c r="FL306" s="80"/>
      <c r="FM306" s="80"/>
      <c r="FN306" s="76"/>
      <c r="FO306" s="80"/>
      <c r="FP306" s="80"/>
      <c r="FQ306" s="80"/>
      <c r="FR306" s="80"/>
      <c r="FS306" s="81"/>
      <c r="FT306" s="76"/>
      <c r="FU306" s="76"/>
      <c r="FV306" s="76"/>
      <c r="FW306" s="80"/>
      <c r="FX306" s="80"/>
      <c r="GP306" s="68"/>
      <c r="GQ306" s="65"/>
      <c r="GR306" s="65"/>
      <c r="GS306" s="65"/>
      <c r="GT306" s="65"/>
      <c r="GU306" s="65"/>
      <c r="GV306" s="65"/>
      <c r="GW306" s="65"/>
      <c r="GX306" s="65"/>
      <c r="GY306" s="65"/>
      <c r="GZ306" s="65"/>
      <c r="HA306" s="65"/>
      <c r="HB306" s="65"/>
      <c r="HC306" s="65"/>
      <c r="HD306" s="65"/>
      <c r="HE306" s="68"/>
      <c r="HF306" s="65"/>
      <c r="HG306" s="65"/>
      <c r="HH306" s="65"/>
      <c r="HI306" s="65"/>
      <c r="HJ306" s="65"/>
      <c r="HK306" s="65"/>
      <c r="HL306" s="65"/>
      <c r="HM306" s="65"/>
      <c r="HN306" s="65"/>
      <c r="HO306" s="65"/>
      <c r="HP306" s="65"/>
      <c r="HQ306" s="65"/>
      <c r="HR306" s="65"/>
      <c r="HS306" s="65"/>
      <c r="HT306" s="65"/>
      <c r="HU306" s="67"/>
      <c r="HV306" s="179"/>
    </row>
    <row r="307" spans="1:230" x14ac:dyDescent="0.25">
      <c r="I307" s="31"/>
      <c r="J307" s="69"/>
      <c r="K307" s="69"/>
      <c r="R307" s="69"/>
      <c r="S307" s="69"/>
      <c r="T307" s="71"/>
      <c r="AX307" s="69"/>
      <c r="DO307" s="69"/>
      <c r="DW307" s="71"/>
      <c r="DX307" s="39"/>
      <c r="DY307" s="71"/>
      <c r="EA307" s="35"/>
      <c r="EB307" s="35"/>
      <c r="EC307" s="38"/>
      <c r="ED307" s="38"/>
      <c r="EE307" s="38"/>
      <c r="EF307" s="38"/>
      <c r="FJ307" s="79"/>
      <c r="FK307" s="80"/>
      <c r="FL307" s="80"/>
      <c r="FM307" s="80"/>
      <c r="FN307" s="76"/>
      <c r="FO307" s="80"/>
      <c r="FP307" s="80"/>
      <c r="FQ307" s="80"/>
      <c r="FR307" s="80"/>
      <c r="FS307" s="81"/>
      <c r="FT307" s="76"/>
      <c r="FU307" s="76"/>
      <c r="FV307" s="76"/>
      <c r="FW307" s="80"/>
      <c r="FX307" s="80"/>
      <c r="GP307" s="68"/>
      <c r="GQ307" s="65"/>
      <c r="GR307" s="65"/>
      <c r="GS307" s="65"/>
      <c r="GT307" s="65"/>
      <c r="GU307" s="65"/>
      <c r="GV307" s="65"/>
      <c r="GW307" s="65"/>
      <c r="GX307" s="65"/>
      <c r="GY307" s="65"/>
      <c r="GZ307" s="65"/>
      <c r="HA307" s="65"/>
      <c r="HB307" s="65"/>
      <c r="HC307" s="65"/>
      <c r="HD307" s="65"/>
      <c r="HE307" s="68"/>
      <c r="HF307" s="65"/>
      <c r="HG307" s="65"/>
      <c r="HH307" s="65"/>
      <c r="HI307" s="65"/>
      <c r="HJ307" s="65"/>
      <c r="HK307" s="65"/>
      <c r="HL307" s="65"/>
      <c r="HM307" s="65"/>
      <c r="HN307" s="65"/>
      <c r="HO307" s="65"/>
      <c r="HP307" s="65"/>
      <c r="HQ307" s="65"/>
      <c r="HR307" s="65"/>
      <c r="HS307" s="65"/>
      <c r="HT307" s="65"/>
      <c r="HU307" s="67"/>
      <c r="HV307" s="179"/>
    </row>
    <row r="308" spans="1:230" x14ac:dyDescent="0.25">
      <c r="I308" s="31"/>
      <c r="J308" s="69"/>
      <c r="K308" s="69"/>
      <c r="R308" s="69"/>
      <c r="S308" s="69"/>
      <c r="T308" s="71"/>
      <c r="AX308" s="69"/>
      <c r="DO308" s="69"/>
      <c r="DW308" s="71"/>
      <c r="DX308" s="39"/>
      <c r="DY308" s="71"/>
      <c r="EA308" s="35"/>
      <c r="EB308" s="35"/>
      <c r="EC308" s="38"/>
      <c r="ED308" s="38"/>
      <c r="EE308" s="38"/>
      <c r="EF308" s="38"/>
      <c r="FJ308" s="79"/>
      <c r="FK308" s="80"/>
      <c r="FL308" s="80"/>
      <c r="FM308" s="80"/>
      <c r="FN308" s="76"/>
      <c r="FO308" s="80"/>
      <c r="FP308" s="80"/>
      <c r="FQ308" s="80"/>
      <c r="FR308" s="80"/>
      <c r="FS308" s="81"/>
      <c r="FT308" s="76"/>
      <c r="FU308" s="76"/>
      <c r="FV308" s="76"/>
      <c r="FW308" s="80"/>
      <c r="FX308" s="80"/>
      <c r="GP308" s="68"/>
      <c r="GQ308" s="65"/>
      <c r="GR308" s="65"/>
      <c r="GS308" s="65"/>
      <c r="GT308" s="65"/>
      <c r="GU308" s="65"/>
      <c r="GV308" s="65"/>
      <c r="GW308" s="65"/>
      <c r="GX308" s="65"/>
      <c r="GY308" s="65"/>
      <c r="GZ308" s="65"/>
      <c r="HA308" s="65"/>
      <c r="HB308" s="65"/>
      <c r="HC308" s="65"/>
      <c r="HD308" s="65"/>
      <c r="HE308" s="68"/>
      <c r="HF308" s="65"/>
      <c r="HG308" s="65"/>
      <c r="HH308" s="65"/>
      <c r="HI308" s="65"/>
      <c r="HJ308" s="65"/>
      <c r="HK308" s="65"/>
      <c r="HL308" s="65"/>
      <c r="HM308" s="65"/>
      <c r="HN308" s="65"/>
      <c r="HO308" s="65"/>
      <c r="HP308" s="65"/>
      <c r="HQ308" s="65"/>
      <c r="HR308" s="65"/>
      <c r="HS308" s="65"/>
      <c r="HT308" s="65"/>
      <c r="HU308" s="67"/>
      <c r="HV308" s="179"/>
    </row>
    <row r="309" spans="1:230" x14ac:dyDescent="0.25">
      <c r="I309" s="31"/>
      <c r="J309" s="69"/>
      <c r="K309" s="69"/>
      <c r="R309" s="69"/>
      <c r="S309" s="69"/>
      <c r="T309" s="71"/>
      <c r="AX309" s="69"/>
      <c r="DO309" s="69"/>
      <c r="DW309" s="71"/>
      <c r="DX309" s="39"/>
      <c r="DY309" s="71"/>
      <c r="EA309" s="35"/>
      <c r="EB309" s="35"/>
      <c r="EC309" s="38"/>
      <c r="ED309" s="38"/>
      <c r="EE309" s="38"/>
      <c r="EF309" s="38"/>
      <c r="FJ309" s="79"/>
      <c r="FK309" s="80"/>
      <c r="FL309" s="80"/>
      <c r="FM309" s="80"/>
      <c r="FN309" s="76"/>
      <c r="FO309" s="80"/>
      <c r="FP309" s="80"/>
      <c r="FQ309" s="80"/>
      <c r="FR309" s="80"/>
      <c r="FS309" s="81"/>
      <c r="FT309" s="76"/>
      <c r="FU309" s="76"/>
      <c r="FV309" s="76"/>
      <c r="FW309" s="80"/>
      <c r="FX309" s="80"/>
      <c r="GP309" s="68"/>
      <c r="GQ309" s="65"/>
      <c r="GR309" s="65"/>
      <c r="GS309" s="65"/>
      <c r="GT309" s="65"/>
      <c r="GU309" s="65"/>
      <c r="GV309" s="65"/>
      <c r="GW309" s="65"/>
      <c r="GX309" s="65"/>
      <c r="GY309" s="65"/>
      <c r="GZ309" s="65"/>
      <c r="HA309" s="65"/>
      <c r="HB309" s="65"/>
      <c r="HC309" s="65"/>
      <c r="HD309" s="65"/>
      <c r="HE309" s="68"/>
      <c r="HF309" s="65"/>
      <c r="HG309" s="65"/>
      <c r="HH309" s="65"/>
      <c r="HI309" s="65"/>
      <c r="HJ309" s="65"/>
      <c r="HK309" s="65"/>
      <c r="HL309" s="65"/>
      <c r="HM309" s="65"/>
      <c r="HN309" s="65"/>
      <c r="HO309" s="65"/>
      <c r="HP309" s="65"/>
      <c r="HQ309" s="65"/>
      <c r="HR309" s="65"/>
      <c r="HS309" s="65"/>
      <c r="HT309" s="65"/>
      <c r="HU309" s="67"/>
      <c r="HV309" s="179"/>
    </row>
    <row r="310" spans="1:230" x14ac:dyDescent="0.25">
      <c r="I310" s="31"/>
      <c r="J310" s="69"/>
      <c r="K310" s="69"/>
      <c r="R310" s="69"/>
      <c r="S310" s="69"/>
      <c r="T310" s="71"/>
      <c r="AX310" s="69"/>
      <c r="DO310" s="69"/>
      <c r="DW310" s="71"/>
      <c r="DX310" s="39"/>
      <c r="DY310" s="71"/>
      <c r="EA310" s="35"/>
      <c r="EB310" s="35"/>
      <c r="EC310" s="38"/>
      <c r="ED310" s="38"/>
      <c r="EE310" s="38"/>
      <c r="EF310" s="38"/>
      <c r="FJ310" s="79"/>
      <c r="FK310" s="80"/>
      <c r="FL310" s="80"/>
      <c r="FM310" s="80"/>
      <c r="FN310" s="76"/>
      <c r="FO310" s="80"/>
      <c r="FP310" s="80"/>
      <c r="FQ310" s="80"/>
      <c r="FR310" s="80"/>
      <c r="FS310" s="81"/>
      <c r="FT310" s="76"/>
      <c r="FU310" s="76"/>
      <c r="FV310" s="76"/>
      <c r="FW310" s="80"/>
      <c r="FX310" s="80"/>
      <c r="GP310" s="68"/>
      <c r="GQ310" s="65"/>
      <c r="GR310" s="65"/>
      <c r="GS310" s="65"/>
      <c r="GT310" s="65"/>
      <c r="GU310" s="65"/>
      <c r="GV310" s="65"/>
      <c r="GW310" s="65"/>
      <c r="GX310" s="65"/>
      <c r="GY310" s="65"/>
      <c r="GZ310" s="65"/>
      <c r="HA310" s="65"/>
      <c r="HB310" s="65"/>
      <c r="HC310" s="65"/>
      <c r="HD310" s="65"/>
      <c r="HE310" s="68"/>
      <c r="HF310" s="65"/>
      <c r="HG310" s="65"/>
      <c r="HH310" s="65"/>
      <c r="HI310" s="65"/>
      <c r="HJ310" s="65"/>
      <c r="HK310" s="65"/>
      <c r="HL310" s="65"/>
      <c r="HM310" s="65"/>
      <c r="HN310" s="65"/>
      <c r="HO310" s="65"/>
      <c r="HP310" s="65"/>
      <c r="HQ310" s="65"/>
      <c r="HR310" s="65"/>
      <c r="HS310" s="65"/>
      <c r="HT310" s="65"/>
      <c r="HU310" s="67"/>
      <c r="HV310" s="179"/>
    </row>
    <row r="311" spans="1:230" x14ac:dyDescent="0.25">
      <c r="I311" s="31"/>
      <c r="J311" s="69"/>
      <c r="K311" s="69"/>
      <c r="R311" s="69"/>
      <c r="S311" s="69"/>
      <c r="T311" s="71"/>
      <c r="AX311" s="69"/>
      <c r="DO311" s="69"/>
      <c r="DW311" s="71"/>
      <c r="DX311" s="39"/>
      <c r="DY311" s="71"/>
      <c r="EA311" s="35"/>
      <c r="EB311" s="35"/>
      <c r="EC311" s="38"/>
      <c r="ED311" s="38"/>
      <c r="EE311" s="38"/>
      <c r="EF311" s="38"/>
      <c r="FL311" s="88"/>
      <c r="FM311" s="88"/>
      <c r="FN311" s="88"/>
      <c r="FO311" s="88"/>
      <c r="FP311" s="88"/>
      <c r="FQ311" s="88"/>
      <c r="FR311" s="88"/>
      <c r="FS311" s="74"/>
      <c r="FW311" s="88"/>
      <c r="FX311" s="88"/>
      <c r="GP311" s="68"/>
      <c r="GQ311" s="65"/>
      <c r="GR311" s="65"/>
      <c r="GS311" s="65"/>
      <c r="GT311" s="65"/>
      <c r="GU311" s="65"/>
      <c r="GV311" s="65"/>
      <c r="GW311" s="65"/>
      <c r="GX311" s="65"/>
      <c r="GY311" s="65"/>
      <c r="GZ311" s="65"/>
      <c r="HA311" s="65"/>
      <c r="HB311" s="65"/>
      <c r="HC311" s="65"/>
      <c r="HD311" s="65"/>
      <c r="HE311" s="68"/>
      <c r="HF311" s="65"/>
      <c r="HG311" s="65"/>
      <c r="HH311" s="65"/>
      <c r="HI311" s="65"/>
      <c r="HJ311" s="65"/>
      <c r="HK311" s="65"/>
      <c r="HL311" s="65"/>
      <c r="HM311" s="65"/>
      <c r="HN311" s="65"/>
      <c r="HO311" s="65"/>
      <c r="HP311" s="65"/>
      <c r="HQ311" s="65"/>
      <c r="HR311" s="65"/>
      <c r="HS311" s="65"/>
      <c r="HT311" s="65"/>
      <c r="HU311" s="67"/>
      <c r="HV311" s="179"/>
    </row>
    <row r="312" spans="1:230" x14ac:dyDescent="0.25">
      <c r="I312" s="31"/>
      <c r="J312" s="69"/>
      <c r="K312" s="69"/>
      <c r="R312" s="69"/>
      <c r="S312" s="69"/>
      <c r="T312" s="71"/>
      <c r="AX312" s="69"/>
      <c r="DO312" s="69"/>
      <c r="DW312" s="71"/>
      <c r="DX312" s="39"/>
      <c r="DY312" s="71"/>
      <c r="EA312" s="35"/>
      <c r="EB312" s="35"/>
      <c r="EC312" s="38"/>
      <c r="ED312" s="38"/>
      <c r="EE312" s="38"/>
      <c r="EF312" s="38"/>
      <c r="FL312" s="88"/>
      <c r="FM312" s="88"/>
      <c r="FN312" s="88"/>
      <c r="FO312" s="88"/>
      <c r="FP312" s="88"/>
      <c r="FQ312" s="88"/>
      <c r="FS312" s="74"/>
      <c r="FW312" s="88"/>
      <c r="FX312" s="88"/>
      <c r="GP312" s="68"/>
      <c r="GQ312" s="65"/>
      <c r="GR312" s="65"/>
      <c r="GS312" s="65"/>
      <c r="GT312" s="65"/>
      <c r="GU312" s="65"/>
      <c r="GV312" s="65"/>
      <c r="GW312" s="65"/>
      <c r="GX312" s="65"/>
      <c r="GY312" s="65"/>
      <c r="GZ312" s="65"/>
      <c r="HA312" s="65"/>
      <c r="HB312" s="65"/>
      <c r="HC312" s="65"/>
      <c r="HD312" s="65"/>
      <c r="HE312" s="68"/>
      <c r="HF312" s="65"/>
      <c r="HG312" s="65"/>
      <c r="HH312" s="65"/>
      <c r="HI312" s="65"/>
      <c r="HJ312" s="65"/>
      <c r="HK312" s="65"/>
      <c r="HL312" s="65"/>
      <c r="HM312" s="65"/>
      <c r="HN312" s="65"/>
      <c r="HO312" s="65"/>
      <c r="HP312" s="65"/>
      <c r="HQ312" s="65"/>
      <c r="HR312" s="65"/>
      <c r="HS312" s="65"/>
      <c r="HT312" s="65"/>
      <c r="HU312" s="67"/>
      <c r="HV312" s="179"/>
    </row>
    <row r="313" spans="1:230" x14ac:dyDescent="0.25">
      <c r="I313" s="31"/>
      <c r="J313" s="69"/>
      <c r="K313" s="69"/>
      <c r="R313" s="69"/>
      <c r="S313" s="69"/>
      <c r="T313" s="71"/>
      <c r="AX313" s="69"/>
      <c r="DO313" s="69"/>
      <c r="DW313" s="71"/>
      <c r="DX313" s="39"/>
      <c r="DY313" s="71"/>
      <c r="EA313" s="35"/>
      <c r="EB313" s="35"/>
      <c r="EC313" s="38"/>
      <c r="ED313" s="38"/>
      <c r="EE313" s="38"/>
      <c r="EF313" s="38"/>
      <c r="FX313" s="88"/>
      <c r="GP313" s="68"/>
      <c r="GQ313" s="65"/>
      <c r="GR313" s="65"/>
      <c r="GS313" s="65"/>
      <c r="GT313" s="65"/>
      <c r="GU313" s="65"/>
      <c r="GV313" s="65"/>
      <c r="GW313" s="65"/>
      <c r="GX313" s="65"/>
      <c r="GY313" s="65"/>
      <c r="GZ313" s="65"/>
      <c r="HA313" s="65"/>
      <c r="HB313" s="65"/>
      <c r="HC313" s="65"/>
      <c r="HD313" s="65"/>
      <c r="HE313" s="68"/>
      <c r="HF313" s="65"/>
      <c r="HG313" s="65"/>
      <c r="HH313" s="65"/>
      <c r="HI313" s="65"/>
      <c r="HJ313" s="65"/>
      <c r="HK313" s="65"/>
      <c r="HL313" s="65"/>
      <c r="HM313" s="65"/>
      <c r="HN313" s="65"/>
      <c r="HO313" s="65"/>
      <c r="HP313" s="65"/>
      <c r="HQ313" s="65"/>
      <c r="HR313" s="65"/>
      <c r="HS313" s="65"/>
      <c r="HT313" s="65"/>
      <c r="HU313" s="67"/>
      <c r="HV313" s="179"/>
    </row>
    <row r="314" spans="1:230" x14ac:dyDescent="0.25">
      <c r="I314" s="31"/>
      <c r="J314" s="69"/>
      <c r="K314" s="69"/>
      <c r="R314" s="69"/>
      <c r="S314" s="69"/>
      <c r="T314" s="71"/>
      <c r="AX314" s="69"/>
      <c r="DO314" s="69"/>
      <c r="DW314" s="71"/>
      <c r="DX314" s="39"/>
      <c r="DY314" s="71"/>
      <c r="EA314" s="35"/>
      <c r="EB314" s="35"/>
      <c r="EC314" s="38"/>
      <c r="ED314" s="38"/>
      <c r="EE314" s="38"/>
      <c r="EF314" s="38"/>
      <c r="GP314" s="68"/>
      <c r="GQ314" s="65"/>
      <c r="GR314" s="65"/>
      <c r="GS314" s="65"/>
      <c r="GT314" s="65"/>
      <c r="GU314" s="65"/>
      <c r="GV314" s="65"/>
      <c r="GW314" s="65"/>
      <c r="GX314" s="65"/>
      <c r="GY314" s="65"/>
      <c r="GZ314" s="65"/>
      <c r="HA314" s="65"/>
      <c r="HB314" s="65"/>
      <c r="HC314" s="65"/>
      <c r="HD314" s="65"/>
      <c r="HE314" s="68"/>
      <c r="HF314" s="65"/>
      <c r="HG314" s="65"/>
      <c r="HH314" s="65"/>
      <c r="HI314" s="65"/>
      <c r="HJ314" s="65"/>
      <c r="HK314" s="65"/>
      <c r="HL314" s="65"/>
      <c r="HM314" s="65"/>
      <c r="HN314" s="65"/>
      <c r="HO314" s="65"/>
      <c r="HP314" s="65"/>
      <c r="HQ314" s="65"/>
      <c r="HR314" s="65"/>
      <c r="HS314" s="65"/>
      <c r="HT314" s="65"/>
      <c r="HU314" s="67"/>
      <c r="HV314" s="179"/>
    </row>
    <row r="315" spans="1:230" x14ac:dyDescent="0.25">
      <c r="I315" s="31"/>
      <c r="J315" s="69"/>
      <c r="K315" s="69"/>
      <c r="R315" s="69"/>
      <c r="S315" s="69"/>
      <c r="T315" s="71"/>
      <c r="AX315" s="69"/>
      <c r="DO315" s="69"/>
      <c r="DW315" s="71"/>
      <c r="DX315" s="39"/>
      <c r="DY315" s="71"/>
      <c r="EA315" s="35"/>
      <c r="EB315" s="35"/>
      <c r="EC315" s="38"/>
      <c r="ED315" s="38"/>
      <c r="EE315" s="38"/>
      <c r="EF315" s="38"/>
      <c r="GP315" s="68"/>
      <c r="GQ315" s="65"/>
      <c r="GR315" s="65"/>
      <c r="GS315" s="65"/>
      <c r="GT315" s="65"/>
      <c r="GU315" s="65"/>
      <c r="GV315" s="65"/>
      <c r="GW315" s="65"/>
      <c r="GX315" s="65"/>
      <c r="GY315" s="65"/>
      <c r="GZ315" s="65"/>
      <c r="HA315" s="65"/>
      <c r="HB315" s="65"/>
      <c r="HC315" s="65"/>
      <c r="HD315" s="65"/>
      <c r="HE315" s="68"/>
      <c r="HF315" s="65"/>
      <c r="HG315" s="65"/>
      <c r="HH315" s="65"/>
      <c r="HI315" s="65"/>
      <c r="HJ315" s="65"/>
      <c r="HK315" s="65"/>
      <c r="HL315" s="65"/>
      <c r="HM315" s="65"/>
      <c r="HN315" s="65"/>
      <c r="HO315" s="65"/>
      <c r="HP315" s="65"/>
      <c r="HQ315" s="65"/>
      <c r="HR315" s="65"/>
      <c r="HS315" s="65"/>
      <c r="HT315" s="65"/>
      <c r="HU315" s="67"/>
      <c r="HV315" s="179"/>
    </row>
    <row r="316" spans="1:230" x14ac:dyDescent="0.25">
      <c r="A316" s="32"/>
      <c r="B316" s="32"/>
      <c r="C316" s="32"/>
      <c r="D316" s="32"/>
      <c r="G316" s="43"/>
      <c r="H316" s="32"/>
      <c r="I316" s="33"/>
      <c r="J316" s="69"/>
      <c r="K316" s="69"/>
      <c r="R316" s="69"/>
      <c r="S316" s="69"/>
      <c r="T316" s="71"/>
      <c r="AX316" s="69"/>
      <c r="DO316" s="69"/>
      <c r="DW316" s="71"/>
      <c r="DX316" s="39"/>
      <c r="DY316" s="71"/>
      <c r="EA316" s="35"/>
      <c r="EB316" s="35"/>
      <c r="EC316" s="38"/>
      <c r="ED316" s="38"/>
      <c r="EE316" s="38"/>
      <c r="EF316" s="38"/>
      <c r="GP316" s="68"/>
      <c r="GQ316" s="65"/>
      <c r="GR316" s="65"/>
      <c r="GS316" s="65"/>
      <c r="GT316" s="65"/>
      <c r="GU316" s="65"/>
      <c r="GV316" s="65"/>
      <c r="GW316" s="65"/>
      <c r="GX316" s="65"/>
      <c r="GY316" s="65"/>
      <c r="GZ316" s="65"/>
      <c r="HA316" s="65"/>
      <c r="HB316" s="65"/>
      <c r="HC316" s="65"/>
      <c r="HD316" s="65"/>
      <c r="HE316" s="68"/>
      <c r="HF316" s="65"/>
      <c r="HG316" s="65"/>
      <c r="HH316" s="65"/>
      <c r="HI316" s="65"/>
      <c r="HJ316" s="65"/>
      <c r="HK316" s="65"/>
      <c r="HL316" s="65"/>
      <c r="HM316" s="65"/>
      <c r="HN316" s="65"/>
      <c r="HO316" s="65"/>
      <c r="HP316" s="65"/>
      <c r="HQ316" s="65"/>
      <c r="HR316" s="65"/>
      <c r="HS316" s="65"/>
      <c r="HT316" s="65"/>
      <c r="HU316" s="67"/>
      <c r="HV316" s="179"/>
    </row>
    <row r="317" spans="1:230" x14ac:dyDescent="0.25">
      <c r="I317" s="31"/>
      <c r="J317" s="69"/>
      <c r="K317" s="69"/>
      <c r="R317" s="69"/>
      <c r="S317" s="69"/>
      <c r="T317" s="71"/>
      <c r="AX317" s="69"/>
      <c r="DO317" s="69"/>
      <c r="DW317" s="71"/>
      <c r="DX317" s="39"/>
      <c r="DY317" s="71"/>
      <c r="EA317" s="35"/>
      <c r="EB317" s="35"/>
      <c r="EC317" s="38"/>
      <c r="ED317" s="38"/>
      <c r="EE317" s="38"/>
      <c r="EF317" s="38"/>
      <c r="GP317" s="68"/>
      <c r="GQ317" s="65"/>
      <c r="GR317" s="65"/>
      <c r="GS317" s="65"/>
      <c r="GT317" s="65"/>
      <c r="GU317" s="65"/>
      <c r="GV317" s="65"/>
      <c r="GW317" s="65"/>
      <c r="GX317" s="65"/>
      <c r="GY317" s="65"/>
      <c r="GZ317" s="65"/>
      <c r="HA317" s="65"/>
      <c r="HB317" s="65"/>
      <c r="HC317" s="65"/>
      <c r="HD317" s="65"/>
      <c r="HE317" s="68"/>
      <c r="HF317" s="65"/>
      <c r="HG317" s="65"/>
      <c r="HH317" s="65"/>
      <c r="HI317" s="65"/>
      <c r="HJ317" s="65"/>
      <c r="HK317" s="65"/>
      <c r="HL317" s="65"/>
      <c r="HM317" s="65"/>
      <c r="HN317" s="65"/>
      <c r="HO317" s="65"/>
      <c r="HP317" s="65"/>
      <c r="HQ317" s="65"/>
      <c r="HR317" s="65"/>
      <c r="HS317" s="65"/>
      <c r="HT317" s="65"/>
      <c r="HU317" s="67"/>
      <c r="HV317" s="181"/>
    </row>
    <row r="318" spans="1:230" x14ac:dyDescent="0.25">
      <c r="I318" s="31"/>
      <c r="J318" s="69"/>
      <c r="K318" s="69"/>
      <c r="R318" s="69"/>
      <c r="S318" s="69"/>
      <c r="T318" s="71"/>
      <c r="AX318" s="69"/>
      <c r="DO318" s="69"/>
      <c r="DW318" s="71"/>
      <c r="DX318" s="39"/>
      <c r="DY318" s="71"/>
      <c r="EA318" s="35"/>
      <c r="EB318" s="35"/>
      <c r="EC318" s="38"/>
      <c r="ED318" s="38"/>
      <c r="EE318" s="38"/>
      <c r="EF318" s="38"/>
      <c r="GP318" s="68"/>
      <c r="GQ318" s="65"/>
      <c r="GR318" s="65"/>
      <c r="GS318" s="65"/>
      <c r="GT318" s="65"/>
      <c r="GU318" s="65"/>
      <c r="GV318" s="65"/>
      <c r="GW318" s="65"/>
      <c r="GX318" s="65"/>
      <c r="GY318" s="65"/>
      <c r="GZ318" s="65"/>
      <c r="HA318" s="65"/>
      <c r="HB318" s="65"/>
      <c r="HC318" s="65"/>
      <c r="HD318" s="65"/>
      <c r="HE318" s="68"/>
      <c r="HF318" s="65"/>
      <c r="HG318" s="65"/>
      <c r="HH318" s="65"/>
      <c r="HI318" s="65"/>
      <c r="HJ318" s="65"/>
      <c r="HK318" s="65"/>
      <c r="HL318" s="65"/>
      <c r="HM318" s="65"/>
      <c r="HN318" s="65"/>
      <c r="HO318" s="65"/>
      <c r="HP318" s="65"/>
      <c r="HQ318" s="65"/>
      <c r="HR318" s="65"/>
      <c r="HS318" s="65"/>
      <c r="HT318" s="65"/>
      <c r="HU318" s="67"/>
      <c r="HV318" s="179"/>
    </row>
    <row r="319" spans="1:230" x14ac:dyDescent="0.25">
      <c r="A319" s="30"/>
      <c r="B319" s="30"/>
      <c r="C319" s="30"/>
      <c r="D319" s="30"/>
      <c r="G319" s="30"/>
      <c r="H319" s="30"/>
      <c r="I319" s="31"/>
      <c r="J319" s="69"/>
      <c r="K319" s="69"/>
      <c r="R319" s="69"/>
      <c r="S319" s="69"/>
      <c r="T319" s="71"/>
      <c r="AX319" s="69"/>
      <c r="DO319" s="69"/>
      <c r="DW319" s="71"/>
      <c r="DX319" s="39"/>
      <c r="DY319" s="71"/>
      <c r="EA319" s="35"/>
      <c r="EB319" s="35"/>
      <c r="EC319" s="38"/>
      <c r="ED319" s="38"/>
      <c r="EE319" s="38"/>
      <c r="EF319" s="38"/>
      <c r="GP319" s="68"/>
      <c r="GQ319" s="65"/>
      <c r="GR319" s="65"/>
      <c r="GS319" s="65"/>
      <c r="GT319" s="65"/>
      <c r="GU319" s="65"/>
      <c r="GV319" s="65"/>
      <c r="GW319" s="65"/>
      <c r="GX319" s="65"/>
      <c r="GY319" s="65"/>
      <c r="GZ319" s="65"/>
      <c r="HA319" s="65"/>
      <c r="HB319" s="65"/>
      <c r="HC319" s="65"/>
      <c r="HD319" s="65"/>
      <c r="HE319" s="68"/>
      <c r="HF319" s="65"/>
      <c r="HG319" s="65"/>
      <c r="HH319" s="65"/>
      <c r="HI319" s="65"/>
      <c r="HJ319" s="65"/>
      <c r="HK319" s="65"/>
      <c r="HL319" s="65"/>
      <c r="HM319" s="65"/>
      <c r="HN319" s="65"/>
      <c r="HO319" s="65"/>
      <c r="HP319" s="65"/>
      <c r="HQ319" s="65"/>
      <c r="HR319" s="65"/>
      <c r="HS319" s="65"/>
      <c r="HT319" s="65"/>
      <c r="HU319" s="67"/>
      <c r="HV319" s="179"/>
    </row>
    <row r="320" spans="1:230" x14ac:dyDescent="0.25">
      <c r="A320" s="30"/>
      <c r="B320" s="30"/>
      <c r="C320" s="30"/>
      <c r="D320" s="30"/>
      <c r="G320" s="30"/>
      <c r="H320" s="30"/>
      <c r="I320" s="31"/>
      <c r="J320" s="69"/>
      <c r="K320" s="69"/>
      <c r="R320" s="69"/>
      <c r="S320" s="69"/>
      <c r="T320" s="71"/>
      <c r="AX320" s="69"/>
      <c r="DO320" s="69"/>
      <c r="DW320" s="71"/>
      <c r="DX320" s="39"/>
      <c r="DY320" s="71"/>
      <c r="EA320" s="35"/>
      <c r="EB320" s="35"/>
      <c r="EC320" s="38"/>
      <c r="ED320" s="38"/>
      <c r="EE320" s="38"/>
      <c r="EF320" s="38"/>
      <c r="GP320" s="68"/>
      <c r="GQ320" s="65"/>
      <c r="GR320" s="65"/>
      <c r="GS320" s="65"/>
      <c r="GT320" s="65"/>
      <c r="GU320" s="65"/>
      <c r="GV320" s="65"/>
      <c r="GW320" s="65"/>
      <c r="GX320" s="65"/>
      <c r="GY320" s="65"/>
      <c r="GZ320" s="65"/>
      <c r="HA320" s="65"/>
      <c r="HB320" s="65"/>
      <c r="HC320" s="65"/>
      <c r="HD320" s="65"/>
      <c r="HE320" s="68"/>
      <c r="HF320" s="65"/>
      <c r="HG320" s="65"/>
      <c r="HH320" s="65"/>
      <c r="HI320" s="65"/>
      <c r="HJ320" s="65"/>
      <c r="HK320" s="65"/>
      <c r="HL320" s="65"/>
      <c r="HM320" s="65"/>
      <c r="HN320" s="65"/>
      <c r="HO320" s="65"/>
      <c r="HP320" s="65"/>
      <c r="HQ320" s="65"/>
      <c r="HR320" s="65"/>
      <c r="HS320" s="65"/>
      <c r="HT320" s="65"/>
      <c r="HU320" s="67"/>
      <c r="HV320" s="179"/>
    </row>
    <row r="321" spans="1:230" x14ac:dyDescent="0.25">
      <c r="A321" s="30"/>
      <c r="B321" s="30"/>
      <c r="C321" s="30"/>
      <c r="D321" s="30"/>
      <c r="G321" s="30"/>
      <c r="H321" s="30"/>
      <c r="I321" s="31"/>
      <c r="J321" s="69"/>
      <c r="R321" s="69"/>
      <c r="S321" s="69"/>
      <c r="T321" s="71"/>
      <c r="AX321" s="69"/>
      <c r="DO321" s="69"/>
      <c r="DW321" s="71"/>
      <c r="DX321" s="39"/>
      <c r="DY321" s="71"/>
      <c r="EA321" s="35"/>
      <c r="EB321" s="35"/>
      <c r="EC321" s="38"/>
      <c r="ED321" s="38"/>
      <c r="EE321" s="38"/>
      <c r="EF321" s="38"/>
      <c r="GP321" s="68"/>
      <c r="GQ321" s="65"/>
      <c r="GR321" s="65"/>
      <c r="GS321" s="65"/>
      <c r="GT321" s="65"/>
      <c r="GU321" s="65"/>
      <c r="GV321" s="65"/>
      <c r="GW321" s="65"/>
      <c r="GX321" s="65"/>
      <c r="GY321" s="65"/>
      <c r="GZ321" s="65"/>
      <c r="HA321" s="65"/>
      <c r="HB321" s="65"/>
      <c r="HC321" s="65"/>
      <c r="HD321" s="65"/>
      <c r="HE321" s="68"/>
      <c r="HF321" s="65"/>
      <c r="HG321" s="65"/>
      <c r="HH321" s="65"/>
      <c r="HI321" s="65"/>
      <c r="HJ321" s="65"/>
      <c r="HK321" s="65"/>
      <c r="HL321" s="65"/>
      <c r="HM321" s="65"/>
      <c r="HN321" s="65"/>
      <c r="HO321" s="65"/>
      <c r="HP321" s="65"/>
      <c r="HQ321" s="65"/>
      <c r="HR321" s="65"/>
      <c r="HS321" s="65"/>
      <c r="HT321" s="65"/>
      <c r="HU321" s="67"/>
      <c r="HV321" s="179"/>
    </row>
    <row r="322" spans="1:230" x14ac:dyDescent="0.25">
      <c r="A322" s="30"/>
      <c r="B322" s="30"/>
      <c r="C322" s="30"/>
      <c r="D322" s="30"/>
      <c r="G322" s="30"/>
      <c r="H322" s="30"/>
      <c r="I322" s="31"/>
      <c r="J322" s="69"/>
      <c r="K322" s="69"/>
      <c r="R322" s="69"/>
      <c r="S322" s="69"/>
      <c r="T322" s="71"/>
      <c r="AX322" s="69"/>
      <c r="DO322" s="69"/>
      <c r="DW322" s="71"/>
      <c r="DX322" s="39"/>
      <c r="DY322" s="71"/>
      <c r="EA322" s="35"/>
      <c r="EB322" s="35"/>
      <c r="EC322" s="38"/>
      <c r="ED322" s="38"/>
      <c r="EE322" s="38"/>
      <c r="EF322" s="38"/>
      <c r="GP322" s="68"/>
      <c r="GQ322" s="65"/>
      <c r="GR322" s="65"/>
      <c r="GS322" s="65"/>
      <c r="GT322" s="65"/>
      <c r="GU322" s="65"/>
      <c r="GV322" s="65"/>
      <c r="GW322" s="65"/>
      <c r="GX322" s="65"/>
      <c r="GY322" s="65"/>
      <c r="GZ322" s="65"/>
      <c r="HA322" s="65"/>
      <c r="HB322" s="65"/>
      <c r="HC322" s="65"/>
      <c r="HD322" s="65"/>
      <c r="HE322" s="68"/>
      <c r="HF322" s="65"/>
      <c r="HG322" s="65"/>
      <c r="HH322" s="65"/>
      <c r="HI322" s="65"/>
      <c r="HJ322" s="65"/>
      <c r="HK322" s="65"/>
      <c r="HL322" s="65"/>
      <c r="HM322" s="65"/>
      <c r="HN322" s="65"/>
      <c r="HO322" s="65"/>
      <c r="HP322" s="65"/>
      <c r="HQ322" s="65"/>
      <c r="HR322" s="65"/>
      <c r="HS322" s="65"/>
      <c r="HT322" s="65"/>
      <c r="HU322" s="67"/>
      <c r="HV322" s="179"/>
    </row>
    <row r="323" spans="1:230" x14ac:dyDescent="0.25">
      <c r="A323" s="30"/>
      <c r="B323" s="30"/>
      <c r="C323" s="30"/>
      <c r="D323" s="30"/>
      <c r="G323" s="30"/>
      <c r="H323" s="30"/>
      <c r="I323" s="31"/>
      <c r="J323" s="69"/>
      <c r="K323" s="69"/>
      <c r="R323" s="69"/>
      <c r="S323" s="69"/>
      <c r="T323" s="71"/>
      <c r="AX323" s="69"/>
      <c r="DO323" s="69"/>
      <c r="DW323" s="71"/>
      <c r="DX323" s="39"/>
      <c r="DY323" s="71"/>
      <c r="EA323" s="35"/>
      <c r="EB323" s="35"/>
      <c r="EC323" s="38"/>
      <c r="ED323" s="38"/>
      <c r="EE323" s="38"/>
      <c r="EF323" s="38"/>
      <c r="GP323" s="68"/>
      <c r="GQ323" s="65"/>
      <c r="GR323" s="65"/>
      <c r="GS323" s="65"/>
      <c r="GT323" s="65"/>
      <c r="GU323" s="65"/>
      <c r="GV323" s="65"/>
      <c r="GW323" s="65"/>
      <c r="GX323" s="65"/>
      <c r="GY323" s="65"/>
      <c r="GZ323" s="65"/>
      <c r="HA323" s="65"/>
      <c r="HB323" s="65"/>
      <c r="HC323" s="65"/>
      <c r="HD323" s="65"/>
      <c r="HE323" s="68"/>
      <c r="HF323" s="65"/>
      <c r="HG323" s="65"/>
      <c r="HH323" s="65"/>
      <c r="HI323" s="65"/>
      <c r="HJ323" s="65"/>
      <c r="HK323" s="65"/>
      <c r="HL323" s="65"/>
      <c r="HM323" s="65"/>
      <c r="HN323" s="65"/>
      <c r="HO323" s="65"/>
      <c r="HP323" s="65"/>
      <c r="HQ323" s="65"/>
      <c r="HR323" s="65"/>
      <c r="HS323" s="65"/>
      <c r="HT323" s="65"/>
      <c r="HU323" s="67"/>
      <c r="HV323" s="179"/>
    </row>
    <row r="324" spans="1:230" x14ac:dyDescent="0.25">
      <c r="A324" s="30"/>
      <c r="B324" s="30"/>
      <c r="C324" s="30"/>
      <c r="D324" s="30"/>
      <c r="G324" s="30"/>
      <c r="H324" s="30"/>
      <c r="I324" s="31"/>
      <c r="J324" s="69"/>
      <c r="K324" s="69"/>
      <c r="R324" s="69"/>
      <c r="S324" s="69"/>
      <c r="T324" s="71"/>
      <c r="AX324" s="69"/>
      <c r="DO324" s="69"/>
      <c r="DW324" s="71"/>
      <c r="DX324" s="39"/>
      <c r="DY324" s="71"/>
      <c r="EA324" s="35"/>
      <c r="EB324" s="35"/>
      <c r="EC324" s="38"/>
      <c r="ED324" s="38"/>
      <c r="EE324" s="38"/>
      <c r="EF324" s="38"/>
      <c r="GP324" s="68"/>
      <c r="GQ324" s="65"/>
      <c r="GR324" s="65"/>
      <c r="GS324" s="65"/>
      <c r="GT324" s="65"/>
      <c r="GU324" s="65"/>
      <c r="GV324" s="65"/>
      <c r="GW324" s="65"/>
      <c r="GX324" s="65"/>
      <c r="GY324" s="65"/>
      <c r="GZ324" s="65"/>
      <c r="HA324" s="65"/>
      <c r="HB324" s="65"/>
      <c r="HC324" s="65"/>
      <c r="HD324" s="65"/>
      <c r="HE324" s="68"/>
      <c r="HF324" s="65"/>
      <c r="HG324" s="65"/>
      <c r="HH324" s="65"/>
      <c r="HI324" s="65"/>
      <c r="HJ324" s="65"/>
      <c r="HK324" s="65"/>
      <c r="HL324" s="65"/>
      <c r="HM324" s="65"/>
      <c r="HN324" s="65"/>
      <c r="HO324" s="65"/>
      <c r="HP324" s="65"/>
      <c r="HQ324" s="65"/>
      <c r="HR324" s="65"/>
      <c r="HS324" s="65"/>
      <c r="HT324" s="65"/>
      <c r="HU324" s="67"/>
      <c r="HV324" s="179"/>
    </row>
    <row r="325" spans="1:230" x14ac:dyDescent="0.25">
      <c r="A325" s="30"/>
      <c r="B325" s="30"/>
      <c r="C325" s="30"/>
      <c r="D325" s="30"/>
      <c r="G325" s="30"/>
      <c r="H325" s="30"/>
      <c r="I325" s="31"/>
      <c r="J325" s="69"/>
      <c r="K325" s="69"/>
      <c r="R325" s="69"/>
      <c r="S325" s="69"/>
      <c r="T325" s="71"/>
      <c r="AX325" s="69"/>
      <c r="DO325" s="69"/>
      <c r="DW325" s="71"/>
      <c r="DX325" s="39"/>
      <c r="DY325" s="71"/>
      <c r="EA325" s="35"/>
      <c r="EB325" s="35"/>
      <c r="EC325" s="38"/>
      <c r="ED325" s="38"/>
      <c r="EE325" s="38"/>
      <c r="EF325" s="38"/>
      <c r="GP325" s="68"/>
      <c r="GQ325" s="65"/>
      <c r="GR325" s="65"/>
      <c r="GS325" s="65"/>
      <c r="GT325" s="65"/>
      <c r="GU325" s="65"/>
      <c r="GV325" s="65"/>
      <c r="GW325" s="65"/>
      <c r="GX325" s="65"/>
      <c r="GY325" s="65"/>
      <c r="GZ325" s="65"/>
      <c r="HA325" s="65"/>
      <c r="HB325" s="65"/>
      <c r="HC325" s="65"/>
      <c r="HD325" s="65"/>
      <c r="HE325" s="68"/>
      <c r="HF325" s="65"/>
      <c r="HG325" s="65"/>
      <c r="HH325" s="65"/>
      <c r="HI325" s="65"/>
      <c r="HJ325" s="65"/>
      <c r="HK325" s="65"/>
      <c r="HL325" s="65"/>
      <c r="HM325" s="65"/>
      <c r="HN325" s="65"/>
      <c r="HO325" s="65"/>
      <c r="HP325" s="65"/>
      <c r="HQ325" s="65"/>
      <c r="HR325" s="65"/>
      <c r="HS325" s="65"/>
      <c r="HT325" s="65"/>
      <c r="HU325" s="67"/>
      <c r="HV325" s="179"/>
    </row>
    <row r="326" spans="1:230" x14ac:dyDescent="0.25">
      <c r="A326" s="30"/>
      <c r="B326" s="30"/>
      <c r="C326" s="30"/>
      <c r="D326" s="30"/>
      <c r="G326" s="30"/>
      <c r="H326" s="30"/>
      <c r="I326" s="31"/>
      <c r="J326" s="69"/>
      <c r="K326" s="69"/>
      <c r="R326" s="69"/>
      <c r="S326" s="69"/>
      <c r="T326" s="71"/>
      <c r="AX326" s="69"/>
      <c r="DO326" s="69"/>
      <c r="DW326" s="71"/>
      <c r="DX326" s="39"/>
      <c r="DY326" s="71"/>
      <c r="EA326" s="35"/>
      <c r="EB326" s="35"/>
      <c r="EC326" s="38"/>
      <c r="ED326" s="38"/>
      <c r="EE326" s="38"/>
      <c r="EF326" s="38"/>
      <c r="GP326" s="68"/>
      <c r="GQ326" s="65"/>
      <c r="GR326" s="65"/>
      <c r="GS326" s="65"/>
      <c r="GT326" s="65"/>
      <c r="GU326" s="65"/>
      <c r="GV326" s="65"/>
      <c r="GW326" s="65"/>
      <c r="GX326" s="65"/>
      <c r="GY326" s="65"/>
      <c r="GZ326" s="65"/>
      <c r="HA326" s="65"/>
      <c r="HB326" s="65"/>
      <c r="HC326" s="65"/>
      <c r="HD326" s="65"/>
      <c r="HE326" s="68"/>
      <c r="HF326" s="65"/>
      <c r="HG326" s="65"/>
      <c r="HH326" s="65"/>
      <c r="HI326" s="65"/>
      <c r="HJ326" s="65"/>
      <c r="HK326" s="65"/>
      <c r="HL326" s="65"/>
      <c r="HM326" s="65"/>
      <c r="HN326" s="65"/>
      <c r="HO326" s="65"/>
      <c r="HP326" s="65"/>
      <c r="HQ326" s="65"/>
      <c r="HR326" s="65"/>
      <c r="HS326" s="65"/>
      <c r="HT326" s="65"/>
      <c r="HU326" s="67"/>
      <c r="HV326" s="179"/>
    </row>
    <row r="327" spans="1:230" x14ac:dyDescent="0.25">
      <c r="A327" s="30"/>
      <c r="B327" s="30"/>
      <c r="C327" s="30"/>
      <c r="D327" s="30"/>
      <c r="G327" s="30"/>
      <c r="H327" s="30"/>
      <c r="I327" s="31"/>
      <c r="J327" s="69"/>
      <c r="K327" s="69"/>
      <c r="R327" s="69"/>
      <c r="S327" s="69"/>
      <c r="T327" s="71"/>
      <c r="AX327" s="69"/>
      <c r="DO327" s="69"/>
      <c r="DW327" s="71"/>
      <c r="DX327" s="39"/>
      <c r="DY327" s="71"/>
      <c r="EA327" s="35"/>
      <c r="EB327" s="35"/>
      <c r="EC327" s="38"/>
      <c r="ED327" s="38"/>
      <c r="EE327" s="38"/>
      <c r="EF327" s="38"/>
      <c r="GP327" s="68"/>
      <c r="GQ327" s="65"/>
      <c r="GR327" s="65"/>
      <c r="GS327" s="65"/>
      <c r="GT327" s="65"/>
      <c r="GU327" s="65"/>
      <c r="GV327" s="65"/>
      <c r="GW327" s="65"/>
      <c r="GX327" s="65"/>
      <c r="GY327" s="65"/>
      <c r="GZ327" s="65"/>
      <c r="HA327" s="65"/>
      <c r="HB327" s="65"/>
      <c r="HC327" s="65"/>
      <c r="HD327" s="65"/>
      <c r="HE327" s="68"/>
      <c r="HF327" s="65"/>
      <c r="HG327" s="65"/>
      <c r="HH327" s="65"/>
      <c r="HI327" s="65"/>
      <c r="HJ327" s="65"/>
      <c r="HK327" s="65"/>
      <c r="HL327" s="65"/>
      <c r="HM327" s="65"/>
      <c r="HN327" s="65"/>
      <c r="HO327" s="65"/>
      <c r="HP327" s="65"/>
      <c r="HQ327" s="65"/>
      <c r="HR327" s="65"/>
      <c r="HS327" s="65"/>
      <c r="HT327" s="65"/>
      <c r="HU327" s="67"/>
      <c r="HV327" s="179"/>
    </row>
    <row r="328" spans="1:230" x14ac:dyDescent="0.25">
      <c r="A328" s="30"/>
      <c r="B328" s="30"/>
      <c r="C328" s="30"/>
      <c r="D328" s="30"/>
      <c r="G328" s="30"/>
      <c r="H328" s="30"/>
      <c r="I328" s="31"/>
      <c r="J328" s="69"/>
      <c r="K328" s="69"/>
      <c r="R328" s="69"/>
      <c r="S328" s="69"/>
      <c r="T328" s="71"/>
      <c r="AX328" s="69"/>
      <c r="DO328" s="69"/>
      <c r="DW328" s="71"/>
      <c r="DX328" s="39"/>
      <c r="DY328" s="71"/>
      <c r="EA328" s="35"/>
      <c r="EB328" s="35"/>
      <c r="EC328" s="38"/>
      <c r="ED328" s="38"/>
      <c r="EE328" s="38"/>
      <c r="EF328" s="38"/>
      <c r="GP328" s="68"/>
      <c r="GQ328" s="65"/>
      <c r="GR328" s="65"/>
      <c r="GS328" s="65"/>
      <c r="GT328" s="65"/>
      <c r="GU328" s="65"/>
      <c r="GV328" s="65"/>
      <c r="GW328" s="65"/>
      <c r="GX328" s="65"/>
      <c r="GY328" s="65"/>
      <c r="GZ328" s="65"/>
      <c r="HA328" s="65"/>
      <c r="HB328" s="65"/>
      <c r="HC328" s="65"/>
      <c r="HD328" s="65"/>
      <c r="HE328" s="68"/>
      <c r="HF328" s="65"/>
      <c r="HG328" s="65"/>
      <c r="HH328" s="65"/>
      <c r="HI328" s="65"/>
      <c r="HJ328" s="65"/>
      <c r="HK328" s="65"/>
      <c r="HL328" s="65"/>
      <c r="HM328" s="65"/>
      <c r="HN328" s="65"/>
      <c r="HO328" s="65"/>
      <c r="HP328" s="65"/>
      <c r="HQ328" s="65"/>
      <c r="HR328" s="65"/>
      <c r="HS328" s="65"/>
      <c r="HT328" s="65"/>
      <c r="HU328" s="67"/>
      <c r="HV328" s="179"/>
    </row>
    <row r="329" spans="1:230" x14ac:dyDescent="0.25">
      <c r="A329" s="30"/>
      <c r="B329" s="30"/>
      <c r="C329" s="30"/>
      <c r="D329" s="30"/>
      <c r="G329" s="30"/>
      <c r="H329" s="30"/>
      <c r="I329" s="31"/>
      <c r="J329" s="69"/>
      <c r="R329" s="69"/>
      <c r="S329" s="69"/>
      <c r="T329" s="71"/>
      <c r="AX329" s="69"/>
      <c r="DO329" s="69"/>
      <c r="DW329" s="71"/>
      <c r="DX329" s="39"/>
      <c r="DY329" s="71"/>
      <c r="EA329" s="35"/>
      <c r="EB329" s="35"/>
      <c r="EC329" s="38"/>
      <c r="ED329" s="38"/>
      <c r="EE329" s="38"/>
      <c r="EF329" s="38"/>
      <c r="GP329" s="68"/>
      <c r="GQ329" s="65"/>
      <c r="GR329" s="65"/>
      <c r="GS329" s="65"/>
      <c r="GT329" s="65"/>
      <c r="GU329" s="65"/>
      <c r="GV329" s="65"/>
      <c r="GW329" s="65"/>
      <c r="GX329" s="65"/>
      <c r="GY329" s="65"/>
      <c r="GZ329" s="65"/>
      <c r="HA329" s="65"/>
      <c r="HB329" s="65"/>
      <c r="HC329" s="65"/>
      <c r="HD329" s="65"/>
      <c r="HE329" s="68"/>
      <c r="HF329" s="65"/>
      <c r="HG329" s="65"/>
      <c r="HH329" s="65"/>
      <c r="HI329" s="65"/>
      <c r="HJ329" s="65"/>
      <c r="HK329" s="65"/>
      <c r="HL329" s="65"/>
      <c r="HM329" s="65"/>
      <c r="HN329" s="65"/>
      <c r="HO329" s="65"/>
      <c r="HP329" s="65"/>
      <c r="HQ329" s="65"/>
      <c r="HR329" s="65"/>
      <c r="HS329" s="65"/>
      <c r="HT329" s="65"/>
      <c r="HU329" s="67"/>
      <c r="HV329" s="179"/>
    </row>
    <row r="330" spans="1:230" x14ac:dyDescent="0.25">
      <c r="A330" s="30"/>
      <c r="B330" s="30"/>
      <c r="C330" s="30"/>
      <c r="D330" s="30"/>
      <c r="G330" s="30"/>
      <c r="H330" s="30"/>
      <c r="I330" s="31"/>
      <c r="J330" s="69"/>
      <c r="K330" s="69"/>
      <c r="R330" s="69"/>
      <c r="S330" s="69"/>
      <c r="T330" s="71"/>
      <c r="AX330" s="69"/>
      <c r="DO330" s="69"/>
      <c r="DW330" s="71"/>
      <c r="DX330" s="39"/>
      <c r="DY330" s="71"/>
      <c r="EA330" s="35"/>
      <c r="EB330" s="35"/>
      <c r="EC330" s="38"/>
      <c r="ED330" s="38"/>
      <c r="EE330" s="38"/>
      <c r="EF330" s="38"/>
      <c r="GP330" s="68"/>
      <c r="GQ330" s="65"/>
      <c r="GR330" s="65"/>
      <c r="GS330" s="65"/>
      <c r="GT330" s="65"/>
      <c r="GU330" s="65"/>
      <c r="GV330" s="65"/>
      <c r="GW330" s="65"/>
      <c r="GX330" s="65"/>
      <c r="GY330" s="65"/>
      <c r="GZ330" s="65"/>
      <c r="HA330" s="65"/>
      <c r="HB330" s="65"/>
      <c r="HC330" s="65"/>
      <c r="HD330" s="65"/>
      <c r="HE330" s="68"/>
      <c r="HF330" s="65"/>
      <c r="HG330" s="65"/>
      <c r="HH330" s="65"/>
      <c r="HI330" s="65"/>
      <c r="HJ330" s="65"/>
      <c r="HK330" s="65"/>
      <c r="HL330" s="65"/>
      <c r="HM330" s="65"/>
      <c r="HN330" s="65"/>
      <c r="HO330" s="65"/>
      <c r="HP330" s="65"/>
      <c r="HQ330" s="65"/>
      <c r="HR330" s="65"/>
      <c r="HS330" s="65"/>
      <c r="HT330" s="65"/>
      <c r="HU330" s="67"/>
      <c r="HV330" s="179"/>
    </row>
    <row r="331" spans="1:230" x14ac:dyDescent="0.25">
      <c r="A331" s="30"/>
      <c r="B331" s="30"/>
      <c r="C331" s="30"/>
      <c r="D331" s="30"/>
      <c r="G331" s="30"/>
      <c r="H331" s="30"/>
      <c r="I331" s="31"/>
      <c r="J331" s="69"/>
      <c r="K331" s="69"/>
      <c r="R331" s="69"/>
      <c r="S331" s="69"/>
      <c r="T331" s="71"/>
      <c r="AX331" s="69"/>
      <c r="DO331" s="69"/>
      <c r="DW331" s="71"/>
      <c r="DX331" s="39"/>
      <c r="DY331" s="71"/>
      <c r="EA331" s="35"/>
      <c r="EB331" s="35"/>
      <c r="EC331" s="38"/>
      <c r="ED331" s="38"/>
      <c r="EE331" s="38"/>
      <c r="EF331" s="38"/>
      <c r="GP331" s="68"/>
      <c r="GQ331" s="65"/>
      <c r="GR331" s="65"/>
      <c r="GS331" s="65"/>
      <c r="GT331" s="65"/>
      <c r="GU331" s="65"/>
      <c r="GV331" s="65"/>
      <c r="GW331" s="65"/>
      <c r="GX331" s="65"/>
      <c r="GY331" s="65"/>
      <c r="GZ331" s="65"/>
      <c r="HA331" s="65"/>
      <c r="HB331" s="65"/>
      <c r="HC331" s="65"/>
      <c r="HD331" s="65"/>
      <c r="HE331" s="68"/>
      <c r="HF331" s="65"/>
      <c r="HG331" s="65"/>
      <c r="HH331" s="65"/>
      <c r="HI331" s="65"/>
      <c r="HJ331" s="65"/>
      <c r="HK331" s="65"/>
      <c r="HL331" s="65"/>
      <c r="HM331" s="65"/>
      <c r="HN331" s="65"/>
      <c r="HO331" s="65"/>
      <c r="HP331" s="65"/>
      <c r="HQ331" s="65"/>
      <c r="HR331" s="65"/>
      <c r="HS331" s="65"/>
      <c r="HT331" s="65"/>
      <c r="HU331" s="67"/>
      <c r="HV331" s="179"/>
    </row>
    <row r="332" spans="1:230" x14ac:dyDescent="0.25">
      <c r="A332" s="30"/>
      <c r="B332" s="30"/>
      <c r="C332" s="30"/>
      <c r="D332" s="30"/>
      <c r="G332" s="30"/>
      <c r="H332" s="30"/>
      <c r="I332" s="31"/>
      <c r="J332" s="69"/>
      <c r="R332" s="69"/>
      <c r="S332" s="69"/>
      <c r="T332" s="71"/>
      <c r="AX332" s="69"/>
      <c r="DO332" s="69"/>
      <c r="DW332" s="71"/>
      <c r="DX332" s="39"/>
      <c r="DY332" s="71"/>
      <c r="EA332" s="35"/>
      <c r="EB332" s="35"/>
      <c r="EC332" s="38"/>
      <c r="ED332" s="38"/>
      <c r="EE332" s="38"/>
      <c r="EF332" s="38"/>
      <c r="GP332" s="68"/>
      <c r="GQ332" s="65"/>
      <c r="GR332" s="65"/>
      <c r="GS332" s="65"/>
      <c r="GT332" s="65"/>
      <c r="GU332" s="65"/>
      <c r="GV332" s="65"/>
      <c r="GW332" s="65"/>
      <c r="GX332" s="65"/>
      <c r="GY332" s="65"/>
      <c r="GZ332" s="65"/>
      <c r="HA332" s="65"/>
      <c r="HB332" s="65"/>
      <c r="HC332" s="65"/>
      <c r="HD332" s="65"/>
      <c r="HE332" s="68"/>
      <c r="HF332" s="65"/>
      <c r="HG332" s="65"/>
      <c r="HH332" s="65"/>
      <c r="HI332" s="65"/>
      <c r="HJ332" s="65"/>
      <c r="HK332" s="65"/>
      <c r="HL332" s="65"/>
      <c r="HM332" s="65"/>
      <c r="HN332" s="65"/>
      <c r="HO332" s="65"/>
      <c r="HP332" s="65"/>
      <c r="HQ332" s="65"/>
      <c r="HR332" s="65"/>
      <c r="HS332" s="65"/>
      <c r="HT332" s="65"/>
      <c r="HU332" s="67"/>
      <c r="HV332" s="179"/>
    </row>
    <row r="333" spans="1:230" x14ac:dyDescent="0.25">
      <c r="A333" s="30"/>
      <c r="B333" s="30"/>
      <c r="C333" s="30"/>
      <c r="D333" s="30"/>
      <c r="G333" s="30"/>
      <c r="H333" s="30"/>
      <c r="I333" s="31"/>
      <c r="J333" s="69"/>
      <c r="K333" s="69"/>
      <c r="R333" s="69"/>
      <c r="S333" s="69"/>
      <c r="T333" s="71"/>
      <c r="AX333" s="69"/>
      <c r="DO333" s="69"/>
      <c r="DW333" s="71"/>
      <c r="DX333" s="39"/>
      <c r="DY333" s="71"/>
      <c r="EA333" s="35"/>
      <c r="EB333" s="35"/>
      <c r="EC333" s="38"/>
      <c r="ED333" s="38"/>
      <c r="EE333" s="38"/>
      <c r="EF333" s="38"/>
      <c r="GP333" s="68"/>
      <c r="GQ333" s="65"/>
      <c r="GR333" s="65"/>
      <c r="GS333" s="65"/>
      <c r="GT333" s="65"/>
      <c r="GU333" s="65"/>
      <c r="GV333" s="65"/>
      <c r="GW333" s="65"/>
      <c r="GX333" s="65"/>
      <c r="GY333" s="65"/>
      <c r="GZ333" s="65"/>
      <c r="HA333" s="65"/>
      <c r="HB333" s="65"/>
      <c r="HC333" s="65"/>
      <c r="HD333" s="65"/>
      <c r="HE333" s="68"/>
      <c r="HF333" s="65"/>
      <c r="HG333" s="65"/>
      <c r="HH333" s="65"/>
      <c r="HI333" s="65"/>
      <c r="HJ333" s="65"/>
      <c r="HK333" s="65"/>
      <c r="HL333" s="65"/>
      <c r="HM333" s="65"/>
      <c r="HN333" s="65"/>
      <c r="HO333" s="65"/>
      <c r="HP333" s="65"/>
      <c r="HQ333" s="65"/>
      <c r="HR333" s="65"/>
      <c r="HS333" s="65"/>
      <c r="HT333" s="65"/>
      <c r="HU333" s="67"/>
      <c r="HV333" s="179"/>
    </row>
    <row r="334" spans="1:230" x14ac:dyDescent="0.25">
      <c r="A334" s="30"/>
      <c r="B334" s="30"/>
      <c r="C334" s="30"/>
      <c r="D334" s="30"/>
      <c r="G334" s="30"/>
      <c r="H334" s="30"/>
      <c r="I334" s="31"/>
      <c r="J334" s="69"/>
      <c r="K334" s="69"/>
      <c r="R334" s="69"/>
      <c r="S334" s="69"/>
      <c r="T334" s="71"/>
      <c r="AX334" s="69"/>
      <c r="DO334" s="69"/>
      <c r="DW334" s="71"/>
      <c r="DX334" s="39"/>
      <c r="DY334" s="71"/>
      <c r="EA334" s="35"/>
      <c r="EB334" s="35"/>
      <c r="EC334" s="38"/>
      <c r="ED334" s="38"/>
      <c r="EE334" s="38"/>
      <c r="EF334" s="38"/>
      <c r="GP334" s="68"/>
      <c r="GQ334" s="65"/>
      <c r="GR334" s="65"/>
      <c r="GS334" s="65"/>
      <c r="GT334" s="65"/>
      <c r="GU334" s="65"/>
      <c r="GV334" s="65"/>
      <c r="GW334" s="65"/>
      <c r="GX334" s="65"/>
      <c r="GY334" s="65"/>
      <c r="GZ334" s="65"/>
      <c r="HA334" s="65"/>
      <c r="HB334" s="65"/>
      <c r="HC334" s="65"/>
      <c r="HD334" s="65"/>
      <c r="HE334" s="68"/>
      <c r="HF334" s="65"/>
      <c r="HG334" s="65"/>
      <c r="HH334" s="65"/>
      <c r="HI334" s="65"/>
      <c r="HJ334" s="65"/>
      <c r="HK334" s="65"/>
      <c r="HL334" s="65"/>
      <c r="HM334" s="65"/>
      <c r="HN334" s="65"/>
      <c r="HO334" s="65"/>
      <c r="HP334" s="65"/>
      <c r="HQ334" s="65"/>
      <c r="HR334" s="65"/>
      <c r="HS334" s="65"/>
      <c r="HT334" s="65"/>
      <c r="HU334" s="67"/>
      <c r="HV334" s="179"/>
    </row>
    <row r="335" spans="1:230" x14ac:dyDescent="0.25">
      <c r="A335" s="30"/>
      <c r="B335" s="30"/>
      <c r="C335" s="30"/>
      <c r="D335" s="30"/>
      <c r="G335" s="30"/>
      <c r="H335" s="30"/>
      <c r="I335" s="31"/>
      <c r="J335" s="69"/>
      <c r="K335" s="69"/>
      <c r="R335" s="69"/>
      <c r="S335" s="69"/>
      <c r="T335" s="71"/>
      <c r="AX335" s="69"/>
      <c r="DO335" s="69"/>
      <c r="DW335" s="71"/>
      <c r="DX335" s="39"/>
      <c r="DY335" s="71"/>
      <c r="EA335" s="35"/>
      <c r="EB335" s="35"/>
      <c r="EC335" s="38"/>
      <c r="ED335" s="38"/>
      <c r="EE335" s="38"/>
      <c r="EF335" s="38"/>
      <c r="GP335" s="68"/>
      <c r="GQ335" s="65"/>
      <c r="GR335" s="65"/>
      <c r="GS335" s="65"/>
      <c r="GT335" s="65"/>
      <c r="GU335" s="65"/>
      <c r="GV335" s="65"/>
      <c r="GW335" s="65"/>
      <c r="GX335" s="65"/>
      <c r="GY335" s="65"/>
      <c r="GZ335" s="65"/>
      <c r="HA335" s="65"/>
      <c r="HB335" s="65"/>
      <c r="HC335" s="65"/>
      <c r="HD335" s="65"/>
      <c r="HE335" s="68"/>
      <c r="HF335" s="65"/>
      <c r="HG335" s="65"/>
      <c r="HH335" s="65"/>
      <c r="HI335" s="65"/>
      <c r="HJ335" s="65"/>
      <c r="HK335" s="65"/>
      <c r="HL335" s="65"/>
      <c r="HM335" s="65"/>
      <c r="HN335" s="65"/>
      <c r="HO335" s="65"/>
      <c r="HP335" s="65"/>
      <c r="HQ335" s="65"/>
      <c r="HR335" s="65"/>
      <c r="HS335" s="65"/>
      <c r="HT335" s="65"/>
      <c r="HU335" s="67"/>
      <c r="HV335" s="179"/>
    </row>
    <row r="336" spans="1:230" x14ac:dyDescent="0.25">
      <c r="A336" s="30"/>
      <c r="B336" s="30"/>
      <c r="C336" s="30"/>
      <c r="D336" s="30"/>
      <c r="G336" s="30"/>
      <c r="H336" s="30"/>
      <c r="I336" s="31"/>
      <c r="J336" s="69"/>
      <c r="K336" s="69"/>
      <c r="R336" s="69"/>
      <c r="S336" s="69"/>
      <c r="T336" s="71"/>
      <c r="AX336" s="69"/>
      <c r="DO336" s="69"/>
      <c r="DW336" s="71"/>
      <c r="DX336" s="39"/>
      <c r="DY336" s="71"/>
      <c r="EA336" s="35"/>
      <c r="EB336" s="35"/>
      <c r="EC336" s="38"/>
      <c r="ED336" s="38"/>
      <c r="EE336" s="38"/>
      <c r="EF336" s="38"/>
      <c r="GP336" s="68"/>
      <c r="GQ336" s="65"/>
      <c r="GR336" s="65"/>
      <c r="GS336" s="65"/>
      <c r="GT336" s="65"/>
      <c r="GU336" s="65"/>
      <c r="GV336" s="65"/>
      <c r="GW336" s="65"/>
      <c r="GX336" s="65"/>
      <c r="GY336" s="65"/>
      <c r="GZ336" s="65"/>
      <c r="HA336" s="65"/>
      <c r="HB336" s="65"/>
      <c r="HC336" s="65"/>
      <c r="HD336" s="65"/>
      <c r="HE336" s="68"/>
      <c r="HF336" s="65"/>
      <c r="HG336" s="65"/>
      <c r="HH336" s="65"/>
      <c r="HI336" s="65"/>
      <c r="HJ336" s="65"/>
      <c r="HK336" s="65"/>
      <c r="HL336" s="65"/>
      <c r="HM336" s="65"/>
      <c r="HN336" s="65"/>
      <c r="HO336" s="65"/>
      <c r="HP336" s="65"/>
      <c r="HQ336" s="65"/>
      <c r="HR336" s="65"/>
      <c r="HS336" s="65"/>
      <c r="HT336" s="65"/>
      <c r="HU336" s="67"/>
      <c r="HV336" s="179"/>
    </row>
    <row r="337" spans="1:230" x14ac:dyDescent="0.25">
      <c r="A337" s="30"/>
      <c r="B337" s="30"/>
      <c r="C337" s="30"/>
      <c r="D337" s="30"/>
      <c r="G337" s="30"/>
      <c r="H337" s="30"/>
      <c r="I337" s="31"/>
      <c r="J337" s="69"/>
      <c r="K337" s="69"/>
      <c r="R337" s="69"/>
      <c r="S337" s="69"/>
      <c r="T337" s="71"/>
      <c r="AX337" s="69"/>
      <c r="DO337" s="69"/>
      <c r="DW337" s="71"/>
      <c r="DX337" s="39"/>
      <c r="DY337" s="71"/>
      <c r="EA337" s="35"/>
      <c r="EB337" s="35"/>
      <c r="EC337" s="38"/>
      <c r="ED337" s="38"/>
      <c r="EE337" s="38"/>
      <c r="EF337" s="38"/>
      <c r="GP337" s="68"/>
      <c r="GQ337" s="65"/>
      <c r="GR337" s="65"/>
      <c r="GS337" s="65"/>
      <c r="GT337" s="65"/>
      <c r="GU337" s="65"/>
      <c r="GV337" s="65"/>
      <c r="GW337" s="65"/>
      <c r="GX337" s="65"/>
      <c r="GY337" s="65"/>
      <c r="GZ337" s="65"/>
      <c r="HA337" s="65"/>
      <c r="HB337" s="65"/>
      <c r="HC337" s="65"/>
      <c r="HD337" s="65"/>
      <c r="HE337" s="68"/>
      <c r="HF337" s="65"/>
      <c r="HG337" s="65"/>
      <c r="HH337" s="65"/>
      <c r="HI337" s="65"/>
      <c r="HJ337" s="65"/>
      <c r="HK337" s="65"/>
      <c r="HL337" s="65"/>
      <c r="HM337" s="65"/>
      <c r="HN337" s="65"/>
      <c r="HO337" s="65"/>
      <c r="HP337" s="65"/>
      <c r="HQ337" s="65"/>
      <c r="HR337" s="65"/>
      <c r="HS337" s="65"/>
      <c r="HT337" s="65"/>
      <c r="HU337" s="67"/>
      <c r="HV337" s="179"/>
    </row>
    <row r="338" spans="1:230" x14ac:dyDescent="0.25">
      <c r="A338" s="30"/>
      <c r="B338" s="30"/>
      <c r="C338" s="30"/>
      <c r="D338" s="30"/>
      <c r="G338" s="30"/>
      <c r="H338" s="30"/>
      <c r="I338" s="31"/>
      <c r="J338" s="69"/>
      <c r="K338" s="69"/>
      <c r="R338" s="69"/>
      <c r="S338" s="69"/>
      <c r="T338" s="71"/>
      <c r="AX338" s="69"/>
      <c r="DO338" s="69"/>
      <c r="DW338" s="71"/>
      <c r="DX338" s="39"/>
      <c r="DY338" s="71"/>
      <c r="EA338" s="35"/>
      <c r="EB338" s="35"/>
      <c r="EC338" s="38"/>
      <c r="ED338" s="38"/>
      <c r="EE338" s="38"/>
      <c r="EF338" s="38"/>
      <c r="GP338" s="68"/>
      <c r="GQ338" s="65"/>
      <c r="GR338" s="65"/>
      <c r="GS338" s="65"/>
      <c r="GT338" s="65"/>
      <c r="GU338" s="65"/>
      <c r="GV338" s="65"/>
      <c r="GW338" s="65"/>
      <c r="GX338" s="65"/>
      <c r="GY338" s="65"/>
      <c r="GZ338" s="65"/>
      <c r="HA338" s="65"/>
      <c r="HB338" s="65"/>
      <c r="HC338" s="65"/>
      <c r="HD338" s="65"/>
      <c r="HE338" s="68"/>
      <c r="HF338" s="65"/>
      <c r="HG338" s="65"/>
      <c r="HH338" s="65"/>
      <c r="HI338" s="65"/>
      <c r="HJ338" s="65"/>
      <c r="HK338" s="65"/>
      <c r="HL338" s="65"/>
      <c r="HM338" s="65"/>
      <c r="HN338" s="65"/>
      <c r="HO338" s="65"/>
      <c r="HP338" s="65"/>
      <c r="HQ338" s="65"/>
      <c r="HR338" s="65"/>
      <c r="HS338" s="65"/>
      <c r="HT338" s="65"/>
      <c r="HU338" s="67"/>
      <c r="HV338" s="179"/>
    </row>
    <row r="339" spans="1:230" x14ac:dyDescent="0.25">
      <c r="A339" s="30"/>
      <c r="B339" s="30"/>
      <c r="C339" s="30"/>
      <c r="D339" s="30"/>
      <c r="G339" s="30"/>
      <c r="H339" s="30"/>
      <c r="I339" s="31"/>
      <c r="J339" s="69"/>
      <c r="K339" s="69"/>
      <c r="R339" s="69"/>
      <c r="S339" s="69"/>
      <c r="T339" s="71"/>
      <c r="AX339" s="69"/>
      <c r="DO339" s="69"/>
      <c r="DW339" s="71"/>
      <c r="DX339" s="39"/>
      <c r="DY339" s="71"/>
      <c r="EA339" s="35"/>
      <c r="EB339" s="35"/>
      <c r="EC339" s="38"/>
      <c r="ED339" s="38"/>
      <c r="EE339" s="38"/>
      <c r="EF339" s="38"/>
      <c r="GP339" s="68"/>
      <c r="GQ339" s="65"/>
      <c r="GR339" s="65"/>
      <c r="GS339" s="65"/>
      <c r="GT339" s="65"/>
      <c r="GU339" s="65"/>
      <c r="GV339" s="65"/>
      <c r="GW339" s="65"/>
      <c r="GX339" s="65"/>
      <c r="GY339" s="65"/>
      <c r="GZ339" s="65"/>
      <c r="HA339" s="65"/>
      <c r="HB339" s="65"/>
      <c r="HC339" s="65"/>
      <c r="HD339" s="65"/>
      <c r="HE339" s="68"/>
      <c r="HF339" s="65"/>
      <c r="HG339" s="65"/>
      <c r="HH339" s="65"/>
      <c r="HI339" s="65"/>
      <c r="HJ339" s="65"/>
      <c r="HK339" s="65"/>
      <c r="HL339" s="65"/>
      <c r="HM339" s="65"/>
      <c r="HN339" s="65"/>
      <c r="HO339" s="65"/>
      <c r="HP339" s="65"/>
      <c r="HQ339" s="65"/>
      <c r="HR339" s="65"/>
      <c r="HS339" s="65"/>
      <c r="HT339" s="65"/>
      <c r="HU339" s="67"/>
      <c r="HV339" s="179"/>
    </row>
    <row r="340" spans="1:230" x14ac:dyDescent="0.25">
      <c r="A340" s="30"/>
      <c r="B340" s="30"/>
      <c r="C340" s="30"/>
      <c r="D340" s="30"/>
      <c r="G340" s="30"/>
      <c r="H340" s="30"/>
      <c r="I340" s="31"/>
      <c r="J340" s="69"/>
      <c r="K340" s="69"/>
      <c r="R340" s="69"/>
      <c r="S340" s="69"/>
      <c r="T340" s="71"/>
      <c r="AX340" s="69"/>
      <c r="DO340" s="69"/>
      <c r="DW340" s="71"/>
      <c r="DX340" s="39"/>
      <c r="DY340" s="71"/>
      <c r="EA340" s="35"/>
      <c r="EB340" s="35"/>
      <c r="EC340" s="38"/>
      <c r="ED340" s="38"/>
      <c r="EE340" s="38"/>
      <c r="EF340" s="38"/>
      <c r="GP340" s="68"/>
      <c r="GQ340" s="65"/>
      <c r="GR340" s="65"/>
      <c r="GS340" s="65"/>
      <c r="GT340" s="65"/>
      <c r="GU340" s="65"/>
      <c r="GV340" s="65"/>
      <c r="GW340" s="65"/>
      <c r="GX340" s="65"/>
      <c r="GY340" s="65"/>
      <c r="GZ340" s="65"/>
      <c r="HA340" s="65"/>
      <c r="HB340" s="65"/>
      <c r="HC340" s="65"/>
      <c r="HD340" s="65"/>
      <c r="HE340" s="68"/>
      <c r="HF340" s="65"/>
      <c r="HG340" s="65"/>
      <c r="HH340" s="65"/>
      <c r="HI340" s="65"/>
      <c r="HJ340" s="65"/>
      <c r="HK340" s="65"/>
      <c r="HL340" s="65"/>
      <c r="HM340" s="65"/>
      <c r="HN340" s="65"/>
      <c r="HO340" s="65"/>
      <c r="HP340" s="65"/>
      <c r="HQ340" s="65"/>
      <c r="HR340" s="65"/>
      <c r="HS340" s="65"/>
      <c r="HT340" s="65"/>
      <c r="HU340" s="67"/>
      <c r="HV340" s="179"/>
    </row>
    <row r="341" spans="1:230" x14ac:dyDescent="0.25">
      <c r="A341" s="30"/>
      <c r="B341" s="30"/>
      <c r="C341" s="30"/>
      <c r="D341" s="30"/>
      <c r="G341" s="30"/>
      <c r="H341" s="30"/>
      <c r="I341" s="31"/>
      <c r="J341" s="69"/>
      <c r="K341" s="69"/>
      <c r="R341" s="69"/>
      <c r="S341" s="69"/>
      <c r="T341" s="71"/>
      <c r="AX341" s="69"/>
      <c r="DO341" s="69"/>
      <c r="DW341" s="71"/>
      <c r="DX341" s="39"/>
      <c r="DY341" s="71"/>
      <c r="EA341" s="35"/>
      <c r="EB341" s="35"/>
      <c r="EC341" s="38"/>
      <c r="ED341" s="38"/>
      <c r="EE341" s="38"/>
      <c r="EF341" s="38"/>
      <c r="GP341" s="68"/>
      <c r="GQ341" s="65"/>
      <c r="GR341" s="65"/>
      <c r="GS341" s="65"/>
      <c r="GT341" s="65"/>
      <c r="GU341" s="65"/>
      <c r="GV341" s="65"/>
      <c r="GW341" s="65"/>
      <c r="GX341" s="65"/>
      <c r="GY341" s="65"/>
      <c r="GZ341" s="65"/>
      <c r="HA341" s="65"/>
      <c r="HB341" s="65"/>
      <c r="HC341" s="65"/>
      <c r="HD341" s="65"/>
      <c r="HE341" s="68"/>
      <c r="HF341" s="65"/>
      <c r="HG341" s="65"/>
      <c r="HH341" s="65"/>
      <c r="HI341" s="65"/>
      <c r="HJ341" s="65"/>
      <c r="HK341" s="65"/>
      <c r="HL341" s="65"/>
      <c r="HM341" s="65"/>
      <c r="HN341" s="65"/>
      <c r="HO341" s="65"/>
      <c r="HP341" s="65"/>
      <c r="HQ341" s="65"/>
      <c r="HR341" s="65"/>
      <c r="HS341" s="65"/>
      <c r="HT341" s="65"/>
      <c r="HU341" s="67"/>
      <c r="HV341" s="179"/>
    </row>
    <row r="342" spans="1:230" x14ac:dyDescent="0.25">
      <c r="A342" s="30"/>
      <c r="B342" s="30"/>
      <c r="C342" s="30"/>
      <c r="D342" s="30"/>
      <c r="G342" s="30"/>
      <c r="H342" s="30"/>
      <c r="I342" s="31"/>
      <c r="J342" s="69"/>
      <c r="K342" s="69"/>
      <c r="R342" s="69"/>
      <c r="S342" s="69"/>
      <c r="T342" s="71"/>
      <c r="AX342" s="69"/>
      <c r="DO342" s="69"/>
      <c r="DW342" s="71"/>
      <c r="DX342" s="39"/>
      <c r="DY342" s="71"/>
      <c r="EA342" s="35"/>
      <c r="EB342" s="35"/>
      <c r="EC342" s="38"/>
      <c r="ED342" s="38"/>
      <c r="EE342" s="38"/>
      <c r="EF342" s="38"/>
      <c r="GP342" s="68"/>
      <c r="GQ342" s="65"/>
      <c r="GR342" s="65"/>
      <c r="GS342" s="65"/>
      <c r="GT342" s="65"/>
      <c r="GU342" s="65"/>
      <c r="GV342" s="65"/>
      <c r="GW342" s="65"/>
      <c r="GX342" s="65"/>
      <c r="GY342" s="65"/>
      <c r="GZ342" s="65"/>
      <c r="HA342" s="65"/>
      <c r="HB342" s="65"/>
      <c r="HC342" s="65"/>
      <c r="HD342" s="65"/>
      <c r="HE342" s="68"/>
      <c r="HF342" s="65"/>
      <c r="HG342" s="65"/>
      <c r="HH342" s="65"/>
      <c r="HI342" s="65"/>
      <c r="HJ342" s="65"/>
      <c r="HK342" s="65"/>
      <c r="HL342" s="65"/>
      <c r="HM342" s="65"/>
      <c r="HN342" s="65"/>
      <c r="HO342" s="65"/>
      <c r="HP342" s="65"/>
      <c r="HQ342" s="65"/>
      <c r="HR342" s="65"/>
      <c r="HS342" s="65"/>
      <c r="HT342" s="65"/>
      <c r="HU342" s="67"/>
      <c r="HV342" s="179"/>
    </row>
    <row r="343" spans="1:230" x14ac:dyDescent="0.25">
      <c r="A343" s="30"/>
      <c r="B343" s="30"/>
      <c r="C343" s="30"/>
      <c r="D343" s="30"/>
      <c r="G343" s="30"/>
      <c r="H343" s="30"/>
      <c r="I343" s="31"/>
      <c r="J343" s="69"/>
      <c r="K343" s="69"/>
      <c r="R343" s="69"/>
      <c r="S343" s="69"/>
      <c r="T343" s="71"/>
      <c r="AX343" s="69"/>
      <c r="DO343" s="69"/>
      <c r="DW343" s="71"/>
      <c r="DX343" s="39"/>
      <c r="DY343" s="71"/>
      <c r="EA343" s="35"/>
      <c r="EB343" s="35"/>
      <c r="EC343" s="38"/>
      <c r="ED343" s="38"/>
      <c r="EE343" s="38"/>
      <c r="EF343" s="38"/>
      <c r="GP343" s="68"/>
      <c r="GQ343" s="65"/>
      <c r="GR343" s="65"/>
      <c r="GS343" s="65"/>
      <c r="GT343" s="65"/>
      <c r="GU343" s="65"/>
      <c r="GV343" s="65"/>
      <c r="GW343" s="65"/>
      <c r="GX343" s="65"/>
      <c r="GY343" s="65"/>
      <c r="GZ343" s="65"/>
      <c r="HA343" s="65"/>
      <c r="HB343" s="65"/>
      <c r="HC343" s="65"/>
      <c r="HD343" s="65"/>
      <c r="HE343" s="68"/>
      <c r="HF343" s="65"/>
      <c r="HG343" s="65"/>
      <c r="HH343" s="65"/>
      <c r="HI343" s="65"/>
      <c r="HJ343" s="65"/>
      <c r="HK343" s="65"/>
      <c r="HL343" s="65"/>
      <c r="HM343" s="65"/>
      <c r="HN343" s="65"/>
      <c r="HO343" s="65"/>
      <c r="HP343" s="65"/>
      <c r="HQ343" s="65"/>
      <c r="HR343" s="65"/>
      <c r="HS343" s="65"/>
      <c r="HT343" s="65"/>
      <c r="HU343" s="67"/>
      <c r="HV343" s="179"/>
    </row>
    <row r="344" spans="1:230" x14ac:dyDescent="0.25">
      <c r="A344" s="30"/>
      <c r="B344" s="30"/>
      <c r="C344" s="30"/>
      <c r="D344" s="30"/>
      <c r="G344" s="30"/>
      <c r="H344" s="30"/>
      <c r="I344" s="31"/>
      <c r="J344" s="69"/>
      <c r="K344" s="69"/>
      <c r="R344" s="69"/>
      <c r="S344" s="69"/>
      <c r="T344" s="71"/>
      <c r="AX344" s="69"/>
      <c r="DO344" s="69"/>
      <c r="DW344" s="71"/>
      <c r="DX344" s="39"/>
      <c r="DY344" s="71"/>
      <c r="EA344" s="35"/>
      <c r="EB344" s="35"/>
      <c r="EC344" s="38"/>
      <c r="ED344" s="38"/>
      <c r="EE344" s="38"/>
      <c r="EF344" s="38"/>
      <c r="GP344" s="68"/>
      <c r="GQ344" s="65"/>
      <c r="GR344" s="65"/>
      <c r="GS344" s="65"/>
      <c r="GT344" s="65"/>
      <c r="GU344" s="65"/>
      <c r="GV344" s="65"/>
      <c r="GW344" s="65"/>
      <c r="GX344" s="65"/>
      <c r="GY344" s="65"/>
      <c r="GZ344" s="65"/>
      <c r="HA344" s="65"/>
      <c r="HB344" s="65"/>
      <c r="HC344" s="65"/>
      <c r="HD344" s="65"/>
      <c r="HE344" s="68"/>
      <c r="HF344" s="65"/>
      <c r="HG344" s="65"/>
      <c r="HH344" s="65"/>
      <c r="HI344" s="65"/>
      <c r="HJ344" s="65"/>
      <c r="HK344" s="65"/>
      <c r="HL344" s="65"/>
      <c r="HM344" s="65"/>
      <c r="HN344" s="65"/>
      <c r="HO344" s="65"/>
      <c r="HP344" s="65"/>
      <c r="HQ344" s="65"/>
      <c r="HR344" s="65"/>
      <c r="HS344" s="65"/>
      <c r="HT344" s="65"/>
      <c r="HU344" s="67"/>
      <c r="HV344" s="179"/>
    </row>
    <row r="345" spans="1:230" x14ac:dyDescent="0.25">
      <c r="A345" s="30"/>
      <c r="B345" s="30"/>
      <c r="C345" s="30"/>
      <c r="D345" s="30"/>
      <c r="G345" s="30"/>
      <c r="H345" s="30"/>
      <c r="I345" s="3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71"/>
      <c r="DL345" s="71"/>
      <c r="DM345" s="71"/>
      <c r="DN345" s="71"/>
      <c r="DO345" s="71"/>
      <c r="DP345" s="71"/>
      <c r="DQ345" s="71"/>
      <c r="DR345" s="71"/>
      <c r="DS345" s="71"/>
      <c r="DT345" s="71"/>
      <c r="DU345" s="71"/>
      <c r="DV345" s="71"/>
      <c r="DW345" s="71"/>
      <c r="DX345" s="39"/>
      <c r="DY345" s="71"/>
      <c r="EA345" s="35"/>
      <c r="EB345" s="35"/>
      <c r="EC345" s="38"/>
      <c r="ED345" s="38"/>
      <c r="EE345" s="38"/>
      <c r="EF345" s="38"/>
      <c r="GP345" s="68"/>
      <c r="GQ345" s="65"/>
      <c r="GR345" s="65"/>
      <c r="GS345" s="65"/>
      <c r="GT345" s="65"/>
      <c r="GU345" s="65"/>
      <c r="GV345" s="65"/>
      <c r="GW345" s="65"/>
      <c r="GX345" s="65"/>
      <c r="GY345" s="65"/>
      <c r="GZ345" s="65"/>
      <c r="HA345" s="65"/>
      <c r="HB345" s="65"/>
      <c r="HC345" s="65"/>
      <c r="HD345" s="65"/>
      <c r="HE345" s="68"/>
      <c r="HF345" s="65"/>
      <c r="HG345" s="65"/>
      <c r="HH345" s="65"/>
      <c r="HI345" s="65"/>
      <c r="HJ345" s="65"/>
      <c r="HK345" s="65"/>
      <c r="HL345" s="65"/>
      <c r="HM345" s="65"/>
      <c r="HN345" s="65"/>
      <c r="HO345" s="65"/>
      <c r="HP345" s="65"/>
      <c r="HQ345" s="65"/>
      <c r="HR345" s="65"/>
      <c r="HS345" s="65"/>
      <c r="HT345" s="65"/>
      <c r="HU345" s="67"/>
      <c r="HV345" s="179"/>
    </row>
    <row r="346" spans="1:230" x14ac:dyDescent="0.25">
      <c r="A346" s="30"/>
      <c r="B346" s="30"/>
      <c r="C346" s="30"/>
      <c r="D346" s="30"/>
      <c r="G346" s="30"/>
      <c r="H346" s="30"/>
      <c r="I346" s="31"/>
      <c r="J346" s="69"/>
      <c r="K346" s="69"/>
      <c r="R346" s="69"/>
      <c r="S346" s="69"/>
      <c r="T346" s="71"/>
      <c r="AX346" s="69"/>
      <c r="DO346" s="69"/>
      <c r="DW346" s="71"/>
      <c r="DX346" s="39"/>
      <c r="DY346" s="71"/>
      <c r="EA346" s="35"/>
      <c r="EB346" s="35"/>
      <c r="EC346" s="38"/>
      <c r="ED346" s="38"/>
      <c r="EE346" s="38"/>
      <c r="EF346" s="38"/>
      <c r="GP346" s="68"/>
      <c r="GQ346" s="65"/>
      <c r="GR346" s="65"/>
      <c r="GS346" s="65"/>
      <c r="GT346" s="65"/>
      <c r="GU346" s="65"/>
      <c r="GV346" s="65"/>
      <c r="GW346" s="65"/>
      <c r="GX346" s="65"/>
      <c r="GY346" s="65"/>
      <c r="GZ346" s="65"/>
      <c r="HA346" s="65"/>
      <c r="HB346" s="65"/>
      <c r="HC346" s="65"/>
      <c r="HD346" s="65"/>
      <c r="HE346" s="68"/>
      <c r="HF346" s="65"/>
      <c r="HG346" s="65"/>
      <c r="HH346" s="65"/>
      <c r="HI346" s="65"/>
      <c r="HJ346" s="65"/>
      <c r="HK346" s="65"/>
      <c r="HL346" s="65"/>
      <c r="HM346" s="65"/>
      <c r="HN346" s="65"/>
      <c r="HO346" s="65"/>
      <c r="HP346" s="65"/>
      <c r="HQ346" s="65"/>
      <c r="HR346" s="65"/>
      <c r="HS346" s="65"/>
      <c r="HT346" s="65"/>
      <c r="HU346" s="67"/>
      <c r="HV346" s="179"/>
    </row>
    <row r="347" spans="1:230" x14ac:dyDescent="0.25">
      <c r="A347" s="30"/>
      <c r="B347" s="30"/>
      <c r="C347" s="30"/>
      <c r="D347" s="30"/>
      <c r="G347" s="30"/>
      <c r="H347" s="30"/>
      <c r="I347" s="31"/>
      <c r="J347" s="69"/>
      <c r="K347" s="69"/>
      <c r="R347" s="69"/>
      <c r="S347" s="69"/>
      <c r="T347" s="71"/>
      <c r="AX347" s="69"/>
      <c r="DO347" s="69"/>
      <c r="DW347" s="71"/>
      <c r="DX347" s="39"/>
      <c r="DY347" s="71"/>
      <c r="EA347" s="35"/>
      <c r="EB347" s="35"/>
      <c r="EC347" s="38"/>
      <c r="ED347" s="38"/>
      <c r="EE347" s="38"/>
      <c r="EF347" s="38"/>
      <c r="GP347" s="68"/>
      <c r="GQ347" s="65"/>
      <c r="GR347" s="65"/>
      <c r="GS347" s="65"/>
      <c r="GT347" s="65"/>
      <c r="GU347" s="65"/>
      <c r="GV347" s="65"/>
      <c r="GW347" s="65"/>
      <c r="GX347" s="65"/>
      <c r="GY347" s="65"/>
      <c r="GZ347" s="65"/>
      <c r="HA347" s="65"/>
      <c r="HB347" s="65"/>
      <c r="HC347" s="65"/>
      <c r="HD347" s="65"/>
      <c r="HE347" s="68"/>
      <c r="HF347" s="65"/>
      <c r="HG347" s="65"/>
      <c r="HH347" s="65"/>
      <c r="HI347" s="65"/>
      <c r="HJ347" s="65"/>
      <c r="HK347" s="65"/>
      <c r="HL347" s="65"/>
      <c r="HM347" s="65"/>
      <c r="HN347" s="65"/>
      <c r="HO347" s="65"/>
      <c r="HP347" s="65"/>
      <c r="HQ347" s="65"/>
      <c r="HR347" s="65"/>
      <c r="HS347" s="65"/>
      <c r="HT347" s="65"/>
      <c r="HU347" s="67"/>
      <c r="HV347" s="179"/>
    </row>
    <row r="348" spans="1:230" x14ac:dyDescent="0.25">
      <c r="A348" s="30"/>
      <c r="B348" s="30"/>
      <c r="C348" s="30"/>
      <c r="D348" s="30"/>
      <c r="G348" s="30"/>
      <c r="H348" s="30"/>
      <c r="I348" s="31"/>
      <c r="J348" s="69"/>
      <c r="R348" s="69"/>
      <c r="S348" s="69"/>
      <c r="T348" s="71"/>
      <c r="AX348" s="69"/>
      <c r="DO348" s="69"/>
      <c r="DW348" s="71"/>
      <c r="DX348" s="39"/>
      <c r="DY348" s="71"/>
      <c r="EA348" s="35"/>
      <c r="EB348" s="35"/>
      <c r="EC348" s="38"/>
      <c r="ED348" s="38"/>
      <c r="EE348" s="38"/>
      <c r="EF348" s="38"/>
      <c r="GP348" s="68"/>
      <c r="GQ348" s="65"/>
      <c r="GR348" s="65"/>
      <c r="GS348" s="65"/>
      <c r="GT348" s="65"/>
      <c r="GU348" s="65"/>
      <c r="GV348" s="65"/>
      <c r="GW348" s="65"/>
      <c r="GX348" s="65"/>
      <c r="GY348" s="65"/>
      <c r="GZ348" s="65"/>
      <c r="HA348" s="65"/>
      <c r="HB348" s="65"/>
      <c r="HC348" s="65"/>
      <c r="HD348" s="65"/>
      <c r="HE348" s="68"/>
      <c r="HF348" s="65"/>
      <c r="HG348" s="65"/>
      <c r="HH348" s="65"/>
      <c r="HI348" s="65"/>
      <c r="HJ348" s="65"/>
      <c r="HK348" s="65"/>
      <c r="HL348" s="65"/>
      <c r="HM348" s="65"/>
      <c r="HN348" s="65"/>
      <c r="HO348" s="65"/>
      <c r="HP348" s="65"/>
      <c r="HQ348" s="65"/>
      <c r="HR348" s="65"/>
      <c r="HS348" s="65"/>
      <c r="HT348" s="65"/>
      <c r="HU348" s="67"/>
      <c r="HV348" s="179"/>
    </row>
    <row r="349" spans="1:230" x14ac:dyDescent="0.25">
      <c r="A349" s="30"/>
      <c r="B349" s="30"/>
      <c r="C349" s="30"/>
      <c r="D349" s="30"/>
      <c r="G349" s="30"/>
      <c r="H349" s="30"/>
      <c r="I349" s="31"/>
      <c r="J349" s="69"/>
      <c r="K349" s="69"/>
      <c r="R349" s="69"/>
      <c r="S349" s="69"/>
      <c r="T349" s="71"/>
      <c r="AX349" s="69"/>
      <c r="DO349" s="69"/>
      <c r="DW349" s="71"/>
      <c r="DX349" s="39"/>
      <c r="DY349" s="71"/>
      <c r="EA349" s="35"/>
      <c r="EB349" s="35"/>
      <c r="EC349" s="38"/>
      <c r="ED349" s="38"/>
      <c r="EE349" s="38"/>
      <c r="EF349" s="38"/>
      <c r="GP349" s="68"/>
      <c r="GQ349" s="65"/>
      <c r="GR349" s="65"/>
      <c r="GS349" s="65"/>
      <c r="GT349" s="65"/>
      <c r="GU349" s="65"/>
      <c r="GV349" s="65"/>
      <c r="GW349" s="65"/>
      <c r="GX349" s="65"/>
      <c r="GY349" s="65"/>
      <c r="GZ349" s="65"/>
      <c r="HA349" s="65"/>
      <c r="HB349" s="65"/>
      <c r="HC349" s="65"/>
      <c r="HD349" s="65"/>
      <c r="HE349" s="68"/>
      <c r="HF349" s="65"/>
      <c r="HG349" s="65"/>
      <c r="HH349" s="65"/>
      <c r="HI349" s="65"/>
      <c r="HJ349" s="65"/>
      <c r="HK349" s="65"/>
      <c r="HL349" s="65"/>
      <c r="HM349" s="65"/>
      <c r="HN349" s="65"/>
      <c r="HO349" s="65"/>
      <c r="HP349" s="65"/>
      <c r="HQ349" s="65"/>
      <c r="HR349" s="65"/>
      <c r="HS349" s="65"/>
      <c r="HT349" s="65"/>
      <c r="HU349" s="67"/>
      <c r="HV349" s="179"/>
    </row>
    <row r="350" spans="1:230" x14ac:dyDescent="0.25">
      <c r="A350" s="30"/>
      <c r="B350" s="30"/>
      <c r="C350" s="30"/>
      <c r="D350" s="30"/>
      <c r="G350" s="30"/>
      <c r="H350" s="30"/>
      <c r="I350" s="31"/>
      <c r="J350" s="69"/>
      <c r="K350" s="69"/>
      <c r="R350" s="69"/>
      <c r="S350" s="69"/>
      <c r="T350" s="71"/>
      <c r="AX350" s="69"/>
      <c r="DO350" s="69"/>
      <c r="DW350" s="71"/>
      <c r="DX350" s="39"/>
      <c r="DY350" s="71"/>
      <c r="EA350" s="35"/>
      <c r="EB350" s="35"/>
      <c r="EC350" s="38"/>
      <c r="ED350" s="38"/>
      <c r="EE350" s="38"/>
      <c r="EF350" s="38"/>
      <c r="GP350" s="68"/>
      <c r="GQ350" s="65"/>
      <c r="GR350" s="65"/>
      <c r="GS350" s="65"/>
      <c r="GT350" s="65"/>
      <c r="GU350" s="65"/>
      <c r="GV350" s="65"/>
      <c r="GW350" s="65"/>
      <c r="GX350" s="65"/>
      <c r="GY350" s="65"/>
      <c r="GZ350" s="65"/>
      <c r="HA350" s="65"/>
      <c r="HB350" s="65"/>
      <c r="HC350" s="65"/>
      <c r="HD350" s="65"/>
      <c r="HE350" s="68"/>
      <c r="HF350" s="65"/>
      <c r="HG350" s="65"/>
      <c r="HH350" s="65"/>
      <c r="HI350" s="65"/>
      <c r="HJ350" s="65"/>
      <c r="HK350" s="65"/>
      <c r="HL350" s="65"/>
      <c r="HM350" s="65"/>
      <c r="HN350" s="65"/>
      <c r="HO350" s="65"/>
      <c r="HP350" s="65"/>
      <c r="HQ350" s="65"/>
      <c r="HR350" s="65"/>
      <c r="HS350" s="65"/>
      <c r="HT350" s="65"/>
      <c r="HU350" s="67"/>
      <c r="HV350" s="179"/>
    </row>
    <row r="351" spans="1:230" x14ac:dyDescent="0.25">
      <c r="A351" s="30"/>
      <c r="B351" s="30"/>
      <c r="C351" s="30"/>
      <c r="D351" s="30"/>
      <c r="G351" s="30"/>
      <c r="H351" s="30"/>
      <c r="I351" s="31"/>
      <c r="J351" s="69"/>
      <c r="K351" s="69"/>
      <c r="R351" s="69"/>
      <c r="S351" s="69"/>
      <c r="T351" s="71"/>
      <c r="AX351" s="69"/>
      <c r="DO351" s="69"/>
      <c r="DW351" s="71"/>
      <c r="DX351" s="39"/>
      <c r="DY351" s="71"/>
      <c r="EA351" s="35"/>
      <c r="EB351" s="35"/>
      <c r="EC351" s="38"/>
      <c r="ED351" s="38"/>
      <c r="EE351" s="38"/>
      <c r="EF351" s="38"/>
      <c r="GP351" s="68"/>
      <c r="GQ351" s="65"/>
      <c r="GR351" s="65"/>
      <c r="GS351" s="65"/>
      <c r="GT351" s="65"/>
      <c r="GU351" s="65"/>
      <c r="GV351" s="65"/>
      <c r="GW351" s="65"/>
      <c r="GX351" s="65"/>
      <c r="GY351" s="65"/>
      <c r="GZ351" s="65"/>
      <c r="HA351" s="65"/>
      <c r="HB351" s="65"/>
      <c r="HC351" s="65"/>
      <c r="HD351" s="65"/>
      <c r="HE351" s="68"/>
      <c r="HF351" s="65"/>
      <c r="HG351" s="65"/>
      <c r="HH351" s="65"/>
      <c r="HI351" s="65"/>
      <c r="HJ351" s="65"/>
      <c r="HK351" s="65"/>
      <c r="HL351" s="65"/>
      <c r="HM351" s="65"/>
      <c r="HN351" s="65"/>
      <c r="HO351" s="65"/>
      <c r="HP351" s="65"/>
      <c r="HQ351" s="65"/>
      <c r="HR351" s="65"/>
      <c r="HS351" s="65"/>
      <c r="HT351" s="65"/>
      <c r="HU351" s="67"/>
      <c r="HV351" s="179"/>
    </row>
    <row r="352" spans="1:230" x14ac:dyDescent="0.25">
      <c r="A352" s="30"/>
      <c r="B352" s="30"/>
      <c r="C352" s="30"/>
      <c r="D352" s="30"/>
      <c r="G352" s="30"/>
      <c r="H352" s="30"/>
      <c r="I352" s="31"/>
      <c r="J352" s="69"/>
      <c r="K352" s="69"/>
      <c r="R352" s="69"/>
      <c r="S352" s="69"/>
      <c r="T352" s="71"/>
      <c r="AX352" s="69"/>
      <c r="DO352" s="69"/>
      <c r="DW352" s="71"/>
      <c r="DX352" s="39"/>
      <c r="DY352" s="71"/>
      <c r="EA352" s="35"/>
      <c r="EB352" s="35"/>
      <c r="EC352" s="38"/>
      <c r="ED352" s="38"/>
      <c r="EE352" s="38"/>
      <c r="EF352" s="38"/>
      <c r="GP352" s="68"/>
      <c r="GQ352" s="65"/>
      <c r="GR352" s="65"/>
      <c r="GS352" s="65"/>
      <c r="GT352" s="65"/>
      <c r="GU352" s="65"/>
      <c r="GV352" s="65"/>
      <c r="GW352" s="65"/>
      <c r="GX352" s="65"/>
      <c r="GY352" s="65"/>
      <c r="GZ352" s="65"/>
      <c r="HA352" s="65"/>
      <c r="HB352" s="65"/>
      <c r="HC352" s="65"/>
      <c r="HD352" s="65"/>
      <c r="HE352" s="68"/>
      <c r="HF352" s="65"/>
      <c r="HG352" s="65"/>
      <c r="HH352" s="65"/>
      <c r="HI352" s="65"/>
      <c r="HJ352" s="65"/>
      <c r="HK352" s="65"/>
      <c r="HL352" s="65"/>
      <c r="HM352" s="65"/>
      <c r="HN352" s="65"/>
      <c r="HO352" s="65"/>
      <c r="HP352" s="65"/>
      <c r="HQ352" s="65"/>
      <c r="HR352" s="65"/>
      <c r="HS352" s="65"/>
      <c r="HT352" s="65"/>
      <c r="HU352" s="67"/>
      <c r="HV352" s="179"/>
    </row>
    <row r="353" spans="1:230" x14ac:dyDescent="0.25">
      <c r="A353" s="30"/>
      <c r="B353" s="30"/>
      <c r="C353" s="30"/>
      <c r="D353" s="30"/>
      <c r="G353" s="30"/>
      <c r="H353" s="30"/>
      <c r="I353" s="31"/>
      <c r="J353" s="69"/>
      <c r="K353" s="69"/>
      <c r="R353" s="69"/>
      <c r="S353" s="69"/>
      <c r="T353" s="71"/>
      <c r="AX353" s="69"/>
      <c r="DO353" s="69"/>
      <c r="DW353" s="71"/>
      <c r="DX353" s="39"/>
      <c r="DY353" s="71"/>
      <c r="EA353" s="35"/>
      <c r="EB353" s="35"/>
      <c r="EC353" s="38"/>
      <c r="ED353" s="38"/>
      <c r="EE353" s="38"/>
      <c r="EF353" s="38"/>
      <c r="GP353" s="68"/>
      <c r="GQ353" s="65"/>
      <c r="GR353" s="65"/>
      <c r="GS353" s="65"/>
      <c r="GT353" s="65"/>
      <c r="GU353" s="65"/>
      <c r="GV353" s="65"/>
      <c r="GW353" s="65"/>
      <c r="GX353" s="65"/>
      <c r="GY353" s="65"/>
      <c r="GZ353" s="65"/>
      <c r="HA353" s="65"/>
      <c r="HB353" s="65"/>
      <c r="HC353" s="65"/>
      <c r="HD353" s="65"/>
      <c r="HE353" s="68"/>
      <c r="HF353" s="65"/>
      <c r="HG353" s="65"/>
      <c r="HH353" s="65"/>
      <c r="HI353" s="65"/>
      <c r="HJ353" s="65"/>
      <c r="HK353" s="65"/>
      <c r="HL353" s="65"/>
      <c r="HM353" s="65"/>
      <c r="HN353" s="65"/>
      <c r="HO353" s="65"/>
      <c r="HP353" s="65"/>
      <c r="HQ353" s="65"/>
      <c r="HR353" s="65"/>
      <c r="HS353" s="65"/>
      <c r="HT353" s="65"/>
      <c r="HU353" s="67"/>
      <c r="HV353" s="179"/>
    </row>
    <row r="354" spans="1:230" x14ac:dyDescent="0.25">
      <c r="A354" s="30"/>
      <c r="B354" s="30"/>
      <c r="C354" s="30"/>
      <c r="D354" s="30"/>
      <c r="G354" s="30"/>
      <c r="H354" s="30"/>
      <c r="I354" s="31"/>
      <c r="J354" s="69"/>
      <c r="K354" s="69"/>
      <c r="R354" s="69"/>
      <c r="S354" s="69"/>
      <c r="T354" s="71"/>
      <c r="AX354" s="69"/>
      <c r="DO354" s="69"/>
      <c r="DW354" s="71"/>
      <c r="DX354" s="39"/>
      <c r="DY354" s="71"/>
      <c r="EA354" s="35"/>
      <c r="EB354" s="35"/>
      <c r="EC354" s="38"/>
      <c r="ED354" s="38"/>
      <c r="EE354" s="38"/>
      <c r="EF354" s="38"/>
      <c r="GP354" s="68"/>
      <c r="GQ354" s="65"/>
      <c r="GR354" s="65"/>
      <c r="GS354" s="65"/>
      <c r="GT354" s="65"/>
      <c r="GU354" s="65"/>
      <c r="GV354" s="65"/>
      <c r="GW354" s="65"/>
      <c r="GX354" s="65"/>
      <c r="GY354" s="65"/>
      <c r="GZ354" s="65"/>
      <c r="HA354" s="65"/>
      <c r="HB354" s="65"/>
      <c r="HC354" s="65"/>
      <c r="HD354" s="65"/>
      <c r="HE354" s="68"/>
      <c r="HF354" s="65"/>
      <c r="HG354" s="65"/>
      <c r="HH354" s="65"/>
      <c r="HI354" s="65"/>
      <c r="HJ354" s="65"/>
      <c r="HK354" s="65"/>
      <c r="HL354" s="65"/>
      <c r="HM354" s="65"/>
      <c r="HN354" s="65"/>
      <c r="HO354" s="65"/>
      <c r="HP354" s="65"/>
      <c r="HQ354" s="65"/>
      <c r="HR354" s="65"/>
      <c r="HS354" s="65"/>
      <c r="HT354" s="65"/>
      <c r="HU354" s="67"/>
      <c r="HV354" s="179"/>
    </row>
    <row r="355" spans="1:230" x14ac:dyDescent="0.25">
      <c r="A355" s="30"/>
      <c r="B355" s="30"/>
      <c r="C355" s="30"/>
      <c r="D355" s="30"/>
      <c r="G355" s="30"/>
      <c r="H355" s="30"/>
      <c r="I355" s="31"/>
      <c r="J355" s="69"/>
      <c r="K355" s="69"/>
      <c r="R355" s="69"/>
      <c r="S355" s="69"/>
      <c r="T355" s="71"/>
      <c r="AX355" s="69"/>
      <c r="DO355" s="69"/>
      <c r="DW355" s="71"/>
      <c r="DX355" s="39"/>
      <c r="DY355" s="71"/>
      <c r="EA355" s="35"/>
      <c r="EB355" s="35"/>
      <c r="EC355" s="38"/>
      <c r="ED355" s="38"/>
      <c r="EE355" s="38"/>
      <c r="EF355" s="38"/>
      <c r="GP355" s="68"/>
      <c r="GQ355" s="65"/>
      <c r="GR355" s="65"/>
      <c r="GS355" s="65"/>
      <c r="GT355" s="65"/>
      <c r="GU355" s="65"/>
      <c r="GV355" s="65"/>
      <c r="GW355" s="65"/>
      <c r="GX355" s="65"/>
      <c r="GY355" s="65"/>
      <c r="GZ355" s="65"/>
      <c r="HA355" s="65"/>
      <c r="HB355" s="65"/>
      <c r="HC355" s="65"/>
      <c r="HD355" s="65"/>
      <c r="HE355" s="68"/>
      <c r="HF355" s="65"/>
      <c r="HG355" s="65"/>
      <c r="HH355" s="65"/>
      <c r="HI355" s="65"/>
      <c r="HJ355" s="65"/>
      <c r="HK355" s="65"/>
      <c r="HL355" s="65"/>
      <c r="HM355" s="65"/>
      <c r="HN355" s="65"/>
      <c r="HO355" s="65"/>
      <c r="HP355" s="65"/>
      <c r="HQ355" s="65"/>
      <c r="HR355" s="65"/>
      <c r="HS355" s="65"/>
      <c r="HT355" s="65"/>
      <c r="HU355" s="67"/>
      <c r="HV355" s="179"/>
    </row>
    <row r="356" spans="1:230" x14ac:dyDescent="0.25">
      <c r="A356" s="30"/>
      <c r="B356" s="30"/>
      <c r="C356" s="30"/>
      <c r="D356" s="30"/>
      <c r="G356" s="30"/>
      <c r="H356" s="30"/>
      <c r="I356" s="31"/>
      <c r="J356" s="69"/>
      <c r="K356" s="69"/>
      <c r="R356" s="69"/>
      <c r="S356" s="69"/>
      <c r="T356" s="71"/>
      <c r="AX356" s="69"/>
      <c r="DO356" s="69"/>
      <c r="DW356" s="71"/>
      <c r="DX356" s="39"/>
      <c r="DY356" s="71"/>
      <c r="EA356" s="35"/>
      <c r="EB356" s="35"/>
      <c r="EC356" s="38"/>
      <c r="ED356" s="38"/>
      <c r="EE356" s="38"/>
      <c r="EF356" s="38"/>
      <c r="GP356" s="68"/>
      <c r="GQ356" s="65"/>
      <c r="GR356" s="65"/>
      <c r="GS356" s="65"/>
      <c r="GT356" s="65"/>
      <c r="GU356" s="65"/>
      <c r="GV356" s="65"/>
      <c r="GW356" s="65"/>
      <c r="GX356" s="65"/>
      <c r="GY356" s="65"/>
      <c r="GZ356" s="65"/>
      <c r="HA356" s="65"/>
      <c r="HB356" s="65"/>
      <c r="HC356" s="65"/>
      <c r="HD356" s="65"/>
      <c r="HE356" s="68"/>
      <c r="HF356" s="65"/>
      <c r="HG356" s="65"/>
      <c r="HH356" s="65"/>
      <c r="HI356" s="65"/>
      <c r="HJ356" s="65"/>
      <c r="HK356" s="65"/>
      <c r="HL356" s="65"/>
      <c r="HM356" s="65"/>
      <c r="HN356" s="65"/>
      <c r="HO356" s="65"/>
      <c r="HP356" s="65"/>
      <c r="HQ356" s="65"/>
      <c r="HR356" s="65"/>
      <c r="HS356" s="65"/>
      <c r="HT356" s="65"/>
      <c r="HU356" s="67"/>
      <c r="HV356" s="179"/>
    </row>
    <row r="357" spans="1:230" x14ac:dyDescent="0.25">
      <c r="A357" s="30"/>
      <c r="B357" s="30"/>
      <c r="C357" s="30"/>
      <c r="D357" s="30"/>
      <c r="G357" s="30"/>
      <c r="H357" s="30"/>
      <c r="I357" s="31"/>
      <c r="J357" s="69"/>
      <c r="K357" s="69"/>
      <c r="R357" s="69"/>
      <c r="S357" s="69"/>
      <c r="T357" s="71"/>
      <c r="AX357" s="69"/>
      <c r="DO357" s="69"/>
      <c r="DW357" s="71"/>
      <c r="DX357" s="39"/>
      <c r="DY357" s="71"/>
      <c r="EA357" s="35"/>
      <c r="EB357" s="35"/>
      <c r="EC357" s="38"/>
      <c r="ED357" s="38"/>
      <c r="EE357" s="38"/>
      <c r="EF357" s="38"/>
      <c r="GP357" s="68"/>
      <c r="GQ357" s="65"/>
      <c r="GR357" s="65"/>
      <c r="GS357" s="65"/>
      <c r="GT357" s="65"/>
      <c r="GU357" s="65"/>
      <c r="GV357" s="65"/>
      <c r="GW357" s="65"/>
      <c r="GX357" s="65"/>
      <c r="GY357" s="65"/>
      <c r="GZ357" s="65"/>
      <c r="HA357" s="65"/>
      <c r="HB357" s="65"/>
      <c r="HC357" s="65"/>
      <c r="HD357" s="65"/>
      <c r="HE357" s="68"/>
      <c r="HF357" s="65"/>
      <c r="HG357" s="65"/>
      <c r="HH357" s="65"/>
      <c r="HI357" s="65"/>
      <c r="HJ357" s="65"/>
      <c r="HK357" s="65"/>
      <c r="HL357" s="65"/>
      <c r="HM357" s="65"/>
      <c r="HN357" s="65"/>
      <c r="HO357" s="65"/>
      <c r="HP357" s="65"/>
      <c r="HQ357" s="65"/>
      <c r="HR357" s="65"/>
      <c r="HS357" s="65"/>
      <c r="HT357" s="65"/>
      <c r="HU357" s="67"/>
      <c r="HV357" s="179"/>
    </row>
    <row r="358" spans="1:230" x14ac:dyDescent="0.25">
      <c r="A358" s="30"/>
      <c r="B358" s="30"/>
      <c r="C358" s="30"/>
      <c r="D358" s="30"/>
      <c r="G358" s="30"/>
      <c r="H358" s="30"/>
      <c r="I358" s="31"/>
      <c r="J358" s="69"/>
      <c r="K358" s="69"/>
      <c r="R358" s="69"/>
      <c r="S358" s="69"/>
      <c r="T358" s="71"/>
      <c r="AX358" s="69"/>
      <c r="DO358" s="69"/>
      <c r="DW358" s="71"/>
      <c r="DX358" s="39"/>
      <c r="DY358" s="71"/>
      <c r="EA358" s="35"/>
      <c r="EB358" s="35"/>
      <c r="EC358" s="38"/>
      <c r="ED358" s="38"/>
      <c r="EE358" s="38"/>
      <c r="EF358" s="38"/>
      <c r="GP358" s="68"/>
      <c r="GQ358" s="65"/>
      <c r="GR358" s="65"/>
      <c r="GS358" s="65"/>
      <c r="GT358" s="65"/>
      <c r="GU358" s="65"/>
      <c r="GV358" s="65"/>
      <c r="GW358" s="65"/>
      <c r="GX358" s="65"/>
      <c r="GY358" s="65"/>
      <c r="GZ358" s="65"/>
      <c r="HA358" s="65"/>
      <c r="HB358" s="65"/>
      <c r="HC358" s="65"/>
      <c r="HD358" s="65"/>
      <c r="HE358" s="68"/>
      <c r="HF358" s="65"/>
      <c r="HG358" s="65"/>
      <c r="HH358" s="65"/>
      <c r="HI358" s="65"/>
      <c r="HJ358" s="65"/>
      <c r="HK358" s="65"/>
      <c r="HL358" s="65"/>
      <c r="HM358" s="65"/>
      <c r="HN358" s="65"/>
      <c r="HO358" s="65"/>
      <c r="HP358" s="65"/>
      <c r="HQ358" s="65"/>
      <c r="HR358" s="65"/>
      <c r="HS358" s="65"/>
      <c r="HT358" s="65"/>
      <c r="HU358" s="67"/>
      <c r="HV358" s="179"/>
    </row>
    <row r="359" spans="1:230" x14ac:dyDescent="0.25">
      <c r="A359" s="30"/>
      <c r="B359" s="30"/>
      <c r="C359" s="30"/>
      <c r="D359" s="30"/>
      <c r="G359" s="30"/>
      <c r="H359" s="30"/>
      <c r="I359" s="31"/>
      <c r="J359" s="69"/>
      <c r="K359" s="69"/>
      <c r="R359" s="69"/>
      <c r="S359" s="69"/>
      <c r="T359" s="71"/>
      <c r="AX359" s="69"/>
      <c r="DO359" s="69"/>
      <c r="DW359" s="71"/>
      <c r="DX359" s="39"/>
      <c r="DY359" s="71"/>
      <c r="EA359" s="35"/>
      <c r="EB359" s="35"/>
      <c r="EC359" s="38"/>
      <c r="ED359" s="38"/>
      <c r="EE359" s="38"/>
      <c r="EF359" s="38"/>
      <c r="GP359" s="68"/>
      <c r="GQ359" s="65"/>
      <c r="GR359" s="65"/>
      <c r="GS359" s="65"/>
      <c r="GT359" s="65"/>
      <c r="GU359" s="65"/>
      <c r="GV359" s="65"/>
      <c r="GW359" s="65"/>
      <c r="GX359" s="65"/>
      <c r="GY359" s="65"/>
      <c r="GZ359" s="65"/>
      <c r="HA359" s="65"/>
      <c r="HB359" s="65"/>
      <c r="HC359" s="65"/>
      <c r="HD359" s="65"/>
      <c r="HE359" s="68"/>
      <c r="HF359" s="65"/>
      <c r="HG359" s="65"/>
      <c r="HH359" s="65"/>
      <c r="HI359" s="65"/>
      <c r="HJ359" s="65"/>
      <c r="HK359" s="65"/>
      <c r="HL359" s="65"/>
      <c r="HM359" s="65"/>
      <c r="HN359" s="65"/>
      <c r="HO359" s="65"/>
      <c r="HP359" s="65"/>
      <c r="HQ359" s="65"/>
      <c r="HR359" s="65"/>
      <c r="HS359" s="65"/>
      <c r="HT359" s="65"/>
      <c r="HU359" s="67"/>
      <c r="HV359" s="179"/>
    </row>
    <row r="360" spans="1:230" x14ac:dyDescent="0.25">
      <c r="A360" s="30"/>
      <c r="B360" s="30"/>
      <c r="C360" s="30"/>
      <c r="D360" s="30"/>
      <c r="G360" s="30"/>
      <c r="H360" s="30"/>
      <c r="I360" s="31"/>
      <c r="J360" s="69"/>
      <c r="K360" s="69"/>
      <c r="R360" s="69"/>
      <c r="S360" s="69"/>
      <c r="T360" s="71"/>
      <c r="AX360" s="69"/>
      <c r="DO360" s="69"/>
      <c r="DW360" s="71"/>
      <c r="DX360" s="39"/>
      <c r="DY360" s="71"/>
      <c r="EA360" s="35"/>
      <c r="EB360" s="35"/>
      <c r="EC360" s="38"/>
      <c r="ED360" s="38"/>
      <c r="EE360" s="38"/>
      <c r="EF360" s="38"/>
      <c r="GP360" s="68"/>
      <c r="GQ360" s="65"/>
      <c r="GR360" s="65"/>
      <c r="GS360" s="65"/>
      <c r="GT360" s="65"/>
      <c r="GU360" s="65"/>
      <c r="GV360" s="65"/>
      <c r="GW360" s="65"/>
      <c r="GX360" s="65"/>
      <c r="GY360" s="65"/>
      <c r="GZ360" s="65"/>
      <c r="HA360" s="65"/>
      <c r="HB360" s="65"/>
      <c r="HC360" s="65"/>
      <c r="HD360" s="65"/>
      <c r="HE360" s="68"/>
      <c r="HF360" s="65"/>
      <c r="HG360" s="65"/>
      <c r="HH360" s="65"/>
      <c r="HI360" s="65"/>
      <c r="HJ360" s="65"/>
      <c r="HK360" s="65"/>
      <c r="HL360" s="65"/>
      <c r="HM360" s="65"/>
      <c r="HN360" s="65"/>
      <c r="HO360" s="65"/>
      <c r="HP360" s="65"/>
      <c r="HQ360" s="65"/>
      <c r="HR360" s="65"/>
      <c r="HS360" s="65"/>
      <c r="HT360" s="65"/>
      <c r="HU360" s="67"/>
      <c r="HV360" s="179"/>
    </row>
    <row r="361" spans="1:230" x14ac:dyDescent="0.25">
      <c r="A361" s="30"/>
      <c r="B361" s="30"/>
      <c r="C361" s="30"/>
      <c r="D361" s="30"/>
      <c r="G361" s="30"/>
      <c r="H361" s="30"/>
      <c r="I361" s="31"/>
      <c r="J361" s="69"/>
      <c r="K361" s="69"/>
      <c r="R361" s="69"/>
      <c r="S361" s="69"/>
      <c r="T361" s="71"/>
      <c r="AX361" s="69"/>
      <c r="DO361" s="69"/>
      <c r="DW361" s="71"/>
      <c r="DX361" s="39"/>
      <c r="DY361" s="71"/>
      <c r="EA361" s="35"/>
      <c r="EB361" s="35"/>
      <c r="EC361" s="38"/>
      <c r="ED361" s="38"/>
      <c r="EE361" s="38"/>
      <c r="EF361" s="38"/>
      <c r="GP361" s="68"/>
      <c r="GQ361" s="65"/>
      <c r="GR361" s="65"/>
      <c r="GS361" s="65"/>
      <c r="GT361" s="65"/>
      <c r="GU361" s="65"/>
      <c r="GV361" s="65"/>
      <c r="GW361" s="65"/>
      <c r="GX361" s="65"/>
      <c r="GY361" s="65"/>
      <c r="GZ361" s="65"/>
      <c r="HA361" s="65"/>
      <c r="HB361" s="65"/>
      <c r="HC361" s="65"/>
      <c r="HD361" s="65"/>
      <c r="HE361" s="68"/>
      <c r="HF361" s="65"/>
      <c r="HG361" s="65"/>
      <c r="HH361" s="65"/>
      <c r="HI361" s="65"/>
      <c r="HJ361" s="65"/>
      <c r="HK361" s="65"/>
      <c r="HL361" s="65"/>
      <c r="HM361" s="65"/>
      <c r="HN361" s="65"/>
      <c r="HO361" s="65"/>
      <c r="HP361" s="65"/>
      <c r="HQ361" s="65"/>
      <c r="HR361" s="65"/>
      <c r="HS361" s="65"/>
      <c r="HT361" s="65"/>
      <c r="HU361" s="67"/>
      <c r="HV361" s="179"/>
    </row>
    <row r="362" spans="1:230" x14ac:dyDescent="0.25">
      <c r="A362" s="30"/>
      <c r="B362" s="30"/>
      <c r="C362" s="30"/>
      <c r="D362" s="30"/>
      <c r="G362" s="30"/>
      <c r="H362" s="30"/>
      <c r="I362" s="31"/>
      <c r="J362" s="69"/>
      <c r="K362" s="69"/>
      <c r="R362" s="69"/>
      <c r="S362" s="69"/>
      <c r="T362" s="71"/>
      <c r="AX362" s="69"/>
      <c r="DO362" s="69"/>
      <c r="DW362" s="71"/>
      <c r="DX362" s="39"/>
      <c r="DY362" s="71"/>
      <c r="EA362" s="35"/>
      <c r="EB362" s="35"/>
      <c r="EC362" s="38"/>
      <c r="ED362" s="38"/>
      <c r="EE362" s="38"/>
      <c r="EF362" s="38"/>
      <c r="GP362" s="68"/>
      <c r="GQ362" s="65"/>
      <c r="GR362" s="65"/>
      <c r="GS362" s="65"/>
      <c r="GT362" s="65"/>
      <c r="GU362" s="65"/>
      <c r="GV362" s="65"/>
      <c r="GW362" s="65"/>
      <c r="GX362" s="65"/>
      <c r="GY362" s="65"/>
      <c r="GZ362" s="65"/>
      <c r="HA362" s="65"/>
      <c r="HB362" s="65"/>
      <c r="HC362" s="65"/>
      <c r="HD362" s="65"/>
      <c r="HE362" s="68"/>
      <c r="HF362" s="65"/>
      <c r="HG362" s="65"/>
      <c r="HH362" s="65"/>
      <c r="HI362" s="65"/>
      <c r="HJ362" s="65"/>
      <c r="HK362" s="65"/>
      <c r="HL362" s="65"/>
      <c r="HM362" s="65"/>
      <c r="HN362" s="65"/>
      <c r="HO362" s="65"/>
      <c r="HP362" s="65"/>
      <c r="HQ362" s="65"/>
      <c r="HR362" s="65"/>
      <c r="HS362" s="65"/>
      <c r="HT362" s="65"/>
      <c r="HU362" s="67"/>
      <c r="HV362" s="179"/>
    </row>
    <row r="363" spans="1:230" x14ac:dyDescent="0.25">
      <c r="A363" s="30"/>
      <c r="B363" s="30"/>
      <c r="C363" s="30"/>
      <c r="D363" s="30"/>
      <c r="G363" s="30"/>
      <c r="H363" s="30"/>
      <c r="I363" s="31"/>
      <c r="J363" s="69"/>
      <c r="K363" s="69"/>
      <c r="R363" s="69"/>
      <c r="S363" s="69"/>
      <c r="T363" s="71"/>
      <c r="AX363" s="69"/>
      <c r="DO363" s="69"/>
      <c r="DW363" s="71"/>
      <c r="DX363" s="39"/>
      <c r="DY363" s="71"/>
      <c r="EA363" s="35"/>
      <c r="EB363" s="35"/>
      <c r="EC363" s="38"/>
      <c r="ED363" s="38"/>
      <c r="EE363" s="38"/>
      <c r="EF363" s="38"/>
      <c r="GP363" s="68"/>
      <c r="GQ363" s="65"/>
      <c r="GR363" s="65"/>
      <c r="GS363" s="65"/>
      <c r="GT363" s="65"/>
      <c r="GU363" s="65"/>
      <c r="GV363" s="65"/>
      <c r="GW363" s="65"/>
      <c r="GX363" s="65"/>
      <c r="GY363" s="65"/>
      <c r="GZ363" s="65"/>
      <c r="HA363" s="65"/>
      <c r="HB363" s="65"/>
      <c r="HC363" s="65"/>
      <c r="HD363" s="65"/>
      <c r="HE363" s="68"/>
      <c r="HF363" s="65"/>
      <c r="HG363" s="65"/>
      <c r="HH363" s="65"/>
      <c r="HI363" s="65"/>
      <c r="HJ363" s="65"/>
      <c r="HK363" s="65"/>
      <c r="HL363" s="65"/>
      <c r="HM363" s="65"/>
      <c r="HN363" s="65"/>
      <c r="HO363" s="65"/>
      <c r="HP363" s="65"/>
      <c r="HQ363" s="65"/>
      <c r="HR363" s="65"/>
      <c r="HS363" s="65"/>
      <c r="HT363" s="65"/>
      <c r="HU363" s="67"/>
      <c r="HV363" s="179"/>
    </row>
    <row r="364" spans="1:230" x14ac:dyDescent="0.25">
      <c r="A364" s="30"/>
      <c r="B364" s="30"/>
      <c r="C364" s="30"/>
      <c r="D364" s="30"/>
      <c r="G364" s="30"/>
      <c r="H364" s="30"/>
      <c r="I364" s="31"/>
      <c r="J364" s="69"/>
      <c r="K364" s="69"/>
      <c r="R364" s="69"/>
      <c r="S364" s="69"/>
      <c r="T364" s="71"/>
      <c r="AX364" s="69"/>
      <c r="DO364" s="69"/>
      <c r="DW364" s="71"/>
      <c r="DX364" s="39"/>
      <c r="DY364" s="71"/>
      <c r="EA364" s="35"/>
      <c r="EB364" s="35"/>
      <c r="EC364" s="38"/>
      <c r="ED364" s="38"/>
      <c r="EE364" s="38"/>
      <c r="EF364" s="38"/>
      <c r="GP364" s="68"/>
      <c r="GQ364" s="65"/>
      <c r="GR364" s="65"/>
      <c r="GS364" s="65"/>
      <c r="GT364" s="65"/>
      <c r="GU364" s="65"/>
      <c r="GV364" s="65"/>
      <c r="GW364" s="65"/>
      <c r="GX364" s="65"/>
      <c r="GY364" s="65"/>
      <c r="GZ364" s="65"/>
      <c r="HA364" s="65"/>
      <c r="HB364" s="65"/>
      <c r="HC364" s="65"/>
      <c r="HD364" s="65"/>
      <c r="HE364" s="68"/>
      <c r="HF364" s="65"/>
      <c r="HG364" s="65"/>
      <c r="HH364" s="65"/>
      <c r="HI364" s="65"/>
      <c r="HJ364" s="65"/>
      <c r="HK364" s="65"/>
      <c r="HL364" s="65"/>
      <c r="HM364" s="65"/>
      <c r="HN364" s="65"/>
      <c r="HO364" s="65"/>
      <c r="HP364" s="65"/>
      <c r="HQ364" s="65"/>
      <c r="HR364" s="65"/>
      <c r="HS364" s="65"/>
      <c r="HT364" s="65"/>
      <c r="HU364" s="67"/>
      <c r="HV364" s="179"/>
    </row>
    <row r="365" spans="1:230" x14ac:dyDescent="0.25">
      <c r="A365" s="30"/>
      <c r="B365" s="30"/>
      <c r="C365" s="30"/>
      <c r="D365" s="30"/>
      <c r="G365" s="30"/>
      <c r="H365" s="30"/>
      <c r="I365" s="3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71"/>
      <c r="DL365" s="71"/>
      <c r="DM365" s="71"/>
      <c r="DN365" s="71"/>
      <c r="DO365" s="71"/>
      <c r="DP365" s="71"/>
      <c r="DQ365" s="71"/>
      <c r="DR365" s="71"/>
      <c r="DS365" s="71"/>
      <c r="DT365" s="71"/>
      <c r="DU365" s="71"/>
      <c r="DV365" s="71"/>
      <c r="DW365" s="71"/>
      <c r="DX365" s="39"/>
      <c r="DY365" s="71"/>
      <c r="EA365" s="35"/>
      <c r="EB365" s="35"/>
      <c r="EC365" s="38"/>
      <c r="ED365" s="38"/>
      <c r="EE365" s="38"/>
      <c r="EF365" s="38"/>
      <c r="GP365" s="68"/>
      <c r="GQ365" s="65"/>
      <c r="GR365" s="65"/>
      <c r="GS365" s="65"/>
      <c r="GT365" s="65"/>
      <c r="GU365" s="65"/>
      <c r="GV365" s="65"/>
      <c r="GW365" s="65"/>
      <c r="GX365" s="65"/>
      <c r="GY365" s="65"/>
      <c r="GZ365" s="65"/>
      <c r="HA365" s="65"/>
      <c r="HB365" s="65"/>
      <c r="HC365" s="65"/>
      <c r="HD365" s="65"/>
      <c r="HE365" s="68"/>
      <c r="HF365" s="65"/>
      <c r="HG365" s="65"/>
      <c r="HH365" s="65"/>
      <c r="HI365" s="65"/>
      <c r="HJ365" s="65"/>
      <c r="HK365" s="65"/>
      <c r="HL365" s="65"/>
      <c r="HM365" s="65"/>
      <c r="HN365" s="65"/>
      <c r="HO365" s="65"/>
      <c r="HP365" s="65"/>
      <c r="HQ365" s="65"/>
      <c r="HR365" s="65"/>
      <c r="HS365" s="65"/>
      <c r="HT365" s="65"/>
      <c r="HU365" s="67"/>
      <c r="HV365" s="179"/>
    </row>
    <row r="366" spans="1:230" x14ac:dyDescent="0.25">
      <c r="A366" s="30"/>
      <c r="B366" s="30"/>
      <c r="C366" s="30"/>
      <c r="D366" s="30"/>
      <c r="G366" s="30"/>
      <c r="H366" s="30"/>
      <c r="I366" s="31"/>
      <c r="J366" s="69"/>
      <c r="K366" s="69"/>
      <c r="R366" s="69"/>
      <c r="S366" s="69"/>
      <c r="T366" s="71"/>
      <c r="AX366" s="69"/>
      <c r="DO366" s="69"/>
      <c r="DW366" s="71"/>
      <c r="DX366" s="39"/>
      <c r="DY366" s="71"/>
      <c r="EA366" s="35"/>
      <c r="EB366" s="35"/>
      <c r="EC366" s="38"/>
      <c r="ED366" s="38"/>
      <c r="EE366" s="38"/>
      <c r="EF366" s="38"/>
      <c r="GP366" s="68"/>
      <c r="GQ366" s="65"/>
      <c r="GR366" s="65"/>
      <c r="GS366" s="65"/>
      <c r="GT366" s="65"/>
      <c r="GU366" s="65"/>
      <c r="GV366" s="65"/>
      <c r="GW366" s="65"/>
      <c r="GX366" s="65"/>
      <c r="GY366" s="65"/>
      <c r="GZ366" s="65"/>
      <c r="HA366" s="65"/>
      <c r="HB366" s="65"/>
      <c r="HC366" s="65"/>
      <c r="HD366" s="65"/>
      <c r="HE366" s="68"/>
      <c r="HF366" s="65"/>
      <c r="HG366" s="65"/>
      <c r="HH366" s="65"/>
      <c r="HI366" s="65"/>
      <c r="HJ366" s="65"/>
      <c r="HK366" s="65"/>
      <c r="HL366" s="65"/>
      <c r="HM366" s="65"/>
      <c r="HN366" s="65"/>
      <c r="HO366" s="65"/>
      <c r="HP366" s="65"/>
      <c r="HQ366" s="65"/>
      <c r="HR366" s="65"/>
      <c r="HS366" s="65"/>
      <c r="HT366" s="65"/>
      <c r="HU366" s="67"/>
      <c r="HV366" s="179"/>
    </row>
    <row r="367" spans="1:230" x14ac:dyDescent="0.25">
      <c r="I367" s="31"/>
      <c r="J367" s="69"/>
      <c r="K367" s="69"/>
      <c r="R367" s="69"/>
      <c r="S367" s="69"/>
      <c r="T367" s="71"/>
      <c r="AX367" s="69"/>
      <c r="DO367" s="69"/>
      <c r="DW367" s="71"/>
      <c r="DX367" s="39"/>
      <c r="DY367" s="71"/>
      <c r="EA367" s="35"/>
      <c r="EB367" s="35"/>
      <c r="EC367" s="38"/>
      <c r="ED367" s="38"/>
      <c r="EE367" s="38"/>
      <c r="EF367" s="38"/>
      <c r="GP367" s="68"/>
      <c r="GQ367" s="65"/>
      <c r="GR367" s="65"/>
      <c r="GS367" s="65"/>
      <c r="GT367" s="65"/>
      <c r="GU367" s="65"/>
      <c r="GV367" s="65"/>
      <c r="GW367" s="65"/>
      <c r="GX367" s="65"/>
      <c r="GY367" s="65"/>
      <c r="GZ367" s="65"/>
      <c r="HA367" s="65"/>
      <c r="HB367" s="65"/>
      <c r="HC367" s="65"/>
      <c r="HD367" s="65"/>
      <c r="HE367" s="68"/>
      <c r="HF367" s="65"/>
      <c r="HG367" s="65"/>
      <c r="HH367" s="65"/>
      <c r="HI367" s="65"/>
      <c r="HJ367" s="65"/>
      <c r="HK367" s="65"/>
      <c r="HL367" s="65"/>
      <c r="HM367" s="65"/>
      <c r="HN367" s="65"/>
      <c r="HO367" s="65"/>
      <c r="HP367" s="65"/>
      <c r="HQ367" s="65"/>
      <c r="HR367" s="65"/>
      <c r="HS367" s="65"/>
      <c r="HT367" s="65"/>
      <c r="HU367" s="67"/>
      <c r="HV367" s="179"/>
    </row>
    <row r="368" spans="1:230" x14ac:dyDescent="0.25">
      <c r="A368" s="32"/>
      <c r="B368" s="32"/>
      <c r="C368" s="32"/>
      <c r="D368" s="32"/>
      <c r="G368" s="43"/>
      <c r="H368" s="32"/>
      <c r="I368" s="33"/>
      <c r="J368" s="69"/>
      <c r="K368" s="69"/>
      <c r="R368" s="69"/>
      <c r="S368" s="69"/>
      <c r="T368" s="71"/>
      <c r="AX368" s="69"/>
      <c r="DO368" s="69"/>
      <c r="DW368" s="71"/>
      <c r="DX368" s="39"/>
      <c r="DY368" s="71"/>
      <c r="EA368" s="35"/>
      <c r="EB368" s="35"/>
      <c r="EC368" s="38"/>
      <c r="ED368" s="38"/>
      <c r="EE368" s="38"/>
      <c r="EF368" s="38"/>
      <c r="GP368" s="68"/>
      <c r="GQ368" s="65"/>
      <c r="GR368" s="65"/>
      <c r="GS368" s="65"/>
      <c r="GT368" s="65"/>
      <c r="GU368" s="65"/>
      <c r="GV368" s="65"/>
      <c r="GW368" s="65"/>
      <c r="GX368" s="65"/>
      <c r="GY368" s="65"/>
      <c r="GZ368" s="65"/>
      <c r="HA368" s="65"/>
      <c r="HB368" s="65"/>
      <c r="HC368" s="65"/>
      <c r="HD368" s="65"/>
      <c r="HE368" s="68"/>
      <c r="HF368" s="65"/>
      <c r="HG368" s="65"/>
      <c r="HH368" s="65"/>
      <c r="HI368" s="65"/>
      <c r="HJ368" s="65"/>
      <c r="HK368" s="65"/>
      <c r="HL368" s="65"/>
      <c r="HM368" s="65"/>
      <c r="HN368" s="65"/>
      <c r="HO368" s="65"/>
      <c r="HP368" s="65"/>
      <c r="HQ368" s="65"/>
      <c r="HR368" s="65"/>
      <c r="HS368" s="65"/>
      <c r="HT368" s="65"/>
      <c r="HU368" s="67"/>
      <c r="HV368" s="179"/>
    </row>
    <row r="369" spans="5:230" s="30" customFormat="1" x14ac:dyDescent="0.25">
      <c r="E369" s="27"/>
      <c r="F369" s="27"/>
      <c r="I369" s="31"/>
      <c r="J369" s="69"/>
      <c r="K369" s="69"/>
      <c r="L369" s="36"/>
      <c r="M369" s="36"/>
      <c r="N369" s="36"/>
      <c r="O369" s="36"/>
      <c r="P369" s="36"/>
      <c r="Q369" s="36"/>
      <c r="R369" s="69"/>
      <c r="S369" s="69"/>
      <c r="T369" s="71"/>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69"/>
      <c r="AY369" s="36"/>
      <c r="AZ369" s="36"/>
      <c r="BA369" s="36"/>
      <c r="BB369" s="36"/>
      <c r="BC369" s="36"/>
      <c r="BD369" s="36"/>
      <c r="BE369" s="70"/>
      <c r="BF369" s="70"/>
      <c r="BG369" s="70"/>
      <c r="BH369" s="70"/>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70"/>
      <c r="CK369" s="70"/>
      <c r="CL369" s="70"/>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c r="DO369" s="69"/>
      <c r="DP369" s="36"/>
      <c r="DQ369" s="36"/>
      <c r="DR369" s="36"/>
      <c r="DS369" s="36"/>
      <c r="DT369" s="36"/>
      <c r="DU369" s="36"/>
      <c r="DV369" s="36"/>
      <c r="DW369" s="71"/>
      <c r="DX369" s="39"/>
      <c r="DY369" s="71"/>
      <c r="DZ369" s="70"/>
      <c r="EA369" s="35"/>
      <c r="EB369" s="35"/>
      <c r="EC369" s="38"/>
      <c r="ED369" s="38"/>
      <c r="EE369" s="38"/>
      <c r="EF369" s="38"/>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87"/>
      <c r="FK369" s="64"/>
      <c r="FL369" s="64"/>
      <c r="FM369" s="64"/>
      <c r="FN369" s="64"/>
      <c r="FO369" s="64"/>
      <c r="FP369" s="64"/>
      <c r="FQ369" s="64"/>
      <c r="FR369" s="64"/>
      <c r="FS369" s="64"/>
      <c r="FT369" s="64"/>
      <c r="FU369" s="64"/>
      <c r="FV369" s="64"/>
      <c r="FW369" s="64"/>
      <c r="FX369" s="64"/>
      <c r="FY369" s="73"/>
      <c r="FZ369" s="73"/>
      <c r="GA369" s="73"/>
      <c r="GB369" s="73"/>
      <c r="GC369" s="73"/>
      <c r="GD369" s="73"/>
      <c r="GE369" s="73"/>
      <c r="GF369" s="73"/>
      <c r="GG369" s="73"/>
      <c r="GH369" s="73"/>
      <c r="GI369" s="73"/>
      <c r="GJ369" s="73"/>
      <c r="GK369" s="73"/>
      <c r="GL369" s="73"/>
      <c r="GM369" s="73"/>
      <c r="GN369" s="73"/>
      <c r="GO369" s="86"/>
      <c r="GP369" s="68"/>
      <c r="GQ369" s="65"/>
      <c r="GR369" s="65"/>
      <c r="GS369" s="65"/>
      <c r="GT369" s="65"/>
      <c r="GU369" s="65"/>
      <c r="GV369" s="65"/>
      <c r="GW369" s="65"/>
      <c r="GX369" s="65"/>
      <c r="GY369" s="65"/>
      <c r="GZ369" s="65"/>
      <c r="HA369" s="65"/>
      <c r="HB369" s="65"/>
      <c r="HC369" s="65"/>
      <c r="HD369" s="65"/>
      <c r="HE369" s="68"/>
      <c r="HF369" s="65"/>
      <c r="HG369" s="65"/>
      <c r="HH369" s="65"/>
      <c r="HI369" s="65"/>
      <c r="HJ369" s="65"/>
      <c r="HK369" s="65"/>
      <c r="HL369" s="65"/>
      <c r="HM369" s="65"/>
      <c r="HN369" s="65"/>
      <c r="HO369" s="65"/>
      <c r="HP369" s="65"/>
      <c r="HQ369" s="65"/>
      <c r="HR369" s="65"/>
      <c r="HS369" s="65"/>
      <c r="HT369" s="65"/>
      <c r="HU369" s="67"/>
      <c r="HV369" s="181"/>
    </row>
    <row r="370" spans="5:230" s="30" customFormat="1" x14ac:dyDescent="0.25">
      <c r="E370" s="32"/>
      <c r="F370" s="32"/>
      <c r="I370" s="31"/>
      <c r="J370" s="69"/>
      <c r="K370" s="69"/>
      <c r="L370" s="36"/>
      <c r="M370" s="36"/>
      <c r="N370" s="36"/>
      <c r="O370" s="36"/>
      <c r="P370" s="36"/>
      <c r="Q370" s="36"/>
      <c r="R370" s="69"/>
      <c r="S370" s="69"/>
      <c r="T370" s="71"/>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69"/>
      <c r="AY370" s="36"/>
      <c r="AZ370" s="36"/>
      <c r="BA370" s="36"/>
      <c r="BB370" s="36"/>
      <c r="BC370" s="36"/>
      <c r="BD370" s="36"/>
      <c r="BE370" s="70"/>
      <c r="BF370" s="70"/>
      <c r="BG370" s="70"/>
      <c r="BH370" s="70"/>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70"/>
      <c r="CK370" s="70"/>
      <c r="CL370" s="70"/>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c r="DO370" s="69"/>
      <c r="DP370" s="36"/>
      <c r="DQ370" s="36"/>
      <c r="DR370" s="36"/>
      <c r="DS370" s="36"/>
      <c r="DT370" s="36"/>
      <c r="DU370" s="36"/>
      <c r="DV370" s="36"/>
      <c r="DW370" s="71"/>
      <c r="DX370" s="39"/>
      <c r="DY370" s="71"/>
      <c r="DZ370" s="70"/>
      <c r="EA370" s="35"/>
      <c r="EB370" s="35"/>
      <c r="EC370" s="38"/>
      <c r="ED370" s="38"/>
      <c r="EE370" s="38"/>
      <c r="EF370" s="38"/>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87"/>
      <c r="FK370" s="64"/>
      <c r="FL370" s="64"/>
      <c r="FM370" s="64"/>
      <c r="FN370" s="64"/>
      <c r="FO370" s="64"/>
      <c r="FP370" s="64"/>
      <c r="FQ370" s="64"/>
      <c r="FR370" s="64"/>
      <c r="FS370" s="64"/>
      <c r="FT370" s="64"/>
      <c r="FU370" s="64"/>
      <c r="FV370" s="64"/>
      <c r="FW370" s="64"/>
      <c r="FX370" s="64"/>
      <c r="FY370" s="73"/>
      <c r="FZ370" s="73"/>
      <c r="GA370" s="73"/>
      <c r="GB370" s="73"/>
      <c r="GC370" s="73"/>
      <c r="GD370" s="73"/>
      <c r="GE370" s="73"/>
      <c r="GF370" s="73"/>
      <c r="GG370" s="73"/>
      <c r="GH370" s="73"/>
      <c r="GI370" s="73"/>
      <c r="GJ370" s="73"/>
      <c r="GK370" s="73"/>
      <c r="GL370" s="73"/>
      <c r="GM370" s="73"/>
      <c r="GN370" s="73"/>
      <c r="GO370" s="86"/>
      <c r="GP370" s="68"/>
      <c r="GQ370" s="65"/>
      <c r="GR370" s="65"/>
      <c r="GS370" s="65"/>
      <c r="GT370" s="65"/>
      <c r="GU370" s="65"/>
      <c r="GV370" s="65"/>
      <c r="GW370" s="65"/>
      <c r="GX370" s="65"/>
      <c r="GY370" s="65"/>
      <c r="GZ370" s="65"/>
      <c r="HA370" s="65"/>
      <c r="HB370" s="65"/>
      <c r="HC370" s="65"/>
      <c r="HD370" s="65"/>
      <c r="HE370" s="68"/>
      <c r="HF370" s="65"/>
      <c r="HG370" s="65"/>
      <c r="HH370" s="65"/>
      <c r="HI370" s="65"/>
      <c r="HJ370" s="65"/>
      <c r="HK370" s="65"/>
      <c r="HL370" s="65"/>
      <c r="HM370" s="65"/>
      <c r="HN370" s="65"/>
      <c r="HO370" s="65"/>
      <c r="HP370" s="65"/>
      <c r="HQ370" s="65"/>
      <c r="HR370" s="65"/>
      <c r="HS370" s="65"/>
      <c r="HT370" s="65"/>
      <c r="HU370" s="67"/>
      <c r="HV370" s="179"/>
    </row>
    <row r="371" spans="5:230" s="30" customFormat="1" x14ac:dyDescent="0.25">
      <c r="E371" s="27"/>
      <c r="F371" s="27"/>
      <c r="I371" s="31"/>
      <c r="J371" s="69"/>
      <c r="K371" s="69"/>
      <c r="L371" s="36"/>
      <c r="M371" s="36"/>
      <c r="N371" s="36"/>
      <c r="O371" s="36"/>
      <c r="P371" s="36"/>
      <c r="Q371" s="36"/>
      <c r="R371" s="69"/>
      <c r="S371" s="69"/>
      <c r="T371" s="71"/>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69"/>
      <c r="AY371" s="36"/>
      <c r="AZ371" s="36"/>
      <c r="BA371" s="36"/>
      <c r="BB371" s="36"/>
      <c r="BC371" s="36"/>
      <c r="BD371" s="36"/>
      <c r="BE371" s="70"/>
      <c r="BF371" s="70"/>
      <c r="BG371" s="70"/>
      <c r="BH371" s="70"/>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70"/>
      <c r="CK371" s="70"/>
      <c r="CL371" s="70"/>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c r="DO371" s="69"/>
      <c r="DP371" s="36"/>
      <c r="DQ371" s="36"/>
      <c r="DR371" s="36"/>
      <c r="DS371" s="36"/>
      <c r="DT371" s="36"/>
      <c r="DU371" s="36"/>
      <c r="DV371" s="36"/>
      <c r="DW371" s="71"/>
      <c r="DX371" s="39"/>
      <c r="DY371" s="71"/>
      <c r="DZ371" s="70"/>
      <c r="EA371" s="35"/>
      <c r="EB371" s="35"/>
      <c r="EC371" s="38"/>
      <c r="ED371" s="38"/>
      <c r="EE371" s="38"/>
      <c r="EF371" s="38"/>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87"/>
      <c r="FK371" s="64"/>
      <c r="FL371" s="64"/>
      <c r="FM371" s="64"/>
      <c r="FN371" s="64"/>
      <c r="FO371" s="64"/>
      <c r="FP371" s="64"/>
      <c r="FQ371" s="64"/>
      <c r="FR371" s="64"/>
      <c r="FS371" s="64"/>
      <c r="FT371" s="64"/>
      <c r="FU371" s="64"/>
      <c r="FV371" s="64"/>
      <c r="FW371" s="64"/>
      <c r="FX371" s="64"/>
      <c r="FY371" s="73"/>
      <c r="FZ371" s="73"/>
      <c r="GA371" s="73"/>
      <c r="GB371" s="73"/>
      <c r="GC371" s="73"/>
      <c r="GD371" s="73"/>
      <c r="GE371" s="73"/>
      <c r="GF371" s="73"/>
      <c r="GG371" s="73"/>
      <c r="GH371" s="73"/>
      <c r="GI371" s="73"/>
      <c r="GJ371" s="73"/>
      <c r="GK371" s="73"/>
      <c r="GL371" s="73"/>
      <c r="GM371" s="73"/>
      <c r="GN371" s="73"/>
      <c r="GO371" s="86"/>
      <c r="GP371" s="68"/>
      <c r="GQ371" s="65"/>
      <c r="GR371" s="65"/>
      <c r="GS371" s="65"/>
      <c r="GT371" s="65"/>
      <c r="GU371" s="65"/>
      <c r="GV371" s="65"/>
      <c r="GW371" s="65"/>
      <c r="GX371" s="65"/>
      <c r="GY371" s="65"/>
      <c r="GZ371" s="65"/>
      <c r="HA371" s="65"/>
      <c r="HB371" s="65"/>
      <c r="HC371" s="65"/>
      <c r="HD371" s="65"/>
      <c r="HE371" s="68"/>
      <c r="HF371" s="65"/>
      <c r="HG371" s="65"/>
      <c r="HH371" s="65"/>
      <c r="HI371" s="65"/>
      <c r="HJ371" s="65"/>
      <c r="HK371" s="65"/>
      <c r="HL371" s="65"/>
      <c r="HM371" s="65"/>
      <c r="HN371" s="65"/>
      <c r="HO371" s="65"/>
      <c r="HP371" s="65"/>
      <c r="HQ371" s="65"/>
      <c r="HR371" s="65"/>
      <c r="HS371" s="65"/>
      <c r="HT371" s="65"/>
      <c r="HU371" s="67"/>
      <c r="HV371" s="179"/>
    </row>
    <row r="372" spans="5:230" s="30" customFormat="1" x14ac:dyDescent="0.25">
      <c r="E372" s="27"/>
      <c r="F372" s="27"/>
      <c r="I372" s="31"/>
      <c r="J372" s="69"/>
      <c r="K372" s="69"/>
      <c r="L372" s="36"/>
      <c r="M372" s="36"/>
      <c r="N372" s="36"/>
      <c r="O372" s="36"/>
      <c r="P372" s="36"/>
      <c r="Q372" s="36"/>
      <c r="R372" s="69"/>
      <c r="S372" s="69"/>
      <c r="T372" s="71"/>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69"/>
      <c r="AY372" s="36"/>
      <c r="AZ372" s="36"/>
      <c r="BA372" s="36"/>
      <c r="BB372" s="36"/>
      <c r="BC372" s="36"/>
      <c r="BD372" s="36"/>
      <c r="BE372" s="70"/>
      <c r="BF372" s="70"/>
      <c r="BG372" s="70"/>
      <c r="BH372" s="70"/>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70"/>
      <c r="CK372" s="70"/>
      <c r="CL372" s="70"/>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c r="DO372" s="69"/>
      <c r="DP372" s="36"/>
      <c r="DQ372" s="36"/>
      <c r="DR372" s="36"/>
      <c r="DS372" s="36"/>
      <c r="DT372" s="36"/>
      <c r="DU372" s="36"/>
      <c r="DV372" s="36"/>
      <c r="DW372" s="71"/>
      <c r="DX372" s="39"/>
      <c r="DY372" s="71"/>
      <c r="DZ372" s="70"/>
      <c r="EA372" s="35"/>
      <c r="EB372" s="35"/>
      <c r="EC372" s="38"/>
      <c r="ED372" s="38"/>
      <c r="EE372" s="38"/>
      <c r="EF372" s="38"/>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87"/>
      <c r="FK372" s="64"/>
      <c r="FL372" s="64"/>
      <c r="FM372" s="64"/>
      <c r="FN372" s="64"/>
      <c r="FO372" s="64"/>
      <c r="FP372" s="64"/>
      <c r="FQ372" s="64"/>
      <c r="FR372" s="64"/>
      <c r="FS372" s="64"/>
      <c r="FT372" s="64"/>
      <c r="FU372" s="64"/>
      <c r="FV372" s="64"/>
      <c r="FW372" s="64"/>
      <c r="FX372" s="64"/>
      <c r="FY372" s="73"/>
      <c r="FZ372" s="73"/>
      <c r="GA372" s="73"/>
      <c r="GB372" s="73"/>
      <c r="GC372" s="73"/>
      <c r="GD372" s="73"/>
      <c r="GE372" s="73"/>
      <c r="GF372" s="73"/>
      <c r="GG372" s="73"/>
      <c r="GH372" s="73"/>
      <c r="GI372" s="73"/>
      <c r="GJ372" s="73"/>
      <c r="GK372" s="73"/>
      <c r="GL372" s="73"/>
      <c r="GM372" s="73"/>
      <c r="GN372" s="73"/>
      <c r="GO372" s="86"/>
      <c r="GP372" s="68"/>
      <c r="GQ372" s="65"/>
      <c r="GR372" s="65"/>
      <c r="GS372" s="65"/>
      <c r="GT372" s="65"/>
      <c r="GU372" s="65"/>
      <c r="GV372" s="65"/>
      <c r="GW372" s="65"/>
      <c r="GX372" s="65"/>
      <c r="GY372" s="65"/>
      <c r="GZ372" s="65"/>
      <c r="HA372" s="65"/>
      <c r="HB372" s="65"/>
      <c r="HC372" s="65"/>
      <c r="HD372" s="65"/>
      <c r="HE372" s="68"/>
      <c r="HF372" s="65"/>
      <c r="HG372" s="65"/>
      <c r="HH372" s="65"/>
      <c r="HI372" s="65"/>
      <c r="HJ372" s="65"/>
      <c r="HK372" s="65"/>
      <c r="HL372" s="65"/>
      <c r="HM372" s="65"/>
      <c r="HN372" s="65"/>
      <c r="HO372" s="65"/>
      <c r="HP372" s="65"/>
      <c r="HQ372" s="65"/>
      <c r="HR372" s="65"/>
      <c r="HS372" s="65"/>
      <c r="HT372" s="65"/>
      <c r="HU372" s="67"/>
      <c r="HV372" s="179"/>
    </row>
    <row r="373" spans="5:230" s="30" customFormat="1" x14ac:dyDescent="0.25">
      <c r="E373" s="27"/>
      <c r="F373" s="27"/>
      <c r="I373" s="31"/>
      <c r="J373" s="69"/>
      <c r="K373" s="69"/>
      <c r="L373" s="36"/>
      <c r="M373" s="36"/>
      <c r="N373" s="36"/>
      <c r="O373" s="36"/>
      <c r="P373" s="36"/>
      <c r="Q373" s="36"/>
      <c r="R373" s="69"/>
      <c r="S373" s="69"/>
      <c r="T373" s="71"/>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69"/>
      <c r="AY373" s="36"/>
      <c r="AZ373" s="36"/>
      <c r="BA373" s="36"/>
      <c r="BB373" s="36"/>
      <c r="BC373" s="36"/>
      <c r="BD373" s="36"/>
      <c r="BE373" s="70"/>
      <c r="BF373" s="70"/>
      <c r="BG373" s="70"/>
      <c r="BH373" s="70"/>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70"/>
      <c r="CK373" s="70"/>
      <c r="CL373" s="70"/>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c r="DO373" s="69"/>
      <c r="DP373" s="36"/>
      <c r="DQ373" s="36"/>
      <c r="DR373" s="36"/>
      <c r="DS373" s="36"/>
      <c r="DT373" s="36"/>
      <c r="DU373" s="36"/>
      <c r="DV373" s="36"/>
      <c r="DW373" s="71"/>
      <c r="DX373" s="39"/>
      <c r="DY373" s="71"/>
      <c r="DZ373" s="70"/>
      <c r="EA373" s="35"/>
      <c r="EB373" s="35"/>
      <c r="EC373" s="38"/>
      <c r="ED373" s="38"/>
      <c r="EE373" s="38"/>
      <c r="EF373" s="38"/>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87"/>
      <c r="FK373" s="64"/>
      <c r="FL373" s="64"/>
      <c r="FM373" s="64"/>
      <c r="FN373" s="64"/>
      <c r="FO373" s="64"/>
      <c r="FP373" s="64"/>
      <c r="FQ373" s="64"/>
      <c r="FR373" s="64"/>
      <c r="FS373" s="64"/>
      <c r="FT373" s="64"/>
      <c r="FU373" s="64"/>
      <c r="FV373" s="64"/>
      <c r="FW373" s="64"/>
      <c r="FX373" s="64"/>
      <c r="FY373" s="73"/>
      <c r="FZ373" s="73"/>
      <c r="GA373" s="73"/>
      <c r="GB373" s="73"/>
      <c r="GC373" s="73"/>
      <c r="GD373" s="73"/>
      <c r="GE373" s="73"/>
      <c r="GF373" s="73"/>
      <c r="GG373" s="73"/>
      <c r="GH373" s="73"/>
      <c r="GI373" s="73"/>
      <c r="GJ373" s="73"/>
      <c r="GK373" s="73"/>
      <c r="GL373" s="73"/>
      <c r="GM373" s="73"/>
      <c r="GN373" s="73"/>
      <c r="GO373" s="86"/>
      <c r="GP373" s="68"/>
      <c r="GQ373" s="65"/>
      <c r="GR373" s="65"/>
      <c r="GS373" s="65"/>
      <c r="GT373" s="65"/>
      <c r="GU373" s="65"/>
      <c r="GV373" s="65"/>
      <c r="GW373" s="65"/>
      <c r="GX373" s="65"/>
      <c r="GY373" s="65"/>
      <c r="GZ373" s="65"/>
      <c r="HA373" s="65"/>
      <c r="HB373" s="65"/>
      <c r="HC373" s="65"/>
      <c r="HD373" s="65"/>
      <c r="HE373" s="68"/>
      <c r="HF373" s="65"/>
      <c r="HG373" s="65"/>
      <c r="HH373" s="65"/>
      <c r="HI373" s="65"/>
      <c r="HJ373" s="65"/>
      <c r="HK373" s="65"/>
      <c r="HL373" s="65"/>
      <c r="HM373" s="65"/>
      <c r="HN373" s="65"/>
      <c r="HO373" s="65"/>
      <c r="HP373" s="65"/>
      <c r="HQ373" s="65"/>
      <c r="HR373" s="65"/>
      <c r="HS373" s="65"/>
      <c r="HT373" s="65"/>
      <c r="HU373" s="67"/>
      <c r="HV373" s="179"/>
    </row>
    <row r="374" spans="5:230" s="30" customFormat="1" x14ac:dyDescent="0.25">
      <c r="E374" s="27"/>
      <c r="F374" s="27"/>
      <c r="I374" s="3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c r="CW374" s="71"/>
      <c r="CX374" s="71"/>
      <c r="CY374" s="71"/>
      <c r="CZ374" s="71"/>
      <c r="DA374" s="71"/>
      <c r="DB374" s="71"/>
      <c r="DC374" s="71"/>
      <c r="DD374" s="71"/>
      <c r="DE374" s="71"/>
      <c r="DF374" s="71"/>
      <c r="DG374" s="71"/>
      <c r="DH374" s="71"/>
      <c r="DI374" s="71"/>
      <c r="DJ374" s="71"/>
      <c r="DK374" s="71"/>
      <c r="DL374" s="71"/>
      <c r="DM374" s="71"/>
      <c r="DN374" s="71"/>
      <c r="DO374" s="71"/>
      <c r="DP374" s="71"/>
      <c r="DQ374" s="71"/>
      <c r="DR374" s="71"/>
      <c r="DS374" s="71"/>
      <c r="DT374" s="71"/>
      <c r="DU374" s="71"/>
      <c r="DV374" s="71"/>
      <c r="DW374" s="71"/>
      <c r="DX374" s="39"/>
      <c r="DY374" s="71"/>
      <c r="DZ374" s="70"/>
      <c r="EA374" s="35"/>
      <c r="EB374" s="35"/>
      <c r="EC374" s="38"/>
      <c r="ED374" s="38"/>
      <c r="EE374" s="38"/>
      <c r="EF374" s="38"/>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87"/>
      <c r="FK374" s="64"/>
      <c r="FL374" s="64"/>
      <c r="FM374" s="64"/>
      <c r="FN374" s="64"/>
      <c r="FO374" s="64"/>
      <c r="FP374" s="64"/>
      <c r="FQ374" s="64"/>
      <c r="FR374" s="64"/>
      <c r="FS374" s="64"/>
      <c r="FT374" s="64"/>
      <c r="FU374" s="64"/>
      <c r="FV374" s="64"/>
      <c r="FW374" s="64"/>
      <c r="FX374" s="64"/>
      <c r="FY374" s="73"/>
      <c r="FZ374" s="73"/>
      <c r="GA374" s="73"/>
      <c r="GB374" s="73"/>
      <c r="GC374" s="73"/>
      <c r="GD374" s="73"/>
      <c r="GE374" s="73"/>
      <c r="GF374" s="73"/>
      <c r="GG374" s="73"/>
      <c r="GH374" s="73"/>
      <c r="GI374" s="73"/>
      <c r="GJ374" s="73"/>
      <c r="GK374" s="73"/>
      <c r="GL374" s="73"/>
      <c r="GM374" s="73"/>
      <c r="GN374" s="73"/>
      <c r="GO374" s="86"/>
      <c r="GP374" s="68"/>
      <c r="GQ374" s="65"/>
      <c r="GR374" s="65"/>
      <c r="GS374" s="65"/>
      <c r="GT374" s="65"/>
      <c r="GU374" s="65"/>
      <c r="GV374" s="65"/>
      <c r="GW374" s="65"/>
      <c r="GX374" s="65"/>
      <c r="GY374" s="65"/>
      <c r="GZ374" s="65"/>
      <c r="HA374" s="65"/>
      <c r="HB374" s="65"/>
      <c r="HC374" s="65"/>
      <c r="HD374" s="65"/>
      <c r="HE374" s="68"/>
      <c r="HF374" s="65"/>
      <c r="HG374" s="65"/>
      <c r="HH374" s="65"/>
      <c r="HI374" s="65"/>
      <c r="HJ374" s="65"/>
      <c r="HK374" s="65"/>
      <c r="HL374" s="65"/>
      <c r="HM374" s="65"/>
      <c r="HN374" s="65"/>
      <c r="HO374" s="65"/>
      <c r="HP374" s="65"/>
      <c r="HQ374" s="65"/>
      <c r="HR374" s="65"/>
      <c r="HS374" s="65"/>
      <c r="HT374" s="65"/>
      <c r="HU374" s="67"/>
      <c r="HV374" s="179"/>
    </row>
    <row r="375" spans="5:230" s="30" customFormat="1" x14ac:dyDescent="0.25">
      <c r="E375" s="27"/>
      <c r="F375" s="27"/>
      <c r="I375" s="31"/>
      <c r="J375" s="69"/>
      <c r="K375" s="69"/>
      <c r="L375" s="36"/>
      <c r="M375" s="36"/>
      <c r="N375" s="36"/>
      <c r="O375" s="36"/>
      <c r="P375" s="36"/>
      <c r="Q375" s="36"/>
      <c r="R375" s="69"/>
      <c r="S375" s="69"/>
      <c r="T375" s="71"/>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69"/>
      <c r="AY375" s="36"/>
      <c r="AZ375" s="36"/>
      <c r="BA375" s="36"/>
      <c r="BB375" s="36"/>
      <c r="BC375" s="36"/>
      <c r="BD375" s="36"/>
      <c r="BE375" s="70"/>
      <c r="BF375" s="70"/>
      <c r="BG375" s="70"/>
      <c r="BH375" s="70"/>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70"/>
      <c r="CK375" s="70"/>
      <c r="CL375" s="70"/>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c r="DO375" s="69"/>
      <c r="DP375" s="36"/>
      <c r="DQ375" s="36"/>
      <c r="DR375" s="36"/>
      <c r="DS375" s="36"/>
      <c r="DT375" s="36"/>
      <c r="DU375" s="36"/>
      <c r="DV375" s="36"/>
      <c r="DW375" s="71"/>
      <c r="DX375" s="39"/>
      <c r="DY375" s="71"/>
      <c r="DZ375" s="70"/>
      <c r="EA375" s="35"/>
      <c r="EB375" s="35"/>
      <c r="EC375" s="38"/>
      <c r="ED375" s="38"/>
      <c r="EE375" s="38"/>
      <c r="EF375" s="38"/>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87"/>
      <c r="FK375" s="64"/>
      <c r="FL375" s="64"/>
      <c r="FM375" s="64"/>
      <c r="FN375" s="64"/>
      <c r="FO375" s="64"/>
      <c r="FP375" s="64"/>
      <c r="FQ375" s="64"/>
      <c r="FR375" s="64"/>
      <c r="FS375" s="64"/>
      <c r="FT375" s="64"/>
      <c r="FU375" s="64"/>
      <c r="FV375" s="64"/>
      <c r="FW375" s="64"/>
      <c r="FX375" s="64"/>
      <c r="FY375" s="73"/>
      <c r="FZ375" s="73"/>
      <c r="GA375" s="73"/>
      <c r="GB375" s="73"/>
      <c r="GC375" s="73"/>
      <c r="GD375" s="73"/>
      <c r="GE375" s="73"/>
      <c r="GF375" s="73"/>
      <c r="GG375" s="73"/>
      <c r="GH375" s="73"/>
      <c r="GI375" s="73"/>
      <c r="GJ375" s="73"/>
      <c r="GK375" s="73"/>
      <c r="GL375" s="73"/>
      <c r="GM375" s="73"/>
      <c r="GN375" s="73"/>
      <c r="GO375" s="86"/>
      <c r="GP375" s="68"/>
      <c r="GQ375" s="65"/>
      <c r="GR375" s="65"/>
      <c r="GS375" s="65"/>
      <c r="GT375" s="65"/>
      <c r="GU375" s="65"/>
      <c r="GV375" s="65"/>
      <c r="GW375" s="65"/>
      <c r="GX375" s="65"/>
      <c r="GY375" s="65"/>
      <c r="GZ375" s="65"/>
      <c r="HA375" s="65"/>
      <c r="HB375" s="65"/>
      <c r="HC375" s="65"/>
      <c r="HD375" s="65"/>
      <c r="HE375" s="68"/>
      <c r="HF375" s="65"/>
      <c r="HG375" s="65"/>
      <c r="HH375" s="65"/>
      <c r="HI375" s="65"/>
      <c r="HJ375" s="65"/>
      <c r="HK375" s="65"/>
      <c r="HL375" s="65"/>
      <c r="HM375" s="65"/>
      <c r="HN375" s="65"/>
      <c r="HO375" s="65"/>
      <c r="HP375" s="65"/>
      <c r="HQ375" s="65"/>
      <c r="HR375" s="65"/>
      <c r="HS375" s="65"/>
      <c r="HT375" s="65"/>
      <c r="HU375" s="67"/>
      <c r="HV375" s="179"/>
    </row>
    <row r="376" spans="5:230" s="30" customFormat="1" x14ac:dyDescent="0.25">
      <c r="E376" s="27"/>
      <c r="F376" s="27"/>
      <c r="I376" s="31"/>
      <c r="J376" s="69"/>
      <c r="K376" s="69"/>
      <c r="L376" s="36"/>
      <c r="M376" s="36"/>
      <c r="N376" s="36"/>
      <c r="O376" s="36"/>
      <c r="P376" s="36"/>
      <c r="Q376" s="36"/>
      <c r="R376" s="69"/>
      <c r="S376" s="69"/>
      <c r="T376" s="71"/>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69"/>
      <c r="AY376" s="36"/>
      <c r="AZ376" s="36"/>
      <c r="BA376" s="36"/>
      <c r="BB376" s="36"/>
      <c r="BC376" s="36"/>
      <c r="BD376" s="36"/>
      <c r="BE376" s="70"/>
      <c r="BF376" s="70"/>
      <c r="BG376" s="70"/>
      <c r="BH376" s="70"/>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70"/>
      <c r="CK376" s="70"/>
      <c r="CL376" s="70"/>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c r="DO376" s="69"/>
      <c r="DP376" s="36"/>
      <c r="DQ376" s="36"/>
      <c r="DR376" s="36"/>
      <c r="DS376" s="36"/>
      <c r="DT376" s="36"/>
      <c r="DU376" s="36"/>
      <c r="DV376" s="36"/>
      <c r="DW376" s="71"/>
      <c r="DX376" s="39"/>
      <c r="DY376" s="71"/>
      <c r="DZ376" s="70"/>
      <c r="EA376" s="35"/>
      <c r="EB376" s="35"/>
      <c r="EC376" s="38"/>
      <c r="ED376" s="38"/>
      <c r="EE376" s="38"/>
      <c r="EF376" s="38"/>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87"/>
      <c r="FK376" s="64"/>
      <c r="FL376" s="64"/>
      <c r="FM376" s="64"/>
      <c r="FN376" s="64"/>
      <c r="FO376" s="64"/>
      <c r="FP376" s="64"/>
      <c r="FQ376" s="64"/>
      <c r="FR376" s="64"/>
      <c r="FS376" s="64"/>
      <c r="FT376" s="64"/>
      <c r="FU376" s="64"/>
      <c r="FV376" s="64"/>
      <c r="FW376" s="64"/>
      <c r="FX376" s="64"/>
      <c r="FY376" s="73"/>
      <c r="FZ376" s="73"/>
      <c r="GA376" s="73"/>
      <c r="GB376" s="73"/>
      <c r="GC376" s="73"/>
      <c r="GD376" s="73"/>
      <c r="GE376" s="73"/>
      <c r="GF376" s="73"/>
      <c r="GG376" s="73"/>
      <c r="GH376" s="73"/>
      <c r="GI376" s="73"/>
      <c r="GJ376" s="73"/>
      <c r="GK376" s="73"/>
      <c r="GL376" s="73"/>
      <c r="GM376" s="73"/>
      <c r="GN376" s="73"/>
      <c r="GO376" s="86"/>
      <c r="GP376" s="68"/>
      <c r="GQ376" s="65"/>
      <c r="GR376" s="65"/>
      <c r="GS376" s="65"/>
      <c r="GT376" s="65"/>
      <c r="GU376" s="65"/>
      <c r="GV376" s="65"/>
      <c r="GW376" s="65"/>
      <c r="GX376" s="65"/>
      <c r="GY376" s="65"/>
      <c r="GZ376" s="65"/>
      <c r="HA376" s="65"/>
      <c r="HB376" s="65"/>
      <c r="HC376" s="65"/>
      <c r="HD376" s="65"/>
      <c r="HE376" s="68"/>
      <c r="HF376" s="65"/>
      <c r="HG376" s="65"/>
      <c r="HH376" s="65"/>
      <c r="HI376" s="65"/>
      <c r="HJ376" s="65"/>
      <c r="HK376" s="65"/>
      <c r="HL376" s="65"/>
      <c r="HM376" s="65"/>
      <c r="HN376" s="65"/>
      <c r="HO376" s="65"/>
      <c r="HP376" s="65"/>
      <c r="HQ376" s="65"/>
      <c r="HR376" s="65"/>
      <c r="HS376" s="65"/>
      <c r="HT376" s="65"/>
      <c r="HU376" s="67"/>
      <c r="HV376" s="179"/>
    </row>
    <row r="377" spans="5:230" s="30" customFormat="1" x14ac:dyDescent="0.25">
      <c r="E377" s="27"/>
      <c r="F377" s="27"/>
      <c r="I377" s="31"/>
      <c r="J377" s="69"/>
      <c r="K377" s="69"/>
      <c r="L377" s="36"/>
      <c r="M377" s="36"/>
      <c r="N377" s="36"/>
      <c r="O377" s="36"/>
      <c r="P377" s="36"/>
      <c r="Q377" s="36"/>
      <c r="R377" s="69"/>
      <c r="S377" s="69"/>
      <c r="T377" s="71"/>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69"/>
      <c r="AY377" s="36"/>
      <c r="AZ377" s="36"/>
      <c r="BA377" s="36"/>
      <c r="BB377" s="36"/>
      <c r="BC377" s="36"/>
      <c r="BD377" s="36"/>
      <c r="BE377" s="70"/>
      <c r="BF377" s="70"/>
      <c r="BG377" s="70"/>
      <c r="BH377" s="70"/>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70"/>
      <c r="CK377" s="70"/>
      <c r="CL377" s="70"/>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c r="DO377" s="69"/>
      <c r="DP377" s="36"/>
      <c r="DQ377" s="36"/>
      <c r="DR377" s="36"/>
      <c r="DS377" s="36"/>
      <c r="DT377" s="36"/>
      <c r="DU377" s="36"/>
      <c r="DV377" s="36"/>
      <c r="DW377" s="71"/>
      <c r="DX377" s="39"/>
      <c r="DY377" s="71"/>
      <c r="DZ377" s="70"/>
      <c r="EA377" s="35"/>
      <c r="EB377" s="35"/>
      <c r="EC377" s="38"/>
      <c r="ED377" s="38"/>
      <c r="EE377" s="38"/>
      <c r="EF377" s="38"/>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87"/>
      <c r="FK377" s="64"/>
      <c r="FL377" s="64"/>
      <c r="FM377" s="64"/>
      <c r="FN377" s="64"/>
      <c r="FO377" s="64"/>
      <c r="FP377" s="64"/>
      <c r="FQ377" s="64"/>
      <c r="FR377" s="64"/>
      <c r="FS377" s="64"/>
      <c r="FT377" s="64"/>
      <c r="FU377" s="64"/>
      <c r="FV377" s="64"/>
      <c r="FW377" s="64"/>
      <c r="FX377" s="64"/>
      <c r="FY377" s="73"/>
      <c r="FZ377" s="73"/>
      <c r="GA377" s="73"/>
      <c r="GB377" s="73"/>
      <c r="GC377" s="73"/>
      <c r="GD377" s="73"/>
      <c r="GE377" s="73"/>
      <c r="GF377" s="73"/>
      <c r="GG377" s="73"/>
      <c r="GH377" s="73"/>
      <c r="GI377" s="73"/>
      <c r="GJ377" s="73"/>
      <c r="GK377" s="73"/>
      <c r="GL377" s="73"/>
      <c r="GM377" s="73"/>
      <c r="GN377" s="73"/>
      <c r="GO377" s="86"/>
      <c r="GP377" s="68"/>
      <c r="GQ377" s="65"/>
      <c r="GR377" s="65"/>
      <c r="GS377" s="65"/>
      <c r="GT377" s="65"/>
      <c r="GU377" s="65"/>
      <c r="GV377" s="65"/>
      <c r="GW377" s="65"/>
      <c r="GX377" s="65"/>
      <c r="GY377" s="65"/>
      <c r="GZ377" s="65"/>
      <c r="HA377" s="65"/>
      <c r="HB377" s="65"/>
      <c r="HC377" s="65"/>
      <c r="HD377" s="65"/>
      <c r="HE377" s="68"/>
      <c r="HF377" s="65"/>
      <c r="HG377" s="65"/>
      <c r="HH377" s="65"/>
      <c r="HI377" s="65"/>
      <c r="HJ377" s="65"/>
      <c r="HK377" s="65"/>
      <c r="HL377" s="65"/>
      <c r="HM377" s="65"/>
      <c r="HN377" s="65"/>
      <c r="HO377" s="65"/>
      <c r="HP377" s="65"/>
      <c r="HQ377" s="65"/>
      <c r="HR377" s="65"/>
      <c r="HS377" s="65"/>
      <c r="HT377" s="65"/>
      <c r="HU377" s="67"/>
      <c r="HV377" s="179"/>
    </row>
    <row r="378" spans="5:230" s="30" customFormat="1" x14ac:dyDescent="0.25">
      <c r="E378" s="27"/>
      <c r="F378" s="27"/>
      <c r="I378" s="3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c r="CW378" s="71"/>
      <c r="CX378" s="71"/>
      <c r="CY378" s="71"/>
      <c r="CZ378" s="71"/>
      <c r="DA378" s="71"/>
      <c r="DB378" s="71"/>
      <c r="DC378" s="71"/>
      <c r="DD378" s="71"/>
      <c r="DE378" s="71"/>
      <c r="DF378" s="71"/>
      <c r="DG378" s="71"/>
      <c r="DH378" s="71"/>
      <c r="DI378" s="71"/>
      <c r="DJ378" s="71"/>
      <c r="DK378" s="71"/>
      <c r="DL378" s="71"/>
      <c r="DM378" s="71"/>
      <c r="DN378" s="71"/>
      <c r="DO378" s="71"/>
      <c r="DP378" s="71"/>
      <c r="DQ378" s="71"/>
      <c r="DR378" s="71"/>
      <c r="DS378" s="71"/>
      <c r="DT378" s="71"/>
      <c r="DU378" s="71"/>
      <c r="DV378" s="71"/>
      <c r="DW378" s="71"/>
      <c r="DX378" s="39"/>
      <c r="DY378" s="71"/>
      <c r="DZ378" s="70"/>
      <c r="EA378" s="35"/>
      <c r="EB378" s="35"/>
      <c r="EC378" s="38"/>
      <c r="ED378" s="38"/>
      <c r="EE378" s="38"/>
      <c r="EF378" s="38"/>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87"/>
      <c r="FK378" s="64"/>
      <c r="FL378" s="64"/>
      <c r="FM378" s="64"/>
      <c r="FN378" s="64"/>
      <c r="FO378" s="64"/>
      <c r="FP378" s="64"/>
      <c r="FQ378" s="64"/>
      <c r="FR378" s="64"/>
      <c r="FS378" s="64"/>
      <c r="FT378" s="64"/>
      <c r="FU378" s="64"/>
      <c r="FV378" s="64"/>
      <c r="FW378" s="64"/>
      <c r="FX378" s="64"/>
      <c r="FY378" s="73"/>
      <c r="FZ378" s="73"/>
      <c r="GA378" s="73"/>
      <c r="GB378" s="73"/>
      <c r="GC378" s="73"/>
      <c r="GD378" s="73"/>
      <c r="GE378" s="73"/>
      <c r="GF378" s="73"/>
      <c r="GG378" s="73"/>
      <c r="GH378" s="73"/>
      <c r="GI378" s="73"/>
      <c r="GJ378" s="73"/>
      <c r="GK378" s="73"/>
      <c r="GL378" s="73"/>
      <c r="GM378" s="73"/>
      <c r="GN378" s="73"/>
      <c r="GO378" s="86"/>
      <c r="GP378" s="68"/>
      <c r="GQ378" s="65"/>
      <c r="GR378" s="65"/>
      <c r="GS378" s="65"/>
      <c r="GT378" s="65"/>
      <c r="GU378" s="65"/>
      <c r="GV378" s="65"/>
      <c r="GW378" s="65"/>
      <c r="GX378" s="65"/>
      <c r="GY378" s="65"/>
      <c r="GZ378" s="65"/>
      <c r="HA378" s="65"/>
      <c r="HB378" s="65"/>
      <c r="HC378" s="65"/>
      <c r="HD378" s="65"/>
      <c r="HE378" s="68"/>
      <c r="HF378" s="65"/>
      <c r="HG378" s="65"/>
      <c r="HH378" s="65"/>
      <c r="HI378" s="65"/>
      <c r="HJ378" s="65"/>
      <c r="HK378" s="65"/>
      <c r="HL378" s="65"/>
      <c r="HM378" s="65"/>
      <c r="HN378" s="65"/>
      <c r="HO378" s="65"/>
      <c r="HP378" s="65"/>
      <c r="HQ378" s="65"/>
      <c r="HR378" s="65"/>
      <c r="HS378" s="65"/>
      <c r="HT378" s="65"/>
      <c r="HU378" s="67"/>
      <c r="HV378" s="179"/>
    </row>
    <row r="379" spans="5:230" s="30" customFormat="1" x14ac:dyDescent="0.25">
      <c r="E379" s="27"/>
      <c r="F379" s="27"/>
      <c r="I379" s="31"/>
      <c r="J379" s="36"/>
      <c r="K379" s="36"/>
      <c r="L379" s="36"/>
      <c r="M379" s="36"/>
      <c r="N379" s="36"/>
      <c r="O379" s="36"/>
      <c r="P379" s="36"/>
      <c r="Q379" s="36"/>
      <c r="R379" s="36"/>
      <c r="S379" s="36"/>
      <c r="T379" s="70"/>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70"/>
      <c r="BF379" s="70"/>
      <c r="BG379" s="70"/>
      <c r="BH379" s="70"/>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70"/>
      <c r="CK379" s="70"/>
      <c r="CL379" s="70"/>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71"/>
      <c r="DX379" s="70"/>
      <c r="DY379" s="71"/>
      <c r="DZ379" s="70"/>
      <c r="EA379" s="39"/>
      <c r="EB379" s="39"/>
      <c r="EC379" s="39"/>
      <c r="ED379" s="39"/>
      <c r="EE379" s="39"/>
      <c r="EF379" s="39"/>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87"/>
      <c r="FK379" s="64"/>
      <c r="FL379" s="64"/>
      <c r="FM379" s="64"/>
      <c r="FN379" s="64"/>
      <c r="FO379" s="64"/>
      <c r="FP379" s="64"/>
      <c r="FQ379" s="64"/>
      <c r="FR379" s="64"/>
      <c r="FS379" s="64"/>
      <c r="FT379" s="64"/>
      <c r="FU379" s="64"/>
      <c r="FV379" s="64"/>
      <c r="FW379" s="64"/>
      <c r="FX379" s="64"/>
      <c r="FY379" s="73"/>
      <c r="FZ379" s="73"/>
      <c r="GA379" s="73"/>
      <c r="GB379" s="73"/>
      <c r="GC379" s="73"/>
      <c r="GD379" s="73"/>
      <c r="GE379" s="73"/>
      <c r="GF379" s="73"/>
      <c r="GG379" s="73"/>
      <c r="GH379" s="73"/>
      <c r="GI379" s="73"/>
      <c r="GJ379" s="73"/>
      <c r="GK379" s="73"/>
      <c r="GL379" s="73"/>
      <c r="GM379" s="73"/>
      <c r="GN379" s="73"/>
      <c r="GO379" s="86"/>
      <c r="GP379" s="68"/>
      <c r="GQ379" s="65"/>
      <c r="GR379" s="65"/>
      <c r="GS379" s="65"/>
      <c r="GT379" s="65"/>
      <c r="GU379" s="65"/>
      <c r="GV379" s="65"/>
      <c r="GW379" s="65"/>
      <c r="GX379" s="65"/>
      <c r="GY379" s="65"/>
      <c r="GZ379" s="65"/>
      <c r="HA379" s="65"/>
      <c r="HB379" s="65"/>
      <c r="HC379" s="65"/>
      <c r="HD379" s="65"/>
      <c r="HE379" s="68"/>
      <c r="HF379" s="65"/>
      <c r="HG379" s="65"/>
      <c r="HH379" s="65"/>
      <c r="HI379" s="65"/>
      <c r="HJ379" s="65"/>
      <c r="HK379" s="65"/>
      <c r="HL379" s="65"/>
      <c r="HM379" s="65"/>
      <c r="HN379" s="65"/>
      <c r="HO379" s="65"/>
      <c r="HP379" s="65"/>
      <c r="HQ379" s="65"/>
      <c r="HR379" s="65"/>
      <c r="HS379" s="65"/>
      <c r="HT379" s="65"/>
      <c r="HU379" s="67"/>
      <c r="HV379" s="179"/>
    </row>
    <row r="380" spans="5:230" s="30" customFormat="1" x14ac:dyDescent="0.25">
      <c r="E380" s="27"/>
      <c r="F380" s="27"/>
      <c r="I380" s="31"/>
      <c r="J380" s="36"/>
      <c r="K380" s="36"/>
      <c r="L380" s="36"/>
      <c r="M380" s="36"/>
      <c r="N380" s="36"/>
      <c r="O380" s="36"/>
      <c r="P380" s="36"/>
      <c r="Q380" s="36"/>
      <c r="R380" s="36"/>
      <c r="S380" s="36"/>
      <c r="T380" s="70"/>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70"/>
      <c r="BF380" s="70"/>
      <c r="BG380" s="70"/>
      <c r="BH380" s="70"/>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70"/>
      <c r="CK380" s="70"/>
      <c r="CL380" s="70"/>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71"/>
      <c r="DX380" s="70"/>
      <c r="DY380" s="71"/>
      <c r="DZ380" s="70"/>
      <c r="EA380" s="39"/>
      <c r="EB380" s="39"/>
      <c r="EC380" s="39"/>
      <c r="ED380" s="39"/>
      <c r="EE380" s="39"/>
      <c r="EF380" s="39"/>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87"/>
      <c r="FK380" s="64"/>
      <c r="FL380" s="64"/>
      <c r="FM380" s="64"/>
      <c r="FN380" s="64"/>
      <c r="FO380" s="64"/>
      <c r="FP380" s="64"/>
      <c r="FQ380" s="64"/>
      <c r="FR380" s="64"/>
      <c r="FS380" s="64"/>
      <c r="FT380" s="64"/>
      <c r="FU380" s="64"/>
      <c r="FV380" s="64"/>
      <c r="FW380" s="64"/>
      <c r="FX380" s="64"/>
      <c r="FY380" s="73"/>
      <c r="FZ380" s="73"/>
      <c r="GA380" s="73"/>
      <c r="GB380" s="73"/>
      <c r="GC380" s="73"/>
      <c r="GD380" s="73"/>
      <c r="GE380" s="73"/>
      <c r="GF380" s="73"/>
      <c r="GG380" s="73"/>
      <c r="GH380" s="73"/>
      <c r="GI380" s="73"/>
      <c r="GJ380" s="73"/>
      <c r="GK380" s="73"/>
      <c r="GL380" s="73"/>
      <c r="GM380" s="73"/>
      <c r="GN380" s="73"/>
      <c r="GO380" s="86"/>
      <c r="GP380" s="68"/>
      <c r="GQ380" s="65"/>
      <c r="GR380" s="65"/>
      <c r="GS380" s="65"/>
      <c r="GT380" s="65"/>
      <c r="GU380" s="65"/>
      <c r="GV380" s="65"/>
      <c r="GW380" s="65"/>
      <c r="GX380" s="65"/>
      <c r="GY380" s="65"/>
      <c r="GZ380" s="65"/>
      <c r="HA380" s="65"/>
      <c r="HB380" s="65"/>
      <c r="HC380" s="65"/>
      <c r="HD380" s="65"/>
      <c r="HE380" s="68"/>
      <c r="HF380" s="65"/>
      <c r="HG380" s="65"/>
      <c r="HH380" s="65"/>
      <c r="HI380" s="65"/>
      <c r="HJ380" s="65"/>
      <c r="HK380" s="65"/>
      <c r="HL380" s="65"/>
      <c r="HM380" s="65"/>
      <c r="HN380" s="65"/>
      <c r="HO380" s="65"/>
      <c r="HP380" s="65"/>
      <c r="HQ380" s="65"/>
      <c r="HR380" s="65"/>
      <c r="HS380" s="65"/>
      <c r="HT380" s="65"/>
      <c r="HU380" s="67"/>
      <c r="HV380" s="179"/>
    </row>
    <row r="381" spans="5:230" s="30" customFormat="1" x14ac:dyDescent="0.25">
      <c r="E381" s="27"/>
      <c r="F381" s="27"/>
      <c r="I381" s="31"/>
      <c r="J381" s="36"/>
      <c r="K381" s="36"/>
      <c r="L381" s="36"/>
      <c r="M381" s="36"/>
      <c r="N381" s="36"/>
      <c r="O381" s="36"/>
      <c r="P381" s="36"/>
      <c r="Q381" s="36"/>
      <c r="R381" s="36"/>
      <c r="S381" s="36"/>
      <c r="T381" s="70"/>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70"/>
      <c r="BF381" s="70"/>
      <c r="BG381" s="70"/>
      <c r="BH381" s="70"/>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70"/>
      <c r="CK381" s="70"/>
      <c r="CL381" s="70"/>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c r="DO381" s="36"/>
      <c r="DP381" s="36"/>
      <c r="DQ381" s="36"/>
      <c r="DR381" s="36"/>
      <c r="DS381" s="36"/>
      <c r="DT381" s="36"/>
      <c r="DU381" s="36"/>
      <c r="DV381" s="36"/>
      <c r="DW381" s="71"/>
      <c r="DX381" s="70"/>
      <c r="DY381" s="71"/>
      <c r="DZ381" s="70"/>
      <c r="EA381" s="39"/>
      <c r="EB381" s="39"/>
      <c r="EC381" s="39"/>
      <c r="ED381" s="39"/>
      <c r="EE381" s="39"/>
      <c r="EF381" s="39"/>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87"/>
      <c r="FK381" s="64"/>
      <c r="FL381" s="64"/>
      <c r="FM381" s="64"/>
      <c r="FN381" s="64"/>
      <c r="FO381" s="64"/>
      <c r="FP381" s="64"/>
      <c r="FQ381" s="64"/>
      <c r="FR381" s="64"/>
      <c r="FS381" s="64"/>
      <c r="FT381" s="64"/>
      <c r="FU381" s="64"/>
      <c r="FV381" s="64"/>
      <c r="FW381" s="64"/>
      <c r="FX381" s="64"/>
      <c r="FY381" s="73"/>
      <c r="FZ381" s="73"/>
      <c r="GA381" s="73"/>
      <c r="GB381" s="73"/>
      <c r="GC381" s="73"/>
      <c r="GD381" s="73"/>
      <c r="GE381" s="73"/>
      <c r="GF381" s="73"/>
      <c r="GG381" s="73"/>
      <c r="GH381" s="73"/>
      <c r="GI381" s="73"/>
      <c r="GJ381" s="73"/>
      <c r="GK381" s="73"/>
      <c r="GL381" s="73"/>
      <c r="GM381" s="73"/>
      <c r="GN381" s="73"/>
      <c r="GO381" s="86"/>
      <c r="GP381" s="68"/>
      <c r="GQ381" s="65"/>
      <c r="GR381" s="65"/>
      <c r="GS381" s="65"/>
      <c r="GT381" s="65"/>
      <c r="GU381" s="65"/>
      <c r="GV381" s="65"/>
      <c r="GW381" s="65"/>
      <c r="GX381" s="65"/>
      <c r="GY381" s="65"/>
      <c r="GZ381" s="65"/>
      <c r="HA381" s="65"/>
      <c r="HB381" s="65"/>
      <c r="HC381" s="65"/>
      <c r="HD381" s="65"/>
      <c r="HE381" s="68"/>
      <c r="HF381" s="65"/>
      <c r="HG381" s="65"/>
      <c r="HH381" s="65"/>
      <c r="HI381" s="65"/>
      <c r="HJ381" s="65"/>
      <c r="HK381" s="65"/>
      <c r="HL381" s="65"/>
      <c r="HM381" s="65"/>
      <c r="HN381" s="65"/>
      <c r="HO381" s="65"/>
      <c r="HP381" s="65"/>
      <c r="HQ381" s="65"/>
      <c r="HR381" s="65"/>
      <c r="HS381" s="65"/>
      <c r="HT381" s="65"/>
      <c r="HU381" s="67"/>
      <c r="HV381" s="179"/>
    </row>
    <row r="382" spans="5:230" s="30" customFormat="1" x14ac:dyDescent="0.25">
      <c r="E382" s="27"/>
      <c r="F382" s="27"/>
      <c r="I382" s="31"/>
      <c r="J382" s="36"/>
      <c r="K382" s="36"/>
      <c r="L382" s="36"/>
      <c r="M382" s="36"/>
      <c r="N382" s="36"/>
      <c r="O382" s="36"/>
      <c r="P382" s="36"/>
      <c r="Q382" s="36"/>
      <c r="R382" s="36"/>
      <c r="S382" s="36"/>
      <c r="T382" s="70"/>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70"/>
      <c r="BF382" s="70"/>
      <c r="BG382" s="70"/>
      <c r="BH382" s="70"/>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70"/>
      <c r="CK382" s="70"/>
      <c r="CL382" s="70"/>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c r="DO382" s="36"/>
      <c r="DP382" s="36"/>
      <c r="DQ382" s="36"/>
      <c r="DR382" s="36"/>
      <c r="DS382" s="36"/>
      <c r="DT382" s="36"/>
      <c r="DU382" s="36"/>
      <c r="DV382" s="36"/>
      <c r="DW382" s="71"/>
      <c r="DX382" s="70"/>
      <c r="DY382" s="71"/>
      <c r="DZ382" s="70"/>
      <c r="EA382" s="39"/>
      <c r="EB382" s="39"/>
      <c r="EC382" s="39"/>
      <c r="ED382" s="39"/>
      <c r="EE382" s="39"/>
      <c r="EF382" s="39"/>
      <c r="EG382" s="73"/>
      <c r="EH382" s="73"/>
      <c r="EI382" s="73"/>
      <c r="EJ382" s="73"/>
      <c r="EK382" s="73"/>
      <c r="EL382" s="73"/>
      <c r="EM382" s="73"/>
      <c r="EN382" s="73"/>
      <c r="EO382" s="73"/>
      <c r="EP382" s="73"/>
      <c r="EQ382" s="73"/>
      <c r="ER382" s="73"/>
      <c r="ES382" s="73"/>
      <c r="ET382" s="73"/>
      <c r="EU382" s="73"/>
      <c r="EV382" s="73"/>
      <c r="EW382" s="73"/>
      <c r="EX382" s="73"/>
      <c r="EY382" s="73"/>
      <c r="EZ382" s="73"/>
      <c r="FA382" s="73"/>
      <c r="FB382" s="73"/>
      <c r="FC382" s="73"/>
      <c r="FD382" s="73"/>
      <c r="FE382" s="73"/>
      <c r="FF382" s="73"/>
      <c r="FG382" s="73"/>
      <c r="FH382" s="73"/>
      <c r="FI382" s="73"/>
      <c r="FJ382" s="87"/>
      <c r="FK382" s="64"/>
      <c r="FL382" s="64"/>
      <c r="FM382" s="64"/>
      <c r="FN382" s="64"/>
      <c r="FO382" s="64"/>
      <c r="FP382" s="64"/>
      <c r="FQ382" s="64"/>
      <c r="FR382" s="64"/>
      <c r="FS382" s="64"/>
      <c r="FT382" s="64"/>
      <c r="FU382" s="64"/>
      <c r="FV382" s="64"/>
      <c r="FW382" s="64"/>
      <c r="FX382" s="64"/>
      <c r="FY382" s="73"/>
      <c r="FZ382" s="73"/>
      <c r="GA382" s="73"/>
      <c r="GB382" s="73"/>
      <c r="GC382" s="73"/>
      <c r="GD382" s="73"/>
      <c r="GE382" s="73"/>
      <c r="GF382" s="73"/>
      <c r="GG382" s="73"/>
      <c r="GH382" s="73"/>
      <c r="GI382" s="73"/>
      <c r="GJ382" s="73"/>
      <c r="GK382" s="73"/>
      <c r="GL382" s="73"/>
      <c r="GM382" s="73"/>
      <c r="GN382" s="73"/>
      <c r="GO382" s="86"/>
      <c r="GP382" s="68"/>
      <c r="GQ382" s="65"/>
      <c r="GR382" s="65"/>
      <c r="GS382" s="65"/>
      <c r="GT382" s="65"/>
      <c r="GU382" s="65"/>
      <c r="GV382" s="65"/>
      <c r="GW382" s="65"/>
      <c r="GX382" s="65"/>
      <c r="GY382" s="65"/>
      <c r="GZ382" s="65"/>
      <c r="HA382" s="65"/>
      <c r="HB382" s="65"/>
      <c r="HC382" s="65"/>
      <c r="HD382" s="65"/>
      <c r="HE382" s="68"/>
      <c r="HF382" s="65"/>
      <c r="HG382" s="65"/>
      <c r="HH382" s="65"/>
      <c r="HI382" s="65"/>
      <c r="HJ382" s="65"/>
      <c r="HK382" s="65"/>
      <c r="HL382" s="65"/>
      <c r="HM382" s="65"/>
      <c r="HN382" s="65"/>
      <c r="HO382" s="65"/>
      <c r="HP382" s="65"/>
      <c r="HQ382" s="65"/>
      <c r="HR382" s="65"/>
      <c r="HS382" s="65"/>
      <c r="HT382" s="65"/>
      <c r="HU382" s="67"/>
      <c r="HV382" s="179"/>
    </row>
    <row r="383" spans="5:230" s="30" customFormat="1" x14ac:dyDescent="0.25">
      <c r="E383" s="27"/>
      <c r="F383" s="27"/>
      <c r="I383" s="31"/>
      <c r="J383" s="36"/>
      <c r="K383" s="36"/>
      <c r="L383" s="36"/>
      <c r="M383" s="36"/>
      <c r="N383" s="36"/>
      <c r="O383" s="36"/>
      <c r="P383" s="36"/>
      <c r="Q383" s="36"/>
      <c r="R383" s="36"/>
      <c r="S383" s="36"/>
      <c r="T383" s="70"/>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70"/>
      <c r="BF383" s="70"/>
      <c r="BG383" s="70"/>
      <c r="BH383" s="70"/>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70"/>
      <c r="CK383" s="70"/>
      <c r="CL383" s="70"/>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71"/>
      <c r="DX383" s="70"/>
      <c r="DY383" s="71"/>
      <c r="DZ383" s="70"/>
      <c r="EA383" s="39"/>
      <c r="EB383" s="39"/>
      <c r="EC383" s="39"/>
      <c r="ED383" s="39"/>
      <c r="EE383" s="39"/>
      <c r="EF383" s="39"/>
      <c r="EG383" s="73"/>
      <c r="EH383" s="73"/>
      <c r="EI383" s="73"/>
      <c r="EJ383" s="73"/>
      <c r="EK383" s="73"/>
      <c r="EL383" s="73"/>
      <c r="EM383" s="73"/>
      <c r="EN383" s="73"/>
      <c r="EO383" s="73"/>
      <c r="EP383" s="73"/>
      <c r="EQ383" s="73"/>
      <c r="ER383" s="73"/>
      <c r="ES383" s="73"/>
      <c r="ET383" s="73"/>
      <c r="EU383" s="73"/>
      <c r="EV383" s="73"/>
      <c r="EW383" s="73"/>
      <c r="EX383" s="73"/>
      <c r="EY383" s="73"/>
      <c r="EZ383" s="73"/>
      <c r="FA383" s="73"/>
      <c r="FB383" s="73"/>
      <c r="FC383" s="73"/>
      <c r="FD383" s="73"/>
      <c r="FE383" s="73"/>
      <c r="FF383" s="73"/>
      <c r="FG383" s="73"/>
      <c r="FH383" s="73"/>
      <c r="FI383" s="73"/>
      <c r="FJ383" s="87"/>
      <c r="FK383" s="64"/>
      <c r="FL383" s="64"/>
      <c r="FM383" s="64"/>
      <c r="FN383" s="64"/>
      <c r="FO383" s="64"/>
      <c r="FP383" s="64"/>
      <c r="FQ383" s="64"/>
      <c r="FR383" s="64"/>
      <c r="FS383" s="64"/>
      <c r="FT383" s="64"/>
      <c r="FU383" s="64"/>
      <c r="FV383" s="64"/>
      <c r="FW383" s="64"/>
      <c r="FX383" s="64"/>
      <c r="FY383" s="73"/>
      <c r="FZ383" s="73"/>
      <c r="GA383" s="73"/>
      <c r="GB383" s="73"/>
      <c r="GC383" s="73"/>
      <c r="GD383" s="73"/>
      <c r="GE383" s="73"/>
      <c r="GF383" s="73"/>
      <c r="GG383" s="73"/>
      <c r="GH383" s="73"/>
      <c r="GI383" s="73"/>
      <c r="GJ383" s="73"/>
      <c r="GK383" s="73"/>
      <c r="GL383" s="73"/>
      <c r="GM383" s="73"/>
      <c r="GN383" s="73"/>
      <c r="GO383" s="86"/>
      <c r="GP383" s="68"/>
      <c r="GQ383" s="65"/>
      <c r="GR383" s="65"/>
      <c r="GS383" s="65"/>
      <c r="GT383" s="65"/>
      <c r="GU383" s="65"/>
      <c r="GV383" s="65"/>
      <c r="GW383" s="65"/>
      <c r="GX383" s="65"/>
      <c r="GY383" s="65"/>
      <c r="GZ383" s="65"/>
      <c r="HA383" s="65"/>
      <c r="HB383" s="65"/>
      <c r="HC383" s="65"/>
      <c r="HD383" s="65"/>
      <c r="HE383" s="68"/>
      <c r="HF383" s="65"/>
      <c r="HG383" s="65"/>
      <c r="HH383" s="65"/>
      <c r="HI383" s="65"/>
      <c r="HJ383" s="65"/>
      <c r="HK383" s="65"/>
      <c r="HL383" s="65"/>
      <c r="HM383" s="65"/>
      <c r="HN383" s="65"/>
      <c r="HO383" s="65"/>
      <c r="HP383" s="65"/>
      <c r="HQ383" s="65"/>
      <c r="HR383" s="65"/>
      <c r="HS383" s="65"/>
      <c r="HT383" s="65"/>
      <c r="HU383" s="67"/>
      <c r="HV383" s="179"/>
    </row>
    <row r="384" spans="5:230" s="30" customFormat="1" x14ac:dyDescent="0.25">
      <c r="E384" s="27"/>
      <c r="F384" s="27"/>
      <c r="I384" s="31"/>
      <c r="J384" s="36"/>
      <c r="K384" s="36"/>
      <c r="L384" s="36"/>
      <c r="M384" s="36"/>
      <c r="N384" s="36"/>
      <c r="O384" s="36"/>
      <c r="P384" s="36"/>
      <c r="Q384" s="36"/>
      <c r="R384" s="36"/>
      <c r="S384" s="36"/>
      <c r="T384" s="70"/>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70"/>
      <c r="BF384" s="70"/>
      <c r="BG384" s="70"/>
      <c r="BH384" s="70"/>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70"/>
      <c r="CK384" s="70"/>
      <c r="CL384" s="70"/>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71"/>
      <c r="DX384" s="70"/>
      <c r="DY384" s="71"/>
      <c r="DZ384" s="70"/>
      <c r="EA384" s="39"/>
      <c r="EB384" s="39"/>
      <c r="EC384" s="39"/>
      <c r="ED384" s="39"/>
      <c r="EE384" s="39"/>
      <c r="EF384" s="39"/>
      <c r="EG384" s="73"/>
      <c r="EH384" s="73"/>
      <c r="EI384" s="73"/>
      <c r="EJ384" s="73"/>
      <c r="EK384" s="73"/>
      <c r="EL384" s="73"/>
      <c r="EM384" s="73"/>
      <c r="EN384" s="73"/>
      <c r="EO384" s="73"/>
      <c r="EP384" s="73"/>
      <c r="EQ384" s="73"/>
      <c r="ER384" s="73"/>
      <c r="ES384" s="73"/>
      <c r="ET384" s="73"/>
      <c r="EU384" s="73"/>
      <c r="EV384" s="73"/>
      <c r="EW384" s="73"/>
      <c r="EX384" s="73"/>
      <c r="EY384" s="73"/>
      <c r="EZ384" s="73"/>
      <c r="FA384" s="73"/>
      <c r="FB384" s="73"/>
      <c r="FC384" s="73"/>
      <c r="FD384" s="73"/>
      <c r="FE384" s="73"/>
      <c r="FF384" s="73"/>
      <c r="FG384" s="73"/>
      <c r="FH384" s="73"/>
      <c r="FI384" s="73"/>
      <c r="FJ384" s="87"/>
      <c r="FK384" s="64"/>
      <c r="FL384" s="64"/>
      <c r="FM384" s="64"/>
      <c r="FN384" s="64"/>
      <c r="FO384" s="64"/>
      <c r="FP384" s="64"/>
      <c r="FQ384" s="64"/>
      <c r="FR384" s="64"/>
      <c r="FS384" s="64"/>
      <c r="FT384" s="64"/>
      <c r="FU384" s="64"/>
      <c r="FV384" s="64"/>
      <c r="FW384" s="64"/>
      <c r="FX384" s="64"/>
      <c r="FY384" s="73"/>
      <c r="FZ384" s="73"/>
      <c r="GA384" s="73"/>
      <c r="GB384" s="73"/>
      <c r="GC384" s="73"/>
      <c r="GD384" s="73"/>
      <c r="GE384" s="73"/>
      <c r="GF384" s="73"/>
      <c r="GG384" s="73"/>
      <c r="GH384" s="73"/>
      <c r="GI384" s="73"/>
      <c r="GJ384" s="73"/>
      <c r="GK384" s="73"/>
      <c r="GL384" s="73"/>
      <c r="GM384" s="73"/>
      <c r="GN384" s="73"/>
      <c r="GO384" s="86"/>
      <c r="GP384" s="68"/>
      <c r="GQ384" s="65"/>
      <c r="GR384" s="65"/>
      <c r="GS384" s="65"/>
      <c r="GT384" s="65"/>
      <c r="GU384" s="65"/>
      <c r="GV384" s="65"/>
      <c r="GW384" s="65"/>
      <c r="GX384" s="65"/>
      <c r="GY384" s="65"/>
      <c r="GZ384" s="65"/>
      <c r="HA384" s="65"/>
      <c r="HB384" s="65"/>
      <c r="HC384" s="65"/>
      <c r="HD384" s="65"/>
      <c r="HE384" s="68"/>
      <c r="HF384" s="65"/>
      <c r="HG384" s="65"/>
      <c r="HH384" s="65"/>
      <c r="HI384" s="65"/>
      <c r="HJ384" s="65"/>
      <c r="HK384" s="65"/>
      <c r="HL384" s="65"/>
      <c r="HM384" s="65"/>
      <c r="HN384" s="65"/>
      <c r="HO384" s="65"/>
      <c r="HP384" s="65"/>
      <c r="HQ384" s="65"/>
      <c r="HR384" s="65"/>
      <c r="HS384" s="65"/>
      <c r="HT384" s="65"/>
      <c r="HU384" s="67"/>
      <c r="HV384" s="179"/>
    </row>
    <row r="385" spans="1:230" x14ac:dyDescent="0.25">
      <c r="I385" s="31"/>
      <c r="DW385" s="71"/>
      <c r="DY385" s="71"/>
      <c r="GP385" s="68"/>
      <c r="GQ385" s="65"/>
      <c r="GR385" s="65"/>
      <c r="GS385" s="65"/>
      <c r="GT385" s="65"/>
      <c r="GU385" s="65"/>
      <c r="GV385" s="65"/>
      <c r="GW385" s="65"/>
      <c r="GX385" s="65"/>
      <c r="GY385" s="65"/>
      <c r="GZ385" s="65"/>
      <c r="HA385" s="65"/>
      <c r="HB385" s="65"/>
      <c r="HC385" s="65"/>
      <c r="HD385" s="65"/>
      <c r="HE385" s="68"/>
      <c r="HF385" s="65"/>
      <c r="HG385" s="65"/>
      <c r="HH385" s="65"/>
      <c r="HI385" s="65"/>
      <c r="HJ385" s="65"/>
      <c r="HK385" s="65"/>
      <c r="HL385" s="65"/>
      <c r="HM385" s="65"/>
      <c r="HN385" s="65"/>
      <c r="HO385" s="65"/>
      <c r="HP385" s="65"/>
      <c r="HQ385" s="65"/>
      <c r="HR385" s="65"/>
      <c r="HS385" s="65"/>
      <c r="HT385" s="65"/>
      <c r="HU385" s="67"/>
      <c r="HV385" s="179"/>
    </row>
    <row r="386" spans="1:230" x14ac:dyDescent="0.25">
      <c r="I386" s="31"/>
      <c r="DW386" s="71"/>
      <c r="DY386" s="71"/>
      <c r="GP386" s="68"/>
      <c r="GQ386" s="65"/>
      <c r="GR386" s="65"/>
      <c r="GS386" s="65"/>
      <c r="GT386" s="65"/>
      <c r="GU386" s="65"/>
      <c r="GV386" s="65"/>
      <c r="GW386" s="65"/>
      <c r="GX386" s="65"/>
      <c r="GY386" s="65"/>
      <c r="GZ386" s="65"/>
      <c r="HA386" s="65"/>
      <c r="HB386" s="65"/>
      <c r="HC386" s="65"/>
      <c r="HD386" s="65"/>
      <c r="HE386" s="68"/>
      <c r="HF386" s="65"/>
      <c r="HG386" s="65"/>
      <c r="HH386" s="65"/>
      <c r="HI386" s="65"/>
      <c r="HJ386" s="65"/>
      <c r="HK386" s="65"/>
      <c r="HL386" s="65"/>
      <c r="HM386" s="65"/>
      <c r="HN386" s="65"/>
      <c r="HO386" s="65"/>
      <c r="HP386" s="65"/>
      <c r="HQ386" s="65"/>
      <c r="HR386" s="65"/>
      <c r="HS386" s="65"/>
      <c r="HT386" s="65"/>
      <c r="HU386" s="67"/>
      <c r="HV386" s="179"/>
    </row>
    <row r="387" spans="1:230" x14ac:dyDescent="0.25">
      <c r="I387" s="31"/>
      <c r="DW387" s="71"/>
      <c r="DY387" s="71"/>
      <c r="GP387" s="68"/>
      <c r="GQ387" s="65"/>
      <c r="GR387" s="65"/>
      <c r="GS387" s="65"/>
      <c r="GT387" s="65"/>
      <c r="GU387" s="65"/>
      <c r="GV387" s="65"/>
      <c r="GW387" s="65"/>
      <c r="GX387" s="65"/>
      <c r="GY387" s="65"/>
      <c r="GZ387" s="65"/>
      <c r="HA387" s="65"/>
      <c r="HB387" s="65"/>
      <c r="HC387" s="65"/>
      <c r="HD387" s="65"/>
      <c r="HE387" s="68"/>
      <c r="HF387" s="65"/>
      <c r="HG387" s="65"/>
      <c r="HH387" s="65"/>
      <c r="HI387" s="65"/>
      <c r="HJ387" s="65"/>
      <c r="HK387" s="65"/>
      <c r="HL387" s="65"/>
      <c r="HM387" s="65"/>
      <c r="HN387" s="65"/>
      <c r="HO387" s="65"/>
      <c r="HP387" s="65"/>
      <c r="HQ387" s="65"/>
      <c r="HR387" s="65"/>
      <c r="HS387" s="65"/>
      <c r="HT387" s="65"/>
      <c r="HU387" s="67"/>
      <c r="HV387" s="179"/>
    </row>
    <row r="388" spans="1:230" x14ac:dyDescent="0.25">
      <c r="A388" s="32"/>
      <c r="B388" s="32"/>
      <c r="C388" s="32"/>
      <c r="D388" s="32"/>
      <c r="G388" s="43"/>
      <c r="H388" s="32"/>
      <c r="I388" s="33"/>
      <c r="DW388" s="71"/>
      <c r="DY388" s="71"/>
      <c r="GP388" s="68"/>
      <c r="GQ388" s="65"/>
      <c r="GR388" s="65"/>
      <c r="GS388" s="65"/>
      <c r="GT388" s="65"/>
      <c r="GU388" s="65"/>
      <c r="GV388" s="65"/>
      <c r="GW388" s="65"/>
      <c r="GX388" s="65"/>
      <c r="GY388" s="65"/>
      <c r="GZ388" s="65"/>
      <c r="HA388" s="65"/>
      <c r="HB388" s="65"/>
      <c r="HC388" s="65"/>
      <c r="HD388" s="65"/>
      <c r="HE388" s="68"/>
      <c r="HF388" s="65"/>
      <c r="HG388" s="65"/>
      <c r="HH388" s="65"/>
      <c r="HI388" s="65"/>
      <c r="HJ388" s="65"/>
      <c r="HK388" s="65"/>
      <c r="HL388" s="65"/>
      <c r="HM388" s="65"/>
      <c r="HN388" s="65"/>
      <c r="HO388" s="65"/>
      <c r="HP388" s="65"/>
      <c r="HQ388" s="65"/>
      <c r="HR388" s="65"/>
      <c r="HS388" s="65"/>
      <c r="HT388" s="65"/>
      <c r="HU388" s="67"/>
      <c r="HV388" s="179"/>
    </row>
    <row r="389" spans="1:230" x14ac:dyDescent="0.25">
      <c r="I389" s="31"/>
      <c r="DW389" s="71"/>
      <c r="DY389" s="71"/>
      <c r="GP389" s="68"/>
      <c r="GQ389" s="65"/>
      <c r="GR389" s="65"/>
      <c r="GS389" s="65"/>
      <c r="GT389" s="65"/>
      <c r="GU389" s="65"/>
      <c r="GV389" s="65"/>
      <c r="GW389" s="65"/>
      <c r="GX389" s="65"/>
      <c r="GY389" s="65"/>
      <c r="GZ389" s="65"/>
      <c r="HA389" s="65"/>
      <c r="HB389" s="65"/>
      <c r="HC389" s="65"/>
      <c r="HD389" s="65"/>
      <c r="HE389" s="68"/>
      <c r="HF389" s="65"/>
      <c r="HG389" s="65"/>
      <c r="HH389" s="65"/>
      <c r="HI389" s="65"/>
      <c r="HJ389" s="65"/>
      <c r="HK389" s="65"/>
      <c r="HL389" s="65"/>
      <c r="HM389" s="65"/>
      <c r="HN389" s="65"/>
      <c r="HO389" s="65"/>
      <c r="HP389" s="65"/>
      <c r="HQ389" s="65"/>
      <c r="HR389" s="65"/>
      <c r="HS389" s="65"/>
      <c r="HT389" s="65"/>
      <c r="HU389" s="67"/>
      <c r="HV389" s="181"/>
    </row>
    <row r="390" spans="1:230" x14ac:dyDescent="0.25">
      <c r="E390" s="32"/>
      <c r="F390" s="32"/>
      <c r="I390" s="31"/>
      <c r="DW390" s="71"/>
      <c r="DY390" s="71"/>
      <c r="GP390" s="68"/>
      <c r="GQ390" s="65"/>
      <c r="GR390" s="65"/>
      <c r="GS390" s="65"/>
      <c r="GT390" s="65"/>
      <c r="GU390" s="65"/>
      <c r="GV390" s="65"/>
      <c r="GW390" s="65"/>
      <c r="GX390" s="65"/>
      <c r="GY390" s="65"/>
      <c r="GZ390" s="65"/>
      <c r="HA390" s="65"/>
      <c r="HB390" s="65"/>
      <c r="HC390" s="65"/>
      <c r="HD390" s="65"/>
      <c r="HE390" s="68"/>
      <c r="HF390" s="65"/>
      <c r="HG390" s="65"/>
      <c r="HH390" s="65"/>
      <c r="HI390" s="65"/>
      <c r="HJ390" s="65"/>
      <c r="HK390" s="65"/>
      <c r="HL390" s="65"/>
      <c r="HM390" s="65"/>
      <c r="HN390" s="65"/>
      <c r="HO390" s="65"/>
      <c r="HP390" s="65"/>
      <c r="HQ390" s="65"/>
      <c r="HR390" s="65"/>
      <c r="HS390" s="65"/>
      <c r="HT390" s="65"/>
      <c r="HU390" s="67"/>
      <c r="HV390" s="179"/>
    </row>
    <row r="391" spans="1:230" x14ac:dyDescent="0.25">
      <c r="I391" s="31"/>
      <c r="DW391" s="71"/>
      <c r="DY391" s="71"/>
      <c r="GP391" s="68"/>
      <c r="GQ391" s="65"/>
      <c r="GR391" s="65"/>
      <c r="GS391" s="65"/>
      <c r="GT391" s="65"/>
      <c r="GU391" s="65"/>
      <c r="GV391" s="65"/>
      <c r="GW391" s="65"/>
      <c r="GX391" s="65"/>
      <c r="GY391" s="65"/>
      <c r="GZ391" s="65"/>
      <c r="HA391" s="65"/>
      <c r="HB391" s="65"/>
      <c r="HC391" s="65"/>
      <c r="HD391" s="65"/>
      <c r="HE391" s="68"/>
      <c r="HF391" s="65"/>
      <c r="HG391" s="65"/>
      <c r="HH391" s="65"/>
      <c r="HI391" s="65"/>
      <c r="HJ391" s="65"/>
      <c r="HK391" s="65"/>
      <c r="HL391" s="65"/>
      <c r="HM391" s="65"/>
      <c r="HN391" s="65"/>
      <c r="HO391" s="65"/>
      <c r="HP391" s="65"/>
      <c r="HQ391" s="65"/>
      <c r="HR391" s="65"/>
      <c r="HS391" s="65"/>
      <c r="HT391" s="65"/>
      <c r="HU391" s="67"/>
      <c r="HV391" s="179"/>
    </row>
    <row r="392" spans="1:230" x14ac:dyDescent="0.25">
      <c r="I392" s="31"/>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c r="CC392" s="73"/>
      <c r="CD392" s="73"/>
      <c r="CE392" s="73"/>
      <c r="CF392" s="73"/>
      <c r="CG392" s="73"/>
      <c r="CH392" s="73"/>
      <c r="CI392" s="73"/>
      <c r="CJ392" s="73"/>
      <c r="CK392" s="73"/>
      <c r="CL392" s="73"/>
      <c r="CM392" s="73"/>
      <c r="CN392" s="73"/>
      <c r="CO392" s="73"/>
      <c r="CP392" s="73"/>
      <c r="CQ392" s="73"/>
      <c r="CR392" s="73"/>
      <c r="CS392" s="73"/>
      <c r="CT392" s="73"/>
      <c r="CU392" s="73"/>
      <c r="CV392" s="73"/>
      <c r="CW392" s="73"/>
      <c r="CX392" s="73"/>
      <c r="CY392" s="73"/>
      <c r="CZ392" s="73"/>
      <c r="DA392" s="73"/>
      <c r="DB392" s="73"/>
      <c r="DC392" s="73"/>
      <c r="DD392" s="73"/>
      <c r="DE392" s="73"/>
      <c r="DF392" s="73"/>
      <c r="DG392" s="73"/>
      <c r="DH392" s="73"/>
      <c r="DI392" s="73"/>
      <c r="DJ392" s="73"/>
      <c r="DK392" s="73"/>
      <c r="DL392" s="73"/>
      <c r="DM392" s="73"/>
      <c r="DN392" s="73"/>
      <c r="DO392" s="73"/>
      <c r="DP392" s="73"/>
      <c r="DQ392" s="73"/>
      <c r="DR392" s="73"/>
      <c r="DS392" s="73"/>
      <c r="DT392" s="73"/>
      <c r="DU392" s="73"/>
      <c r="DV392" s="73"/>
      <c r="DW392" s="71"/>
      <c r="DY392" s="71"/>
      <c r="GP392" s="68"/>
      <c r="GQ392" s="65"/>
      <c r="GR392" s="65"/>
      <c r="GS392" s="65"/>
      <c r="GT392" s="65"/>
      <c r="GU392" s="65"/>
      <c r="GV392" s="65"/>
      <c r="GW392" s="65"/>
      <c r="GX392" s="65"/>
      <c r="GY392" s="65"/>
      <c r="GZ392" s="65"/>
      <c r="HA392" s="65"/>
      <c r="HB392" s="65"/>
      <c r="HC392" s="65"/>
      <c r="HD392" s="65"/>
      <c r="HE392" s="68"/>
      <c r="HF392" s="65"/>
      <c r="HG392" s="65"/>
      <c r="HH392" s="65"/>
      <c r="HI392" s="65"/>
      <c r="HJ392" s="65"/>
      <c r="HK392" s="65"/>
      <c r="HL392" s="65"/>
      <c r="HM392" s="65"/>
      <c r="HN392" s="65"/>
      <c r="HO392" s="65"/>
      <c r="HP392" s="65"/>
      <c r="HQ392" s="65"/>
      <c r="HR392" s="65"/>
      <c r="HS392" s="65"/>
      <c r="HT392" s="65"/>
      <c r="HU392" s="67"/>
      <c r="HV392" s="179"/>
    </row>
    <row r="393" spans="1:230" x14ac:dyDescent="0.25">
      <c r="I393" s="31"/>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c r="DJ393" s="73"/>
      <c r="DK393" s="73"/>
      <c r="DL393" s="73"/>
      <c r="DM393" s="73"/>
      <c r="DN393" s="73"/>
      <c r="DO393" s="73"/>
      <c r="DP393" s="73"/>
      <c r="DQ393" s="73"/>
      <c r="DR393" s="73"/>
      <c r="DS393" s="73"/>
      <c r="DT393" s="73"/>
      <c r="DU393" s="73"/>
      <c r="DV393" s="73"/>
      <c r="DW393" s="71"/>
      <c r="DY393" s="71"/>
      <c r="GP393" s="68"/>
      <c r="GQ393" s="65"/>
      <c r="GR393" s="65"/>
      <c r="GS393" s="65"/>
      <c r="GT393" s="65"/>
      <c r="GU393" s="65"/>
      <c r="GV393" s="65"/>
      <c r="GW393" s="65"/>
      <c r="GX393" s="65"/>
      <c r="GY393" s="65"/>
      <c r="GZ393" s="65"/>
      <c r="HA393" s="65"/>
      <c r="HB393" s="65"/>
      <c r="HC393" s="65"/>
      <c r="HD393" s="65"/>
      <c r="HE393" s="68"/>
      <c r="HF393" s="65"/>
      <c r="HG393" s="65"/>
      <c r="HH393" s="65"/>
      <c r="HI393" s="65"/>
      <c r="HJ393" s="65"/>
      <c r="HK393" s="65"/>
      <c r="HL393" s="65"/>
      <c r="HM393" s="65"/>
      <c r="HN393" s="65"/>
      <c r="HO393" s="65"/>
      <c r="HP393" s="65"/>
      <c r="HQ393" s="65"/>
      <c r="HR393" s="65"/>
      <c r="HS393" s="65"/>
      <c r="HT393" s="65"/>
      <c r="HU393" s="67"/>
      <c r="HV393" s="179"/>
    </row>
    <row r="394" spans="1:230" x14ac:dyDescent="0.25">
      <c r="I394" s="31"/>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c r="CC394" s="73"/>
      <c r="CD394" s="73"/>
      <c r="CE394" s="73"/>
      <c r="CF394" s="73"/>
      <c r="CG394" s="73"/>
      <c r="CH394" s="73"/>
      <c r="CI394" s="73"/>
      <c r="CJ394" s="73"/>
      <c r="CK394" s="73"/>
      <c r="CL394" s="73"/>
      <c r="CM394" s="73"/>
      <c r="CN394" s="73"/>
      <c r="CO394" s="73"/>
      <c r="CP394" s="73"/>
      <c r="CQ394" s="73"/>
      <c r="CR394" s="73"/>
      <c r="CS394" s="73"/>
      <c r="CT394" s="73"/>
      <c r="CU394" s="73"/>
      <c r="CV394" s="73"/>
      <c r="CW394" s="73"/>
      <c r="CX394" s="73"/>
      <c r="CY394" s="73"/>
      <c r="CZ394" s="73"/>
      <c r="DA394" s="73"/>
      <c r="DB394" s="73"/>
      <c r="DC394" s="73"/>
      <c r="DD394" s="73"/>
      <c r="DE394" s="73"/>
      <c r="DF394" s="73"/>
      <c r="DG394" s="73"/>
      <c r="DH394" s="73"/>
      <c r="DI394" s="73"/>
      <c r="DJ394" s="73"/>
      <c r="DK394" s="73"/>
      <c r="DL394" s="73"/>
      <c r="DM394" s="73"/>
      <c r="DN394" s="73"/>
      <c r="DO394" s="73"/>
      <c r="DP394" s="73"/>
      <c r="DQ394" s="73"/>
      <c r="DR394" s="73"/>
      <c r="DS394" s="73"/>
      <c r="DT394" s="73"/>
      <c r="DU394" s="73"/>
      <c r="DV394" s="73"/>
      <c r="DW394" s="71"/>
      <c r="DY394" s="71"/>
      <c r="GP394" s="68"/>
      <c r="GQ394" s="65"/>
      <c r="GR394" s="65"/>
      <c r="GS394" s="65"/>
      <c r="GT394" s="65"/>
      <c r="GU394" s="65"/>
      <c r="GV394" s="65"/>
      <c r="GW394" s="65"/>
      <c r="GX394" s="65"/>
      <c r="GY394" s="65"/>
      <c r="GZ394" s="65"/>
      <c r="HA394" s="65"/>
      <c r="HB394" s="65"/>
      <c r="HC394" s="65"/>
      <c r="HD394" s="65"/>
      <c r="HE394" s="68"/>
      <c r="HF394" s="65"/>
      <c r="HG394" s="65"/>
      <c r="HH394" s="65"/>
      <c r="HI394" s="65"/>
      <c r="HJ394" s="65"/>
      <c r="HK394" s="65"/>
      <c r="HL394" s="65"/>
      <c r="HM394" s="65"/>
      <c r="HN394" s="65"/>
      <c r="HO394" s="65"/>
      <c r="HP394" s="65"/>
      <c r="HQ394" s="65"/>
      <c r="HR394" s="65"/>
      <c r="HS394" s="65"/>
      <c r="HT394" s="65"/>
      <c r="HU394" s="67"/>
      <c r="HV394" s="179"/>
    </row>
    <row r="395" spans="1:230" x14ac:dyDescent="0.25">
      <c r="I395" s="31"/>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c r="CC395" s="73"/>
      <c r="CD395" s="73"/>
      <c r="CE395" s="73"/>
      <c r="CF395" s="73"/>
      <c r="CG395" s="73"/>
      <c r="CH395" s="73"/>
      <c r="CI395" s="73"/>
      <c r="CJ395" s="73"/>
      <c r="CK395" s="73"/>
      <c r="CL395" s="73"/>
      <c r="CM395" s="73"/>
      <c r="CN395" s="73"/>
      <c r="CO395" s="73"/>
      <c r="CP395" s="73"/>
      <c r="CQ395" s="73"/>
      <c r="CR395" s="73"/>
      <c r="CS395" s="73"/>
      <c r="CT395" s="73"/>
      <c r="CU395" s="73"/>
      <c r="CV395" s="73"/>
      <c r="CW395" s="73"/>
      <c r="CX395" s="73"/>
      <c r="CY395" s="73"/>
      <c r="CZ395" s="73"/>
      <c r="DA395" s="73"/>
      <c r="DB395" s="73"/>
      <c r="DC395" s="73"/>
      <c r="DD395" s="73"/>
      <c r="DE395" s="73"/>
      <c r="DF395" s="73"/>
      <c r="DG395" s="73"/>
      <c r="DH395" s="73"/>
      <c r="DI395" s="73"/>
      <c r="DJ395" s="73"/>
      <c r="DK395" s="73"/>
      <c r="DL395" s="73"/>
      <c r="DM395" s="73"/>
      <c r="DN395" s="73"/>
      <c r="DO395" s="73"/>
      <c r="DP395" s="73"/>
      <c r="DQ395" s="73"/>
      <c r="DR395" s="73"/>
      <c r="DS395" s="73"/>
      <c r="DT395" s="73"/>
      <c r="DU395" s="73"/>
      <c r="DV395" s="73"/>
      <c r="HV395" s="179"/>
    </row>
    <row r="396" spans="1:230" x14ac:dyDescent="0.25">
      <c r="I396" s="31"/>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c r="CC396" s="73"/>
      <c r="CD396" s="73"/>
      <c r="CE396" s="73"/>
      <c r="CF396" s="73"/>
      <c r="CG396" s="73"/>
      <c r="CH396" s="73"/>
      <c r="CI396" s="73"/>
      <c r="CJ396" s="73"/>
      <c r="CK396" s="73"/>
      <c r="CL396" s="73"/>
      <c r="CM396" s="73"/>
      <c r="CN396" s="73"/>
      <c r="CO396" s="73"/>
      <c r="CP396" s="73"/>
      <c r="CQ396" s="73"/>
      <c r="CR396" s="73"/>
      <c r="CS396" s="73"/>
      <c r="CT396" s="73"/>
      <c r="CU396" s="73"/>
      <c r="CV396" s="73"/>
      <c r="CW396" s="73"/>
      <c r="CX396" s="73"/>
      <c r="CY396" s="73"/>
      <c r="CZ396" s="73"/>
      <c r="DA396" s="73"/>
      <c r="DB396" s="73"/>
      <c r="DC396" s="73"/>
      <c r="DD396" s="73"/>
      <c r="DE396" s="73"/>
      <c r="DF396" s="73"/>
      <c r="DG396" s="73"/>
      <c r="DH396" s="73"/>
      <c r="DI396" s="73"/>
      <c r="DJ396" s="73"/>
      <c r="DK396" s="73"/>
      <c r="DL396" s="73"/>
      <c r="DM396" s="73"/>
      <c r="DN396" s="73"/>
      <c r="DO396" s="73"/>
      <c r="DP396" s="73"/>
      <c r="DQ396" s="73"/>
      <c r="DR396" s="73"/>
      <c r="DS396" s="73"/>
      <c r="DT396" s="73"/>
      <c r="DU396" s="73"/>
      <c r="DV396" s="73"/>
      <c r="HV396" s="179"/>
    </row>
    <row r="397" spans="1:230" x14ac:dyDescent="0.25">
      <c r="A397" s="32"/>
      <c r="B397" s="32"/>
      <c r="C397" s="32"/>
      <c r="D397" s="32"/>
      <c r="G397" s="43"/>
      <c r="H397" s="32"/>
      <c r="I397" s="3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c r="CC397" s="73"/>
      <c r="CD397" s="73"/>
      <c r="CE397" s="73"/>
      <c r="CF397" s="73"/>
      <c r="CG397" s="73"/>
      <c r="CH397" s="73"/>
      <c r="CI397" s="73"/>
      <c r="CJ397" s="73"/>
      <c r="CK397" s="73"/>
      <c r="CL397" s="73"/>
      <c r="CM397" s="73"/>
      <c r="CN397" s="73"/>
      <c r="CO397" s="73"/>
      <c r="CP397" s="73"/>
      <c r="CQ397" s="73"/>
      <c r="CR397" s="73"/>
      <c r="CS397" s="73"/>
      <c r="CT397" s="73"/>
      <c r="CU397" s="73"/>
      <c r="CV397" s="73"/>
      <c r="CW397" s="73"/>
      <c r="CX397" s="73"/>
      <c r="CY397" s="73"/>
      <c r="CZ397" s="73"/>
      <c r="DA397" s="73"/>
      <c r="DB397" s="73"/>
      <c r="DC397" s="73"/>
      <c r="DD397" s="73"/>
      <c r="DE397" s="73"/>
      <c r="DF397" s="73"/>
      <c r="DG397" s="73"/>
      <c r="DH397" s="73"/>
      <c r="DI397" s="73"/>
      <c r="DJ397" s="73"/>
      <c r="DK397" s="73"/>
      <c r="DL397" s="73"/>
      <c r="DM397" s="73"/>
      <c r="DN397" s="73"/>
      <c r="DO397" s="73"/>
      <c r="DP397" s="73"/>
      <c r="DQ397" s="73"/>
      <c r="DR397" s="73"/>
      <c r="DS397" s="73"/>
      <c r="DT397" s="73"/>
      <c r="DU397" s="73"/>
      <c r="DV397" s="73"/>
      <c r="HV397" s="179"/>
    </row>
    <row r="398" spans="1:230" x14ac:dyDescent="0.25">
      <c r="I398" s="31"/>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c r="CC398" s="73"/>
      <c r="CD398" s="73"/>
      <c r="CE398" s="73"/>
      <c r="CF398" s="73"/>
      <c r="CG398" s="73"/>
      <c r="CH398" s="73"/>
      <c r="CI398" s="73"/>
      <c r="CJ398" s="73"/>
      <c r="CK398" s="73"/>
      <c r="CL398" s="73"/>
      <c r="CM398" s="73"/>
      <c r="CN398" s="73"/>
      <c r="CO398" s="73"/>
      <c r="CP398" s="73"/>
      <c r="CQ398" s="73"/>
      <c r="CR398" s="73"/>
      <c r="CS398" s="73"/>
      <c r="CT398" s="73"/>
      <c r="CU398" s="73"/>
      <c r="CV398" s="73"/>
      <c r="CW398" s="73"/>
      <c r="CX398" s="73"/>
      <c r="CY398" s="73"/>
      <c r="CZ398" s="73"/>
      <c r="DA398" s="73"/>
      <c r="DB398" s="73"/>
      <c r="DC398" s="73"/>
      <c r="DD398" s="73"/>
      <c r="DE398" s="73"/>
      <c r="DF398" s="73"/>
      <c r="DG398" s="73"/>
      <c r="DH398" s="73"/>
      <c r="DI398" s="73"/>
      <c r="DJ398" s="73"/>
      <c r="DK398" s="73"/>
      <c r="DL398" s="73"/>
      <c r="DM398" s="73"/>
      <c r="DN398" s="73"/>
      <c r="DO398" s="73"/>
      <c r="DP398" s="73"/>
      <c r="DQ398" s="73"/>
      <c r="DR398" s="73"/>
      <c r="DS398" s="73"/>
      <c r="DT398" s="73"/>
      <c r="DU398" s="73"/>
      <c r="DV398" s="73"/>
      <c r="HV398" s="181"/>
    </row>
    <row r="399" spans="1:230" x14ac:dyDescent="0.25">
      <c r="E399" s="32"/>
      <c r="F399" s="32"/>
      <c r="I399" s="31"/>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c r="CC399" s="73"/>
      <c r="CD399" s="73"/>
      <c r="CE399" s="73"/>
      <c r="CF399" s="73"/>
      <c r="CG399" s="73"/>
      <c r="CH399" s="73"/>
      <c r="CI399" s="73"/>
      <c r="CJ399" s="73"/>
      <c r="CK399" s="73"/>
      <c r="CL399" s="73"/>
      <c r="CM399" s="73"/>
      <c r="CN399" s="73"/>
      <c r="CO399" s="73"/>
      <c r="CP399" s="73"/>
      <c r="CQ399" s="73"/>
      <c r="CR399" s="73"/>
      <c r="CS399" s="73"/>
      <c r="CT399" s="73"/>
      <c r="CU399" s="73"/>
      <c r="CV399" s="73"/>
      <c r="CW399" s="73"/>
      <c r="CX399" s="73"/>
      <c r="CY399" s="73"/>
      <c r="CZ399" s="73"/>
      <c r="DA399" s="73"/>
      <c r="DB399" s="73"/>
      <c r="DC399" s="73"/>
      <c r="DD399" s="73"/>
      <c r="DE399" s="73"/>
      <c r="DF399" s="73"/>
      <c r="DG399" s="73"/>
      <c r="DH399" s="73"/>
      <c r="DI399" s="73"/>
      <c r="DJ399" s="73"/>
      <c r="DK399" s="73"/>
      <c r="DL399" s="73"/>
      <c r="DM399" s="73"/>
      <c r="DN399" s="73"/>
      <c r="DO399" s="73"/>
      <c r="DP399" s="73"/>
      <c r="DQ399" s="73"/>
      <c r="DR399" s="73"/>
      <c r="DS399" s="73"/>
      <c r="DT399" s="73"/>
      <c r="DU399" s="73"/>
      <c r="DV399" s="73"/>
      <c r="HV399" s="179"/>
    </row>
    <row r="400" spans="1:230" x14ac:dyDescent="0.25">
      <c r="I400" s="31"/>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c r="CC400" s="73"/>
      <c r="CD400" s="73"/>
      <c r="CE400" s="73"/>
      <c r="CF400" s="73"/>
      <c r="CG400" s="73"/>
      <c r="CH400" s="73"/>
      <c r="CI400" s="73"/>
      <c r="CJ400" s="73"/>
      <c r="CK400" s="73"/>
      <c r="CL400" s="73"/>
      <c r="CM400" s="73"/>
      <c r="CN400" s="73"/>
      <c r="CO400" s="73"/>
      <c r="CP400" s="73"/>
      <c r="CQ400" s="73"/>
      <c r="CR400" s="73"/>
      <c r="CS400" s="73"/>
      <c r="CT400" s="73"/>
      <c r="CU400" s="73"/>
      <c r="CV400" s="73"/>
      <c r="CW400" s="73"/>
      <c r="CX400" s="73"/>
      <c r="CY400" s="73"/>
      <c r="CZ400" s="73"/>
      <c r="DA400" s="73"/>
      <c r="DB400" s="73"/>
      <c r="DC400" s="73"/>
      <c r="DD400" s="73"/>
      <c r="DE400" s="73"/>
      <c r="DF400" s="73"/>
      <c r="DG400" s="73"/>
      <c r="DH400" s="73"/>
      <c r="DI400" s="73"/>
      <c r="DJ400" s="73"/>
      <c r="DK400" s="73"/>
      <c r="DL400" s="73"/>
      <c r="DM400" s="73"/>
      <c r="DN400" s="73"/>
      <c r="DO400" s="73"/>
      <c r="DP400" s="73"/>
      <c r="DQ400" s="73"/>
      <c r="DR400" s="73"/>
      <c r="DS400" s="73"/>
      <c r="DT400" s="73"/>
      <c r="DU400" s="73"/>
      <c r="DV400" s="73"/>
      <c r="HV400" s="179"/>
    </row>
    <row r="401" spans="1:230" x14ac:dyDescent="0.25">
      <c r="A401" s="32"/>
      <c r="B401" s="32"/>
      <c r="C401" s="32"/>
      <c r="D401" s="32"/>
      <c r="G401" s="43"/>
      <c r="H401" s="32"/>
      <c r="I401" s="3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c r="CC401" s="73"/>
      <c r="CD401" s="73"/>
      <c r="CE401" s="73"/>
      <c r="CF401" s="73"/>
      <c r="CG401" s="73"/>
      <c r="CH401" s="73"/>
      <c r="CI401" s="73"/>
      <c r="CJ401" s="73"/>
      <c r="CK401" s="73"/>
      <c r="CL401" s="73"/>
      <c r="CM401" s="73"/>
      <c r="CN401" s="73"/>
      <c r="CO401" s="73"/>
      <c r="CP401" s="73"/>
      <c r="CQ401" s="73"/>
      <c r="CR401" s="73"/>
      <c r="CS401" s="73"/>
      <c r="CT401" s="73"/>
      <c r="CU401" s="73"/>
      <c r="CV401" s="73"/>
      <c r="CW401" s="73"/>
      <c r="CX401" s="73"/>
      <c r="CY401" s="73"/>
      <c r="CZ401" s="73"/>
      <c r="DA401" s="73"/>
      <c r="DB401" s="73"/>
      <c r="DC401" s="73"/>
      <c r="DD401" s="73"/>
      <c r="DE401" s="73"/>
      <c r="DF401" s="73"/>
      <c r="DG401" s="73"/>
      <c r="DH401" s="73"/>
      <c r="DI401" s="73"/>
      <c r="DJ401" s="73"/>
      <c r="DK401" s="73"/>
      <c r="DL401" s="73"/>
      <c r="DM401" s="73"/>
      <c r="DN401" s="73"/>
      <c r="DO401" s="73"/>
      <c r="DP401" s="73"/>
      <c r="DQ401" s="73"/>
      <c r="DR401" s="73"/>
      <c r="DS401" s="73"/>
      <c r="DT401" s="73"/>
      <c r="DU401" s="73"/>
      <c r="DV401" s="73"/>
      <c r="HV401" s="179"/>
    </row>
    <row r="402" spans="1:230" x14ac:dyDescent="0.25">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c r="CC402" s="73"/>
      <c r="CD402" s="73"/>
      <c r="CE402" s="73"/>
      <c r="CF402" s="73"/>
      <c r="CG402" s="73"/>
      <c r="CH402" s="73"/>
      <c r="CI402" s="73"/>
      <c r="CJ402" s="73"/>
      <c r="CK402" s="73"/>
      <c r="CL402" s="73"/>
      <c r="CM402" s="73"/>
      <c r="CN402" s="73"/>
      <c r="CO402" s="73"/>
      <c r="CP402" s="73"/>
      <c r="CQ402" s="73"/>
      <c r="CR402" s="73"/>
      <c r="CS402" s="73"/>
      <c r="CT402" s="73"/>
      <c r="CU402" s="73"/>
      <c r="CV402" s="73"/>
      <c r="CW402" s="73"/>
      <c r="CX402" s="73"/>
      <c r="CY402" s="73"/>
      <c r="CZ402" s="73"/>
      <c r="DA402" s="73"/>
      <c r="DB402" s="73"/>
      <c r="DC402" s="73"/>
      <c r="DD402" s="73"/>
      <c r="DE402" s="73"/>
      <c r="DF402" s="73"/>
      <c r="DG402" s="73"/>
      <c r="DH402" s="73"/>
      <c r="DI402" s="73"/>
      <c r="DJ402" s="73"/>
      <c r="DK402" s="73"/>
      <c r="DL402" s="73"/>
      <c r="DM402" s="73"/>
      <c r="DN402" s="73"/>
      <c r="DO402" s="73"/>
      <c r="DP402" s="73"/>
      <c r="DQ402" s="73"/>
      <c r="DR402" s="73"/>
      <c r="DS402" s="73"/>
      <c r="DT402" s="73"/>
      <c r="DU402" s="73"/>
      <c r="DV402" s="73"/>
      <c r="HV402" s="181"/>
    </row>
    <row r="403" spans="1:230" x14ac:dyDescent="0.25">
      <c r="E403" s="32"/>
      <c r="F403" s="32"/>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c r="CC403" s="73"/>
      <c r="CD403" s="73"/>
      <c r="CE403" s="73"/>
      <c r="CF403" s="73"/>
      <c r="CG403" s="73"/>
      <c r="CH403" s="73"/>
      <c r="CI403" s="73"/>
      <c r="CJ403" s="73"/>
      <c r="CK403" s="73"/>
      <c r="CL403" s="73"/>
      <c r="CM403" s="73"/>
      <c r="CN403" s="73"/>
      <c r="CO403" s="73"/>
      <c r="CP403" s="73"/>
      <c r="CQ403" s="73"/>
      <c r="CR403" s="73"/>
      <c r="CS403" s="73"/>
      <c r="CT403" s="73"/>
      <c r="CU403" s="73"/>
      <c r="CV403" s="73"/>
      <c r="CW403" s="73"/>
      <c r="CX403" s="73"/>
      <c r="CY403" s="73"/>
      <c r="CZ403" s="73"/>
      <c r="DA403" s="73"/>
      <c r="DB403" s="73"/>
      <c r="DC403" s="73"/>
      <c r="DD403" s="73"/>
      <c r="DE403" s="73"/>
      <c r="DF403" s="73"/>
      <c r="DG403" s="73"/>
      <c r="DH403" s="73"/>
      <c r="DI403" s="73"/>
      <c r="DJ403" s="73"/>
      <c r="DK403" s="73"/>
      <c r="DL403" s="73"/>
      <c r="DM403" s="73"/>
      <c r="DN403" s="73"/>
      <c r="DO403" s="73"/>
      <c r="DP403" s="73"/>
      <c r="DQ403" s="73"/>
      <c r="DR403" s="73"/>
      <c r="DS403" s="73"/>
      <c r="DT403" s="73"/>
      <c r="DU403" s="73"/>
      <c r="DV403" s="73"/>
    </row>
    <row r="404" spans="1:230" x14ac:dyDescent="0.25">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c r="CC404" s="73"/>
      <c r="CD404" s="73"/>
      <c r="CE404" s="73"/>
      <c r="CF404" s="73"/>
      <c r="CG404" s="73"/>
      <c r="CH404" s="73"/>
      <c r="CI404" s="73"/>
      <c r="CJ404" s="73"/>
      <c r="CK404" s="73"/>
      <c r="CL404" s="73"/>
      <c r="CM404" s="73"/>
      <c r="CN404" s="73"/>
      <c r="CO404" s="73"/>
      <c r="CP404" s="73"/>
      <c r="CQ404" s="73"/>
      <c r="CR404" s="73"/>
      <c r="CS404" s="73"/>
      <c r="CT404" s="73"/>
      <c r="CU404" s="73"/>
      <c r="CV404" s="73"/>
      <c r="CW404" s="73"/>
      <c r="CX404" s="73"/>
      <c r="CY404" s="73"/>
      <c r="CZ404" s="73"/>
      <c r="DA404" s="73"/>
      <c r="DB404" s="73"/>
      <c r="DC404" s="73"/>
      <c r="DD404" s="73"/>
      <c r="DE404" s="73"/>
      <c r="DF404" s="73"/>
      <c r="DG404" s="73"/>
      <c r="DH404" s="73"/>
      <c r="DI404" s="73"/>
      <c r="DJ404" s="73"/>
      <c r="DK404" s="73"/>
      <c r="DL404" s="73"/>
      <c r="DM404" s="73"/>
      <c r="DN404" s="73"/>
      <c r="DO404" s="73"/>
      <c r="DP404" s="73"/>
      <c r="DQ404" s="73"/>
      <c r="DR404" s="73"/>
      <c r="DS404" s="73"/>
      <c r="DT404" s="73"/>
      <c r="DU404" s="73"/>
      <c r="DV404" s="73"/>
    </row>
    <row r="405" spans="1:230" x14ac:dyDescent="0.25">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c r="CC405" s="73"/>
      <c r="CD405" s="73"/>
      <c r="CE405" s="73"/>
      <c r="CF405" s="73"/>
      <c r="CG405" s="73"/>
      <c r="CH405" s="73"/>
      <c r="CI405" s="73"/>
      <c r="CJ405" s="73"/>
      <c r="CK405" s="73"/>
      <c r="CL405" s="73"/>
      <c r="CM405" s="73"/>
      <c r="CN405" s="73"/>
      <c r="CO405" s="73"/>
      <c r="CP405" s="73"/>
      <c r="CQ405" s="73"/>
      <c r="CR405" s="73"/>
      <c r="CS405" s="73"/>
      <c r="CT405" s="73"/>
      <c r="CU405" s="73"/>
      <c r="CV405" s="73"/>
      <c r="CW405" s="73"/>
      <c r="CX405" s="73"/>
      <c r="CY405" s="73"/>
      <c r="CZ405" s="73"/>
      <c r="DA405" s="73"/>
      <c r="DB405" s="73"/>
      <c r="DC405" s="73"/>
      <c r="DD405" s="73"/>
      <c r="DE405" s="73"/>
      <c r="DF405" s="73"/>
      <c r="DG405" s="73"/>
      <c r="DH405" s="73"/>
      <c r="DI405" s="73"/>
      <c r="DJ405" s="73"/>
      <c r="DK405" s="73"/>
      <c r="DL405" s="73"/>
      <c r="DM405" s="73"/>
      <c r="DN405" s="73"/>
      <c r="DO405" s="73"/>
      <c r="DP405" s="73"/>
      <c r="DQ405" s="73"/>
      <c r="DR405" s="73"/>
      <c r="DS405" s="73"/>
      <c r="DT405" s="73"/>
      <c r="DU405" s="73"/>
      <c r="DV405" s="73"/>
    </row>
    <row r="406" spans="1:230" x14ac:dyDescent="0.25">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c r="CC406" s="73"/>
      <c r="CD406" s="73"/>
      <c r="CE406" s="73"/>
      <c r="CF406" s="73"/>
      <c r="CG406" s="73"/>
      <c r="CH406" s="73"/>
      <c r="CI406" s="73"/>
      <c r="CJ406" s="73"/>
      <c r="CK406" s="73"/>
      <c r="CL406" s="73"/>
      <c r="CM406" s="73"/>
      <c r="CN406" s="73"/>
      <c r="CO406" s="73"/>
      <c r="CP406" s="73"/>
      <c r="CQ406" s="73"/>
      <c r="CR406" s="73"/>
      <c r="CS406" s="73"/>
      <c r="CT406" s="73"/>
      <c r="CU406" s="73"/>
      <c r="CV406" s="73"/>
      <c r="CW406" s="73"/>
      <c r="CX406" s="73"/>
      <c r="CY406" s="73"/>
      <c r="CZ406" s="73"/>
      <c r="DA406" s="73"/>
      <c r="DB406" s="73"/>
      <c r="DC406" s="73"/>
      <c r="DD406" s="73"/>
      <c r="DE406" s="73"/>
      <c r="DF406" s="73"/>
      <c r="DG406" s="73"/>
      <c r="DH406" s="73"/>
      <c r="DI406" s="73"/>
      <c r="DJ406" s="73"/>
      <c r="DK406" s="73"/>
      <c r="DL406" s="73"/>
      <c r="DM406" s="73"/>
      <c r="DN406" s="73"/>
      <c r="DO406" s="73"/>
      <c r="DP406" s="73"/>
      <c r="DQ406" s="73"/>
      <c r="DR406" s="73"/>
      <c r="DS406" s="73"/>
      <c r="DT406" s="73"/>
      <c r="DU406" s="73"/>
      <c r="DV406" s="73"/>
    </row>
    <row r="407" spans="1:230" x14ac:dyDescent="0.25">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c r="CC407" s="73"/>
      <c r="CD407" s="73"/>
      <c r="CE407" s="73"/>
      <c r="CF407" s="73"/>
      <c r="CG407" s="73"/>
      <c r="CH407" s="73"/>
      <c r="CI407" s="73"/>
      <c r="CJ407" s="73"/>
      <c r="CK407" s="73"/>
      <c r="CL407" s="73"/>
      <c r="CM407" s="73"/>
      <c r="CN407" s="73"/>
      <c r="CO407" s="73"/>
      <c r="CP407" s="73"/>
      <c r="CQ407" s="73"/>
      <c r="CR407" s="73"/>
      <c r="CS407" s="73"/>
      <c r="CT407" s="73"/>
      <c r="CU407" s="73"/>
      <c r="CV407" s="73"/>
      <c r="CW407" s="73"/>
      <c r="CX407" s="73"/>
      <c r="CY407" s="73"/>
      <c r="CZ407" s="73"/>
      <c r="DA407" s="73"/>
      <c r="DB407" s="73"/>
      <c r="DC407" s="73"/>
      <c r="DD407" s="73"/>
      <c r="DE407" s="73"/>
      <c r="DF407" s="73"/>
      <c r="DG407" s="73"/>
      <c r="DH407" s="73"/>
      <c r="DI407" s="73"/>
      <c r="DJ407" s="73"/>
      <c r="DK407" s="73"/>
      <c r="DL407" s="73"/>
      <c r="DM407" s="73"/>
      <c r="DN407" s="73"/>
      <c r="DO407" s="73"/>
      <c r="DP407" s="73"/>
      <c r="DQ407" s="73"/>
      <c r="DR407" s="73"/>
      <c r="DS407" s="73"/>
      <c r="DT407" s="73"/>
      <c r="DU407" s="73"/>
      <c r="DV407" s="73"/>
    </row>
    <row r="408" spans="1:230" x14ac:dyDescent="0.25">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c r="CC408" s="73"/>
      <c r="CD408" s="73"/>
      <c r="CE408" s="73"/>
      <c r="CF408" s="73"/>
      <c r="CG408" s="73"/>
      <c r="CH408" s="73"/>
      <c r="CI408" s="73"/>
      <c r="CJ408" s="73"/>
      <c r="CK408" s="73"/>
      <c r="CL408" s="73"/>
      <c r="CM408" s="73"/>
      <c r="CN408" s="73"/>
      <c r="CO408" s="73"/>
      <c r="CP408" s="73"/>
      <c r="CQ408" s="73"/>
      <c r="CR408" s="73"/>
      <c r="CS408" s="73"/>
      <c r="CT408" s="73"/>
      <c r="CU408" s="73"/>
      <c r="CV408" s="73"/>
      <c r="CW408" s="73"/>
      <c r="CX408" s="73"/>
      <c r="CY408" s="73"/>
      <c r="CZ408" s="73"/>
      <c r="DA408" s="73"/>
      <c r="DB408" s="73"/>
      <c r="DC408" s="73"/>
      <c r="DD408" s="73"/>
      <c r="DE408" s="73"/>
      <c r="DF408" s="73"/>
      <c r="DG408" s="73"/>
      <c r="DH408" s="73"/>
      <c r="DI408" s="73"/>
      <c r="DJ408" s="73"/>
      <c r="DK408" s="73"/>
      <c r="DL408" s="73"/>
      <c r="DM408" s="73"/>
      <c r="DN408" s="73"/>
      <c r="DO408" s="73"/>
      <c r="DP408" s="73"/>
      <c r="DQ408" s="73"/>
      <c r="DR408" s="73"/>
      <c r="DS408" s="73"/>
      <c r="DT408" s="73"/>
      <c r="DU408" s="73"/>
      <c r="DV408" s="73"/>
      <c r="DW408" s="73"/>
      <c r="DX408" s="73"/>
      <c r="DY408" s="73"/>
      <c r="DZ408" s="73"/>
      <c r="EA408" s="73"/>
      <c r="EB408" s="73"/>
      <c r="EC408" s="73"/>
      <c r="ED408" s="73"/>
      <c r="EE408" s="73"/>
      <c r="EF408" s="73"/>
      <c r="FJ408" s="73"/>
      <c r="FK408" s="73"/>
      <c r="FL408" s="73"/>
      <c r="FM408" s="73"/>
      <c r="FN408" s="73"/>
      <c r="FO408" s="73"/>
      <c r="FP408" s="73"/>
      <c r="FQ408" s="73"/>
      <c r="FR408" s="73"/>
      <c r="FS408" s="73"/>
      <c r="FT408" s="73"/>
      <c r="FU408" s="73"/>
      <c r="FV408" s="73"/>
      <c r="FW408" s="73"/>
      <c r="FX408" s="73"/>
      <c r="GO408" s="73"/>
      <c r="GP408" s="73"/>
      <c r="HE408" s="73"/>
      <c r="HU408" s="73"/>
    </row>
    <row r="409" spans="1:230" x14ac:dyDescent="0.25">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c r="CC409" s="73"/>
      <c r="CD409" s="73"/>
      <c r="CE409" s="73"/>
      <c r="CF409" s="73"/>
      <c r="CG409" s="73"/>
      <c r="CH409" s="73"/>
      <c r="CI409" s="73"/>
      <c r="CJ409" s="73"/>
      <c r="CK409" s="73"/>
      <c r="CL409" s="73"/>
      <c r="CM409" s="73"/>
      <c r="CN409" s="73"/>
      <c r="CO409" s="73"/>
      <c r="CP409" s="73"/>
      <c r="CQ409" s="73"/>
      <c r="CR409" s="73"/>
      <c r="CS409" s="73"/>
      <c r="CT409" s="73"/>
      <c r="CU409" s="73"/>
      <c r="CV409" s="73"/>
      <c r="CW409" s="73"/>
      <c r="CX409" s="73"/>
      <c r="CY409" s="73"/>
      <c r="CZ409" s="73"/>
      <c r="DA409" s="73"/>
      <c r="DB409" s="73"/>
      <c r="DC409" s="73"/>
      <c r="DD409" s="73"/>
      <c r="DE409" s="73"/>
      <c r="DF409" s="73"/>
      <c r="DG409" s="73"/>
      <c r="DH409" s="73"/>
      <c r="DI409" s="73"/>
      <c r="DJ409" s="73"/>
      <c r="DK409" s="73"/>
      <c r="DL409" s="73"/>
      <c r="DM409" s="73"/>
      <c r="DN409" s="73"/>
      <c r="DO409" s="73"/>
      <c r="DP409" s="73"/>
      <c r="DQ409" s="73"/>
      <c r="DR409" s="73"/>
      <c r="DS409" s="73"/>
      <c r="DT409" s="73"/>
      <c r="DU409" s="73"/>
      <c r="DV409" s="73"/>
      <c r="DW409" s="73"/>
      <c r="DX409" s="73"/>
      <c r="DY409" s="73"/>
      <c r="DZ409" s="73"/>
      <c r="EA409" s="73"/>
      <c r="EB409" s="73"/>
      <c r="EC409" s="73"/>
      <c r="ED409" s="73"/>
      <c r="EE409" s="73"/>
      <c r="EF409" s="73"/>
      <c r="FJ409" s="73"/>
      <c r="FK409" s="73"/>
      <c r="FL409" s="73"/>
      <c r="FM409" s="73"/>
      <c r="FN409" s="73"/>
      <c r="FO409" s="73"/>
      <c r="FP409" s="73"/>
      <c r="FQ409" s="73"/>
      <c r="FR409" s="73"/>
      <c r="FS409" s="73"/>
      <c r="FT409" s="73"/>
      <c r="FU409" s="73"/>
      <c r="FV409" s="73"/>
      <c r="FW409" s="73"/>
      <c r="FX409" s="73"/>
      <c r="GO409" s="73"/>
      <c r="GP409" s="73"/>
      <c r="HE409" s="73"/>
      <c r="HU409" s="73"/>
    </row>
    <row r="410" spans="1:230" x14ac:dyDescent="0.25">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c r="CC410" s="73"/>
      <c r="CD410" s="73"/>
      <c r="CE410" s="73"/>
      <c r="CF410" s="73"/>
      <c r="CG410" s="73"/>
      <c r="CH410" s="73"/>
      <c r="CI410" s="73"/>
      <c r="CJ410" s="73"/>
      <c r="CK410" s="73"/>
      <c r="CL410" s="73"/>
      <c r="CM410" s="73"/>
      <c r="CN410" s="73"/>
      <c r="CO410" s="73"/>
      <c r="CP410" s="73"/>
      <c r="CQ410" s="73"/>
      <c r="CR410" s="73"/>
      <c r="CS410" s="73"/>
      <c r="CT410" s="73"/>
      <c r="CU410" s="73"/>
      <c r="CV410" s="73"/>
      <c r="CW410" s="73"/>
      <c r="CX410" s="73"/>
      <c r="CY410" s="73"/>
      <c r="CZ410" s="73"/>
      <c r="DA410" s="73"/>
      <c r="DB410" s="73"/>
      <c r="DC410" s="73"/>
      <c r="DD410" s="73"/>
      <c r="DE410" s="73"/>
      <c r="DF410" s="73"/>
      <c r="DG410" s="73"/>
      <c r="DH410" s="73"/>
      <c r="DI410" s="73"/>
      <c r="DJ410" s="73"/>
      <c r="DK410" s="73"/>
      <c r="DL410" s="73"/>
      <c r="DM410" s="73"/>
      <c r="DN410" s="73"/>
      <c r="DO410" s="73"/>
      <c r="DP410" s="73"/>
      <c r="DQ410" s="73"/>
      <c r="DR410" s="73"/>
      <c r="DS410" s="73"/>
      <c r="DT410" s="73"/>
      <c r="DU410" s="73"/>
      <c r="DV410" s="73"/>
      <c r="DW410" s="73"/>
      <c r="DX410" s="73"/>
      <c r="DY410" s="73"/>
      <c r="DZ410" s="73"/>
      <c r="EA410" s="73"/>
      <c r="EB410" s="73"/>
      <c r="EC410" s="73"/>
      <c r="ED410" s="73"/>
      <c r="EE410" s="73"/>
      <c r="EF410" s="73"/>
      <c r="FJ410" s="73"/>
      <c r="FK410" s="73"/>
      <c r="FL410" s="73"/>
      <c r="FM410" s="73"/>
      <c r="FN410" s="73"/>
      <c r="FO410" s="73"/>
      <c r="FP410" s="73"/>
      <c r="FQ410" s="73"/>
      <c r="FR410" s="73"/>
      <c r="FS410" s="73"/>
      <c r="FT410" s="73"/>
      <c r="FU410" s="73"/>
      <c r="FV410" s="73"/>
      <c r="FW410" s="73"/>
      <c r="FX410" s="73"/>
      <c r="GO410" s="73"/>
      <c r="GP410" s="73"/>
      <c r="HE410" s="73"/>
      <c r="HU410" s="73"/>
    </row>
    <row r="411" spans="1:230" x14ac:dyDescent="0.25">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c r="CC411" s="73"/>
      <c r="CD411" s="73"/>
      <c r="CE411" s="73"/>
      <c r="CF411" s="73"/>
      <c r="CG411" s="73"/>
      <c r="CH411" s="73"/>
      <c r="CI411" s="73"/>
      <c r="CJ411" s="73"/>
      <c r="CK411" s="73"/>
      <c r="CL411" s="73"/>
      <c r="CM411" s="73"/>
      <c r="CN411" s="73"/>
      <c r="CO411" s="73"/>
      <c r="CP411" s="73"/>
      <c r="CQ411" s="73"/>
      <c r="CR411" s="73"/>
      <c r="CS411" s="73"/>
      <c r="CT411" s="73"/>
      <c r="CU411" s="73"/>
      <c r="CV411" s="73"/>
      <c r="CW411" s="73"/>
      <c r="CX411" s="73"/>
      <c r="CY411" s="73"/>
      <c r="CZ411" s="73"/>
      <c r="DA411" s="73"/>
      <c r="DB411" s="73"/>
      <c r="DC411" s="73"/>
      <c r="DD411" s="73"/>
      <c r="DE411" s="73"/>
      <c r="DF411" s="73"/>
      <c r="DG411" s="73"/>
      <c r="DH411" s="73"/>
      <c r="DI411" s="73"/>
      <c r="DJ411" s="73"/>
      <c r="DK411" s="73"/>
      <c r="DL411" s="73"/>
      <c r="DM411" s="73"/>
      <c r="DN411" s="73"/>
      <c r="DO411" s="73"/>
      <c r="DP411" s="73"/>
      <c r="DQ411" s="73"/>
      <c r="DR411" s="73"/>
      <c r="DS411" s="73"/>
      <c r="DT411" s="73"/>
      <c r="DU411" s="73"/>
      <c r="DV411" s="73"/>
      <c r="DW411" s="73"/>
      <c r="DX411" s="73"/>
      <c r="DY411" s="73"/>
      <c r="DZ411" s="73"/>
      <c r="EA411" s="73"/>
      <c r="EB411" s="73"/>
      <c r="EC411" s="73"/>
      <c r="ED411" s="73"/>
      <c r="EE411" s="73"/>
      <c r="EF411" s="73"/>
      <c r="FJ411" s="73"/>
      <c r="FK411" s="73"/>
      <c r="FL411" s="73"/>
      <c r="FM411" s="73"/>
      <c r="FN411" s="73"/>
      <c r="FO411" s="73"/>
      <c r="FP411" s="73"/>
      <c r="FQ411" s="73"/>
      <c r="FR411" s="73"/>
      <c r="FS411" s="73"/>
      <c r="FT411" s="73"/>
      <c r="FU411" s="73"/>
      <c r="FV411" s="73"/>
      <c r="FW411" s="73"/>
      <c r="FX411" s="73"/>
      <c r="GO411" s="73"/>
      <c r="GP411" s="73"/>
      <c r="HE411" s="73"/>
      <c r="HU411" s="73"/>
    </row>
    <row r="412" spans="1:230" x14ac:dyDescent="0.25">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c r="CC412" s="73"/>
      <c r="CD412" s="73"/>
      <c r="CE412" s="73"/>
      <c r="CF412" s="73"/>
      <c r="CG412" s="73"/>
      <c r="CH412" s="73"/>
      <c r="CI412" s="73"/>
      <c r="CJ412" s="73"/>
      <c r="CK412" s="73"/>
      <c r="CL412" s="73"/>
      <c r="CM412" s="73"/>
      <c r="CN412" s="73"/>
      <c r="CO412" s="73"/>
      <c r="CP412" s="73"/>
      <c r="CQ412" s="73"/>
      <c r="CR412" s="73"/>
      <c r="CS412" s="73"/>
      <c r="CT412" s="73"/>
      <c r="CU412" s="73"/>
      <c r="CV412" s="73"/>
      <c r="CW412" s="73"/>
      <c r="CX412" s="73"/>
      <c r="CY412" s="73"/>
      <c r="CZ412" s="73"/>
      <c r="DA412" s="73"/>
      <c r="DB412" s="73"/>
      <c r="DC412" s="73"/>
      <c r="DD412" s="73"/>
      <c r="DE412" s="73"/>
      <c r="DF412" s="73"/>
      <c r="DG412" s="73"/>
      <c r="DH412" s="73"/>
      <c r="DI412" s="73"/>
      <c r="DJ412" s="73"/>
      <c r="DK412" s="73"/>
      <c r="DL412" s="73"/>
      <c r="DM412" s="73"/>
      <c r="DN412" s="73"/>
      <c r="DO412" s="73"/>
      <c r="DP412" s="73"/>
      <c r="DQ412" s="73"/>
      <c r="DR412" s="73"/>
      <c r="DS412" s="73"/>
      <c r="DT412" s="73"/>
      <c r="DU412" s="73"/>
      <c r="DV412" s="73"/>
      <c r="DW412" s="73"/>
      <c r="DX412" s="73"/>
      <c r="DY412" s="73"/>
      <c r="DZ412" s="73"/>
      <c r="EA412" s="73"/>
      <c r="EB412" s="73"/>
      <c r="EC412" s="73"/>
      <c r="ED412" s="73"/>
      <c r="EE412" s="73"/>
      <c r="EF412" s="73"/>
      <c r="FJ412" s="73"/>
      <c r="FK412" s="73"/>
      <c r="FL412" s="73"/>
      <c r="FM412" s="73"/>
      <c r="FN412" s="73"/>
      <c r="FO412" s="73"/>
      <c r="FP412" s="73"/>
      <c r="FQ412" s="73"/>
      <c r="FR412" s="73"/>
      <c r="FS412" s="73"/>
      <c r="FT412" s="73"/>
      <c r="FU412" s="73"/>
      <c r="FV412" s="73"/>
      <c r="FW412" s="73"/>
      <c r="FX412" s="73"/>
      <c r="GO412" s="73"/>
      <c r="GP412" s="73"/>
      <c r="HE412" s="73"/>
      <c r="HU412" s="73"/>
    </row>
    <row r="413" spans="1:230" x14ac:dyDescent="0.25">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c r="CC413" s="73"/>
      <c r="CD413" s="73"/>
      <c r="CE413" s="73"/>
      <c r="CF413" s="73"/>
      <c r="CG413" s="73"/>
      <c r="CH413" s="73"/>
      <c r="CI413" s="73"/>
      <c r="CJ413" s="73"/>
      <c r="CK413" s="73"/>
      <c r="CL413" s="73"/>
      <c r="CM413" s="73"/>
      <c r="CN413" s="73"/>
      <c r="CO413" s="73"/>
      <c r="CP413" s="73"/>
      <c r="CQ413" s="73"/>
      <c r="CR413" s="73"/>
      <c r="CS413" s="73"/>
      <c r="CT413" s="73"/>
      <c r="CU413" s="73"/>
      <c r="CV413" s="73"/>
      <c r="CW413" s="73"/>
      <c r="CX413" s="73"/>
      <c r="CY413" s="73"/>
      <c r="CZ413" s="73"/>
      <c r="DA413" s="73"/>
      <c r="DB413" s="73"/>
      <c r="DC413" s="73"/>
      <c r="DD413" s="73"/>
      <c r="DE413" s="73"/>
      <c r="DF413" s="73"/>
      <c r="DG413" s="73"/>
      <c r="DH413" s="73"/>
      <c r="DI413" s="73"/>
      <c r="DJ413" s="73"/>
      <c r="DK413" s="73"/>
      <c r="DL413" s="73"/>
      <c r="DM413" s="73"/>
      <c r="DN413" s="73"/>
      <c r="DO413" s="73"/>
      <c r="DP413" s="73"/>
      <c r="DQ413" s="73"/>
      <c r="DR413" s="73"/>
      <c r="DS413" s="73"/>
      <c r="DT413" s="73"/>
      <c r="DU413" s="73"/>
      <c r="DV413" s="73"/>
      <c r="DW413" s="73"/>
      <c r="DX413" s="73"/>
      <c r="DY413" s="73"/>
      <c r="DZ413" s="73"/>
      <c r="EA413" s="73"/>
      <c r="EB413" s="73"/>
      <c r="EC413" s="73"/>
      <c r="ED413" s="73"/>
      <c r="EE413" s="73"/>
      <c r="EF413" s="73"/>
      <c r="FJ413" s="73"/>
      <c r="FK413" s="73"/>
      <c r="FL413" s="73"/>
      <c r="FM413" s="73"/>
      <c r="FN413" s="73"/>
      <c r="FO413" s="73"/>
      <c r="FP413" s="73"/>
      <c r="FQ413" s="73"/>
      <c r="FR413" s="73"/>
      <c r="FS413" s="73"/>
      <c r="FT413" s="73"/>
      <c r="FU413" s="73"/>
      <c r="FV413" s="73"/>
      <c r="FW413" s="73"/>
      <c r="FX413" s="73"/>
      <c r="GO413" s="73"/>
      <c r="GP413" s="73"/>
      <c r="HE413" s="73"/>
      <c r="HU413" s="73"/>
    </row>
    <row r="414" spans="1:230" x14ac:dyDescent="0.25">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c r="CC414" s="73"/>
      <c r="CD414" s="73"/>
      <c r="CE414" s="73"/>
      <c r="CF414" s="73"/>
      <c r="CG414" s="73"/>
      <c r="CH414" s="73"/>
      <c r="CI414" s="73"/>
      <c r="CJ414" s="73"/>
      <c r="CK414" s="73"/>
      <c r="CL414" s="73"/>
      <c r="CM414" s="73"/>
      <c r="CN414" s="73"/>
      <c r="CO414" s="73"/>
      <c r="CP414" s="73"/>
      <c r="CQ414" s="73"/>
      <c r="CR414" s="73"/>
      <c r="CS414" s="73"/>
      <c r="CT414" s="73"/>
      <c r="CU414" s="73"/>
      <c r="CV414" s="73"/>
      <c r="CW414" s="73"/>
      <c r="CX414" s="73"/>
      <c r="CY414" s="73"/>
      <c r="CZ414" s="73"/>
      <c r="DA414" s="73"/>
      <c r="DB414" s="73"/>
      <c r="DC414" s="73"/>
      <c r="DD414" s="73"/>
      <c r="DE414" s="73"/>
      <c r="DF414" s="73"/>
      <c r="DG414" s="73"/>
      <c r="DH414" s="73"/>
      <c r="DI414" s="73"/>
      <c r="DJ414" s="73"/>
      <c r="DK414" s="73"/>
      <c r="DL414" s="73"/>
      <c r="DM414" s="73"/>
      <c r="DN414" s="73"/>
      <c r="DO414" s="73"/>
      <c r="DP414" s="73"/>
      <c r="DQ414" s="73"/>
      <c r="DR414" s="73"/>
      <c r="DS414" s="73"/>
      <c r="DT414" s="73"/>
      <c r="DU414" s="73"/>
      <c r="DV414" s="73"/>
      <c r="DW414" s="73"/>
      <c r="DX414" s="73"/>
      <c r="DY414" s="73"/>
      <c r="DZ414" s="73"/>
      <c r="EA414" s="73"/>
      <c r="EB414" s="73"/>
      <c r="EC414" s="73"/>
      <c r="ED414" s="73"/>
      <c r="EE414" s="73"/>
      <c r="EF414" s="73"/>
      <c r="FJ414" s="73"/>
      <c r="FK414" s="73"/>
      <c r="FL414" s="73"/>
      <c r="FM414" s="73"/>
      <c r="FN414" s="73"/>
      <c r="FO414" s="73"/>
      <c r="FP414" s="73"/>
      <c r="FQ414" s="73"/>
      <c r="FR414" s="73"/>
      <c r="FS414" s="73"/>
      <c r="FT414" s="73"/>
      <c r="FU414" s="73"/>
      <c r="FV414" s="73"/>
      <c r="FW414" s="73"/>
      <c r="FX414" s="73"/>
      <c r="GO414" s="73"/>
      <c r="GP414" s="73"/>
      <c r="HE414" s="73"/>
      <c r="HU414" s="73"/>
    </row>
    <row r="415" spans="1:230" x14ac:dyDescent="0.25">
      <c r="A415" s="30"/>
      <c r="B415" s="30"/>
      <c r="C415" s="30"/>
      <c r="D415" s="30"/>
      <c r="G415" s="30"/>
      <c r="H415" s="30"/>
      <c r="I415" s="30"/>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c r="CC415" s="73"/>
      <c r="CD415" s="73"/>
      <c r="CE415" s="73"/>
      <c r="CF415" s="73"/>
      <c r="CG415" s="73"/>
      <c r="CH415" s="73"/>
      <c r="CI415" s="73"/>
      <c r="CJ415" s="73"/>
      <c r="CK415" s="73"/>
      <c r="CL415" s="73"/>
      <c r="CM415" s="73"/>
      <c r="CN415" s="73"/>
      <c r="CO415" s="73"/>
      <c r="CP415" s="73"/>
      <c r="CQ415" s="73"/>
      <c r="CR415" s="73"/>
      <c r="CS415" s="73"/>
      <c r="CT415" s="73"/>
      <c r="CU415" s="73"/>
      <c r="CV415" s="73"/>
      <c r="CW415" s="73"/>
      <c r="CX415" s="73"/>
      <c r="CY415" s="73"/>
      <c r="CZ415" s="73"/>
      <c r="DA415" s="73"/>
      <c r="DB415" s="73"/>
      <c r="DC415" s="73"/>
      <c r="DD415" s="73"/>
      <c r="DE415" s="73"/>
      <c r="DF415" s="73"/>
      <c r="DG415" s="73"/>
      <c r="DH415" s="73"/>
      <c r="DI415" s="73"/>
      <c r="DJ415" s="73"/>
      <c r="DK415" s="73"/>
      <c r="DL415" s="73"/>
      <c r="DM415" s="73"/>
      <c r="DN415" s="73"/>
      <c r="DO415" s="73"/>
      <c r="DP415" s="73"/>
      <c r="DQ415" s="73"/>
      <c r="DR415" s="73"/>
      <c r="DS415" s="73"/>
      <c r="DT415" s="73"/>
      <c r="DU415" s="73"/>
      <c r="DV415" s="73"/>
      <c r="DW415" s="73"/>
      <c r="DX415" s="73"/>
      <c r="DY415" s="73"/>
      <c r="DZ415" s="73"/>
      <c r="EA415" s="73"/>
      <c r="EB415" s="73"/>
      <c r="EC415" s="73"/>
      <c r="ED415" s="73"/>
      <c r="EE415" s="73"/>
      <c r="EF415" s="73"/>
      <c r="FJ415" s="73"/>
      <c r="FK415" s="73"/>
      <c r="FL415" s="73"/>
      <c r="FM415" s="73"/>
      <c r="FN415" s="73"/>
      <c r="FO415" s="73"/>
      <c r="FP415" s="73"/>
      <c r="FQ415" s="73"/>
      <c r="FR415" s="73"/>
      <c r="FS415" s="73"/>
      <c r="FT415" s="73"/>
      <c r="FU415" s="73"/>
      <c r="FV415" s="73"/>
      <c r="FW415" s="73"/>
      <c r="FX415" s="73"/>
      <c r="GO415" s="73"/>
      <c r="GP415" s="73"/>
      <c r="HE415" s="73"/>
      <c r="HU415" s="73"/>
    </row>
    <row r="416" spans="1:230" x14ac:dyDescent="0.25">
      <c r="A416" s="30"/>
      <c r="B416" s="30"/>
      <c r="C416" s="30"/>
      <c r="D416" s="30"/>
      <c r="G416" s="30"/>
      <c r="H416" s="30"/>
      <c r="I416" s="30"/>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c r="CC416" s="73"/>
      <c r="CD416" s="73"/>
      <c r="CE416" s="73"/>
      <c r="CF416" s="73"/>
      <c r="CG416" s="73"/>
      <c r="CH416" s="73"/>
      <c r="CI416" s="73"/>
      <c r="CJ416" s="73"/>
      <c r="CK416" s="73"/>
      <c r="CL416" s="73"/>
      <c r="CM416" s="73"/>
      <c r="CN416" s="73"/>
      <c r="CO416" s="73"/>
      <c r="CP416" s="73"/>
      <c r="CQ416" s="73"/>
      <c r="CR416" s="73"/>
      <c r="CS416" s="73"/>
      <c r="CT416" s="73"/>
      <c r="CU416" s="73"/>
      <c r="CV416" s="73"/>
      <c r="CW416" s="73"/>
      <c r="CX416" s="73"/>
      <c r="CY416" s="73"/>
      <c r="CZ416" s="73"/>
      <c r="DA416" s="73"/>
      <c r="DB416" s="73"/>
      <c r="DC416" s="73"/>
      <c r="DD416" s="73"/>
      <c r="DE416" s="73"/>
      <c r="DF416" s="73"/>
      <c r="DG416" s="73"/>
      <c r="DH416" s="73"/>
      <c r="DI416" s="73"/>
      <c r="DJ416" s="73"/>
      <c r="DK416" s="73"/>
      <c r="DL416" s="73"/>
      <c r="DM416" s="73"/>
      <c r="DN416" s="73"/>
      <c r="DO416" s="73"/>
      <c r="DP416" s="73"/>
      <c r="DQ416" s="73"/>
      <c r="DR416" s="73"/>
      <c r="DS416" s="73"/>
      <c r="DT416" s="73"/>
      <c r="DU416" s="73"/>
      <c r="DV416" s="73"/>
      <c r="DW416" s="73"/>
      <c r="DX416" s="73"/>
      <c r="DY416" s="73"/>
      <c r="DZ416" s="73"/>
      <c r="EA416" s="73"/>
      <c r="EB416" s="73"/>
      <c r="EC416" s="73"/>
      <c r="ED416" s="73"/>
      <c r="EE416" s="73"/>
      <c r="EF416" s="73"/>
      <c r="FJ416" s="73"/>
      <c r="FK416" s="73"/>
      <c r="FL416" s="73"/>
      <c r="FM416" s="73"/>
      <c r="FN416" s="73"/>
      <c r="FO416" s="73"/>
      <c r="FP416" s="73"/>
      <c r="FQ416" s="73"/>
      <c r="FR416" s="73"/>
      <c r="FS416" s="73"/>
      <c r="FT416" s="73"/>
      <c r="FU416" s="73"/>
      <c r="FV416" s="73"/>
      <c r="FW416" s="73"/>
      <c r="FX416" s="73"/>
      <c r="GO416" s="73"/>
      <c r="GP416" s="73"/>
      <c r="HE416" s="73"/>
      <c r="HU416" s="73"/>
      <c r="HV416" s="182"/>
    </row>
    <row r="417" spans="1:230" x14ac:dyDescent="0.25">
      <c r="A417" s="30"/>
      <c r="B417" s="30"/>
      <c r="C417" s="30"/>
      <c r="D417" s="30"/>
      <c r="G417" s="30"/>
      <c r="H417" s="30"/>
      <c r="I417" s="30"/>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c r="CC417" s="73"/>
      <c r="CD417" s="73"/>
      <c r="CE417" s="73"/>
      <c r="CF417" s="73"/>
      <c r="CG417" s="73"/>
      <c r="CH417" s="73"/>
      <c r="CI417" s="73"/>
      <c r="CJ417" s="73"/>
      <c r="CK417" s="73"/>
      <c r="CL417" s="73"/>
      <c r="CM417" s="73"/>
      <c r="CN417" s="73"/>
      <c r="CO417" s="73"/>
      <c r="CP417" s="73"/>
      <c r="CQ417" s="73"/>
      <c r="CR417" s="73"/>
      <c r="CS417" s="73"/>
      <c r="CT417" s="73"/>
      <c r="CU417" s="73"/>
      <c r="CV417" s="73"/>
      <c r="CW417" s="73"/>
      <c r="CX417" s="73"/>
      <c r="CY417" s="73"/>
      <c r="CZ417" s="73"/>
      <c r="DA417" s="73"/>
      <c r="DB417" s="73"/>
      <c r="DC417" s="73"/>
      <c r="DD417" s="73"/>
      <c r="DE417" s="73"/>
      <c r="DF417" s="73"/>
      <c r="DG417" s="73"/>
      <c r="DH417" s="73"/>
      <c r="DI417" s="73"/>
      <c r="DJ417" s="73"/>
      <c r="DK417" s="73"/>
      <c r="DL417" s="73"/>
      <c r="DM417" s="73"/>
      <c r="DN417" s="73"/>
      <c r="DO417" s="73"/>
      <c r="DP417" s="73"/>
      <c r="DQ417" s="73"/>
      <c r="DR417" s="73"/>
      <c r="DS417" s="73"/>
      <c r="DT417" s="73"/>
      <c r="DU417" s="73"/>
      <c r="DV417" s="73"/>
      <c r="DW417" s="73"/>
      <c r="DX417" s="73"/>
      <c r="DY417" s="73"/>
      <c r="DZ417" s="73"/>
      <c r="EA417" s="73"/>
      <c r="EB417" s="73"/>
      <c r="EC417" s="73"/>
      <c r="ED417" s="73"/>
      <c r="EE417" s="73"/>
      <c r="EF417" s="73"/>
      <c r="FJ417" s="73"/>
      <c r="FK417" s="73"/>
      <c r="FL417" s="73"/>
      <c r="FM417" s="73"/>
      <c r="FN417" s="73"/>
      <c r="FO417" s="73"/>
      <c r="FP417" s="73"/>
      <c r="FQ417" s="73"/>
      <c r="FR417" s="73"/>
      <c r="FS417" s="73"/>
      <c r="FT417" s="73"/>
      <c r="FU417" s="73"/>
      <c r="FV417" s="73"/>
      <c r="FW417" s="73"/>
      <c r="FX417" s="73"/>
      <c r="GO417" s="73"/>
      <c r="GP417" s="73"/>
      <c r="HE417" s="73"/>
      <c r="HU417" s="73"/>
      <c r="HV417" s="182"/>
    </row>
    <row r="418" spans="1:230" x14ac:dyDescent="0.25">
      <c r="A418" s="30"/>
      <c r="B418" s="30"/>
      <c r="C418" s="30"/>
      <c r="D418" s="30"/>
      <c r="G418" s="30"/>
      <c r="H418" s="30"/>
      <c r="I418" s="30"/>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c r="CC418" s="73"/>
      <c r="CD418" s="73"/>
      <c r="CE418" s="73"/>
      <c r="CF418" s="73"/>
      <c r="CG418" s="73"/>
      <c r="CH418" s="73"/>
      <c r="CI418" s="73"/>
      <c r="CJ418" s="73"/>
      <c r="CK418" s="73"/>
      <c r="CL418" s="73"/>
      <c r="CM418" s="73"/>
      <c r="CN418" s="73"/>
      <c r="CO418" s="73"/>
      <c r="CP418" s="73"/>
      <c r="CQ418" s="73"/>
      <c r="CR418" s="73"/>
      <c r="CS418" s="73"/>
      <c r="CT418" s="73"/>
      <c r="CU418" s="73"/>
      <c r="CV418" s="73"/>
      <c r="CW418" s="73"/>
      <c r="CX418" s="73"/>
      <c r="CY418" s="73"/>
      <c r="CZ418" s="73"/>
      <c r="DA418" s="73"/>
      <c r="DB418" s="73"/>
      <c r="DC418" s="73"/>
      <c r="DD418" s="73"/>
      <c r="DE418" s="73"/>
      <c r="DF418" s="73"/>
      <c r="DG418" s="73"/>
      <c r="DH418" s="73"/>
      <c r="DI418" s="73"/>
      <c r="DJ418" s="73"/>
      <c r="DK418" s="73"/>
      <c r="DL418" s="73"/>
      <c r="DM418" s="73"/>
      <c r="DN418" s="73"/>
      <c r="DO418" s="73"/>
      <c r="DP418" s="73"/>
      <c r="DQ418" s="73"/>
      <c r="DR418" s="73"/>
      <c r="DS418" s="73"/>
      <c r="DT418" s="73"/>
      <c r="DU418" s="73"/>
      <c r="DV418" s="73"/>
      <c r="DW418" s="73"/>
      <c r="DX418" s="73"/>
      <c r="DY418" s="73"/>
      <c r="DZ418" s="73"/>
      <c r="EA418" s="73"/>
      <c r="EB418" s="73"/>
      <c r="EC418" s="73"/>
      <c r="ED418" s="73"/>
      <c r="EE418" s="73"/>
      <c r="EF418" s="73"/>
      <c r="FJ418" s="73"/>
      <c r="FK418" s="73"/>
      <c r="FL418" s="73"/>
      <c r="FM418" s="73"/>
      <c r="FN418" s="73"/>
      <c r="FO418" s="73"/>
      <c r="FP418" s="73"/>
      <c r="FQ418" s="73"/>
      <c r="FR418" s="73"/>
      <c r="FS418" s="73"/>
      <c r="FT418" s="73"/>
      <c r="FU418" s="73"/>
      <c r="FV418" s="73"/>
      <c r="FW418" s="73"/>
      <c r="FX418" s="73"/>
      <c r="GO418" s="73"/>
      <c r="GP418" s="73"/>
      <c r="HE418" s="73"/>
      <c r="HU418" s="73"/>
      <c r="HV418" s="182"/>
    </row>
    <row r="419" spans="1:230" x14ac:dyDescent="0.25">
      <c r="A419" s="30"/>
      <c r="B419" s="30"/>
      <c r="C419" s="30"/>
      <c r="D419" s="30"/>
      <c r="G419" s="30"/>
      <c r="H419" s="30"/>
      <c r="I419" s="30"/>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3"/>
      <c r="DV419" s="73"/>
      <c r="DW419" s="73"/>
      <c r="DX419" s="73"/>
      <c r="DY419" s="73"/>
      <c r="DZ419" s="73"/>
      <c r="EA419" s="73"/>
      <c r="EB419" s="73"/>
      <c r="EC419" s="73"/>
      <c r="ED419" s="73"/>
      <c r="EE419" s="73"/>
      <c r="EF419" s="73"/>
      <c r="FJ419" s="73"/>
      <c r="FK419" s="73"/>
      <c r="FL419" s="73"/>
      <c r="FM419" s="73"/>
      <c r="FN419" s="73"/>
      <c r="FO419" s="73"/>
      <c r="FP419" s="73"/>
      <c r="FQ419" s="73"/>
      <c r="FR419" s="73"/>
      <c r="FS419" s="73"/>
      <c r="FT419" s="73"/>
      <c r="FU419" s="73"/>
      <c r="FV419" s="73"/>
      <c r="FW419" s="73"/>
      <c r="FX419" s="73"/>
      <c r="GO419" s="73"/>
      <c r="GP419" s="73"/>
      <c r="HE419" s="73"/>
      <c r="HU419" s="73"/>
      <c r="HV419" s="182"/>
    </row>
    <row r="420" spans="1:230" x14ac:dyDescent="0.25">
      <c r="A420" s="30"/>
      <c r="B420" s="30"/>
      <c r="C420" s="30"/>
      <c r="D420" s="30"/>
      <c r="G420" s="30"/>
      <c r="H420" s="30"/>
      <c r="I420" s="30"/>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c r="CC420" s="73"/>
      <c r="CD420" s="73"/>
      <c r="CE420" s="73"/>
      <c r="CF420" s="73"/>
      <c r="CG420" s="73"/>
      <c r="CH420" s="73"/>
      <c r="CI420" s="73"/>
      <c r="CJ420" s="73"/>
      <c r="CK420" s="73"/>
      <c r="CL420" s="73"/>
      <c r="CM420" s="73"/>
      <c r="CN420" s="73"/>
      <c r="CO420" s="73"/>
      <c r="CP420" s="73"/>
      <c r="CQ420" s="73"/>
      <c r="CR420" s="73"/>
      <c r="CS420" s="73"/>
      <c r="CT420" s="73"/>
      <c r="CU420" s="73"/>
      <c r="CV420" s="73"/>
      <c r="CW420" s="73"/>
      <c r="CX420" s="73"/>
      <c r="CY420" s="73"/>
      <c r="CZ420" s="73"/>
      <c r="DA420" s="73"/>
      <c r="DB420" s="73"/>
      <c r="DC420" s="73"/>
      <c r="DD420" s="73"/>
      <c r="DE420" s="73"/>
      <c r="DF420" s="73"/>
      <c r="DG420" s="73"/>
      <c r="DH420" s="73"/>
      <c r="DI420" s="73"/>
      <c r="DJ420" s="73"/>
      <c r="DK420" s="73"/>
      <c r="DL420" s="73"/>
      <c r="DM420" s="73"/>
      <c r="DN420" s="73"/>
      <c r="DO420" s="73"/>
      <c r="DP420" s="73"/>
      <c r="DQ420" s="73"/>
      <c r="DR420" s="73"/>
      <c r="DS420" s="73"/>
      <c r="DT420" s="73"/>
      <c r="DU420" s="73"/>
      <c r="DV420" s="73"/>
      <c r="DW420" s="73"/>
      <c r="DX420" s="73"/>
      <c r="DY420" s="73"/>
      <c r="DZ420" s="73"/>
      <c r="EA420" s="73"/>
      <c r="EB420" s="73"/>
      <c r="EC420" s="73"/>
      <c r="ED420" s="73"/>
      <c r="EE420" s="73"/>
      <c r="EF420" s="73"/>
      <c r="FJ420" s="73"/>
      <c r="FK420" s="73"/>
      <c r="FL420" s="73"/>
      <c r="FM420" s="73"/>
      <c r="FN420" s="73"/>
      <c r="FO420" s="73"/>
      <c r="FP420" s="73"/>
      <c r="FQ420" s="73"/>
      <c r="FR420" s="73"/>
      <c r="FS420" s="73"/>
      <c r="FT420" s="73"/>
      <c r="FU420" s="73"/>
      <c r="FV420" s="73"/>
      <c r="FW420" s="73"/>
      <c r="FX420" s="73"/>
      <c r="GO420" s="73"/>
      <c r="GP420" s="73"/>
      <c r="HE420" s="73"/>
      <c r="HU420" s="73"/>
      <c r="HV420" s="182"/>
    </row>
    <row r="421" spans="1:230" x14ac:dyDescent="0.25">
      <c r="A421" s="30"/>
      <c r="B421" s="30"/>
      <c r="C421" s="30"/>
      <c r="D421" s="30"/>
      <c r="G421" s="30"/>
      <c r="H421" s="30"/>
      <c r="I421" s="30"/>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c r="CC421" s="73"/>
      <c r="CD421" s="73"/>
      <c r="CE421" s="73"/>
      <c r="CF421" s="73"/>
      <c r="CG421" s="73"/>
      <c r="CH421" s="73"/>
      <c r="CI421" s="73"/>
      <c r="CJ421" s="73"/>
      <c r="CK421" s="73"/>
      <c r="CL421" s="73"/>
      <c r="CM421" s="73"/>
      <c r="CN421" s="73"/>
      <c r="CO421" s="73"/>
      <c r="CP421" s="73"/>
      <c r="CQ421" s="73"/>
      <c r="CR421" s="73"/>
      <c r="CS421" s="73"/>
      <c r="CT421" s="73"/>
      <c r="CU421" s="73"/>
      <c r="CV421" s="73"/>
      <c r="CW421" s="73"/>
      <c r="CX421" s="73"/>
      <c r="CY421" s="73"/>
      <c r="CZ421" s="73"/>
      <c r="DA421" s="73"/>
      <c r="DB421" s="73"/>
      <c r="DC421" s="73"/>
      <c r="DD421" s="73"/>
      <c r="DE421" s="73"/>
      <c r="DF421" s="73"/>
      <c r="DG421" s="73"/>
      <c r="DH421" s="73"/>
      <c r="DI421" s="73"/>
      <c r="DJ421" s="73"/>
      <c r="DK421" s="73"/>
      <c r="DL421" s="73"/>
      <c r="DM421" s="73"/>
      <c r="DN421" s="73"/>
      <c r="DO421" s="73"/>
      <c r="DP421" s="73"/>
      <c r="DQ421" s="73"/>
      <c r="DR421" s="73"/>
      <c r="DS421" s="73"/>
      <c r="DT421" s="73"/>
      <c r="DU421" s="73"/>
      <c r="DV421" s="73"/>
      <c r="DW421" s="73"/>
      <c r="DX421" s="73"/>
      <c r="DY421" s="73"/>
      <c r="DZ421" s="73"/>
      <c r="EA421" s="73"/>
      <c r="EB421" s="73"/>
      <c r="EC421" s="73"/>
      <c r="ED421" s="73"/>
      <c r="EE421" s="73"/>
      <c r="EF421" s="73"/>
      <c r="FJ421" s="73"/>
      <c r="FK421" s="73"/>
      <c r="FL421" s="73"/>
      <c r="FM421" s="73"/>
      <c r="FN421" s="73"/>
      <c r="FO421" s="73"/>
      <c r="FP421" s="73"/>
      <c r="FQ421" s="73"/>
      <c r="FR421" s="73"/>
      <c r="FS421" s="73"/>
      <c r="FT421" s="73"/>
      <c r="FU421" s="73"/>
      <c r="FV421" s="73"/>
      <c r="FW421" s="73"/>
      <c r="FX421" s="73"/>
      <c r="GO421" s="73"/>
      <c r="GP421" s="73"/>
      <c r="HE421" s="73"/>
      <c r="HU421" s="73"/>
      <c r="HV421" s="182"/>
    </row>
    <row r="422" spans="1:230" x14ac:dyDescent="0.25">
      <c r="A422" s="30"/>
      <c r="B422" s="30"/>
      <c r="C422" s="30"/>
      <c r="D422" s="30"/>
      <c r="G422" s="30"/>
      <c r="H422" s="30"/>
      <c r="I422" s="30"/>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c r="CC422" s="73"/>
      <c r="CD422" s="73"/>
      <c r="CE422" s="73"/>
      <c r="CF422" s="73"/>
      <c r="CG422" s="73"/>
      <c r="CH422" s="73"/>
      <c r="CI422" s="73"/>
      <c r="CJ422" s="73"/>
      <c r="CK422" s="73"/>
      <c r="CL422" s="73"/>
      <c r="CM422" s="73"/>
      <c r="CN422" s="73"/>
      <c r="CO422" s="73"/>
      <c r="CP422" s="73"/>
      <c r="CQ422" s="73"/>
      <c r="CR422" s="73"/>
      <c r="CS422" s="73"/>
      <c r="CT422" s="73"/>
      <c r="CU422" s="73"/>
      <c r="CV422" s="73"/>
      <c r="CW422" s="73"/>
      <c r="CX422" s="73"/>
      <c r="CY422" s="73"/>
      <c r="CZ422" s="73"/>
      <c r="DA422" s="73"/>
      <c r="DB422" s="73"/>
      <c r="DC422" s="73"/>
      <c r="DD422" s="73"/>
      <c r="DE422" s="73"/>
      <c r="DF422" s="73"/>
      <c r="DG422" s="73"/>
      <c r="DH422" s="73"/>
      <c r="DI422" s="73"/>
      <c r="DJ422" s="73"/>
      <c r="DK422" s="73"/>
      <c r="DL422" s="73"/>
      <c r="DM422" s="73"/>
      <c r="DN422" s="73"/>
      <c r="DO422" s="73"/>
      <c r="DP422" s="73"/>
      <c r="DQ422" s="73"/>
      <c r="DR422" s="73"/>
      <c r="DS422" s="73"/>
      <c r="DT422" s="73"/>
      <c r="DU422" s="73"/>
      <c r="DV422" s="73"/>
      <c r="DW422" s="73"/>
      <c r="DX422" s="73"/>
      <c r="DY422" s="73"/>
      <c r="DZ422" s="73"/>
      <c r="EA422" s="73"/>
      <c r="EB422" s="73"/>
      <c r="EC422" s="73"/>
      <c r="ED422" s="73"/>
      <c r="EE422" s="73"/>
      <c r="EF422" s="73"/>
      <c r="FJ422" s="73"/>
      <c r="FK422" s="73"/>
      <c r="FL422" s="73"/>
      <c r="FM422" s="73"/>
      <c r="FN422" s="73"/>
      <c r="FO422" s="73"/>
      <c r="FP422" s="73"/>
      <c r="FQ422" s="73"/>
      <c r="FR422" s="73"/>
      <c r="FS422" s="73"/>
      <c r="FT422" s="73"/>
      <c r="FU422" s="73"/>
      <c r="FV422" s="73"/>
      <c r="FW422" s="73"/>
      <c r="FX422" s="73"/>
      <c r="GO422" s="73"/>
      <c r="GP422" s="73"/>
      <c r="HE422" s="73"/>
      <c r="HU422" s="73"/>
      <c r="HV422" s="182"/>
    </row>
    <row r="423" spans="1:230" x14ac:dyDescent="0.25">
      <c r="A423" s="30"/>
      <c r="B423" s="30"/>
      <c r="C423" s="30"/>
      <c r="D423" s="30"/>
      <c r="G423" s="30"/>
      <c r="H423" s="30"/>
      <c r="I423" s="30"/>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c r="CC423" s="73"/>
      <c r="CD423" s="73"/>
      <c r="CE423" s="73"/>
      <c r="CF423" s="73"/>
      <c r="CG423" s="73"/>
      <c r="CH423" s="73"/>
      <c r="CI423" s="73"/>
      <c r="CJ423" s="73"/>
      <c r="CK423" s="73"/>
      <c r="CL423" s="73"/>
      <c r="CM423" s="73"/>
      <c r="CN423" s="73"/>
      <c r="CO423" s="73"/>
      <c r="CP423" s="73"/>
      <c r="CQ423" s="73"/>
      <c r="CR423" s="73"/>
      <c r="CS423" s="73"/>
      <c r="CT423" s="73"/>
      <c r="CU423" s="73"/>
      <c r="CV423" s="73"/>
      <c r="CW423" s="73"/>
      <c r="CX423" s="73"/>
      <c r="CY423" s="73"/>
      <c r="CZ423" s="73"/>
      <c r="DA423" s="73"/>
      <c r="DB423" s="73"/>
      <c r="DC423" s="73"/>
      <c r="DD423" s="73"/>
      <c r="DE423" s="73"/>
      <c r="DF423" s="73"/>
      <c r="DG423" s="73"/>
      <c r="DH423" s="73"/>
      <c r="DI423" s="73"/>
      <c r="DJ423" s="73"/>
      <c r="DK423" s="73"/>
      <c r="DL423" s="73"/>
      <c r="DM423" s="73"/>
      <c r="DN423" s="73"/>
      <c r="DO423" s="73"/>
      <c r="DP423" s="73"/>
      <c r="DQ423" s="73"/>
      <c r="DR423" s="73"/>
      <c r="DS423" s="73"/>
      <c r="DT423" s="73"/>
      <c r="DU423" s="73"/>
      <c r="DV423" s="73"/>
      <c r="DW423" s="73"/>
      <c r="DX423" s="73"/>
      <c r="DY423" s="73"/>
      <c r="DZ423" s="73"/>
      <c r="EA423" s="73"/>
      <c r="EB423" s="73"/>
      <c r="EC423" s="73"/>
      <c r="ED423" s="73"/>
      <c r="EE423" s="73"/>
      <c r="EF423" s="73"/>
      <c r="FJ423" s="73"/>
      <c r="FK423" s="73"/>
      <c r="FL423" s="73"/>
      <c r="FM423" s="73"/>
      <c r="FN423" s="73"/>
      <c r="FO423" s="73"/>
      <c r="FP423" s="73"/>
      <c r="FQ423" s="73"/>
      <c r="FR423" s="73"/>
      <c r="FS423" s="73"/>
      <c r="FT423" s="73"/>
      <c r="FU423" s="73"/>
      <c r="FV423" s="73"/>
      <c r="FW423" s="73"/>
      <c r="FX423" s="73"/>
      <c r="GO423" s="73"/>
      <c r="GP423" s="73"/>
      <c r="HE423" s="73"/>
      <c r="HU423" s="73"/>
      <c r="HV423" s="182"/>
    </row>
    <row r="424" spans="1:230" x14ac:dyDescent="0.25">
      <c r="A424" s="30"/>
      <c r="B424" s="30"/>
      <c r="C424" s="30"/>
      <c r="D424" s="30"/>
      <c r="G424" s="30"/>
      <c r="H424" s="30"/>
      <c r="I424" s="30"/>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c r="CC424" s="73"/>
      <c r="CD424" s="73"/>
      <c r="CE424" s="73"/>
      <c r="CF424" s="73"/>
      <c r="CG424" s="73"/>
      <c r="CH424" s="73"/>
      <c r="CI424" s="73"/>
      <c r="CJ424" s="73"/>
      <c r="CK424" s="73"/>
      <c r="CL424" s="73"/>
      <c r="CM424" s="73"/>
      <c r="CN424" s="73"/>
      <c r="CO424" s="73"/>
      <c r="CP424" s="73"/>
      <c r="CQ424" s="73"/>
      <c r="CR424" s="73"/>
      <c r="CS424" s="73"/>
      <c r="CT424" s="73"/>
      <c r="CU424" s="73"/>
      <c r="CV424" s="73"/>
      <c r="CW424" s="73"/>
      <c r="CX424" s="73"/>
      <c r="CY424" s="73"/>
      <c r="CZ424" s="73"/>
      <c r="DA424" s="73"/>
      <c r="DB424" s="73"/>
      <c r="DC424" s="73"/>
      <c r="DD424" s="73"/>
      <c r="DE424" s="73"/>
      <c r="DF424" s="73"/>
      <c r="DG424" s="73"/>
      <c r="DH424" s="73"/>
      <c r="DI424" s="73"/>
      <c r="DJ424" s="73"/>
      <c r="DK424" s="73"/>
      <c r="DL424" s="73"/>
      <c r="DM424" s="73"/>
      <c r="DN424" s="73"/>
      <c r="DO424" s="73"/>
      <c r="DP424" s="73"/>
      <c r="DQ424" s="73"/>
      <c r="DR424" s="73"/>
      <c r="DS424" s="73"/>
      <c r="DT424" s="73"/>
      <c r="DU424" s="73"/>
      <c r="DV424" s="73"/>
      <c r="DW424" s="73"/>
      <c r="DX424" s="73"/>
      <c r="DY424" s="73"/>
      <c r="DZ424" s="73"/>
      <c r="EA424" s="73"/>
      <c r="EB424" s="73"/>
      <c r="EC424" s="73"/>
      <c r="ED424" s="73"/>
      <c r="EE424" s="73"/>
      <c r="EF424" s="73"/>
      <c r="FJ424" s="73"/>
      <c r="FK424" s="73"/>
      <c r="FL424" s="73"/>
      <c r="FM424" s="73"/>
      <c r="FN424" s="73"/>
      <c r="FO424" s="73"/>
      <c r="FP424" s="73"/>
      <c r="FQ424" s="73"/>
      <c r="FR424" s="73"/>
      <c r="FS424" s="73"/>
      <c r="FT424" s="73"/>
      <c r="FU424" s="73"/>
      <c r="FV424" s="73"/>
      <c r="FW424" s="73"/>
      <c r="FX424" s="73"/>
      <c r="GO424" s="73"/>
      <c r="GP424" s="73"/>
      <c r="HE424" s="73"/>
      <c r="HU424" s="73"/>
      <c r="HV424" s="182"/>
    </row>
    <row r="425" spans="1:230" x14ac:dyDescent="0.25">
      <c r="A425" s="30"/>
      <c r="B425" s="30"/>
      <c r="C425" s="30"/>
      <c r="D425" s="30"/>
      <c r="G425" s="30"/>
      <c r="H425" s="30"/>
      <c r="I425" s="30"/>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c r="CC425" s="73"/>
      <c r="CD425" s="73"/>
      <c r="CE425" s="73"/>
      <c r="CF425" s="73"/>
      <c r="CG425" s="73"/>
      <c r="CH425" s="73"/>
      <c r="CI425" s="73"/>
      <c r="CJ425" s="73"/>
      <c r="CK425" s="73"/>
      <c r="CL425" s="73"/>
      <c r="CM425" s="73"/>
      <c r="CN425" s="73"/>
      <c r="CO425" s="73"/>
      <c r="CP425" s="73"/>
      <c r="CQ425" s="73"/>
      <c r="CR425" s="73"/>
      <c r="CS425" s="73"/>
      <c r="CT425" s="73"/>
      <c r="CU425" s="73"/>
      <c r="CV425" s="73"/>
      <c r="CW425" s="73"/>
      <c r="CX425" s="73"/>
      <c r="CY425" s="73"/>
      <c r="CZ425" s="73"/>
      <c r="DA425" s="73"/>
      <c r="DB425" s="73"/>
      <c r="DC425" s="73"/>
      <c r="DD425" s="73"/>
      <c r="DE425" s="73"/>
      <c r="DF425" s="73"/>
      <c r="DG425" s="73"/>
      <c r="DH425" s="73"/>
      <c r="DI425" s="73"/>
      <c r="DJ425" s="73"/>
      <c r="DK425" s="73"/>
      <c r="DL425" s="73"/>
      <c r="DM425" s="73"/>
      <c r="DN425" s="73"/>
      <c r="DO425" s="73"/>
      <c r="DP425" s="73"/>
      <c r="DQ425" s="73"/>
      <c r="DR425" s="73"/>
      <c r="DS425" s="73"/>
      <c r="DT425" s="73"/>
      <c r="DU425" s="73"/>
      <c r="DV425" s="73"/>
      <c r="DW425" s="73"/>
      <c r="DX425" s="73"/>
      <c r="DY425" s="73"/>
      <c r="DZ425" s="73"/>
      <c r="EA425" s="73"/>
      <c r="EB425" s="73"/>
      <c r="EC425" s="73"/>
      <c r="ED425" s="73"/>
      <c r="EE425" s="73"/>
      <c r="EF425" s="73"/>
      <c r="FJ425" s="73"/>
      <c r="FK425" s="73"/>
      <c r="FL425" s="73"/>
      <c r="FM425" s="73"/>
      <c r="FN425" s="73"/>
      <c r="FO425" s="73"/>
      <c r="FP425" s="73"/>
      <c r="FQ425" s="73"/>
      <c r="FR425" s="73"/>
      <c r="FS425" s="73"/>
      <c r="FT425" s="73"/>
      <c r="FU425" s="73"/>
      <c r="FV425" s="73"/>
      <c r="FW425" s="73"/>
      <c r="FX425" s="73"/>
      <c r="GO425" s="73"/>
      <c r="GP425" s="73"/>
      <c r="HE425" s="73"/>
      <c r="HU425" s="73"/>
      <c r="HV425" s="182"/>
    </row>
    <row r="426" spans="1:230" x14ac:dyDescent="0.25">
      <c r="A426" s="30"/>
      <c r="B426" s="30"/>
      <c r="C426" s="30"/>
      <c r="D426" s="30"/>
      <c r="G426" s="30"/>
      <c r="H426" s="30"/>
      <c r="I426" s="30"/>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c r="CC426" s="73"/>
      <c r="CD426" s="73"/>
      <c r="CE426" s="73"/>
      <c r="CF426" s="73"/>
      <c r="CG426" s="73"/>
      <c r="CH426" s="73"/>
      <c r="CI426" s="73"/>
      <c r="CJ426" s="73"/>
      <c r="CK426" s="73"/>
      <c r="CL426" s="73"/>
      <c r="CM426" s="73"/>
      <c r="CN426" s="73"/>
      <c r="CO426" s="73"/>
      <c r="CP426" s="73"/>
      <c r="CQ426" s="73"/>
      <c r="CR426" s="73"/>
      <c r="CS426" s="73"/>
      <c r="CT426" s="73"/>
      <c r="CU426" s="73"/>
      <c r="CV426" s="73"/>
      <c r="CW426" s="73"/>
      <c r="CX426" s="73"/>
      <c r="CY426" s="73"/>
      <c r="CZ426" s="73"/>
      <c r="DA426" s="73"/>
      <c r="DB426" s="73"/>
      <c r="DC426" s="73"/>
      <c r="DD426" s="73"/>
      <c r="DE426" s="73"/>
      <c r="DF426" s="73"/>
      <c r="DG426" s="73"/>
      <c r="DH426" s="73"/>
      <c r="DI426" s="73"/>
      <c r="DJ426" s="73"/>
      <c r="DK426" s="73"/>
      <c r="DL426" s="73"/>
      <c r="DM426" s="73"/>
      <c r="DN426" s="73"/>
      <c r="DO426" s="73"/>
      <c r="DP426" s="73"/>
      <c r="DQ426" s="73"/>
      <c r="DR426" s="73"/>
      <c r="DS426" s="73"/>
      <c r="DT426" s="73"/>
      <c r="DU426" s="73"/>
      <c r="DV426" s="73"/>
      <c r="DW426" s="73"/>
      <c r="DX426" s="73"/>
      <c r="DY426" s="73"/>
      <c r="DZ426" s="73"/>
      <c r="EA426" s="73"/>
      <c r="EB426" s="73"/>
      <c r="EC426" s="73"/>
      <c r="ED426" s="73"/>
      <c r="EE426" s="73"/>
      <c r="EF426" s="73"/>
      <c r="FJ426" s="73"/>
      <c r="FK426" s="73"/>
      <c r="FL426" s="73"/>
      <c r="FM426" s="73"/>
      <c r="FN426" s="73"/>
      <c r="FO426" s="73"/>
      <c r="FP426" s="73"/>
      <c r="FQ426" s="73"/>
      <c r="FR426" s="73"/>
      <c r="FS426" s="73"/>
      <c r="FT426" s="73"/>
      <c r="FU426" s="73"/>
      <c r="FV426" s="73"/>
      <c r="FW426" s="73"/>
      <c r="FX426" s="73"/>
      <c r="GO426" s="73"/>
      <c r="GP426" s="73"/>
      <c r="HE426" s="73"/>
      <c r="HU426" s="73"/>
      <c r="HV426" s="182"/>
    </row>
    <row r="427" spans="1:230" x14ac:dyDescent="0.25">
      <c r="A427" s="30"/>
      <c r="B427" s="30"/>
      <c r="C427" s="30"/>
      <c r="D427" s="30"/>
      <c r="G427" s="30"/>
      <c r="H427" s="30"/>
      <c r="I427" s="30"/>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c r="CC427" s="73"/>
      <c r="CD427" s="73"/>
      <c r="CE427" s="73"/>
      <c r="CF427" s="73"/>
      <c r="CG427" s="73"/>
      <c r="CH427" s="73"/>
      <c r="CI427" s="73"/>
      <c r="CJ427" s="73"/>
      <c r="CK427" s="73"/>
      <c r="CL427" s="73"/>
      <c r="CM427" s="73"/>
      <c r="CN427" s="73"/>
      <c r="CO427" s="73"/>
      <c r="CP427" s="73"/>
      <c r="CQ427" s="73"/>
      <c r="CR427" s="73"/>
      <c r="CS427" s="73"/>
      <c r="CT427" s="73"/>
      <c r="CU427" s="73"/>
      <c r="CV427" s="73"/>
      <c r="CW427" s="73"/>
      <c r="CX427" s="73"/>
      <c r="CY427" s="73"/>
      <c r="CZ427" s="73"/>
      <c r="DA427" s="73"/>
      <c r="DB427" s="73"/>
      <c r="DC427" s="73"/>
      <c r="DD427" s="73"/>
      <c r="DE427" s="73"/>
      <c r="DF427" s="73"/>
      <c r="DG427" s="73"/>
      <c r="DH427" s="73"/>
      <c r="DI427" s="73"/>
      <c r="DJ427" s="73"/>
      <c r="DK427" s="73"/>
      <c r="DL427" s="73"/>
      <c r="DM427" s="73"/>
      <c r="DN427" s="73"/>
      <c r="DO427" s="73"/>
      <c r="DP427" s="73"/>
      <c r="DQ427" s="73"/>
      <c r="DR427" s="73"/>
      <c r="DS427" s="73"/>
      <c r="DT427" s="73"/>
      <c r="DU427" s="73"/>
      <c r="DV427" s="73"/>
      <c r="DW427" s="73"/>
      <c r="DX427" s="73"/>
      <c r="DY427" s="73"/>
      <c r="DZ427" s="73"/>
      <c r="EA427" s="73"/>
      <c r="EB427" s="73"/>
      <c r="EC427" s="73"/>
      <c r="ED427" s="73"/>
      <c r="EE427" s="73"/>
      <c r="EF427" s="73"/>
      <c r="FJ427" s="73"/>
      <c r="FK427" s="73"/>
      <c r="FL427" s="73"/>
      <c r="FM427" s="73"/>
      <c r="FN427" s="73"/>
      <c r="FO427" s="73"/>
      <c r="FP427" s="73"/>
      <c r="FQ427" s="73"/>
      <c r="FR427" s="73"/>
      <c r="FS427" s="73"/>
      <c r="FT427" s="73"/>
      <c r="FU427" s="73"/>
      <c r="FV427" s="73"/>
      <c r="FW427" s="73"/>
      <c r="FX427" s="73"/>
      <c r="GO427" s="73"/>
      <c r="GP427" s="73"/>
      <c r="HE427" s="73"/>
      <c r="HU427" s="73"/>
      <c r="HV427" s="182"/>
    </row>
    <row r="428" spans="1:230" x14ac:dyDescent="0.25">
      <c r="A428" s="30"/>
      <c r="B428" s="30"/>
      <c r="C428" s="30"/>
      <c r="D428" s="30"/>
      <c r="G428" s="30"/>
      <c r="H428" s="30"/>
      <c r="I428" s="30"/>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c r="CC428" s="73"/>
      <c r="CD428" s="73"/>
      <c r="CE428" s="73"/>
      <c r="CF428" s="73"/>
      <c r="CG428" s="73"/>
      <c r="CH428" s="73"/>
      <c r="CI428" s="73"/>
      <c r="CJ428" s="73"/>
      <c r="CK428" s="73"/>
      <c r="CL428" s="73"/>
      <c r="CM428" s="73"/>
      <c r="CN428" s="73"/>
      <c r="CO428" s="73"/>
      <c r="CP428" s="73"/>
      <c r="CQ428" s="73"/>
      <c r="CR428" s="73"/>
      <c r="CS428" s="73"/>
      <c r="CT428" s="73"/>
      <c r="CU428" s="73"/>
      <c r="CV428" s="73"/>
      <c r="CW428" s="73"/>
      <c r="CX428" s="73"/>
      <c r="CY428" s="73"/>
      <c r="CZ428" s="73"/>
      <c r="DA428" s="73"/>
      <c r="DB428" s="73"/>
      <c r="DC428" s="73"/>
      <c r="DD428" s="73"/>
      <c r="DE428" s="73"/>
      <c r="DF428" s="73"/>
      <c r="DG428" s="73"/>
      <c r="DH428" s="73"/>
      <c r="DI428" s="73"/>
      <c r="DJ428" s="73"/>
      <c r="DK428" s="73"/>
      <c r="DL428" s="73"/>
      <c r="DM428" s="73"/>
      <c r="DN428" s="73"/>
      <c r="DO428" s="73"/>
      <c r="DP428" s="73"/>
      <c r="DQ428" s="73"/>
      <c r="DR428" s="73"/>
      <c r="DS428" s="73"/>
      <c r="DT428" s="73"/>
      <c r="DU428" s="73"/>
      <c r="DV428" s="73"/>
      <c r="DW428" s="73"/>
      <c r="DX428" s="73"/>
      <c r="DY428" s="73"/>
      <c r="DZ428" s="73"/>
      <c r="EA428" s="73"/>
      <c r="EB428" s="73"/>
      <c r="EC428" s="73"/>
      <c r="ED428" s="73"/>
      <c r="EE428" s="73"/>
      <c r="EF428" s="73"/>
      <c r="FJ428" s="73"/>
      <c r="FK428" s="73"/>
      <c r="FL428" s="73"/>
      <c r="FM428" s="73"/>
      <c r="FN428" s="73"/>
      <c r="FO428" s="73"/>
      <c r="FP428" s="73"/>
      <c r="FQ428" s="73"/>
      <c r="FR428" s="73"/>
      <c r="FS428" s="73"/>
      <c r="FT428" s="73"/>
      <c r="FU428" s="73"/>
      <c r="FV428" s="73"/>
      <c r="FW428" s="73"/>
      <c r="FX428" s="73"/>
      <c r="GO428" s="73"/>
      <c r="GP428" s="73"/>
      <c r="HE428" s="73"/>
      <c r="HU428" s="73"/>
      <c r="HV428" s="182"/>
    </row>
    <row r="429" spans="1:230" x14ac:dyDescent="0.25">
      <c r="A429" s="30"/>
      <c r="B429" s="30"/>
      <c r="C429" s="30"/>
      <c r="D429" s="30"/>
      <c r="G429" s="30"/>
      <c r="H429" s="30"/>
      <c r="I429" s="30"/>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c r="CC429" s="73"/>
      <c r="CD429" s="73"/>
      <c r="CE429" s="73"/>
      <c r="CF429" s="73"/>
      <c r="CG429" s="73"/>
      <c r="CH429" s="73"/>
      <c r="CI429" s="73"/>
      <c r="CJ429" s="73"/>
      <c r="CK429" s="73"/>
      <c r="CL429" s="73"/>
      <c r="CM429" s="73"/>
      <c r="CN429" s="73"/>
      <c r="CO429" s="73"/>
      <c r="CP429" s="73"/>
      <c r="CQ429" s="73"/>
      <c r="CR429" s="73"/>
      <c r="CS429" s="73"/>
      <c r="CT429" s="73"/>
      <c r="CU429" s="73"/>
      <c r="CV429" s="73"/>
      <c r="CW429" s="73"/>
      <c r="CX429" s="73"/>
      <c r="CY429" s="73"/>
      <c r="CZ429" s="73"/>
      <c r="DA429" s="73"/>
      <c r="DB429" s="73"/>
      <c r="DC429" s="73"/>
      <c r="DD429" s="73"/>
      <c r="DE429" s="73"/>
      <c r="DF429" s="73"/>
      <c r="DG429" s="73"/>
      <c r="DH429" s="73"/>
      <c r="DI429" s="73"/>
      <c r="DJ429" s="73"/>
      <c r="DK429" s="73"/>
      <c r="DL429" s="73"/>
      <c r="DM429" s="73"/>
      <c r="DN429" s="73"/>
      <c r="DO429" s="73"/>
      <c r="DP429" s="73"/>
      <c r="DQ429" s="73"/>
      <c r="DR429" s="73"/>
      <c r="DS429" s="73"/>
      <c r="DT429" s="73"/>
      <c r="DU429" s="73"/>
      <c r="DV429" s="73"/>
      <c r="DW429" s="73"/>
      <c r="DX429" s="73"/>
      <c r="DY429" s="73"/>
      <c r="DZ429" s="73"/>
      <c r="EA429" s="73"/>
      <c r="EB429" s="73"/>
      <c r="EC429" s="73"/>
      <c r="ED429" s="73"/>
      <c r="EE429" s="73"/>
      <c r="EF429" s="73"/>
      <c r="FJ429" s="73"/>
      <c r="FK429" s="73"/>
      <c r="FL429" s="73"/>
      <c r="FM429" s="73"/>
      <c r="FN429" s="73"/>
      <c r="FO429" s="73"/>
      <c r="FP429" s="73"/>
      <c r="FQ429" s="73"/>
      <c r="FR429" s="73"/>
      <c r="FS429" s="73"/>
      <c r="FT429" s="73"/>
      <c r="FU429" s="73"/>
      <c r="FV429" s="73"/>
      <c r="FW429" s="73"/>
      <c r="FX429" s="73"/>
      <c r="GO429" s="73"/>
      <c r="GP429" s="73"/>
      <c r="HE429" s="73"/>
      <c r="HU429" s="73"/>
      <c r="HV429" s="182"/>
    </row>
    <row r="430" spans="1:230" x14ac:dyDescent="0.25">
      <c r="A430" s="30"/>
      <c r="B430" s="30"/>
      <c r="C430" s="30"/>
      <c r="D430" s="30"/>
      <c r="G430" s="30"/>
      <c r="H430" s="30"/>
      <c r="I430" s="30"/>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c r="CC430" s="73"/>
      <c r="CD430" s="73"/>
      <c r="CE430" s="73"/>
      <c r="CF430" s="73"/>
      <c r="CG430" s="73"/>
      <c r="CH430" s="73"/>
      <c r="CI430" s="73"/>
      <c r="CJ430" s="73"/>
      <c r="CK430" s="73"/>
      <c r="CL430" s="73"/>
      <c r="CM430" s="73"/>
      <c r="CN430" s="73"/>
      <c r="CO430" s="73"/>
      <c r="CP430" s="73"/>
      <c r="CQ430" s="73"/>
      <c r="CR430" s="73"/>
      <c r="CS430" s="73"/>
      <c r="CT430" s="73"/>
      <c r="CU430" s="73"/>
      <c r="CV430" s="73"/>
      <c r="CW430" s="73"/>
      <c r="CX430" s="73"/>
      <c r="CY430" s="73"/>
      <c r="CZ430" s="73"/>
      <c r="DA430" s="73"/>
      <c r="DB430" s="73"/>
      <c r="DC430" s="73"/>
      <c r="DD430" s="73"/>
      <c r="DE430" s="73"/>
      <c r="DF430" s="73"/>
      <c r="DG430" s="73"/>
      <c r="DH430" s="73"/>
      <c r="DI430" s="73"/>
      <c r="DJ430" s="73"/>
      <c r="DK430" s="73"/>
      <c r="DL430" s="73"/>
      <c r="DM430" s="73"/>
      <c r="DN430" s="73"/>
      <c r="DO430" s="73"/>
      <c r="DP430" s="73"/>
      <c r="DQ430" s="73"/>
      <c r="DR430" s="73"/>
      <c r="DS430" s="73"/>
      <c r="DT430" s="73"/>
      <c r="DU430" s="73"/>
      <c r="DV430" s="73"/>
      <c r="DW430" s="73"/>
      <c r="DX430" s="73"/>
      <c r="DY430" s="73"/>
      <c r="DZ430" s="73"/>
      <c r="EA430" s="73"/>
      <c r="EB430" s="73"/>
      <c r="EC430" s="73"/>
      <c r="ED430" s="73"/>
      <c r="EE430" s="73"/>
      <c r="EF430" s="73"/>
      <c r="FJ430" s="73"/>
      <c r="FK430" s="73"/>
      <c r="FL430" s="73"/>
      <c r="FM430" s="73"/>
      <c r="FN430" s="73"/>
      <c r="FO430" s="73"/>
      <c r="FP430" s="73"/>
      <c r="FQ430" s="73"/>
      <c r="FR430" s="73"/>
      <c r="FS430" s="73"/>
      <c r="FT430" s="73"/>
      <c r="FU430" s="73"/>
      <c r="FV430" s="73"/>
      <c r="FW430" s="73"/>
      <c r="FX430" s="73"/>
      <c r="GO430" s="73"/>
      <c r="GP430" s="73"/>
      <c r="HE430" s="73"/>
      <c r="HU430" s="73"/>
      <c r="HV430" s="182"/>
    </row>
    <row r="431" spans="1:230" x14ac:dyDescent="0.25">
      <c r="A431" s="30"/>
      <c r="B431" s="30"/>
      <c r="C431" s="30"/>
      <c r="D431" s="30"/>
      <c r="G431" s="30"/>
      <c r="H431" s="30"/>
      <c r="I431" s="30"/>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c r="CC431" s="73"/>
      <c r="CD431" s="73"/>
      <c r="CE431" s="73"/>
      <c r="CF431" s="73"/>
      <c r="CG431" s="73"/>
      <c r="CH431" s="73"/>
      <c r="CI431" s="73"/>
      <c r="CJ431" s="73"/>
      <c r="CK431" s="73"/>
      <c r="CL431" s="73"/>
      <c r="CM431" s="73"/>
      <c r="CN431" s="73"/>
      <c r="CO431" s="73"/>
      <c r="CP431" s="73"/>
      <c r="CQ431" s="73"/>
      <c r="CR431" s="73"/>
      <c r="CS431" s="73"/>
      <c r="CT431" s="73"/>
      <c r="CU431" s="73"/>
      <c r="CV431" s="73"/>
      <c r="CW431" s="73"/>
      <c r="CX431" s="73"/>
      <c r="CY431" s="73"/>
      <c r="CZ431" s="73"/>
      <c r="DA431" s="73"/>
      <c r="DB431" s="73"/>
      <c r="DC431" s="73"/>
      <c r="DD431" s="73"/>
      <c r="DE431" s="73"/>
      <c r="DF431" s="73"/>
      <c r="DG431" s="73"/>
      <c r="DH431" s="73"/>
      <c r="DI431" s="73"/>
      <c r="DJ431" s="73"/>
      <c r="DK431" s="73"/>
      <c r="DL431" s="73"/>
      <c r="DM431" s="73"/>
      <c r="DN431" s="73"/>
      <c r="DO431" s="73"/>
      <c r="DP431" s="73"/>
      <c r="DQ431" s="73"/>
      <c r="DR431" s="73"/>
      <c r="DS431" s="73"/>
      <c r="DT431" s="73"/>
      <c r="DU431" s="73"/>
      <c r="DV431" s="73"/>
      <c r="DW431" s="73"/>
      <c r="DX431" s="73"/>
      <c r="DY431" s="73"/>
      <c r="DZ431" s="73"/>
      <c r="EA431" s="73"/>
      <c r="EB431" s="73"/>
      <c r="EC431" s="73"/>
      <c r="ED431" s="73"/>
      <c r="EE431" s="73"/>
      <c r="EF431" s="73"/>
      <c r="FJ431" s="73"/>
      <c r="FK431" s="73"/>
      <c r="FL431" s="73"/>
      <c r="FM431" s="73"/>
      <c r="FN431" s="73"/>
      <c r="FO431" s="73"/>
      <c r="FP431" s="73"/>
      <c r="FQ431" s="73"/>
      <c r="FR431" s="73"/>
      <c r="FS431" s="73"/>
      <c r="FT431" s="73"/>
      <c r="FU431" s="73"/>
      <c r="FV431" s="73"/>
      <c r="FW431" s="73"/>
      <c r="FX431" s="73"/>
      <c r="GO431" s="73"/>
      <c r="GP431" s="73"/>
      <c r="HE431" s="73"/>
      <c r="HU431" s="73"/>
      <c r="HV431" s="182"/>
    </row>
    <row r="432" spans="1:230" x14ac:dyDescent="0.25">
      <c r="A432" s="30"/>
      <c r="B432" s="30"/>
      <c r="C432" s="30"/>
      <c r="D432" s="30"/>
      <c r="G432" s="30"/>
      <c r="H432" s="30"/>
      <c r="I432" s="30"/>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c r="CC432" s="73"/>
      <c r="CD432" s="73"/>
      <c r="CE432" s="73"/>
      <c r="CF432" s="73"/>
      <c r="CG432" s="73"/>
      <c r="CH432" s="73"/>
      <c r="CI432" s="73"/>
      <c r="CJ432" s="73"/>
      <c r="CK432" s="73"/>
      <c r="CL432" s="73"/>
      <c r="CM432" s="73"/>
      <c r="CN432" s="73"/>
      <c r="CO432" s="73"/>
      <c r="CP432" s="73"/>
      <c r="CQ432" s="73"/>
      <c r="CR432" s="73"/>
      <c r="CS432" s="73"/>
      <c r="CT432" s="73"/>
      <c r="CU432" s="73"/>
      <c r="CV432" s="73"/>
      <c r="CW432" s="73"/>
      <c r="CX432" s="73"/>
      <c r="CY432" s="73"/>
      <c r="CZ432" s="73"/>
      <c r="DA432" s="73"/>
      <c r="DB432" s="73"/>
      <c r="DC432" s="73"/>
      <c r="DD432" s="73"/>
      <c r="DE432" s="73"/>
      <c r="DF432" s="73"/>
      <c r="DG432" s="73"/>
      <c r="DH432" s="73"/>
      <c r="DI432" s="73"/>
      <c r="DJ432" s="73"/>
      <c r="DK432" s="73"/>
      <c r="DL432" s="73"/>
      <c r="DM432" s="73"/>
      <c r="DN432" s="73"/>
      <c r="DO432" s="73"/>
      <c r="DP432" s="73"/>
      <c r="DQ432" s="73"/>
      <c r="DR432" s="73"/>
      <c r="DS432" s="73"/>
      <c r="DT432" s="73"/>
      <c r="DU432" s="73"/>
      <c r="DV432" s="73"/>
      <c r="DW432" s="73"/>
      <c r="DX432" s="73"/>
      <c r="DY432" s="73"/>
      <c r="DZ432" s="73"/>
      <c r="EA432" s="73"/>
      <c r="EB432" s="73"/>
      <c r="EC432" s="73"/>
      <c r="ED432" s="73"/>
      <c r="EE432" s="73"/>
      <c r="EF432" s="73"/>
      <c r="FJ432" s="73"/>
      <c r="FK432" s="73"/>
      <c r="FL432" s="73"/>
      <c r="FM432" s="73"/>
      <c r="FN432" s="73"/>
      <c r="FO432" s="73"/>
      <c r="FP432" s="73"/>
      <c r="FQ432" s="73"/>
      <c r="FR432" s="73"/>
      <c r="FS432" s="73"/>
      <c r="FT432" s="73"/>
      <c r="FU432" s="73"/>
      <c r="FV432" s="73"/>
      <c r="FW432" s="73"/>
      <c r="FX432" s="73"/>
      <c r="GO432" s="73"/>
      <c r="GP432" s="73"/>
      <c r="HE432" s="73"/>
      <c r="HU432" s="73"/>
      <c r="HV432" s="182"/>
    </row>
    <row r="433" spans="1:230" x14ac:dyDescent="0.25">
      <c r="A433" s="30"/>
      <c r="B433" s="30"/>
      <c r="C433" s="30"/>
      <c r="D433" s="30"/>
      <c r="G433" s="30"/>
      <c r="H433" s="30"/>
      <c r="I433" s="30"/>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c r="CC433" s="73"/>
      <c r="CD433" s="73"/>
      <c r="CE433" s="73"/>
      <c r="CF433" s="73"/>
      <c r="CG433" s="73"/>
      <c r="CH433" s="73"/>
      <c r="CI433" s="73"/>
      <c r="CJ433" s="73"/>
      <c r="CK433" s="73"/>
      <c r="CL433" s="73"/>
      <c r="CM433" s="73"/>
      <c r="CN433" s="73"/>
      <c r="CO433" s="73"/>
      <c r="CP433" s="73"/>
      <c r="CQ433" s="73"/>
      <c r="CR433" s="73"/>
      <c r="CS433" s="73"/>
      <c r="CT433" s="73"/>
      <c r="CU433" s="73"/>
      <c r="CV433" s="73"/>
      <c r="CW433" s="73"/>
      <c r="CX433" s="73"/>
      <c r="CY433" s="73"/>
      <c r="CZ433" s="73"/>
      <c r="DA433" s="73"/>
      <c r="DB433" s="73"/>
      <c r="DC433" s="73"/>
      <c r="DD433" s="73"/>
      <c r="DE433" s="73"/>
      <c r="DF433" s="73"/>
      <c r="DG433" s="73"/>
      <c r="DH433" s="73"/>
      <c r="DI433" s="73"/>
      <c r="DJ433" s="73"/>
      <c r="DK433" s="73"/>
      <c r="DL433" s="73"/>
      <c r="DM433" s="73"/>
      <c r="DN433" s="73"/>
      <c r="DO433" s="73"/>
      <c r="DP433" s="73"/>
      <c r="DQ433" s="73"/>
      <c r="DR433" s="73"/>
      <c r="DS433" s="73"/>
      <c r="DT433" s="73"/>
      <c r="DU433" s="73"/>
      <c r="DV433" s="73"/>
      <c r="DW433" s="73"/>
      <c r="DX433" s="73"/>
      <c r="DY433" s="73"/>
      <c r="DZ433" s="73"/>
      <c r="EA433" s="73"/>
      <c r="EB433" s="73"/>
      <c r="EC433" s="73"/>
      <c r="ED433" s="73"/>
      <c r="EE433" s="73"/>
      <c r="EF433" s="73"/>
      <c r="FJ433" s="73"/>
      <c r="FK433" s="73"/>
      <c r="FL433" s="73"/>
      <c r="FM433" s="73"/>
      <c r="FN433" s="73"/>
      <c r="FO433" s="73"/>
      <c r="FP433" s="73"/>
      <c r="FQ433" s="73"/>
      <c r="FR433" s="73"/>
      <c r="FS433" s="73"/>
      <c r="FT433" s="73"/>
      <c r="FU433" s="73"/>
      <c r="FV433" s="73"/>
      <c r="FW433" s="73"/>
      <c r="FX433" s="73"/>
      <c r="GO433" s="73"/>
      <c r="GP433" s="73"/>
      <c r="HE433" s="73"/>
      <c r="HU433" s="73"/>
      <c r="HV433" s="182"/>
    </row>
    <row r="434" spans="1:230" x14ac:dyDescent="0.25">
      <c r="A434" s="30"/>
      <c r="B434" s="30"/>
      <c r="C434" s="30"/>
      <c r="D434" s="30"/>
      <c r="G434" s="30"/>
      <c r="H434" s="30"/>
      <c r="I434" s="30"/>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c r="CC434" s="73"/>
      <c r="CD434" s="73"/>
      <c r="CE434" s="73"/>
      <c r="CF434" s="73"/>
      <c r="CG434" s="73"/>
      <c r="CH434" s="73"/>
      <c r="CI434" s="73"/>
      <c r="CJ434" s="73"/>
      <c r="CK434" s="73"/>
      <c r="CL434" s="73"/>
      <c r="CM434" s="73"/>
      <c r="CN434" s="73"/>
      <c r="CO434" s="73"/>
      <c r="CP434" s="73"/>
      <c r="CQ434" s="73"/>
      <c r="CR434" s="73"/>
      <c r="CS434" s="73"/>
      <c r="CT434" s="73"/>
      <c r="CU434" s="73"/>
      <c r="CV434" s="73"/>
      <c r="CW434" s="73"/>
      <c r="CX434" s="73"/>
      <c r="CY434" s="73"/>
      <c r="CZ434" s="73"/>
      <c r="DA434" s="73"/>
      <c r="DB434" s="73"/>
      <c r="DC434" s="73"/>
      <c r="DD434" s="73"/>
      <c r="DE434" s="73"/>
      <c r="DF434" s="73"/>
      <c r="DG434" s="73"/>
      <c r="DH434" s="73"/>
      <c r="DI434" s="73"/>
      <c r="DJ434" s="73"/>
      <c r="DK434" s="73"/>
      <c r="DL434" s="73"/>
      <c r="DM434" s="73"/>
      <c r="DN434" s="73"/>
      <c r="DO434" s="73"/>
      <c r="DP434" s="73"/>
      <c r="DQ434" s="73"/>
      <c r="DR434" s="73"/>
      <c r="DS434" s="73"/>
      <c r="DT434" s="73"/>
      <c r="DU434" s="73"/>
      <c r="DV434" s="73"/>
      <c r="DW434" s="73"/>
      <c r="DX434" s="73"/>
      <c r="DY434" s="73"/>
      <c r="DZ434" s="73"/>
      <c r="EA434" s="73"/>
      <c r="EB434" s="73"/>
      <c r="EC434" s="73"/>
      <c r="ED434" s="73"/>
      <c r="EE434" s="73"/>
      <c r="EF434" s="73"/>
      <c r="FJ434" s="73"/>
      <c r="FK434" s="73"/>
      <c r="FL434" s="73"/>
      <c r="FM434" s="73"/>
      <c r="FN434" s="73"/>
      <c r="FO434" s="73"/>
      <c r="FP434" s="73"/>
      <c r="FQ434" s="73"/>
      <c r="FR434" s="73"/>
      <c r="FS434" s="73"/>
      <c r="FT434" s="73"/>
      <c r="FU434" s="73"/>
      <c r="FV434" s="73"/>
      <c r="FW434" s="73"/>
      <c r="FX434" s="73"/>
      <c r="GO434" s="73"/>
      <c r="GP434" s="73"/>
      <c r="HE434" s="73"/>
      <c r="HU434" s="73"/>
      <c r="HV434" s="182"/>
    </row>
    <row r="435" spans="1:230" x14ac:dyDescent="0.25">
      <c r="A435" s="30"/>
      <c r="B435" s="30"/>
      <c r="C435" s="30"/>
      <c r="D435" s="30"/>
      <c r="G435" s="30"/>
      <c r="H435" s="30"/>
      <c r="I435" s="30"/>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c r="CC435" s="73"/>
      <c r="CD435" s="73"/>
      <c r="CE435" s="73"/>
      <c r="CF435" s="73"/>
      <c r="CG435" s="73"/>
      <c r="CH435" s="73"/>
      <c r="CI435" s="73"/>
      <c r="CJ435" s="73"/>
      <c r="CK435" s="73"/>
      <c r="CL435" s="73"/>
      <c r="CM435" s="73"/>
      <c r="CN435" s="73"/>
      <c r="CO435" s="73"/>
      <c r="CP435" s="73"/>
      <c r="CQ435" s="73"/>
      <c r="CR435" s="73"/>
      <c r="CS435" s="73"/>
      <c r="CT435" s="73"/>
      <c r="CU435" s="73"/>
      <c r="CV435" s="73"/>
      <c r="CW435" s="73"/>
      <c r="CX435" s="73"/>
      <c r="CY435" s="73"/>
      <c r="CZ435" s="73"/>
      <c r="DA435" s="73"/>
      <c r="DB435" s="73"/>
      <c r="DC435" s="73"/>
      <c r="DD435" s="73"/>
      <c r="DE435" s="73"/>
      <c r="DF435" s="73"/>
      <c r="DG435" s="73"/>
      <c r="DH435" s="73"/>
      <c r="DI435" s="73"/>
      <c r="DJ435" s="73"/>
      <c r="DK435" s="73"/>
      <c r="DL435" s="73"/>
      <c r="DM435" s="73"/>
      <c r="DN435" s="73"/>
      <c r="DO435" s="73"/>
      <c r="DP435" s="73"/>
      <c r="DQ435" s="73"/>
      <c r="DR435" s="73"/>
      <c r="DS435" s="73"/>
      <c r="DT435" s="73"/>
      <c r="DU435" s="73"/>
      <c r="DV435" s="73"/>
      <c r="DW435" s="73"/>
      <c r="DX435" s="73"/>
      <c r="DY435" s="73"/>
      <c r="DZ435" s="73"/>
      <c r="EA435" s="73"/>
      <c r="EB435" s="73"/>
      <c r="EC435" s="73"/>
      <c r="ED435" s="73"/>
      <c r="EE435" s="73"/>
      <c r="EF435" s="73"/>
      <c r="FJ435" s="73"/>
      <c r="FK435" s="73"/>
      <c r="FL435" s="73"/>
      <c r="FM435" s="73"/>
      <c r="FN435" s="73"/>
      <c r="FO435" s="73"/>
      <c r="FP435" s="73"/>
      <c r="FQ435" s="73"/>
      <c r="FR435" s="73"/>
      <c r="FS435" s="73"/>
      <c r="FT435" s="73"/>
      <c r="FU435" s="73"/>
      <c r="FV435" s="73"/>
      <c r="FW435" s="73"/>
      <c r="FX435" s="73"/>
      <c r="GO435" s="73"/>
      <c r="GP435" s="73"/>
      <c r="HE435" s="73"/>
      <c r="HU435" s="73"/>
      <c r="HV435" s="182"/>
    </row>
    <row r="436" spans="1:230" x14ac:dyDescent="0.25">
      <c r="A436" s="30"/>
      <c r="B436" s="30"/>
      <c r="C436" s="30"/>
      <c r="D436" s="30"/>
      <c r="G436" s="30"/>
      <c r="H436" s="30"/>
      <c r="I436" s="30"/>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c r="CC436" s="73"/>
      <c r="CD436" s="73"/>
      <c r="CE436" s="73"/>
      <c r="CF436" s="73"/>
      <c r="CG436" s="73"/>
      <c r="CH436" s="73"/>
      <c r="CI436" s="73"/>
      <c r="CJ436" s="73"/>
      <c r="CK436" s="73"/>
      <c r="CL436" s="73"/>
      <c r="CM436" s="73"/>
      <c r="CN436" s="73"/>
      <c r="CO436" s="73"/>
      <c r="CP436" s="73"/>
      <c r="CQ436" s="73"/>
      <c r="CR436" s="73"/>
      <c r="CS436" s="73"/>
      <c r="CT436" s="73"/>
      <c r="CU436" s="73"/>
      <c r="CV436" s="73"/>
      <c r="CW436" s="73"/>
      <c r="CX436" s="73"/>
      <c r="CY436" s="73"/>
      <c r="CZ436" s="73"/>
      <c r="DA436" s="73"/>
      <c r="DB436" s="73"/>
      <c r="DC436" s="73"/>
      <c r="DD436" s="73"/>
      <c r="DE436" s="73"/>
      <c r="DF436" s="73"/>
      <c r="DG436" s="73"/>
      <c r="DH436" s="73"/>
      <c r="DI436" s="73"/>
      <c r="DJ436" s="73"/>
      <c r="DK436" s="73"/>
      <c r="DL436" s="73"/>
      <c r="DM436" s="73"/>
      <c r="DN436" s="73"/>
      <c r="DO436" s="73"/>
      <c r="DP436" s="73"/>
      <c r="DQ436" s="73"/>
      <c r="DR436" s="73"/>
      <c r="DS436" s="73"/>
      <c r="DT436" s="73"/>
      <c r="DU436" s="73"/>
      <c r="DV436" s="73"/>
      <c r="DW436" s="73"/>
      <c r="DX436" s="73"/>
      <c r="DY436" s="73"/>
      <c r="DZ436" s="73"/>
      <c r="EA436" s="73"/>
      <c r="EB436" s="73"/>
      <c r="EC436" s="73"/>
      <c r="ED436" s="73"/>
      <c r="EE436" s="73"/>
      <c r="EF436" s="73"/>
      <c r="FJ436" s="73"/>
      <c r="FK436" s="73"/>
      <c r="FL436" s="73"/>
      <c r="FM436" s="73"/>
      <c r="FN436" s="73"/>
      <c r="FO436" s="73"/>
      <c r="FP436" s="73"/>
      <c r="FQ436" s="73"/>
      <c r="FR436" s="73"/>
      <c r="FS436" s="73"/>
      <c r="FT436" s="73"/>
      <c r="FU436" s="73"/>
      <c r="FV436" s="73"/>
      <c r="FW436" s="73"/>
      <c r="FX436" s="73"/>
      <c r="GO436" s="73"/>
      <c r="GP436" s="73"/>
      <c r="HE436" s="73"/>
      <c r="HU436" s="73"/>
      <c r="HV436" s="182"/>
    </row>
    <row r="437" spans="1:230" x14ac:dyDescent="0.25">
      <c r="A437" s="30"/>
      <c r="B437" s="30"/>
      <c r="C437" s="30"/>
      <c r="D437" s="30"/>
      <c r="G437" s="30"/>
      <c r="H437" s="30"/>
      <c r="I437" s="30"/>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c r="CC437" s="73"/>
      <c r="CD437" s="73"/>
      <c r="CE437" s="73"/>
      <c r="CF437" s="73"/>
      <c r="CG437" s="73"/>
      <c r="CH437" s="73"/>
      <c r="CI437" s="73"/>
      <c r="CJ437" s="73"/>
      <c r="CK437" s="73"/>
      <c r="CL437" s="73"/>
      <c r="CM437" s="73"/>
      <c r="CN437" s="73"/>
      <c r="CO437" s="73"/>
      <c r="CP437" s="73"/>
      <c r="CQ437" s="73"/>
      <c r="CR437" s="73"/>
      <c r="CS437" s="73"/>
      <c r="CT437" s="73"/>
      <c r="CU437" s="73"/>
      <c r="CV437" s="73"/>
      <c r="CW437" s="73"/>
      <c r="CX437" s="73"/>
      <c r="CY437" s="73"/>
      <c r="CZ437" s="73"/>
      <c r="DA437" s="73"/>
      <c r="DB437" s="73"/>
      <c r="DC437" s="73"/>
      <c r="DD437" s="73"/>
      <c r="DE437" s="73"/>
      <c r="DF437" s="73"/>
      <c r="DG437" s="73"/>
      <c r="DH437" s="73"/>
      <c r="DI437" s="73"/>
      <c r="DJ437" s="73"/>
      <c r="DK437" s="73"/>
      <c r="DL437" s="73"/>
      <c r="DM437" s="73"/>
      <c r="DN437" s="73"/>
      <c r="DO437" s="73"/>
      <c r="DP437" s="73"/>
      <c r="DQ437" s="73"/>
      <c r="DR437" s="73"/>
      <c r="DS437" s="73"/>
      <c r="DT437" s="73"/>
      <c r="DU437" s="73"/>
      <c r="DV437" s="73"/>
      <c r="DW437" s="73"/>
      <c r="DX437" s="73"/>
      <c r="DY437" s="73"/>
      <c r="DZ437" s="73"/>
      <c r="EA437" s="73"/>
      <c r="EB437" s="73"/>
      <c r="EC437" s="73"/>
      <c r="ED437" s="73"/>
      <c r="EE437" s="73"/>
      <c r="EF437" s="73"/>
      <c r="FJ437" s="73"/>
      <c r="FK437" s="73"/>
      <c r="FL437" s="73"/>
      <c r="FM437" s="73"/>
      <c r="FN437" s="73"/>
      <c r="FO437" s="73"/>
      <c r="FP437" s="73"/>
      <c r="FQ437" s="73"/>
      <c r="FR437" s="73"/>
      <c r="FS437" s="73"/>
      <c r="FT437" s="73"/>
      <c r="FU437" s="73"/>
      <c r="FV437" s="73"/>
      <c r="FW437" s="73"/>
      <c r="FX437" s="73"/>
      <c r="GO437" s="73"/>
      <c r="GP437" s="73"/>
      <c r="HE437" s="73"/>
      <c r="HU437" s="73"/>
      <c r="HV437" s="182"/>
    </row>
    <row r="438" spans="1:230" x14ac:dyDescent="0.25">
      <c r="A438" s="30"/>
      <c r="B438" s="30"/>
      <c r="C438" s="30"/>
      <c r="D438" s="30"/>
      <c r="G438" s="30"/>
      <c r="H438" s="30"/>
      <c r="I438" s="30"/>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c r="CC438" s="73"/>
      <c r="CD438" s="73"/>
      <c r="CE438" s="73"/>
      <c r="CF438" s="73"/>
      <c r="CG438" s="73"/>
      <c r="CH438" s="73"/>
      <c r="CI438" s="73"/>
      <c r="CJ438" s="73"/>
      <c r="CK438" s="73"/>
      <c r="CL438" s="73"/>
      <c r="CM438" s="73"/>
      <c r="CN438" s="73"/>
      <c r="CO438" s="73"/>
      <c r="CP438" s="73"/>
      <c r="CQ438" s="73"/>
      <c r="CR438" s="73"/>
      <c r="CS438" s="73"/>
      <c r="CT438" s="73"/>
      <c r="CU438" s="73"/>
      <c r="CV438" s="73"/>
      <c r="CW438" s="73"/>
      <c r="CX438" s="73"/>
      <c r="CY438" s="73"/>
      <c r="CZ438" s="73"/>
      <c r="DA438" s="73"/>
      <c r="DB438" s="73"/>
      <c r="DC438" s="73"/>
      <c r="DD438" s="73"/>
      <c r="DE438" s="73"/>
      <c r="DF438" s="73"/>
      <c r="DG438" s="73"/>
      <c r="DH438" s="73"/>
      <c r="DI438" s="73"/>
      <c r="DJ438" s="73"/>
      <c r="DK438" s="73"/>
      <c r="DL438" s="73"/>
      <c r="DM438" s="73"/>
      <c r="DN438" s="73"/>
      <c r="DO438" s="73"/>
      <c r="DP438" s="73"/>
      <c r="DQ438" s="73"/>
      <c r="DR438" s="73"/>
      <c r="DS438" s="73"/>
      <c r="DT438" s="73"/>
      <c r="DU438" s="73"/>
      <c r="DV438" s="73"/>
      <c r="DW438" s="73"/>
      <c r="DX438" s="73"/>
      <c r="DY438" s="73"/>
      <c r="DZ438" s="73"/>
      <c r="EA438" s="73"/>
      <c r="EB438" s="73"/>
      <c r="EC438" s="73"/>
      <c r="ED438" s="73"/>
      <c r="EE438" s="73"/>
      <c r="EF438" s="73"/>
      <c r="FJ438" s="73"/>
      <c r="FK438" s="73"/>
      <c r="FL438" s="73"/>
      <c r="FM438" s="73"/>
      <c r="FN438" s="73"/>
      <c r="FO438" s="73"/>
      <c r="FP438" s="73"/>
      <c r="FQ438" s="73"/>
      <c r="FR438" s="73"/>
      <c r="FS438" s="73"/>
      <c r="FT438" s="73"/>
      <c r="FU438" s="73"/>
      <c r="FV438" s="73"/>
      <c r="FW438" s="73"/>
      <c r="FX438" s="73"/>
      <c r="GO438" s="73"/>
      <c r="GP438" s="73"/>
      <c r="HE438" s="73"/>
      <c r="HU438" s="73"/>
      <c r="HV438" s="182"/>
    </row>
    <row r="439" spans="1:230" x14ac:dyDescent="0.25">
      <c r="A439" s="30"/>
      <c r="B439" s="30"/>
      <c r="C439" s="30"/>
      <c r="D439" s="30"/>
      <c r="G439" s="30"/>
      <c r="H439" s="30"/>
      <c r="I439" s="30"/>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c r="CC439" s="73"/>
      <c r="CD439" s="73"/>
      <c r="CE439" s="73"/>
      <c r="CF439" s="73"/>
      <c r="CG439" s="73"/>
      <c r="CH439" s="73"/>
      <c r="CI439" s="73"/>
      <c r="CJ439" s="73"/>
      <c r="CK439" s="73"/>
      <c r="CL439" s="73"/>
      <c r="CM439" s="73"/>
      <c r="CN439" s="73"/>
      <c r="CO439" s="73"/>
      <c r="CP439" s="73"/>
      <c r="CQ439" s="73"/>
      <c r="CR439" s="73"/>
      <c r="CS439" s="73"/>
      <c r="CT439" s="73"/>
      <c r="CU439" s="73"/>
      <c r="CV439" s="73"/>
      <c r="CW439" s="73"/>
      <c r="CX439" s="73"/>
      <c r="CY439" s="73"/>
      <c r="CZ439" s="73"/>
      <c r="DA439" s="73"/>
      <c r="DB439" s="73"/>
      <c r="DC439" s="73"/>
      <c r="DD439" s="73"/>
      <c r="DE439" s="73"/>
      <c r="DF439" s="73"/>
      <c r="DG439" s="73"/>
      <c r="DH439" s="73"/>
      <c r="DI439" s="73"/>
      <c r="DJ439" s="73"/>
      <c r="DK439" s="73"/>
      <c r="DL439" s="73"/>
      <c r="DM439" s="73"/>
      <c r="DN439" s="73"/>
      <c r="DO439" s="73"/>
      <c r="DP439" s="73"/>
      <c r="DQ439" s="73"/>
      <c r="DR439" s="73"/>
      <c r="DS439" s="73"/>
      <c r="DT439" s="73"/>
      <c r="DU439" s="73"/>
      <c r="DV439" s="73"/>
      <c r="DW439" s="73"/>
      <c r="DX439" s="73"/>
      <c r="DY439" s="73"/>
      <c r="DZ439" s="73"/>
      <c r="EA439" s="73"/>
      <c r="EB439" s="73"/>
      <c r="EC439" s="73"/>
      <c r="ED439" s="73"/>
      <c r="EE439" s="73"/>
      <c r="EF439" s="73"/>
      <c r="FJ439" s="73"/>
      <c r="FK439" s="73"/>
      <c r="FL439" s="73"/>
      <c r="FM439" s="73"/>
      <c r="FN439" s="73"/>
      <c r="FO439" s="73"/>
      <c r="FP439" s="73"/>
      <c r="FQ439" s="73"/>
      <c r="FR439" s="73"/>
      <c r="FS439" s="73"/>
      <c r="FT439" s="73"/>
      <c r="FU439" s="73"/>
      <c r="FV439" s="73"/>
      <c r="FW439" s="73"/>
      <c r="FX439" s="73"/>
      <c r="GO439" s="73"/>
      <c r="GP439" s="73"/>
      <c r="HE439" s="73"/>
      <c r="HU439" s="73"/>
      <c r="HV439" s="182"/>
    </row>
    <row r="440" spans="1:230" x14ac:dyDescent="0.25">
      <c r="A440" s="30"/>
      <c r="B440" s="30"/>
      <c r="C440" s="30"/>
      <c r="D440" s="30"/>
      <c r="G440" s="30"/>
      <c r="H440" s="30"/>
      <c r="I440" s="30"/>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c r="CC440" s="73"/>
      <c r="CD440" s="73"/>
      <c r="CE440" s="73"/>
      <c r="CF440" s="73"/>
      <c r="CG440" s="73"/>
      <c r="CH440" s="73"/>
      <c r="CI440" s="73"/>
      <c r="CJ440" s="73"/>
      <c r="CK440" s="73"/>
      <c r="CL440" s="73"/>
      <c r="CM440" s="73"/>
      <c r="CN440" s="73"/>
      <c r="CO440" s="73"/>
      <c r="CP440" s="73"/>
      <c r="CQ440" s="73"/>
      <c r="CR440" s="73"/>
      <c r="CS440" s="73"/>
      <c r="CT440" s="73"/>
      <c r="CU440" s="73"/>
      <c r="CV440" s="73"/>
      <c r="CW440" s="73"/>
      <c r="CX440" s="73"/>
      <c r="CY440" s="73"/>
      <c r="CZ440" s="73"/>
      <c r="DA440" s="73"/>
      <c r="DB440" s="73"/>
      <c r="DC440" s="73"/>
      <c r="DD440" s="73"/>
      <c r="DE440" s="73"/>
      <c r="DF440" s="73"/>
      <c r="DG440" s="73"/>
      <c r="DH440" s="73"/>
      <c r="DI440" s="73"/>
      <c r="DJ440" s="73"/>
      <c r="DK440" s="73"/>
      <c r="DL440" s="73"/>
      <c r="DM440" s="73"/>
      <c r="DN440" s="73"/>
      <c r="DO440" s="73"/>
      <c r="DP440" s="73"/>
      <c r="DQ440" s="73"/>
      <c r="DR440" s="73"/>
      <c r="DS440" s="73"/>
      <c r="DT440" s="73"/>
      <c r="DU440" s="73"/>
      <c r="DV440" s="73"/>
      <c r="DW440" s="73"/>
      <c r="DX440" s="73"/>
      <c r="DY440" s="73"/>
      <c r="DZ440" s="73"/>
      <c r="EA440" s="73"/>
      <c r="EB440" s="73"/>
      <c r="EC440" s="73"/>
      <c r="ED440" s="73"/>
      <c r="EE440" s="73"/>
      <c r="EF440" s="73"/>
      <c r="FJ440" s="73"/>
      <c r="FK440" s="73"/>
      <c r="FL440" s="73"/>
      <c r="FM440" s="73"/>
      <c r="FN440" s="73"/>
      <c r="FO440" s="73"/>
      <c r="FP440" s="73"/>
      <c r="FQ440" s="73"/>
      <c r="FR440" s="73"/>
      <c r="FS440" s="73"/>
      <c r="FT440" s="73"/>
      <c r="FU440" s="73"/>
      <c r="FV440" s="73"/>
      <c r="FW440" s="73"/>
      <c r="FX440" s="73"/>
      <c r="GO440" s="73"/>
      <c r="GP440" s="73"/>
      <c r="HE440" s="73"/>
      <c r="HU440" s="73"/>
      <c r="HV440" s="182"/>
    </row>
    <row r="441" spans="1:230" x14ac:dyDescent="0.25">
      <c r="A441" s="30"/>
      <c r="B441" s="30"/>
      <c r="C441" s="30"/>
      <c r="D441" s="30"/>
      <c r="G441" s="30"/>
      <c r="H441" s="30"/>
      <c r="I441" s="30"/>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c r="CC441" s="73"/>
      <c r="CD441" s="73"/>
      <c r="CE441" s="73"/>
      <c r="CF441" s="73"/>
      <c r="CG441" s="73"/>
      <c r="CH441" s="73"/>
      <c r="CI441" s="73"/>
      <c r="CJ441" s="73"/>
      <c r="CK441" s="73"/>
      <c r="CL441" s="73"/>
      <c r="CM441" s="73"/>
      <c r="CN441" s="73"/>
      <c r="CO441" s="73"/>
      <c r="CP441" s="73"/>
      <c r="CQ441" s="73"/>
      <c r="CR441" s="73"/>
      <c r="CS441" s="73"/>
      <c r="CT441" s="73"/>
      <c r="CU441" s="73"/>
      <c r="CV441" s="73"/>
      <c r="CW441" s="73"/>
      <c r="CX441" s="73"/>
      <c r="CY441" s="73"/>
      <c r="CZ441" s="73"/>
      <c r="DA441" s="73"/>
      <c r="DB441" s="73"/>
      <c r="DC441" s="73"/>
      <c r="DD441" s="73"/>
      <c r="DE441" s="73"/>
      <c r="DF441" s="73"/>
      <c r="DG441" s="73"/>
      <c r="DH441" s="73"/>
      <c r="DI441" s="73"/>
      <c r="DJ441" s="73"/>
      <c r="DK441" s="73"/>
      <c r="DL441" s="73"/>
      <c r="DM441" s="73"/>
      <c r="DN441" s="73"/>
      <c r="DO441" s="73"/>
      <c r="DP441" s="73"/>
      <c r="DQ441" s="73"/>
      <c r="DR441" s="73"/>
      <c r="DS441" s="73"/>
      <c r="DT441" s="73"/>
      <c r="DU441" s="73"/>
      <c r="DV441" s="73"/>
      <c r="DW441" s="73"/>
      <c r="DX441" s="73"/>
      <c r="DY441" s="73"/>
      <c r="DZ441" s="73"/>
      <c r="EA441" s="73"/>
      <c r="EB441" s="73"/>
      <c r="EC441" s="73"/>
      <c r="ED441" s="73"/>
      <c r="EE441" s="73"/>
      <c r="EF441" s="73"/>
      <c r="FJ441" s="73"/>
      <c r="FK441" s="73"/>
      <c r="FL441" s="73"/>
      <c r="FM441" s="73"/>
      <c r="FN441" s="73"/>
      <c r="FO441" s="73"/>
      <c r="FP441" s="73"/>
      <c r="FQ441" s="73"/>
      <c r="FR441" s="73"/>
      <c r="FS441" s="73"/>
      <c r="FT441" s="73"/>
      <c r="FU441" s="73"/>
      <c r="FV441" s="73"/>
      <c r="FW441" s="73"/>
      <c r="FX441" s="73"/>
      <c r="GO441" s="73"/>
      <c r="GP441" s="73"/>
      <c r="HE441" s="73"/>
      <c r="HU441" s="73"/>
      <c r="HV441" s="182"/>
    </row>
    <row r="442" spans="1:230" x14ac:dyDescent="0.25">
      <c r="A442" s="30"/>
      <c r="B442" s="30"/>
      <c r="C442" s="30"/>
      <c r="D442" s="30"/>
      <c r="G442" s="30"/>
      <c r="H442" s="30"/>
      <c r="I442" s="30"/>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c r="CC442" s="73"/>
      <c r="CD442" s="73"/>
      <c r="CE442" s="73"/>
      <c r="CF442" s="73"/>
      <c r="CG442" s="73"/>
      <c r="CH442" s="73"/>
      <c r="CI442" s="73"/>
      <c r="CJ442" s="73"/>
      <c r="CK442" s="73"/>
      <c r="CL442" s="73"/>
      <c r="CM442" s="73"/>
      <c r="CN442" s="73"/>
      <c r="CO442" s="73"/>
      <c r="CP442" s="73"/>
      <c r="CQ442" s="73"/>
      <c r="CR442" s="73"/>
      <c r="CS442" s="73"/>
      <c r="CT442" s="73"/>
      <c r="CU442" s="73"/>
      <c r="CV442" s="73"/>
      <c r="CW442" s="73"/>
      <c r="CX442" s="73"/>
      <c r="CY442" s="73"/>
      <c r="CZ442" s="73"/>
      <c r="DA442" s="73"/>
      <c r="DB442" s="73"/>
      <c r="DC442" s="73"/>
      <c r="DD442" s="73"/>
      <c r="DE442" s="73"/>
      <c r="DF442" s="73"/>
      <c r="DG442" s="73"/>
      <c r="DH442" s="73"/>
      <c r="DI442" s="73"/>
      <c r="DJ442" s="73"/>
      <c r="DK442" s="73"/>
      <c r="DL442" s="73"/>
      <c r="DM442" s="73"/>
      <c r="DN442" s="73"/>
      <c r="DO442" s="73"/>
      <c r="DP442" s="73"/>
      <c r="DQ442" s="73"/>
      <c r="DR442" s="73"/>
      <c r="DS442" s="73"/>
      <c r="DT442" s="73"/>
      <c r="DU442" s="73"/>
      <c r="DV442" s="73"/>
      <c r="DW442" s="73"/>
      <c r="DX442" s="73"/>
      <c r="DY442" s="73"/>
      <c r="DZ442" s="73"/>
      <c r="EA442" s="73"/>
      <c r="EB442" s="73"/>
      <c r="EC442" s="73"/>
      <c r="ED442" s="73"/>
      <c r="EE442" s="73"/>
      <c r="EF442" s="73"/>
      <c r="FJ442" s="73"/>
      <c r="FK442" s="73"/>
      <c r="FL442" s="73"/>
      <c r="FM442" s="73"/>
      <c r="FN442" s="73"/>
      <c r="FO442" s="73"/>
      <c r="FP442" s="73"/>
      <c r="FQ442" s="73"/>
      <c r="FR442" s="73"/>
      <c r="FS442" s="73"/>
      <c r="FT442" s="73"/>
      <c r="FU442" s="73"/>
      <c r="FV442" s="73"/>
      <c r="FW442" s="73"/>
      <c r="FX442" s="73"/>
      <c r="GO442" s="73"/>
      <c r="GP442" s="73"/>
      <c r="HE442" s="73"/>
      <c r="HU442" s="73"/>
      <c r="HV442" s="182"/>
    </row>
    <row r="443" spans="1:230" x14ac:dyDescent="0.25">
      <c r="A443" s="30"/>
      <c r="B443" s="30"/>
      <c r="C443" s="30"/>
      <c r="D443" s="30"/>
      <c r="G443" s="30"/>
      <c r="H443" s="30"/>
      <c r="I443" s="30"/>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c r="CC443" s="73"/>
      <c r="CD443" s="73"/>
      <c r="CE443" s="73"/>
      <c r="CF443" s="73"/>
      <c r="CG443" s="73"/>
      <c r="CH443" s="73"/>
      <c r="CI443" s="73"/>
      <c r="CJ443" s="73"/>
      <c r="CK443" s="73"/>
      <c r="CL443" s="73"/>
      <c r="CM443" s="73"/>
      <c r="CN443" s="73"/>
      <c r="CO443" s="73"/>
      <c r="CP443" s="73"/>
      <c r="CQ443" s="73"/>
      <c r="CR443" s="73"/>
      <c r="CS443" s="73"/>
      <c r="CT443" s="73"/>
      <c r="CU443" s="73"/>
      <c r="CV443" s="73"/>
      <c r="CW443" s="73"/>
      <c r="CX443" s="73"/>
      <c r="CY443" s="73"/>
      <c r="CZ443" s="73"/>
      <c r="DA443" s="73"/>
      <c r="DB443" s="73"/>
      <c r="DC443" s="73"/>
      <c r="DD443" s="73"/>
      <c r="DE443" s="73"/>
      <c r="DF443" s="73"/>
      <c r="DG443" s="73"/>
      <c r="DH443" s="73"/>
      <c r="DI443" s="73"/>
      <c r="DJ443" s="73"/>
      <c r="DK443" s="73"/>
      <c r="DL443" s="73"/>
      <c r="DM443" s="73"/>
      <c r="DN443" s="73"/>
      <c r="DO443" s="73"/>
      <c r="DP443" s="73"/>
      <c r="DQ443" s="73"/>
      <c r="DR443" s="73"/>
      <c r="DS443" s="73"/>
      <c r="DT443" s="73"/>
      <c r="DU443" s="73"/>
      <c r="DV443" s="73"/>
      <c r="DW443" s="73"/>
      <c r="DX443" s="73"/>
      <c r="DY443" s="73"/>
      <c r="DZ443" s="73"/>
      <c r="EA443" s="73"/>
      <c r="EB443" s="73"/>
      <c r="EC443" s="73"/>
      <c r="ED443" s="73"/>
      <c r="EE443" s="73"/>
      <c r="EF443" s="73"/>
      <c r="FJ443" s="73"/>
      <c r="FK443" s="73"/>
      <c r="FL443" s="73"/>
      <c r="FM443" s="73"/>
      <c r="FN443" s="73"/>
      <c r="FO443" s="73"/>
      <c r="FP443" s="73"/>
      <c r="FQ443" s="73"/>
      <c r="FR443" s="73"/>
      <c r="FS443" s="73"/>
      <c r="FT443" s="73"/>
      <c r="FU443" s="73"/>
      <c r="FV443" s="73"/>
      <c r="FW443" s="73"/>
      <c r="FX443" s="73"/>
      <c r="GO443" s="73"/>
      <c r="GP443" s="73"/>
      <c r="HE443" s="73"/>
      <c r="HU443" s="73"/>
      <c r="HV443" s="182"/>
    </row>
    <row r="444" spans="1:230" x14ac:dyDescent="0.25">
      <c r="A444" s="30"/>
      <c r="B444" s="30"/>
      <c r="C444" s="30"/>
      <c r="D444" s="30"/>
      <c r="G444" s="30"/>
      <c r="H444" s="30"/>
      <c r="I444" s="30"/>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c r="CC444" s="73"/>
      <c r="CD444" s="73"/>
      <c r="CE444" s="73"/>
      <c r="CF444" s="73"/>
      <c r="CG444" s="73"/>
      <c r="CH444" s="73"/>
      <c r="CI444" s="73"/>
      <c r="CJ444" s="73"/>
      <c r="CK444" s="73"/>
      <c r="CL444" s="73"/>
      <c r="CM444" s="73"/>
      <c r="CN444" s="73"/>
      <c r="CO444" s="73"/>
      <c r="CP444" s="73"/>
      <c r="CQ444" s="73"/>
      <c r="CR444" s="73"/>
      <c r="CS444" s="73"/>
      <c r="CT444" s="73"/>
      <c r="CU444" s="73"/>
      <c r="CV444" s="73"/>
      <c r="CW444" s="73"/>
      <c r="CX444" s="73"/>
      <c r="CY444" s="73"/>
      <c r="CZ444" s="73"/>
      <c r="DA444" s="73"/>
      <c r="DB444" s="73"/>
      <c r="DC444" s="73"/>
      <c r="DD444" s="73"/>
      <c r="DE444" s="73"/>
      <c r="DF444" s="73"/>
      <c r="DG444" s="73"/>
      <c r="DH444" s="73"/>
      <c r="DI444" s="73"/>
      <c r="DJ444" s="73"/>
      <c r="DK444" s="73"/>
      <c r="DL444" s="73"/>
      <c r="DM444" s="73"/>
      <c r="DN444" s="73"/>
      <c r="DO444" s="73"/>
      <c r="DP444" s="73"/>
      <c r="DQ444" s="73"/>
      <c r="DR444" s="73"/>
      <c r="DS444" s="73"/>
      <c r="DT444" s="73"/>
      <c r="DU444" s="73"/>
      <c r="DV444" s="73"/>
      <c r="DW444" s="73"/>
      <c r="DX444" s="73"/>
      <c r="DY444" s="73"/>
      <c r="DZ444" s="73"/>
      <c r="EA444" s="73"/>
      <c r="EB444" s="73"/>
      <c r="EC444" s="73"/>
      <c r="ED444" s="73"/>
      <c r="EE444" s="73"/>
      <c r="EF444" s="73"/>
      <c r="FJ444" s="73"/>
      <c r="FK444" s="73"/>
      <c r="FL444" s="73"/>
      <c r="FM444" s="73"/>
      <c r="FN444" s="73"/>
      <c r="FO444" s="73"/>
      <c r="FP444" s="73"/>
      <c r="FQ444" s="73"/>
      <c r="FR444" s="73"/>
      <c r="FS444" s="73"/>
      <c r="FT444" s="73"/>
      <c r="FU444" s="73"/>
      <c r="FV444" s="73"/>
      <c r="FW444" s="73"/>
      <c r="FX444" s="73"/>
      <c r="GO444" s="73"/>
      <c r="GP444" s="73"/>
      <c r="HE444" s="73"/>
      <c r="HU444" s="73"/>
      <c r="HV444" s="182"/>
    </row>
    <row r="445" spans="1:230" x14ac:dyDescent="0.25">
      <c r="A445" s="30"/>
      <c r="B445" s="30"/>
      <c r="C445" s="30"/>
      <c r="D445" s="30"/>
      <c r="G445" s="30"/>
      <c r="H445" s="30"/>
      <c r="I445" s="30"/>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c r="CC445" s="73"/>
      <c r="CD445" s="73"/>
      <c r="CE445" s="73"/>
      <c r="CF445" s="73"/>
      <c r="CG445" s="73"/>
      <c r="CH445" s="73"/>
      <c r="CI445" s="73"/>
      <c r="CJ445" s="73"/>
      <c r="CK445" s="73"/>
      <c r="CL445" s="73"/>
      <c r="CM445" s="73"/>
      <c r="CN445" s="73"/>
      <c r="CO445" s="73"/>
      <c r="CP445" s="73"/>
      <c r="CQ445" s="73"/>
      <c r="CR445" s="73"/>
      <c r="CS445" s="73"/>
      <c r="CT445" s="73"/>
      <c r="CU445" s="73"/>
      <c r="CV445" s="73"/>
      <c r="CW445" s="73"/>
      <c r="CX445" s="73"/>
      <c r="CY445" s="73"/>
      <c r="CZ445" s="73"/>
      <c r="DA445" s="73"/>
      <c r="DB445" s="73"/>
      <c r="DC445" s="73"/>
      <c r="DD445" s="73"/>
      <c r="DE445" s="73"/>
      <c r="DF445" s="73"/>
      <c r="DG445" s="73"/>
      <c r="DH445" s="73"/>
      <c r="DI445" s="73"/>
      <c r="DJ445" s="73"/>
      <c r="DK445" s="73"/>
      <c r="DL445" s="73"/>
      <c r="DM445" s="73"/>
      <c r="DN445" s="73"/>
      <c r="DO445" s="73"/>
      <c r="DP445" s="73"/>
      <c r="DQ445" s="73"/>
      <c r="DR445" s="73"/>
      <c r="DS445" s="73"/>
      <c r="DT445" s="73"/>
      <c r="DU445" s="73"/>
      <c r="DV445" s="73"/>
      <c r="DW445" s="73"/>
      <c r="DX445" s="73"/>
      <c r="DY445" s="73"/>
      <c r="DZ445" s="73"/>
      <c r="EA445" s="73"/>
      <c r="EB445" s="73"/>
      <c r="EC445" s="73"/>
      <c r="ED445" s="73"/>
      <c r="EE445" s="73"/>
      <c r="EF445" s="73"/>
      <c r="FJ445" s="73"/>
      <c r="FK445" s="73"/>
      <c r="FL445" s="73"/>
      <c r="FM445" s="73"/>
      <c r="FN445" s="73"/>
      <c r="FO445" s="73"/>
      <c r="FP445" s="73"/>
      <c r="FQ445" s="73"/>
      <c r="FR445" s="73"/>
      <c r="FS445" s="73"/>
      <c r="FT445" s="73"/>
      <c r="FU445" s="73"/>
      <c r="FV445" s="73"/>
      <c r="FW445" s="73"/>
      <c r="FX445" s="73"/>
      <c r="GO445" s="73"/>
      <c r="GP445" s="73"/>
      <c r="HE445" s="73"/>
      <c r="HU445" s="73"/>
      <c r="HV445" s="182"/>
    </row>
    <row r="446" spans="1:230" x14ac:dyDescent="0.25">
      <c r="A446" s="30"/>
      <c r="B446" s="30"/>
      <c r="C446" s="30"/>
      <c r="D446" s="30"/>
      <c r="G446" s="30"/>
      <c r="H446" s="30"/>
      <c r="I446" s="30"/>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c r="CC446" s="73"/>
      <c r="CD446" s="73"/>
      <c r="CE446" s="73"/>
      <c r="CF446" s="73"/>
      <c r="CG446" s="73"/>
      <c r="CH446" s="73"/>
      <c r="CI446" s="73"/>
      <c r="CJ446" s="73"/>
      <c r="CK446" s="73"/>
      <c r="CL446" s="73"/>
      <c r="CM446" s="73"/>
      <c r="CN446" s="73"/>
      <c r="CO446" s="73"/>
      <c r="CP446" s="73"/>
      <c r="CQ446" s="73"/>
      <c r="CR446" s="73"/>
      <c r="CS446" s="73"/>
      <c r="CT446" s="73"/>
      <c r="CU446" s="73"/>
      <c r="CV446" s="73"/>
      <c r="CW446" s="73"/>
      <c r="CX446" s="73"/>
      <c r="CY446" s="73"/>
      <c r="CZ446" s="73"/>
      <c r="DA446" s="73"/>
      <c r="DB446" s="73"/>
      <c r="DC446" s="73"/>
      <c r="DD446" s="73"/>
      <c r="DE446" s="73"/>
      <c r="DF446" s="73"/>
      <c r="DG446" s="73"/>
      <c r="DH446" s="73"/>
      <c r="DI446" s="73"/>
      <c r="DJ446" s="73"/>
      <c r="DK446" s="73"/>
      <c r="DL446" s="73"/>
      <c r="DM446" s="73"/>
      <c r="DN446" s="73"/>
      <c r="DO446" s="73"/>
      <c r="DP446" s="73"/>
      <c r="DQ446" s="73"/>
      <c r="DR446" s="73"/>
      <c r="DS446" s="73"/>
      <c r="DT446" s="73"/>
      <c r="DU446" s="73"/>
      <c r="DV446" s="73"/>
      <c r="DW446" s="73"/>
      <c r="DX446" s="73"/>
      <c r="DY446" s="73"/>
      <c r="DZ446" s="73"/>
      <c r="EA446" s="73"/>
      <c r="EB446" s="73"/>
      <c r="EC446" s="73"/>
      <c r="ED446" s="73"/>
      <c r="EE446" s="73"/>
      <c r="EF446" s="73"/>
      <c r="FJ446" s="73"/>
      <c r="FK446" s="73"/>
      <c r="FL446" s="73"/>
      <c r="FM446" s="73"/>
      <c r="FN446" s="73"/>
      <c r="FO446" s="73"/>
      <c r="FP446" s="73"/>
      <c r="FQ446" s="73"/>
      <c r="FR446" s="73"/>
      <c r="FS446" s="73"/>
      <c r="FT446" s="73"/>
      <c r="FU446" s="73"/>
      <c r="FV446" s="73"/>
      <c r="FW446" s="73"/>
      <c r="FX446" s="73"/>
      <c r="GO446" s="73"/>
      <c r="GP446" s="73"/>
      <c r="HE446" s="73"/>
      <c r="HU446" s="73"/>
      <c r="HV446" s="182"/>
    </row>
    <row r="447" spans="1:230" x14ac:dyDescent="0.25">
      <c r="A447" s="30"/>
      <c r="B447" s="30"/>
      <c r="C447" s="30"/>
      <c r="D447" s="30"/>
      <c r="G447" s="30"/>
      <c r="H447" s="30"/>
      <c r="I447" s="30"/>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c r="CC447" s="73"/>
      <c r="CD447" s="73"/>
      <c r="CE447" s="73"/>
      <c r="CF447" s="73"/>
      <c r="CG447" s="73"/>
      <c r="CH447" s="73"/>
      <c r="CI447" s="73"/>
      <c r="CJ447" s="73"/>
      <c r="CK447" s="73"/>
      <c r="CL447" s="73"/>
      <c r="CM447" s="73"/>
      <c r="CN447" s="73"/>
      <c r="CO447" s="73"/>
      <c r="CP447" s="73"/>
      <c r="CQ447" s="73"/>
      <c r="CR447" s="73"/>
      <c r="CS447" s="73"/>
      <c r="CT447" s="73"/>
      <c r="CU447" s="73"/>
      <c r="CV447" s="73"/>
      <c r="CW447" s="73"/>
      <c r="CX447" s="73"/>
      <c r="CY447" s="73"/>
      <c r="CZ447" s="73"/>
      <c r="DA447" s="73"/>
      <c r="DB447" s="73"/>
      <c r="DC447" s="73"/>
      <c r="DD447" s="73"/>
      <c r="DE447" s="73"/>
      <c r="DF447" s="73"/>
      <c r="DG447" s="73"/>
      <c r="DH447" s="73"/>
      <c r="DI447" s="73"/>
      <c r="DJ447" s="73"/>
      <c r="DK447" s="73"/>
      <c r="DL447" s="73"/>
      <c r="DM447" s="73"/>
      <c r="DN447" s="73"/>
      <c r="DO447" s="73"/>
      <c r="DP447" s="73"/>
      <c r="DQ447" s="73"/>
      <c r="DR447" s="73"/>
      <c r="DS447" s="73"/>
      <c r="DT447" s="73"/>
      <c r="DU447" s="73"/>
      <c r="DV447" s="73"/>
      <c r="DW447" s="73"/>
      <c r="DX447" s="73"/>
      <c r="DY447" s="73"/>
      <c r="DZ447" s="73"/>
      <c r="EA447" s="73"/>
      <c r="EB447" s="73"/>
      <c r="EC447" s="73"/>
      <c r="ED447" s="73"/>
      <c r="EE447" s="73"/>
      <c r="EF447" s="73"/>
      <c r="FJ447" s="73"/>
      <c r="FK447" s="73"/>
      <c r="FL447" s="73"/>
      <c r="FM447" s="73"/>
      <c r="FN447" s="73"/>
      <c r="FO447" s="73"/>
      <c r="FP447" s="73"/>
      <c r="FQ447" s="73"/>
      <c r="FR447" s="73"/>
      <c r="FS447" s="73"/>
      <c r="FT447" s="73"/>
      <c r="FU447" s="73"/>
      <c r="FV447" s="73"/>
      <c r="FW447" s="73"/>
      <c r="FX447" s="73"/>
      <c r="GO447" s="73"/>
      <c r="GP447" s="73"/>
      <c r="HE447" s="73"/>
      <c r="HU447" s="73"/>
      <c r="HV447" s="182"/>
    </row>
    <row r="448" spans="1:230" x14ac:dyDescent="0.25">
      <c r="A448" s="30"/>
      <c r="B448" s="30"/>
      <c r="C448" s="30"/>
      <c r="D448" s="30"/>
      <c r="G448" s="30"/>
      <c r="H448" s="30"/>
      <c r="I448" s="30"/>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c r="CC448" s="73"/>
      <c r="CD448" s="73"/>
      <c r="CE448" s="73"/>
      <c r="CF448" s="73"/>
      <c r="CG448" s="73"/>
      <c r="CH448" s="73"/>
      <c r="CI448" s="73"/>
      <c r="CJ448" s="73"/>
      <c r="CK448" s="73"/>
      <c r="CL448" s="73"/>
      <c r="CM448" s="73"/>
      <c r="CN448" s="73"/>
      <c r="CO448" s="73"/>
      <c r="CP448" s="73"/>
      <c r="CQ448" s="73"/>
      <c r="CR448" s="73"/>
      <c r="CS448" s="73"/>
      <c r="CT448" s="73"/>
      <c r="CU448" s="73"/>
      <c r="CV448" s="73"/>
      <c r="CW448" s="73"/>
      <c r="CX448" s="73"/>
      <c r="CY448" s="73"/>
      <c r="CZ448" s="73"/>
      <c r="DA448" s="73"/>
      <c r="DB448" s="73"/>
      <c r="DC448" s="73"/>
      <c r="DD448" s="73"/>
      <c r="DE448" s="73"/>
      <c r="DF448" s="73"/>
      <c r="DG448" s="73"/>
      <c r="DH448" s="73"/>
      <c r="DI448" s="73"/>
      <c r="DJ448" s="73"/>
      <c r="DK448" s="73"/>
      <c r="DL448" s="73"/>
      <c r="DM448" s="73"/>
      <c r="DN448" s="73"/>
      <c r="DO448" s="73"/>
      <c r="DP448" s="73"/>
      <c r="DQ448" s="73"/>
      <c r="DR448" s="73"/>
      <c r="DS448" s="73"/>
      <c r="DT448" s="73"/>
      <c r="DU448" s="73"/>
      <c r="DV448" s="73"/>
      <c r="DW448" s="73"/>
      <c r="DX448" s="73"/>
      <c r="DY448" s="73"/>
      <c r="DZ448" s="73"/>
      <c r="EA448" s="73"/>
      <c r="EB448" s="73"/>
      <c r="EC448" s="73"/>
      <c r="ED448" s="73"/>
      <c r="EE448" s="73"/>
      <c r="EF448" s="73"/>
      <c r="FJ448" s="73"/>
      <c r="FK448" s="73"/>
      <c r="FL448" s="73"/>
      <c r="FM448" s="73"/>
      <c r="FN448" s="73"/>
      <c r="FO448" s="73"/>
      <c r="FP448" s="73"/>
      <c r="FQ448" s="73"/>
      <c r="FR448" s="73"/>
      <c r="FS448" s="73"/>
      <c r="FT448" s="73"/>
      <c r="FU448" s="73"/>
      <c r="FV448" s="73"/>
      <c r="FW448" s="73"/>
      <c r="FX448" s="73"/>
      <c r="GO448" s="73"/>
      <c r="GP448" s="73"/>
      <c r="HE448" s="73"/>
      <c r="HU448" s="73"/>
      <c r="HV448" s="182"/>
    </row>
    <row r="449" spans="1:230" x14ac:dyDescent="0.25">
      <c r="A449" s="30"/>
      <c r="B449" s="30"/>
      <c r="C449" s="30"/>
      <c r="D449" s="30"/>
      <c r="G449" s="30"/>
      <c r="H449" s="30"/>
      <c r="I449" s="30"/>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c r="CC449" s="73"/>
      <c r="CD449" s="73"/>
      <c r="CE449" s="73"/>
      <c r="CF449" s="73"/>
      <c r="CG449" s="73"/>
      <c r="CH449" s="73"/>
      <c r="CI449" s="73"/>
      <c r="CJ449" s="73"/>
      <c r="CK449" s="73"/>
      <c r="CL449" s="73"/>
      <c r="CM449" s="73"/>
      <c r="CN449" s="73"/>
      <c r="CO449" s="73"/>
      <c r="CP449" s="73"/>
      <c r="CQ449" s="73"/>
      <c r="CR449" s="73"/>
      <c r="CS449" s="73"/>
      <c r="CT449" s="73"/>
      <c r="CU449" s="73"/>
      <c r="CV449" s="73"/>
      <c r="CW449" s="73"/>
      <c r="CX449" s="73"/>
      <c r="CY449" s="73"/>
      <c r="CZ449" s="73"/>
      <c r="DA449" s="73"/>
      <c r="DB449" s="73"/>
      <c r="DC449" s="73"/>
      <c r="DD449" s="73"/>
      <c r="DE449" s="73"/>
      <c r="DF449" s="73"/>
      <c r="DG449" s="73"/>
      <c r="DH449" s="73"/>
      <c r="DI449" s="73"/>
      <c r="DJ449" s="73"/>
      <c r="DK449" s="73"/>
      <c r="DL449" s="73"/>
      <c r="DM449" s="73"/>
      <c r="DN449" s="73"/>
      <c r="DO449" s="73"/>
      <c r="DP449" s="73"/>
      <c r="DQ449" s="73"/>
      <c r="DR449" s="73"/>
      <c r="DS449" s="73"/>
      <c r="DT449" s="73"/>
      <c r="DU449" s="73"/>
      <c r="DV449" s="73"/>
      <c r="DW449" s="73"/>
      <c r="DX449" s="73"/>
      <c r="DY449" s="73"/>
      <c r="DZ449" s="73"/>
      <c r="EA449" s="73"/>
      <c r="EB449" s="73"/>
      <c r="EC449" s="73"/>
      <c r="ED449" s="73"/>
      <c r="EE449" s="73"/>
      <c r="EF449" s="73"/>
      <c r="FJ449" s="73"/>
      <c r="FK449" s="73"/>
      <c r="FL449" s="73"/>
      <c r="FM449" s="73"/>
      <c r="FN449" s="73"/>
      <c r="FO449" s="73"/>
      <c r="FP449" s="73"/>
      <c r="FQ449" s="73"/>
      <c r="FR449" s="73"/>
      <c r="FS449" s="73"/>
      <c r="FT449" s="73"/>
      <c r="FU449" s="73"/>
      <c r="FV449" s="73"/>
      <c r="FW449" s="73"/>
      <c r="FX449" s="73"/>
      <c r="GO449" s="73"/>
      <c r="GP449" s="73"/>
      <c r="HE449" s="73"/>
      <c r="HU449" s="73"/>
      <c r="HV449" s="182"/>
    </row>
    <row r="450" spans="1:230" x14ac:dyDescent="0.25">
      <c r="A450" s="30"/>
      <c r="B450" s="30"/>
      <c r="C450" s="30"/>
      <c r="D450" s="30"/>
      <c r="G450" s="30"/>
      <c r="H450" s="30"/>
      <c r="I450" s="30"/>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c r="CC450" s="73"/>
      <c r="CD450" s="73"/>
      <c r="CE450" s="73"/>
      <c r="CF450" s="73"/>
      <c r="CG450" s="73"/>
      <c r="CH450" s="73"/>
      <c r="CI450" s="73"/>
      <c r="CJ450" s="73"/>
      <c r="CK450" s="73"/>
      <c r="CL450" s="73"/>
      <c r="CM450" s="73"/>
      <c r="CN450" s="73"/>
      <c r="CO450" s="73"/>
      <c r="CP450" s="73"/>
      <c r="CQ450" s="73"/>
      <c r="CR450" s="73"/>
      <c r="CS450" s="73"/>
      <c r="CT450" s="73"/>
      <c r="CU450" s="73"/>
      <c r="CV450" s="73"/>
      <c r="CW450" s="73"/>
      <c r="CX450" s="73"/>
      <c r="CY450" s="73"/>
      <c r="CZ450" s="73"/>
      <c r="DA450" s="73"/>
      <c r="DB450" s="73"/>
      <c r="DC450" s="73"/>
      <c r="DD450" s="73"/>
      <c r="DE450" s="73"/>
      <c r="DF450" s="73"/>
      <c r="DG450" s="73"/>
      <c r="DH450" s="73"/>
      <c r="DI450" s="73"/>
      <c r="DJ450" s="73"/>
      <c r="DK450" s="73"/>
      <c r="DL450" s="73"/>
      <c r="DM450" s="73"/>
      <c r="DN450" s="73"/>
      <c r="DO450" s="73"/>
      <c r="DP450" s="73"/>
      <c r="DQ450" s="73"/>
      <c r="DR450" s="73"/>
      <c r="DS450" s="73"/>
      <c r="DT450" s="73"/>
      <c r="DU450" s="73"/>
      <c r="DV450" s="73"/>
      <c r="DW450" s="73"/>
      <c r="DX450" s="73"/>
      <c r="DY450" s="73"/>
      <c r="DZ450" s="73"/>
      <c r="EA450" s="73"/>
      <c r="EB450" s="73"/>
      <c r="EC450" s="73"/>
      <c r="ED450" s="73"/>
      <c r="EE450" s="73"/>
      <c r="EF450" s="73"/>
      <c r="FJ450" s="73"/>
      <c r="FK450" s="73"/>
      <c r="FL450" s="73"/>
      <c r="FM450" s="73"/>
      <c r="FN450" s="73"/>
      <c r="FO450" s="73"/>
      <c r="FP450" s="73"/>
      <c r="FQ450" s="73"/>
      <c r="FR450" s="73"/>
      <c r="FS450" s="73"/>
      <c r="FT450" s="73"/>
      <c r="FU450" s="73"/>
      <c r="FV450" s="73"/>
      <c r="FW450" s="73"/>
      <c r="FX450" s="73"/>
      <c r="GO450" s="73"/>
      <c r="GP450" s="73"/>
      <c r="HE450" s="73"/>
      <c r="HU450" s="73"/>
      <c r="HV450" s="182"/>
    </row>
    <row r="451" spans="1:230" x14ac:dyDescent="0.25">
      <c r="A451" s="30"/>
      <c r="B451" s="30"/>
      <c r="C451" s="30"/>
      <c r="D451" s="30"/>
      <c r="G451" s="30"/>
      <c r="H451" s="30"/>
      <c r="I451" s="30"/>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c r="CC451" s="73"/>
      <c r="CD451" s="73"/>
      <c r="CE451" s="73"/>
      <c r="CF451" s="73"/>
      <c r="CG451" s="73"/>
      <c r="CH451" s="73"/>
      <c r="CI451" s="73"/>
      <c r="CJ451" s="73"/>
      <c r="CK451" s="73"/>
      <c r="CL451" s="73"/>
      <c r="CM451" s="73"/>
      <c r="CN451" s="73"/>
      <c r="CO451" s="73"/>
      <c r="CP451" s="73"/>
      <c r="CQ451" s="73"/>
      <c r="CR451" s="73"/>
      <c r="CS451" s="73"/>
      <c r="CT451" s="73"/>
      <c r="CU451" s="73"/>
      <c r="CV451" s="73"/>
      <c r="CW451" s="73"/>
      <c r="CX451" s="73"/>
      <c r="CY451" s="73"/>
      <c r="CZ451" s="73"/>
      <c r="DA451" s="73"/>
      <c r="DB451" s="73"/>
      <c r="DC451" s="73"/>
      <c r="DD451" s="73"/>
      <c r="DE451" s="73"/>
      <c r="DF451" s="73"/>
      <c r="DG451" s="73"/>
      <c r="DH451" s="73"/>
      <c r="DI451" s="73"/>
      <c r="DJ451" s="73"/>
      <c r="DK451" s="73"/>
      <c r="DL451" s="73"/>
      <c r="DM451" s="73"/>
      <c r="DN451" s="73"/>
      <c r="DO451" s="73"/>
      <c r="DP451" s="73"/>
      <c r="DQ451" s="73"/>
      <c r="DR451" s="73"/>
      <c r="DS451" s="73"/>
      <c r="DT451" s="73"/>
      <c r="DU451" s="73"/>
      <c r="DV451" s="73"/>
      <c r="DW451" s="73"/>
      <c r="DX451" s="73"/>
      <c r="DY451" s="73"/>
      <c r="DZ451" s="73"/>
      <c r="EA451" s="73"/>
      <c r="EB451" s="73"/>
      <c r="EC451" s="73"/>
      <c r="ED451" s="73"/>
      <c r="EE451" s="73"/>
      <c r="EF451" s="73"/>
      <c r="FJ451" s="73"/>
      <c r="FK451" s="73"/>
      <c r="FL451" s="73"/>
      <c r="FM451" s="73"/>
      <c r="FN451" s="73"/>
      <c r="FO451" s="73"/>
      <c r="FP451" s="73"/>
      <c r="FQ451" s="73"/>
      <c r="FR451" s="73"/>
      <c r="FS451" s="73"/>
      <c r="FT451" s="73"/>
      <c r="FU451" s="73"/>
      <c r="FV451" s="73"/>
      <c r="FW451" s="73"/>
      <c r="FX451" s="73"/>
      <c r="GO451" s="73"/>
      <c r="GP451" s="73"/>
      <c r="HE451" s="73"/>
      <c r="HU451" s="73"/>
      <c r="HV451" s="182"/>
    </row>
    <row r="452" spans="1:230" x14ac:dyDescent="0.25">
      <c r="A452" s="30"/>
      <c r="B452" s="30"/>
      <c r="C452" s="30"/>
      <c r="D452" s="30"/>
      <c r="G452" s="30"/>
      <c r="H452" s="30"/>
      <c r="I452" s="30"/>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c r="CC452" s="73"/>
      <c r="CD452" s="73"/>
      <c r="CE452" s="73"/>
      <c r="CF452" s="73"/>
      <c r="CG452" s="73"/>
      <c r="CH452" s="73"/>
      <c r="CI452" s="73"/>
      <c r="CJ452" s="73"/>
      <c r="CK452" s="73"/>
      <c r="CL452" s="73"/>
      <c r="CM452" s="73"/>
      <c r="CN452" s="73"/>
      <c r="CO452" s="73"/>
      <c r="CP452" s="73"/>
      <c r="CQ452" s="73"/>
      <c r="CR452" s="73"/>
      <c r="CS452" s="73"/>
      <c r="CT452" s="73"/>
      <c r="CU452" s="73"/>
      <c r="CV452" s="73"/>
      <c r="CW452" s="73"/>
      <c r="CX452" s="73"/>
      <c r="CY452" s="73"/>
      <c r="CZ452" s="73"/>
      <c r="DA452" s="73"/>
      <c r="DB452" s="73"/>
      <c r="DC452" s="73"/>
      <c r="DD452" s="73"/>
      <c r="DE452" s="73"/>
      <c r="DF452" s="73"/>
      <c r="DG452" s="73"/>
      <c r="DH452" s="73"/>
      <c r="DI452" s="73"/>
      <c r="DJ452" s="73"/>
      <c r="DK452" s="73"/>
      <c r="DL452" s="73"/>
      <c r="DM452" s="73"/>
      <c r="DN452" s="73"/>
      <c r="DO452" s="73"/>
      <c r="DP452" s="73"/>
      <c r="DQ452" s="73"/>
      <c r="DR452" s="73"/>
      <c r="DS452" s="73"/>
      <c r="DT452" s="73"/>
      <c r="DU452" s="73"/>
      <c r="DV452" s="73"/>
      <c r="DW452" s="73"/>
      <c r="DX452" s="73"/>
      <c r="DY452" s="73"/>
      <c r="DZ452" s="73"/>
      <c r="EA452" s="73"/>
      <c r="EB452" s="73"/>
      <c r="EC452" s="73"/>
      <c r="ED452" s="73"/>
      <c r="EE452" s="73"/>
      <c r="EF452" s="73"/>
      <c r="FJ452" s="73"/>
      <c r="FK452" s="73"/>
      <c r="FL452" s="73"/>
      <c r="FM452" s="73"/>
      <c r="FN452" s="73"/>
      <c r="FO452" s="73"/>
      <c r="FP452" s="73"/>
      <c r="FQ452" s="73"/>
      <c r="FR452" s="73"/>
      <c r="FS452" s="73"/>
      <c r="FT452" s="73"/>
      <c r="FU452" s="73"/>
      <c r="FV452" s="73"/>
      <c r="FW452" s="73"/>
      <c r="FX452" s="73"/>
      <c r="GO452" s="73"/>
      <c r="GP452" s="73"/>
      <c r="HE452" s="73"/>
      <c r="HU452" s="73"/>
      <c r="HV452" s="182"/>
    </row>
    <row r="453" spans="1:230" x14ac:dyDescent="0.25">
      <c r="A453" s="30"/>
      <c r="B453" s="30"/>
      <c r="C453" s="30"/>
      <c r="D453" s="30"/>
      <c r="G453" s="30"/>
      <c r="H453" s="30"/>
      <c r="I453" s="30"/>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c r="CC453" s="73"/>
      <c r="CD453" s="73"/>
      <c r="CE453" s="73"/>
      <c r="CF453" s="73"/>
      <c r="CG453" s="73"/>
      <c r="CH453" s="73"/>
      <c r="CI453" s="73"/>
      <c r="CJ453" s="73"/>
      <c r="CK453" s="73"/>
      <c r="CL453" s="73"/>
      <c r="CM453" s="73"/>
      <c r="CN453" s="73"/>
      <c r="CO453" s="73"/>
      <c r="CP453" s="73"/>
      <c r="CQ453" s="73"/>
      <c r="CR453" s="73"/>
      <c r="CS453" s="73"/>
      <c r="CT453" s="73"/>
      <c r="CU453" s="73"/>
      <c r="CV453" s="73"/>
      <c r="CW453" s="73"/>
      <c r="CX453" s="73"/>
      <c r="CY453" s="73"/>
      <c r="CZ453" s="73"/>
      <c r="DA453" s="73"/>
      <c r="DB453" s="73"/>
      <c r="DC453" s="73"/>
      <c r="DD453" s="73"/>
      <c r="DE453" s="73"/>
      <c r="DF453" s="73"/>
      <c r="DG453" s="73"/>
      <c r="DH453" s="73"/>
      <c r="DI453" s="73"/>
      <c r="DJ453" s="73"/>
      <c r="DK453" s="73"/>
      <c r="DL453" s="73"/>
      <c r="DM453" s="73"/>
      <c r="DN453" s="73"/>
      <c r="DO453" s="73"/>
      <c r="DP453" s="73"/>
      <c r="DQ453" s="73"/>
      <c r="DR453" s="73"/>
      <c r="DS453" s="73"/>
      <c r="DT453" s="73"/>
      <c r="DU453" s="73"/>
      <c r="DV453" s="73"/>
      <c r="DW453" s="73"/>
      <c r="DX453" s="73"/>
      <c r="DY453" s="73"/>
      <c r="DZ453" s="73"/>
      <c r="EA453" s="73"/>
      <c r="EB453" s="73"/>
      <c r="EC453" s="73"/>
      <c r="ED453" s="73"/>
      <c r="EE453" s="73"/>
      <c r="EF453" s="73"/>
      <c r="FJ453" s="73"/>
      <c r="FK453" s="73"/>
      <c r="FL453" s="73"/>
      <c r="FM453" s="73"/>
      <c r="FN453" s="73"/>
      <c r="FO453" s="73"/>
      <c r="FP453" s="73"/>
      <c r="FQ453" s="73"/>
      <c r="FR453" s="73"/>
      <c r="FS453" s="73"/>
      <c r="FT453" s="73"/>
      <c r="FU453" s="73"/>
      <c r="FV453" s="73"/>
      <c r="FW453" s="73"/>
      <c r="FX453" s="73"/>
      <c r="GO453" s="73"/>
      <c r="GP453" s="73"/>
      <c r="HE453" s="73"/>
      <c r="HU453" s="73"/>
      <c r="HV453" s="182"/>
    </row>
    <row r="454" spans="1:230" x14ac:dyDescent="0.25">
      <c r="A454" s="30"/>
      <c r="B454" s="30"/>
      <c r="C454" s="30"/>
      <c r="D454" s="30"/>
      <c r="G454" s="30"/>
      <c r="H454" s="30"/>
      <c r="I454" s="30"/>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c r="CC454" s="73"/>
      <c r="CD454" s="73"/>
      <c r="CE454" s="73"/>
      <c r="CF454" s="73"/>
      <c r="CG454" s="73"/>
      <c r="CH454" s="73"/>
      <c r="CI454" s="73"/>
      <c r="CJ454" s="73"/>
      <c r="CK454" s="73"/>
      <c r="CL454" s="73"/>
      <c r="CM454" s="73"/>
      <c r="CN454" s="73"/>
      <c r="CO454" s="73"/>
      <c r="CP454" s="73"/>
      <c r="CQ454" s="73"/>
      <c r="CR454" s="73"/>
      <c r="CS454" s="73"/>
      <c r="CT454" s="73"/>
      <c r="CU454" s="73"/>
      <c r="CV454" s="73"/>
      <c r="CW454" s="73"/>
      <c r="CX454" s="73"/>
      <c r="CY454" s="73"/>
      <c r="CZ454" s="73"/>
      <c r="DA454" s="73"/>
      <c r="DB454" s="73"/>
      <c r="DC454" s="73"/>
      <c r="DD454" s="73"/>
      <c r="DE454" s="73"/>
      <c r="DF454" s="73"/>
      <c r="DG454" s="73"/>
      <c r="DH454" s="73"/>
      <c r="DI454" s="73"/>
      <c r="DJ454" s="73"/>
      <c r="DK454" s="73"/>
      <c r="DL454" s="73"/>
      <c r="DM454" s="73"/>
      <c r="DN454" s="73"/>
      <c r="DO454" s="73"/>
      <c r="DP454" s="73"/>
      <c r="DQ454" s="73"/>
      <c r="DR454" s="73"/>
      <c r="DS454" s="73"/>
      <c r="DT454" s="73"/>
      <c r="DU454" s="73"/>
      <c r="DV454" s="73"/>
      <c r="DW454" s="73"/>
      <c r="DX454" s="73"/>
      <c r="DY454" s="73"/>
      <c r="DZ454" s="73"/>
      <c r="EA454" s="73"/>
      <c r="EB454" s="73"/>
      <c r="EC454" s="73"/>
      <c r="ED454" s="73"/>
      <c r="EE454" s="73"/>
      <c r="EF454" s="73"/>
      <c r="FJ454" s="73"/>
      <c r="FK454" s="73"/>
      <c r="FL454" s="73"/>
      <c r="FM454" s="73"/>
      <c r="FN454" s="73"/>
      <c r="FO454" s="73"/>
      <c r="FP454" s="73"/>
      <c r="FQ454" s="73"/>
      <c r="FR454" s="73"/>
      <c r="FS454" s="73"/>
      <c r="FT454" s="73"/>
      <c r="FU454" s="73"/>
      <c r="FV454" s="73"/>
      <c r="FW454" s="73"/>
      <c r="FX454" s="73"/>
      <c r="GO454" s="73"/>
      <c r="GP454" s="73"/>
      <c r="HE454" s="73"/>
      <c r="HU454" s="73"/>
      <c r="HV454" s="182"/>
    </row>
    <row r="455" spans="1:230" x14ac:dyDescent="0.25">
      <c r="A455" s="30"/>
      <c r="B455" s="30"/>
      <c r="C455" s="30"/>
      <c r="D455" s="30"/>
      <c r="G455" s="30"/>
      <c r="H455" s="30"/>
      <c r="I455" s="30"/>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c r="CC455" s="73"/>
      <c r="CD455" s="73"/>
      <c r="CE455" s="73"/>
      <c r="CF455" s="73"/>
      <c r="CG455" s="73"/>
      <c r="CH455" s="73"/>
      <c r="CI455" s="73"/>
      <c r="CJ455" s="73"/>
      <c r="CK455" s="73"/>
      <c r="CL455" s="73"/>
      <c r="CM455" s="73"/>
      <c r="CN455" s="73"/>
      <c r="CO455" s="73"/>
      <c r="CP455" s="73"/>
      <c r="CQ455" s="73"/>
      <c r="CR455" s="73"/>
      <c r="CS455" s="73"/>
      <c r="CT455" s="73"/>
      <c r="CU455" s="73"/>
      <c r="CV455" s="73"/>
      <c r="CW455" s="73"/>
      <c r="CX455" s="73"/>
      <c r="CY455" s="73"/>
      <c r="CZ455" s="73"/>
      <c r="DA455" s="73"/>
      <c r="DB455" s="73"/>
      <c r="DC455" s="73"/>
      <c r="DD455" s="73"/>
      <c r="DE455" s="73"/>
      <c r="DF455" s="73"/>
      <c r="DG455" s="73"/>
      <c r="DH455" s="73"/>
      <c r="DI455" s="73"/>
      <c r="DJ455" s="73"/>
      <c r="DK455" s="73"/>
      <c r="DL455" s="73"/>
      <c r="DM455" s="73"/>
      <c r="DN455" s="73"/>
      <c r="DO455" s="73"/>
      <c r="DP455" s="73"/>
      <c r="DQ455" s="73"/>
      <c r="DR455" s="73"/>
      <c r="DS455" s="73"/>
      <c r="DT455" s="73"/>
      <c r="DU455" s="73"/>
      <c r="DV455" s="73"/>
      <c r="DW455" s="73"/>
      <c r="DX455" s="73"/>
      <c r="DY455" s="73"/>
      <c r="DZ455" s="73"/>
      <c r="EA455" s="73"/>
      <c r="EB455" s="73"/>
      <c r="EC455" s="73"/>
      <c r="ED455" s="73"/>
      <c r="EE455" s="73"/>
      <c r="EF455" s="73"/>
      <c r="FJ455" s="73"/>
      <c r="FK455" s="73"/>
      <c r="FL455" s="73"/>
      <c r="FM455" s="73"/>
      <c r="FN455" s="73"/>
      <c r="FO455" s="73"/>
      <c r="FP455" s="73"/>
      <c r="FQ455" s="73"/>
      <c r="FR455" s="73"/>
      <c r="FS455" s="73"/>
      <c r="FT455" s="73"/>
      <c r="FU455" s="73"/>
      <c r="FV455" s="73"/>
      <c r="FW455" s="73"/>
      <c r="FX455" s="73"/>
      <c r="GO455" s="73"/>
      <c r="GP455" s="73"/>
      <c r="HE455" s="73"/>
      <c r="HU455" s="73"/>
      <c r="HV455" s="182"/>
    </row>
    <row r="456" spans="1:230" x14ac:dyDescent="0.25">
      <c r="A456" s="30"/>
      <c r="B456" s="30"/>
      <c r="C456" s="30"/>
      <c r="D456" s="30"/>
      <c r="G456" s="30"/>
      <c r="H456" s="30"/>
      <c r="I456" s="30"/>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c r="CC456" s="73"/>
      <c r="CD456" s="73"/>
      <c r="CE456" s="73"/>
      <c r="CF456" s="73"/>
      <c r="CG456" s="73"/>
      <c r="CH456" s="73"/>
      <c r="CI456" s="73"/>
      <c r="CJ456" s="73"/>
      <c r="CK456" s="73"/>
      <c r="CL456" s="73"/>
      <c r="CM456" s="73"/>
      <c r="CN456" s="73"/>
      <c r="CO456" s="73"/>
      <c r="CP456" s="73"/>
      <c r="CQ456" s="73"/>
      <c r="CR456" s="73"/>
      <c r="CS456" s="73"/>
      <c r="CT456" s="73"/>
      <c r="CU456" s="73"/>
      <c r="CV456" s="73"/>
      <c r="CW456" s="73"/>
      <c r="CX456" s="73"/>
      <c r="CY456" s="73"/>
      <c r="CZ456" s="73"/>
      <c r="DA456" s="73"/>
      <c r="DB456" s="73"/>
      <c r="DC456" s="73"/>
      <c r="DD456" s="73"/>
      <c r="DE456" s="73"/>
      <c r="DF456" s="73"/>
      <c r="DG456" s="73"/>
      <c r="DH456" s="73"/>
      <c r="DI456" s="73"/>
      <c r="DJ456" s="73"/>
      <c r="DK456" s="73"/>
      <c r="DL456" s="73"/>
      <c r="DM456" s="73"/>
      <c r="DN456" s="73"/>
      <c r="DO456" s="73"/>
      <c r="DP456" s="73"/>
      <c r="DQ456" s="73"/>
      <c r="DR456" s="73"/>
      <c r="DS456" s="73"/>
      <c r="DT456" s="73"/>
      <c r="DU456" s="73"/>
      <c r="DV456" s="73"/>
      <c r="DW456" s="73"/>
      <c r="DX456" s="73"/>
      <c r="DY456" s="73"/>
      <c r="DZ456" s="73"/>
      <c r="EA456" s="73"/>
      <c r="EB456" s="73"/>
      <c r="EC456" s="73"/>
      <c r="ED456" s="73"/>
      <c r="EE456" s="73"/>
      <c r="EF456" s="73"/>
      <c r="FJ456" s="73"/>
      <c r="FK456" s="73"/>
      <c r="FL456" s="73"/>
      <c r="FM456" s="73"/>
      <c r="FN456" s="73"/>
      <c r="FO456" s="73"/>
      <c r="FP456" s="73"/>
      <c r="FQ456" s="73"/>
      <c r="FR456" s="73"/>
      <c r="FS456" s="73"/>
      <c r="FT456" s="73"/>
      <c r="FU456" s="73"/>
      <c r="FV456" s="73"/>
      <c r="FW456" s="73"/>
      <c r="FX456" s="73"/>
      <c r="GO456" s="73"/>
      <c r="GP456" s="73"/>
      <c r="HE456" s="73"/>
      <c r="HU456" s="73"/>
      <c r="HV456" s="182"/>
    </row>
    <row r="457" spans="1:230" x14ac:dyDescent="0.25">
      <c r="A457" s="30"/>
      <c r="B457" s="30"/>
      <c r="C457" s="30"/>
      <c r="D457" s="30"/>
      <c r="G457" s="30"/>
      <c r="H457" s="30"/>
      <c r="I457" s="30"/>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c r="CC457" s="73"/>
      <c r="CD457" s="73"/>
      <c r="CE457" s="73"/>
      <c r="CF457" s="73"/>
      <c r="CG457" s="73"/>
      <c r="CH457" s="73"/>
      <c r="CI457" s="73"/>
      <c r="CJ457" s="73"/>
      <c r="CK457" s="73"/>
      <c r="CL457" s="73"/>
      <c r="CM457" s="73"/>
      <c r="CN457" s="73"/>
      <c r="CO457" s="73"/>
      <c r="CP457" s="73"/>
      <c r="CQ457" s="73"/>
      <c r="CR457" s="73"/>
      <c r="CS457" s="73"/>
      <c r="CT457" s="73"/>
      <c r="CU457" s="73"/>
      <c r="CV457" s="73"/>
      <c r="CW457" s="73"/>
      <c r="CX457" s="73"/>
      <c r="CY457" s="73"/>
      <c r="CZ457" s="73"/>
      <c r="DA457" s="73"/>
      <c r="DB457" s="73"/>
      <c r="DC457" s="73"/>
      <c r="DD457" s="73"/>
      <c r="DE457" s="73"/>
      <c r="DF457" s="73"/>
      <c r="DG457" s="73"/>
      <c r="DH457" s="73"/>
      <c r="DI457" s="73"/>
      <c r="DJ457" s="73"/>
      <c r="DK457" s="73"/>
      <c r="DL457" s="73"/>
      <c r="DM457" s="73"/>
      <c r="DN457" s="73"/>
      <c r="DO457" s="73"/>
      <c r="DP457" s="73"/>
      <c r="DQ457" s="73"/>
      <c r="DR457" s="73"/>
      <c r="DS457" s="73"/>
      <c r="DT457" s="73"/>
      <c r="DU457" s="73"/>
      <c r="DV457" s="73"/>
      <c r="DW457" s="73"/>
      <c r="DX457" s="73"/>
      <c r="DY457" s="73"/>
      <c r="DZ457" s="73"/>
      <c r="EA457" s="73"/>
      <c r="EB457" s="73"/>
      <c r="EC457" s="73"/>
      <c r="ED457" s="73"/>
      <c r="EE457" s="73"/>
      <c r="EF457" s="73"/>
      <c r="FJ457" s="73"/>
      <c r="FK457" s="73"/>
      <c r="FL457" s="73"/>
      <c r="FM457" s="73"/>
      <c r="FN457" s="73"/>
      <c r="FO457" s="73"/>
      <c r="FP457" s="73"/>
      <c r="FQ457" s="73"/>
      <c r="FR457" s="73"/>
      <c r="FS457" s="73"/>
      <c r="FT457" s="73"/>
      <c r="FU457" s="73"/>
      <c r="FV457" s="73"/>
      <c r="FW457" s="73"/>
      <c r="FX457" s="73"/>
      <c r="GO457" s="73"/>
      <c r="GP457" s="73"/>
      <c r="HE457" s="73"/>
      <c r="HU457" s="73"/>
      <c r="HV457" s="182"/>
    </row>
    <row r="458" spans="1:230" x14ac:dyDescent="0.25">
      <c r="A458" s="30"/>
      <c r="B458" s="30"/>
      <c r="C458" s="30"/>
      <c r="D458" s="30"/>
      <c r="G458" s="30"/>
      <c r="H458" s="30"/>
      <c r="I458" s="30"/>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3"/>
      <c r="DV458" s="73"/>
      <c r="DW458" s="73"/>
      <c r="DX458" s="73"/>
      <c r="DY458" s="73"/>
      <c r="DZ458" s="73"/>
      <c r="EA458" s="73"/>
      <c r="EB458" s="73"/>
      <c r="EC458" s="73"/>
      <c r="ED458" s="73"/>
      <c r="EE458" s="73"/>
      <c r="EF458" s="73"/>
      <c r="FJ458" s="73"/>
      <c r="FK458" s="73"/>
      <c r="FL458" s="73"/>
      <c r="FM458" s="73"/>
      <c r="FN458" s="73"/>
      <c r="FO458" s="73"/>
      <c r="FP458" s="73"/>
      <c r="FQ458" s="73"/>
      <c r="FR458" s="73"/>
      <c r="FS458" s="73"/>
      <c r="FT458" s="73"/>
      <c r="FU458" s="73"/>
      <c r="FV458" s="73"/>
      <c r="FW458" s="73"/>
      <c r="FX458" s="73"/>
      <c r="GO458" s="73"/>
      <c r="GP458" s="73"/>
      <c r="HE458" s="73"/>
      <c r="HU458" s="73"/>
      <c r="HV458" s="182"/>
    </row>
    <row r="459" spans="1:230" x14ac:dyDescent="0.25">
      <c r="A459" s="30"/>
      <c r="B459" s="30"/>
      <c r="C459" s="30"/>
      <c r="D459" s="30"/>
      <c r="G459" s="30"/>
      <c r="H459" s="30"/>
      <c r="I459" s="30"/>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c r="CC459" s="73"/>
      <c r="CD459" s="73"/>
      <c r="CE459" s="73"/>
      <c r="CF459" s="73"/>
      <c r="CG459" s="73"/>
      <c r="CH459" s="73"/>
      <c r="CI459" s="73"/>
      <c r="CJ459" s="73"/>
      <c r="CK459" s="73"/>
      <c r="CL459" s="73"/>
      <c r="CM459" s="73"/>
      <c r="CN459" s="73"/>
      <c r="CO459" s="73"/>
      <c r="CP459" s="73"/>
      <c r="CQ459" s="73"/>
      <c r="CR459" s="73"/>
      <c r="CS459" s="73"/>
      <c r="CT459" s="73"/>
      <c r="CU459" s="73"/>
      <c r="CV459" s="73"/>
      <c r="CW459" s="73"/>
      <c r="CX459" s="73"/>
      <c r="CY459" s="73"/>
      <c r="CZ459" s="73"/>
      <c r="DA459" s="73"/>
      <c r="DB459" s="73"/>
      <c r="DC459" s="73"/>
      <c r="DD459" s="73"/>
      <c r="DE459" s="73"/>
      <c r="DF459" s="73"/>
      <c r="DG459" s="73"/>
      <c r="DH459" s="73"/>
      <c r="DI459" s="73"/>
      <c r="DJ459" s="73"/>
      <c r="DK459" s="73"/>
      <c r="DL459" s="73"/>
      <c r="DM459" s="73"/>
      <c r="DN459" s="73"/>
      <c r="DO459" s="73"/>
      <c r="DP459" s="73"/>
      <c r="DQ459" s="73"/>
      <c r="DR459" s="73"/>
      <c r="DS459" s="73"/>
      <c r="DT459" s="73"/>
      <c r="DU459" s="73"/>
      <c r="DV459" s="73"/>
      <c r="DW459" s="73"/>
      <c r="DX459" s="73"/>
      <c r="DY459" s="73"/>
      <c r="DZ459" s="73"/>
      <c r="EA459" s="73"/>
      <c r="EB459" s="73"/>
      <c r="EC459" s="73"/>
      <c r="ED459" s="73"/>
      <c r="EE459" s="73"/>
      <c r="EF459" s="73"/>
      <c r="FJ459" s="73"/>
      <c r="FK459" s="73"/>
      <c r="FL459" s="73"/>
      <c r="FM459" s="73"/>
      <c r="FN459" s="73"/>
      <c r="FO459" s="73"/>
      <c r="FP459" s="73"/>
      <c r="FQ459" s="73"/>
      <c r="FR459" s="73"/>
      <c r="FS459" s="73"/>
      <c r="FT459" s="73"/>
      <c r="FU459" s="73"/>
      <c r="FV459" s="73"/>
      <c r="FW459" s="73"/>
      <c r="FX459" s="73"/>
      <c r="GO459" s="73"/>
      <c r="GP459" s="73"/>
      <c r="HE459" s="73"/>
      <c r="HU459" s="73"/>
      <c r="HV459" s="182"/>
    </row>
    <row r="460" spans="1:230" x14ac:dyDescent="0.25">
      <c r="A460" s="30"/>
      <c r="B460" s="30"/>
      <c r="C460" s="30"/>
      <c r="D460" s="30"/>
      <c r="G460" s="30"/>
      <c r="H460" s="30"/>
      <c r="I460" s="30"/>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c r="CC460" s="73"/>
      <c r="CD460" s="73"/>
      <c r="CE460" s="73"/>
      <c r="CF460" s="73"/>
      <c r="CG460" s="73"/>
      <c r="CH460" s="73"/>
      <c r="CI460" s="73"/>
      <c r="CJ460" s="73"/>
      <c r="CK460" s="73"/>
      <c r="CL460" s="73"/>
      <c r="CM460" s="73"/>
      <c r="CN460" s="73"/>
      <c r="CO460" s="73"/>
      <c r="CP460" s="73"/>
      <c r="CQ460" s="73"/>
      <c r="CR460" s="73"/>
      <c r="CS460" s="73"/>
      <c r="CT460" s="73"/>
      <c r="CU460" s="73"/>
      <c r="CV460" s="73"/>
      <c r="CW460" s="73"/>
      <c r="CX460" s="73"/>
      <c r="CY460" s="73"/>
      <c r="CZ460" s="73"/>
      <c r="DA460" s="73"/>
      <c r="DB460" s="73"/>
      <c r="DC460" s="73"/>
      <c r="DD460" s="73"/>
      <c r="DE460" s="73"/>
      <c r="DF460" s="73"/>
      <c r="DG460" s="73"/>
      <c r="DH460" s="73"/>
      <c r="DI460" s="73"/>
      <c r="DJ460" s="73"/>
      <c r="DK460" s="73"/>
      <c r="DL460" s="73"/>
      <c r="DM460" s="73"/>
      <c r="DN460" s="73"/>
      <c r="DO460" s="73"/>
      <c r="DP460" s="73"/>
      <c r="DQ460" s="73"/>
      <c r="DR460" s="73"/>
      <c r="DS460" s="73"/>
      <c r="DT460" s="73"/>
      <c r="DU460" s="73"/>
      <c r="DV460" s="73"/>
      <c r="DW460" s="73"/>
      <c r="DX460" s="73"/>
      <c r="DY460" s="73"/>
      <c r="DZ460" s="73"/>
      <c r="EA460" s="73"/>
      <c r="EB460" s="73"/>
      <c r="EC460" s="73"/>
      <c r="ED460" s="73"/>
      <c r="EE460" s="73"/>
      <c r="EF460" s="73"/>
      <c r="FJ460" s="73"/>
      <c r="FK460" s="73"/>
      <c r="FL460" s="73"/>
      <c r="FM460" s="73"/>
      <c r="FN460" s="73"/>
      <c r="FO460" s="73"/>
      <c r="FP460" s="73"/>
      <c r="FQ460" s="73"/>
      <c r="FR460" s="73"/>
      <c r="FS460" s="73"/>
      <c r="FT460" s="73"/>
      <c r="FU460" s="73"/>
      <c r="FV460" s="73"/>
      <c r="FW460" s="73"/>
      <c r="FX460" s="73"/>
      <c r="GO460" s="73"/>
      <c r="GP460" s="73"/>
      <c r="HE460" s="73"/>
      <c r="HU460" s="73"/>
      <c r="HV460" s="182"/>
    </row>
    <row r="461" spans="1:230" x14ac:dyDescent="0.25">
      <c r="A461" s="30"/>
      <c r="B461" s="30"/>
      <c r="C461" s="30"/>
      <c r="D461" s="30"/>
      <c r="G461" s="30"/>
      <c r="H461" s="30"/>
      <c r="I461" s="30"/>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c r="CC461" s="73"/>
      <c r="CD461" s="73"/>
      <c r="CE461" s="73"/>
      <c r="CF461" s="73"/>
      <c r="CG461" s="73"/>
      <c r="CH461" s="73"/>
      <c r="CI461" s="73"/>
      <c r="CJ461" s="73"/>
      <c r="CK461" s="73"/>
      <c r="CL461" s="73"/>
      <c r="CM461" s="73"/>
      <c r="CN461" s="73"/>
      <c r="CO461" s="73"/>
      <c r="CP461" s="73"/>
      <c r="CQ461" s="73"/>
      <c r="CR461" s="73"/>
      <c r="CS461" s="73"/>
      <c r="CT461" s="73"/>
      <c r="CU461" s="73"/>
      <c r="CV461" s="73"/>
      <c r="CW461" s="73"/>
      <c r="CX461" s="73"/>
      <c r="CY461" s="73"/>
      <c r="CZ461" s="73"/>
      <c r="DA461" s="73"/>
      <c r="DB461" s="73"/>
      <c r="DC461" s="73"/>
      <c r="DD461" s="73"/>
      <c r="DE461" s="73"/>
      <c r="DF461" s="73"/>
      <c r="DG461" s="73"/>
      <c r="DH461" s="73"/>
      <c r="DI461" s="73"/>
      <c r="DJ461" s="73"/>
      <c r="DK461" s="73"/>
      <c r="DL461" s="73"/>
      <c r="DM461" s="73"/>
      <c r="DN461" s="73"/>
      <c r="DO461" s="73"/>
      <c r="DP461" s="73"/>
      <c r="DQ461" s="73"/>
      <c r="DR461" s="73"/>
      <c r="DS461" s="73"/>
      <c r="DT461" s="73"/>
      <c r="DU461" s="73"/>
      <c r="DV461" s="73"/>
      <c r="DW461" s="73"/>
      <c r="DX461" s="73"/>
      <c r="DY461" s="73"/>
      <c r="DZ461" s="73"/>
      <c r="EA461" s="73"/>
      <c r="EB461" s="73"/>
      <c r="EC461" s="73"/>
      <c r="ED461" s="73"/>
      <c r="EE461" s="73"/>
      <c r="EF461" s="73"/>
      <c r="FJ461" s="73"/>
      <c r="FK461" s="73"/>
      <c r="FL461" s="73"/>
      <c r="FM461" s="73"/>
      <c r="FN461" s="73"/>
      <c r="FO461" s="73"/>
      <c r="FP461" s="73"/>
      <c r="FQ461" s="73"/>
      <c r="FR461" s="73"/>
      <c r="FS461" s="73"/>
      <c r="FT461" s="73"/>
      <c r="FU461" s="73"/>
      <c r="FV461" s="73"/>
      <c r="FW461" s="73"/>
      <c r="FX461" s="73"/>
      <c r="GO461" s="73"/>
      <c r="GP461" s="73"/>
      <c r="HE461" s="73"/>
      <c r="HU461" s="73"/>
      <c r="HV461" s="182"/>
    </row>
    <row r="462" spans="1:230" x14ac:dyDescent="0.25">
      <c r="A462" s="30"/>
      <c r="B462" s="30"/>
      <c r="C462" s="30"/>
      <c r="D462" s="30"/>
      <c r="G462" s="30"/>
      <c r="H462" s="30"/>
      <c r="I462" s="30"/>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c r="CE462" s="73"/>
      <c r="CF462" s="73"/>
      <c r="CG462" s="73"/>
      <c r="CH462" s="73"/>
      <c r="CI462" s="73"/>
      <c r="CJ462" s="73"/>
      <c r="CK462" s="73"/>
      <c r="CL462" s="73"/>
      <c r="CM462" s="73"/>
      <c r="CN462" s="73"/>
      <c r="CO462" s="73"/>
      <c r="CP462" s="73"/>
      <c r="CQ462" s="73"/>
      <c r="CR462" s="73"/>
      <c r="CS462" s="73"/>
      <c r="CT462" s="73"/>
      <c r="CU462" s="73"/>
      <c r="CV462" s="73"/>
      <c r="CW462" s="73"/>
      <c r="CX462" s="73"/>
      <c r="CY462" s="73"/>
      <c r="CZ462" s="73"/>
      <c r="DA462" s="73"/>
      <c r="DB462" s="73"/>
      <c r="DC462" s="73"/>
      <c r="DD462" s="73"/>
      <c r="DE462" s="73"/>
      <c r="DF462" s="73"/>
      <c r="DG462" s="73"/>
      <c r="DH462" s="73"/>
      <c r="DI462" s="73"/>
      <c r="DJ462" s="73"/>
      <c r="DK462" s="73"/>
      <c r="DL462" s="73"/>
      <c r="DM462" s="73"/>
      <c r="DN462" s="73"/>
      <c r="DO462" s="73"/>
      <c r="DP462" s="73"/>
      <c r="DQ462" s="73"/>
      <c r="DR462" s="73"/>
      <c r="DS462" s="73"/>
      <c r="DT462" s="73"/>
      <c r="DU462" s="73"/>
      <c r="DV462" s="73"/>
      <c r="DW462" s="73"/>
      <c r="DX462" s="73"/>
      <c r="DY462" s="73"/>
      <c r="DZ462" s="73"/>
      <c r="EA462" s="73"/>
      <c r="EB462" s="73"/>
      <c r="EC462" s="73"/>
      <c r="ED462" s="73"/>
      <c r="EE462" s="73"/>
      <c r="EF462" s="73"/>
      <c r="FJ462" s="73"/>
      <c r="FK462" s="73"/>
      <c r="FL462" s="73"/>
      <c r="FM462" s="73"/>
      <c r="FN462" s="73"/>
      <c r="FO462" s="73"/>
      <c r="FP462" s="73"/>
      <c r="FQ462" s="73"/>
      <c r="FR462" s="73"/>
      <c r="FS462" s="73"/>
      <c r="FT462" s="73"/>
      <c r="FU462" s="73"/>
      <c r="FV462" s="73"/>
      <c r="FW462" s="73"/>
      <c r="FX462" s="73"/>
      <c r="GO462" s="73"/>
      <c r="GP462" s="73"/>
      <c r="HE462" s="73"/>
      <c r="HU462" s="73"/>
      <c r="HV462" s="182"/>
    </row>
    <row r="463" spans="1:230" x14ac:dyDescent="0.25">
      <c r="A463" s="30"/>
      <c r="B463" s="30"/>
      <c r="C463" s="30"/>
      <c r="D463" s="30"/>
      <c r="G463" s="30"/>
      <c r="H463" s="30"/>
      <c r="I463" s="30"/>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c r="CC463" s="73"/>
      <c r="CD463" s="73"/>
      <c r="CE463" s="73"/>
      <c r="CF463" s="73"/>
      <c r="CG463" s="73"/>
      <c r="CH463" s="73"/>
      <c r="CI463" s="73"/>
      <c r="CJ463" s="73"/>
      <c r="CK463" s="73"/>
      <c r="CL463" s="73"/>
      <c r="CM463" s="73"/>
      <c r="CN463" s="73"/>
      <c r="CO463" s="73"/>
      <c r="CP463" s="73"/>
      <c r="CQ463" s="73"/>
      <c r="CR463" s="73"/>
      <c r="CS463" s="73"/>
      <c r="CT463" s="73"/>
      <c r="CU463" s="73"/>
      <c r="CV463" s="73"/>
      <c r="CW463" s="73"/>
      <c r="CX463" s="73"/>
      <c r="CY463" s="73"/>
      <c r="CZ463" s="73"/>
      <c r="DA463" s="73"/>
      <c r="DB463" s="73"/>
      <c r="DC463" s="73"/>
      <c r="DD463" s="73"/>
      <c r="DE463" s="73"/>
      <c r="DF463" s="73"/>
      <c r="DG463" s="73"/>
      <c r="DH463" s="73"/>
      <c r="DI463" s="73"/>
      <c r="DJ463" s="73"/>
      <c r="DK463" s="73"/>
      <c r="DL463" s="73"/>
      <c r="DM463" s="73"/>
      <c r="DN463" s="73"/>
      <c r="DO463" s="73"/>
      <c r="DP463" s="73"/>
      <c r="DQ463" s="73"/>
      <c r="DR463" s="73"/>
      <c r="DS463" s="73"/>
      <c r="DT463" s="73"/>
      <c r="DU463" s="73"/>
      <c r="DV463" s="73"/>
      <c r="DW463" s="73"/>
      <c r="DX463" s="73"/>
      <c r="DY463" s="73"/>
      <c r="DZ463" s="73"/>
      <c r="EA463" s="73"/>
      <c r="EB463" s="73"/>
      <c r="EC463" s="73"/>
      <c r="ED463" s="73"/>
      <c r="EE463" s="73"/>
      <c r="EF463" s="73"/>
      <c r="FJ463" s="73"/>
      <c r="FK463" s="73"/>
      <c r="FL463" s="73"/>
      <c r="FM463" s="73"/>
      <c r="FN463" s="73"/>
      <c r="FO463" s="73"/>
      <c r="FP463" s="73"/>
      <c r="FQ463" s="73"/>
      <c r="FR463" s="73"/>
      <c r="FS463" s="73"/>
      <c r="FT463" s="73"/>
      <c r="FU463" s="73"/>
      <c r="FV463" s="73"/>
      <c r="FW463" s="73"/>
      <c r="FX463" s="73"/>
      <c r="GO463" s="73"/>
      <c r="GP463" s="73"/>
      <c r="HE463" s="73"/>
      <c r="HU463" s="73"/>
      <c r="HV463" s="182"/>
    </row>
    <row r="464" spans="1:230" x14ac:dyDescent="0.25">
      <c r="A464" s="30"/>
      <c r="B464" s="30"/>
      <c r="C464" s="30"/>
      <c r="D464" s="30"/>
      <c r="G464" s="30"/>
      <c r="H464" s="30"/>
      <c r="I464" s="30"/>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c r="CE464" s="73"/>
      <c r="CF464" s="73"/>
      <c r="CG464" s="73"/>
      <c r="CH464" s="73"/>
      <c r="CI464" s="73"/>
      <c r="CJ464" s="73"/>
      <c r="CK464" s="73"/>
      <c r="CL464" s="73"/>
      <c r="CM464" s="73"/>
      <c r="CN464" s="73"/>
      <c r="CO464" s="73"/>
      <c r="CP464" s="73"/>
      <c r="CQ464" s="73"/>
      <c r="CR464" s="73"/>
      <c r="CS464" s="73"/>
      <c r="CT464" s="73"/>
      <c r="CU464" s="73"/>
      <c r="CV464" s="73"/>
      <c r="CW464" s="73"/>
      <c r="CX464" s="73"/>
      <c r="CY464" s="73"/>
      <c r="CZ464" s="73"/>
      <c r="DA464" s="73"/>
      <c r="DB464" s="73"/>
      <c r="DC464" s="73"/>
      <c r="DD464" s="73"/>
      <c r="DE464" s="73"/>
      <c r="DF464" s="73"/>
      <c r="DG464" s="73"/>
      <c r="DH464" s="73"/>
      <c r="DI464" s="73"/>
      <c r="DJ464" s="73"/>
      <c r="DK464" s="73"/>
      <c r="DL464" s="73"/>
      <c r="DM464" s="73"/>
      <c r="DN464" s="73"/>
      <c r="DO464" s="73"/>
      <c r="DP464" s="73"/>
      <c r="DQ464" s="73"/>
      <c r="DR464" s="73"/>
      <c r="DS464" s="73"/>
      <c r="DT464" s="73"/>
      <c r="DU464" s="73"/>
      <c r="DV464" s="73"/>
      <c r="DW464" s="73"/>
      <c r="DX464" s="73"/>
      <c r="DY464" s="73"/>
      <c r="DZ464" s="73"/>
      <c r="EA464" s="73"/>
      <c r="EB464" s="73"/>
      <c r="EC464" s="73"/>
      <c r="ED464" s="73"/>
      <c r="EE464" s="73"/>
      <c r="EF464" s="73"/>
      <c r="FJ464" s="73"/>
      <c r="FK464" s="73"/>
      <c r="FL464" s="73"/>
      <c r="FM464" s="73"/>
      <c r="FN464" s="73"/>
      <c r="FO464" s="73"/>
      <c r="FP464" s="73"/>
      <c r="FQ464" s="73"/>
      <c r="FR464" s="73"/>
      <c r="FS464" s="73"/>
      <c r="FT464" s="73"/>
      <c r="FU464" s="73"/>
      <c r="FV464" s="73"/>
      <c r="FW464" s="73"/>
      <c r="FX464" s="73"/>
      <c r="GO464" s="73"/>
      <c r="GP464" s="73"/>
      <c r="HE464" s="73"/>
      <c r="HU464" s="73"/>
      <c r="HV464" s="182"/>
    </row>
    <row r="465" spans="1:230" x14ac:dyDescent="0.25">
      <c r="A465" s="30"/>
      <c r="B465" s="30"/>
      <c r="C465" s="30"/>
      <c r="D465" s="30"/>
      <c r="G465" s="30"/>
      <c r="H465" s="30"/>
      <c r="I465" s="30"/>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3"/>
      <c r="CK465" s="73"/>
      <c r="CL465" s="73"/>
      <c r="CM465" s="73"/>
      <c r="CN465" s="73"/>
      <c r="CO465" s="73"/>
      <c r="CP465" s="73"/>
      <c r="CQ465" s="73"/>
      <c r="CR465" s="73"/>
      <c r="CS465" s="73"/>
      <c r="CT465" s="73"/>
      <c r="CU465" s="73"/>
      <c r="CV465" s="73"/>
      <c r="CW465" s="73"/>
      <c r="CX465" s="73"/>
      <c r="CY465" s="73"/>
      <c r="CZ465" s="73"/>
      <c r="DA465" s="73"/>
      <c r="DB465" s="73"/>
      <c r="DC465" s="73"/>
      <c r="DD465" s="73"/>
      <c r="DE465" s="73"/>
      <c r="DF465" s="73"/>
      <c r="DG465" s="73"/>
      <c r="DH465" s="73"/>
      <c r="DI465" s="73"/>
      <c r="DJ465" s="73"/>
      <c r="DK465" s="73"/>
      <c r="DL465" s="73"/>
      <c r="DM465" s="73"/>
      <c r="DN465" s="73"/>
      <c r="DO465" s="73"/>
      <c r="DP465" s="73"/>
      <c r="DQ465" s="73"/>
      <c r="DR465" s="73"/>
      <c r="DS465" s="73"/>
      <c r="DT465" s="73"/>
      <c r="DU465" s="73"/>
      <c r="DV465" s="73"/>
      <c r="DW465" s="73"/>
      <c r="DX465" s="73"/>
      <c r="DY465" s="73"/>
      <c r="DZ465" s="73"/>
      <c r="EA465" s="73"/>
      <c r="EB465" s="73"/>
      <c r="EC465" s="73"/>
      <c r="ED465" s="73"/>
      <c r="EE465" s="73"/>
      <c r="EF465" s="73"/>
      <c r="FJ465" s="73"/>
      <c r="FK465" s="73"/>
      <c r="FL465" s="73"/>
      <c r="FM465" s="73"/>
      <c r="FN465" s="73"/>
      <c r="FO465" s="73"/>
      <c r="FP465" s="73"/>
      <c r="FQ465" s="73"/>
      <c r="FR465" s="73"/>
      <c r="FS465" s="73"/>
      <c r="FT465" s="73"/>
      <c r="FU465" s="73"/>
      <c r="FV465" s="73"/>
      <c r="FW465" s="73"/>
      <c r="FX465" s="73"/>
      <c r="GO465" s="73"/>
      <c r="GP465" s="73"/>
      <c r="HE465" s="73"/>
      <c r="HU465" s="73"/>
      <c r="HV465" s="182"/>
    </row>
    <row r="466" spans="1:230" x14ac:dyDescent="0.25">
      <c r="A466" s="30"/>
      <c r="B466" s="30"/>
      <c r="C466" s="30"/>
      <c r="D466" s="30"/>
      <c r="G466" s="30"/>
      <c r="H466" s="30"/>
      <c r="I466" s="30"/>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c r="CC466" s="73"/>
      <c r="CD466" s="73"/>
      <c r="CE466" s="73"/>
      <c r="CF466" s="73"/>
      <c r="CG466" s="73"/>
      <c r="CH466" s="73"/>
      <c r="CI466" s="73"/>
      <c r="CJ466" s="73"/>
      <c r="CK466" s="73"/>
      <c r="CL466" s="73"/>
      <c r="CM466" s="73"/>
      <c r="CN466" s="73"/>
      <c r="CO466" s="73"/>
      <c r="CP466" s="73"/>
      <c r="CQ466" s="73"/>
      <c r="CR466" s="73"/>
      <c r="CS466" s="73"/>
      <c r="CT466" s="73"/>
      <c r="CU466" s="73"/>
      <c r="CV466" s="73"/>
      <c r="CW466" s="73"/>
      <c r="CX466" s="73"/>
      <c r="CY466" s="73"/>
      <c r="CZ466" s="73"/>
      <c r="DA466" s="73"/>
      <c r="DB466" s="73"/>
      <c r="DC466" s="73"/>
      <c r="DD466" s="73"/>
      <c r="DE466" s="73"/>
      <c r="DF466" s="73"/>
      <c r="DG466" s="73"/>
      <c r="DH466" s="73"/>
      <c r="DI466" s="73"/>
      <c r="DJ466" s="73"/>
      <c r="DK466" s="73"/>
      <c r="DL466" s="73"/>
      <c r="DM466" s="73"/>
      <c r="DN466" s="73"/>
      <c r="DO466" s="73"/>
      <c r="DP466" s="73"/>
      <c r="DQ466" s="73"/>
      <c r="DR466" s="73"/>
      <c r="DS466" s="73"/>
      <c r="DT466" s="73"/>
      <c r="DU466" s="73"/>
      <c r="DV466" s="73"/>
      <c r="DW466" s="73"/>
      <c r="DX466" s="73"/>
      <c r="DY466" s="73"/>
      <c r="DZ466" s="73"/>
      <c r="EA466" s="73"/>
      <c r="EB466" s="73"/>
      <c r="EC466" s="73"/>
      <c r="ED466" s="73"/>
      <c r="EE466" s="73"/>
      <c r="EF466" s="73"/>
      <c r="FJ466" s="73"/>
      <c r="FK466" s="73"/>
      <c r="FL466" s="73"/>
      <c r="FM466" s="73"/>
      <c r="FN466" s="73"/>
      <c r="FO466" s="73"/>
      <c r="FP466" s="73"/>
      <c r="FQ466" s="73"/>
      <c r="FR466" s="73"/>
      <c r="FS466" s="73"/>
      <c r="FT466" s="73"/>
      <c r="FU466" s="73"/>
      <c r="FV466" s="73"/>
      <c r="FW466" s="73"/>
      <c r="FX466" s="73"/>
      <c r="GO466" s="73"/>
      <c r="GP466" s="73"/>
      <c r="HE466" s="73"/>
      <c r="HU466" s="73"/>
      <c r="HV466" s="182"/>
    </row>
    <row r="467" spans="1:230" x14ac:dyDescent="0.25">
      <c r="A467" s="30"/>
      <c r="B467" s="30"/>
      <c r="C467" s="30"/>
      <c r="D467" s="30"/>
      <c r="G467" s="30"/>
      <c r="H467" s="30"/>
      <c r="I467" s="30"/>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c r="CC467" s="73"/>
      <c r="CD467" s="73"/>
      <c r="CE467" s="73"/>
      <c r="CF467" s="73"/>
      <c r="CG467" s="73"/>
      <c r="CH467" s="73"/>
      <c r="CI467" s="73"/>
      <c r="CJ467" s="73"/>
      <c r="CK467" s="73"/>
      <c r="CL467" s="73"/>
      <c r="CM467" s="73"/>
      <c r="CN467" s="73"/>
      <c r="CO467" s="73"/>
      <c r="CP467" s="73"/>
      <c r="CQ467" s="73"/>
      <c r="CR467" s="73"/>
      <c r="CS467" s="73"/>
      <c r="CT467" s="73"/>
      <c r="CU467" s="73"/>
      <c r="CV467" s="73"/>
      <c r="CW467" s="73"/>
      <c r="CX467" s="73"/>
      <c r="CY467" s="73"/>
      <c r="CZ467" s="73"/>
      <c r="DA467" s="73"/>
      <c r="DB467" s="73"/>
      <c r="DC467" s="73"/>
      <c r="DD467" s="73"/>
      <c r="DE467" s="73"/>
      <c r="DF467" s="73"/>
      <c r="DG467" s="73"/>
      <c r="DH467" s="73"/>
      <c r="DI467" s="73"/>
      <c r="DJ467" s="73"/>
      <c r="DK467" s="73"/>
      <c r="DL467" s="73"/>
      <c r="DM467" s="73"/>
      <c r="DN467" s="73"/>
      <c r="DO467" s="73"/>
      <c r="DP467" s="73"/>
      <c r="DQ467" s="73"/>
      <c r="DR467" s="73"/>
      <c r="DS467" s="73"/>
      <c r="DT467" s="73"/>
      <c r="DU467" s="73"/>
      <c r="DV467" s="73"/>
      <c r="DW467" s="73"/>
      <c r="DX467" s="73"/>
      <c r="DY467" s="73"/>
      <c r="DZ467" s="73"/>
      <c r="EA467" s="73"/>
      <c r="EB467" s="73"/>
      <c r="EC467" s="73"/>
      <c r="ED467" s="73"/>
      <c r="EE467" s="73"/>
      <c r="EF467" s="73"/>
      <c r="FJ467" s="73"/>
      <c r="FK467" s="73"/>
      <c r="FL467" s="73"/>
      <c r="FM467" s="73"/>
      <c r="FN467" s="73"/>
      <c r="FO467" s="73"/>
      <c r="FP467" s="73"/>
      <c r="FQ467" s="73"/>
      <c r="FR467" s="73"/>
      <c r="FS467" s="73"/>
      <c r="FT467" s="73"/>
      <c r="FU467" s="73"/>
      <c r="FV467" s="73"/>
      <c r="FW467" s="73"/>
      <c r="FX467" s="73"/>
      <c r="GO467" s="73"/>
      <c r="GP467" s="73"/>
      <c r="HE467" s="73"/>
      <c r="HU467" s="73"/>
      <c r="HV467" s="182"/>
    </row>
    <row r="468" spans="1:230" x14ac:dyDescent="0.25">
      <c r="A468" s="30"/>
      <c r="B468" s="30"/>
      <c r="C468" s="30"/>
      <c r="D468" s="30"/>
      <c r="G468" s="30"/>
      <c r="H468" s="30"/>
      <c r="I468" s="30"/>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c r="CC468" s="73"/>
      <c r="CD468" s="73"/>
      <c r="CE468" s="73"/>
      <c r="CF468" s="73"/>
      <c r="CG468" s="73"/>
      <c r="CH468" s="73"/>
      <c r="CI468" s="73"/>
      <c r="CJ468" s="73"/>
      <c r="CK468" s="73"/>
      <c r="CL468" s="73"/>
      <c r="CM468" s="73"/>
      <c r="CN468" s="73"/>
      <c r="CO468" s="73"/>
      <c r="CP468" s="73"/>
      <c r="CQ468" s="73"/>
      <c r="CR468" s="73"/>
      <c r="CS468" s="73"/>
      <c r="CT468" s="73"/>
      <c r="CU468" s="73"/>
      <c r="CV468" s="73"/>
      <c r="CW468" s="73"/>
      <c r="CX468" s="73"/>
      <c r="CY468" s="73"/>
      <c r="CZ468" s="73"/>
      <c r="DA468" s="73"/>
      <c r="DB468" s="73"/>
      <c r="DC468" s="73"/>
      <c r="DD468" s="73"/>
      <c r="DE468" s="73"/>
      <c r="DF468" s="73"/>
      <c r="DG468" s="73"/>
      <c r="DH468" s="73"/>
      <c r="DI468" s="73"/>
      <c r="DJ468" s="73"/>
      <c r="DK468" s="73"/>
      <c r="DL468" s="73"/>
      <c r="DM468" s="73"/>
      <c r="DN468" s="73"/>
      <c r="DO468" s="73"/>
      <c r="DP468" s="73"/>
      <c r="DQ468" s="73"/>
      <c r="DR468" s="73"/>
      <c r="DS468" s="73"/>
      <c r="DT468" s="73"/>
      <c r="DU468" s="73"/>
      <c r="DV468" s="73"/>
      <c r="DW468" s="73"/>
      <c r="DX468" s="73"/>
      <c r="DY468" s="73"/>
      <c r="DZ468" s="73"/>
      <c r="EA468" s="73"/>
      <c r="EB468" s="73"/>
      <c r="EC468" s="73"/>
      <c r="ED468" s="73"/>
      <c r="EE468" s="73"/>
      <c r="EF468" s="73"/>
      <c r="FJ468" s="73"/>
      <c r="FK468" s="73"/>
      <c r="FL468" s="73"/>
      <c r="FM468" s="73"/>
      <c r="FN468" s="73"/>
      <c r="FO468" s="73"/>
      <c r="FP468" s="73"/>
      <c r="FQ468" s="73"/>
      <c r="FR468" s="73"/>
      <c r="FS468" s="73"/>
      <c r="FT468" s="73"/>
      <c r="FU468" s="73"/>
      <c r="FV468" s="73"/>
      <c r="FW468" s="73"/>
      <c r="FX468" s="73"/>
      <c r="GO468" s="73"/>
      <c r="GP468" s="73"/>
      <c r="HE468" s="73"/>
      <c r="HU468" s="73"/>
      <c r="HV468" s="182"/>
    </row>
    <row r="469" spans="1:230" x14ac:dyDescent="0.25">
      <c r="A469" s="30"/>
      <c r="B469" s="30"/>
      <c r="C469" s="30"/>
      <c r="D469" s="30"/>
      <c r="G469" s="30"/>
      <c r="H469" s="30"/>
      <c r="I469" s="30"/>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3"/>
      <c r="CK469" s="73"/>
      <c r="CL469" s="73"/>
      <c r="CM469" s="73"/>
      <c r="CN469" s="73"/>
      <c r="CO469" s="73"/>
      <c r="CP469" s="73"/>
      <c r="CQ469" s="73"/>
      <c r="CR469" s="73"/>
      <c r="CS469" s="73"/>
      <c r="CT469" s="73"/>
      <c r="CU469" s="73"/>
      <c r="CV469" s="73"/>
      <c r="CW469" s="73"/>
      <c r="CX469" s="73"/>
      <c r="CY469" s="73"/>
      <c r="CZ469" s="73"/>
      <c r="DA469" s="73"/>
      <c r="DB469" s="73"/>
      <c r="DC469" s="73"/>
      <c r="DD469" s="73"/>
      <c r="DE469" s="73"/>
      <c r="DF469" s="73"/>
      <c r="DG469" s="73"/>
      <c r="DH469" s="73"/>
      <c r="DI469" s="73"/>
      <c r="DJ469" s="73"/>
      <c r="DK469" s="73"/>
      <c r="DL469" s="73"/>
      <c r="DM469" s="73"/>
      <c r="DN469" s="73"/>
      <c r="DO469" s="73"/>
      <c r="DP469" s="73"/>
      <c r="DQ469" s="73"/>
      <c r="DR469" s="73"/>
      <c r="DS469" s="73"/>
      <c r="DT469" s="73"/>
      <c r="DU469" s="73"/>
      <c r="DV469" s="73"/>
      <c r="DW469" s="73"/>
      <c r="DX469" s="73"/>
      <c r="DY469" s="73"/>
      <c r="DZ469" s="73"/>
      <c r="EA469" s="73"/>
      <c r="EB469" s="73"/>
      <c r="EC469" s="73"/>
      <c r="ED469" s="73"/>
      <c r="EE469" s="73"/>
      <c r="EF469" s="73"/>
      <c r="FJ469" s="73"/>
      <c r="FK469" s="73"/>
      <c r="FL469" s="73"/>
      <c r="FM469" s="73"/>
      <c r="FN469" s="73"/>
      <c r="FO469" s="73"/>
      <c r="FP469" s="73"/>
      <c r="FQ469" s="73"/>
      <c r="FR469" s="73"/>
      <c r="FS469" s="73"/>
      <c r="FT469" s="73"/>
      <c r="FU469" s="73"/>
      <c r="FV469" s="73"/>
      <c r="FW469" s="73"/>
      <c r="FX469" s="73"/>
      <c r="GO469" s="73"/>
      <c r="GP469" s="73"/>
      <c r="HE469" s="73"/>
      <c r="HU469" s="73"/>
      <c r="HV469" s="182"/>
    </row>
    <row r="470" spans="1:230" x14ac:dyDescent="0.25">
      <c r="A470" s="30"/>
      <c r="B470" s="30"/>
      <c r="C470" s="30"/>
      <c r="D470" s="30"/>
      <c r="G470" s="30"/>
      <c r="H470" s="30"/>
      <c r="I470" s="30"/>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c r="CC470" s="73"/>
      <c r="CD470" s="73"/>
      <c r="CE470" s="73"/>
      <c r="CF470" s="73"/>
      <c r="CG470" s="73"/>
      <c r="CH470" s="73"/>
      <c r="CI470" s="73"/>
      <c r="CJ470" s="73"/>
      <c r="CK470" s="73"/>
      <c r="CL470" s="73"/>
      <c r="CM470" s="73"/>
      <c r="CN470" s="73"/>
      <c r="CO470" s="73"/>
      <c r="CP470" s="73"/>
      <c r="CQ470" s="73"/>
      <c r="CR470" s="73"/>
      <c r="CS470" s="73"/>
      <c r="CT470" s="73"/>
      <c r="CU470" s="73"/>
      <c r="CV470" s="73"/>
      <c r="CW470" s="73"/>
      <c r="CX470" s="73"/>
      <c r="CY470" s="73"/>
      <c r="CZ470" s="73"/>
      <c r="DA470" s="73"/>
      <c r="DB470" s="73"/>
      <c r="DC470" s="73"/>
      <c r="DD470" s="73"/>
      <c r="DE470" s="73"/>
      <c r="DF470" s="73"/>
      <c r="DG470" s="73"/>
      <c r="DH470" s="73"/>
      <c r="DI470" s="73"/>
      <c r="DJ470" s="73"/>
      <c r="DK470" s="73"/>
      <c r="DL470" s="73"/>
      <c r="DM470" s="73"/>
      <c r="DN470" s="73"/>
      <c r="DO470" s="73"/>
      <c r="DP470" s="73"/>
      <c r="DQ470" s="73"/>
      <c r="DR470" s="73"/>
      <c r="DS470" s="73"/>
      <c r="DT470" s="73"/>
      <c r="DU470" s="73"/>
      <c r="DV470" s="73"/>
      <c r="DW470" s="73"/>
      <c r="DX470" s="73"/>
      <c r="DY470" s="73"/>
      <c r="DZ470" s="73"/>
      <c r="EA470" s="73"/>
      <c r="EB470" s="73"/>
      <c r="EC470" s="73"/>
      <c r="ED470" s="73"/>
      <c r="EE470" s="73"/>
      <c r="EF470" s="73"/>
      <c r="FJ470" s="73"/>
      <c r="FK470" s="73"/>
      <c r="FL470" s="73"/>
      <c r="FM470" s="73"/>
      <c r="FN470" s="73"/>
      <c r="FO470" s="73"/>
      <c r="FP470" s="73"/>
      <c r="FQ470" s="73"/>
      <c r="FR470" s="73"/>
      <c r="FS470" s="73"/>
      <c r="FT470" s="73"/>
      <c r="FU470" s="73"/>
      <c r="FV470" s="73"/>
      <c r="FW470" s="73"/>
      <c r="FX470" s="73"/>
      <c r="GO470" s="73"/>
      <c r="GP470" s="73"/>
      <c r="HE470" s="73"/>
      <c r="HU470" s="73"/>
      <c r="HV470" s="182"/>
    </row>
    <row r="471" spans="1:230" x14ac:dyDescent="0.25">
      <c r="A471" s="30"/>
      <c r="B471" s="30"/>
      <c r="C471" s="30"/>
      <c r="D471" s="30"/>
      <c r="G471" s="30"/>
      <c r="H471" s="30"/>
      <c r="I471" s="30"/>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c r="CC471" s="73"/>
      <c r="CD471" s="73"/>
      <c r="CE471" s="73"/>
      <c r="CF471" s="73"/>
      <c r="CG471" s="73"/>
      <c r="CH471" s="73"/>
      <c r="CI471" s="73"/>
      <c r="CJ471" s="73"/>
      <c r="CK471" s="73"/>
      <c r="CL471" s="73"/>
      <c r="CM471" s="73"/>
      <c r="CN471" s="73"/>
      <c r="CO471" s="73"/>
      <c r="CP471" s="73"/>
      <c r="CQ471" s="73"/>
      <c r="CR471" s="73"/>
      <c r="CS471" s="73"/>
      <c r="CT471" s="73"/>
      <c r="CU471" s="73"/>
      <c r="CV471" s="73"/>
      <c r="CW471" s="73"/>
      <c r="CX471" s="73"/>
      <c r="CY471" s="73"/>
      <c r="CZ471" s="73"/>
      <c r="DA471" s="73"/>
      <c r="DB471" s="73"/>
      <c r="DC471" s="73"/>
      <c r="DD471" s="73"/>
      <c r="DE471" s="73"/>
      <c r="DF471" s="73"/>
      <c r="DG471" s="73"/>
      <c r="DH471" s="73"/>
      <c r="DI471" s="73"/>
      <c r="DJ471" s="73"/>
      <c r="DK471" s="73"/>
      <c r="DL471" s="73"/>
      <c r="DM471" s="73"/>
      <c r="DN471" s="73"/>
      <c r="DO471" s="73"/>
      <c r="DP471" s="73"/>
      <c r="DQ471" s="73"/>
      <c r="DR471" s="73"/>
      <c r="DS471" s="73"/>
      <c r="DT471" s="73"/>
      <c r="DU471" s="73"/>
      <c r="DV471" s="73"/>
      <c r="DW471" s="73"/>
      <c r="DX471" s="73"/>
      <c r="DY471" s="73"/>
      <c r="DZ471" s="73"/>
      <c r="EA471" s="73"/>
      <c r="EB471" s="73"/>
      <c r="EC471" s="73"/>
      <c r="ED471" s="73"/>
      <c r="EE471" s="73"/>
      <c r="EF471" s="73"/>
      <c r="FJ471" s="73"/>
      <c r="FK471" s="73"/>
      <c r="FL471" s="73"/>
      <c r="FM471" s="73"/>
      <c r="FN471" s="73"/>
      <c r="FO471" s="73"/>
      <c r="FP471" s="73"/>
      <c r="FQ471" s="73"/>
      <c r="FR471" s="73"/>
      <c r="FS471" s="73"/>
      <c r="FT471" s="73"/>
      <c r="FU471" s="73"/>
      <c r="FV471" s="73"/>
      <c r="FW471" s="73"/>
      <c r="FX471" s="73"/>
      <c r="GO471" s="73"/>
      <c r="GP471" s="73"/>
      <c r="HE471" s="73"/>
      <c r="HU471" s="73"/>
      <c r="HV471" s="182"/>
    </row>
    <row r="472" spans="1:230" x14ac:dyDescent="0.25">
      <c r="A472" s="30"/>
      <c r="B472" s="30"/>
      <c r="C472" s="30"/>
      <c r="D472" s="30"/>
      <c r="G472" s="30"/>
      <c r="H472" s="30"/>
      <c r="I472" s="30"/>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c r="CC472" s="73"/>
      <c r="CD472" s="73"/>
      <c r="CE472" s="73"/>
      <c r="CF472" s="73"/>
      <c r="CG472" s="73"/>
      <c r="CH472" s="73"/>
      <c r="CI472" s="73"/>
      <c r="CJ472" s="73"/>
      <c r="CK472" s="73"/>
      <c r="CL472" s="73"/>
      <c r="CM472" s="73"/>
      <c r="CN472" s="73"/>
      <c r="CO472" s="73"/>
      <c r="CP472" s="73"/>
      <c r="CQ472" s="73"/>
      <c r="CR472" s="73"/>
      <c r="CS472" s="73"/>
      <c r="CT472" s="73"/>
      <c r="CU472" s="73"/>
      <c r="CV472" s="73"/>
      <c r="CW472" s="73"/>
      <c r="CX472" s="73"/>
      <c r="CY472" s="73"/>
      <c r="CZ472" s="73"/>
      <c r="DA472" s="73"/>
      <c r="DB472" s="73"/>
      <c r="DC472" s="73"/>
      <c r="DD472" s="73"/>
      <c r="DE472" s="73"/>
      <c r="DF472" s="73"/>
      <c r="DG472" s="73"/>
      <c r="DH472" s="73"/>
      <c r="DI472" s="73"/>
      <c r="DJ472" s="73"/>
      <c r="DK472" s="73"/>
      <c r="DL472" s="73"/>
      <c r="DM472" s="73"/>
      <c r="DN472" s="73"/>
      <c r="DO472" s="73"/>
      <c r="DP472" s="73"/>
      <c r="DQ472" s="73"/>
      <c r="DR472" s="73"/>
      <c r="DS472" s="73"/>
      <c r="DT472" s="73"/>
      <c r="DU472" s="73"/>
      <c r="DV472" s="73"/>
      <c r="DW472" s="73"/>
      <c r="DX472" s="73"/>
      <c r="DY472" s="73"/>
      <c r="DZ472" s="73"/>
      <c r="EA472" s="73"/>
      <c r="EB472" s="73"/>
      <c r="EC472" s="73"/>
      <c r="ED472" s="73"/>
      <c r="EE472" s="73"/>
      <c r="EF472" s="73"/>
      <c r="FJ472" s="73"/>
      <c r="FK472" s="73"/>
      <c r="FL472" s="73"/>
      <c r="FM472" s="73"/>
      <c r="FN472" s="73"/>
      <c r="FO472" s="73"/>
      <c r="FP472" s="73"/>
      <c r="FQ472" s="73"/>
      <c r="FR472" s="73"/>
      <c r="FS472" s="73"/>
      <c r="FT472" s="73"/>
      <c r="FU472" s="73"/>
      <c r="FV472" s="73"/>
      <c r="FW472" s="73"/>
      <c r="FX472" s="73"/>
      <c r="GO472" s="73"/>
      <c r="GP472" s="73"/>
      <c r="HE472" s="73"/>
      <c r="HU472" s="73"/>
      <c r="HV472" s="182"/>
    </row>
    <row r="473" spans="1:230" x14ac:dyDescent="0.25">
      <c r="A473" s="30"/>
      <c r="B473" s="30"/>
      <c r="C473" s="30"/>
      <c r="D473" s="30"/>
      <c r="G473" s="30"/>
      <c r="H473" s="30"/>
      <c r="I473" s="30"/>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3"/>
      <c r="CK473" s="73"/>
      <c r="CL473" s="73"/>
      <c r="CM473" s="73"/>
      <c r="CN473" s="73"/>
      <c r="CO473" s="73"/>
      <c r="CP473" s="73"/>
      <c r="CQ473" s="73"/>
      <c r="CR473" s="73"/>
      <c r="CS473" s="73"/>
      <c r="CT473" s="73"/>
      <c r="CU473" s="73"/>
      <c r="CV473" s="73"/>
      <c r="CW473" s="73"/>
      <c r="CX473" s="73"/>
      <c r="CY473" s="73"/>
      <c r="CZ473" s="73"/>
      <c r="DA473" s="73"/>
      <c r="DB473" s="73"/>
      <c r="DC473" s="73"/>
      <c r="DD473" s="73"/>
      <c r="DE473" s="73"/>
      <c r="DF473" s="73"/>
      <c r="DG473" s="73"/>
      <c r="DH473" s="73"/>
      <c r="DI473" s="73"/>
      <c r="DJ473" s="73"/>
      <c r="DK473" s="73"/>
      <c r="DL473" s="73"/>
      <c r="DM473" s="73"/>
      <c r="DN473" s="73"/>
      <c r="DO473" s="73"/>
      <c r="DP473" s="73"/>
      <c r="DQ473" s="73"/>
      <c r="DR473" s="73"/>
      <c r="DS473" s="73"/>
      <c r="DT473" s="73"/>
      <c r="DU473" s="73"/>
      <c r="DV473" s="73"/>
      <c r="DW473" s="73"/>
      <c r="DX473" s="73"/>
      <c r="DY473" s="73"/>
      <c r="DZ473" s="73"/>
      <c r="EA473" s="73"/>
      <c r="EB473" s="73"/>
      <c r="EC473" s="73"/>
      <c r="ED473" s="73"/>
      <c r="EE473" s="73"/>
      <c r="EF473" s="73"/>
      <c r="FJ473" s="73"/>
      <c r="FK473" s="73"/>
      <c r="FL473" s="73"/>
      <c r="FM473" s="73"/>
      <c r="FN473" s="73"/>
      <c r="FO473" s="73"/>
      <c r="FP473" s="73"/>
      <c r="FQ473" s="73"/>
      <c r="FR473" s="73"/>
      <c r="FS473" s="73"/>
      <c r="FT473" s="73"/>
      <c r="FU473" s="73"/>
      <c r="FV473" s="73"/>
      <c r="FW473" s="73"/>
      <c r="FX473" s="73"/>
      <c r="GO473" s="73"/>
      <c r="GP473" s="73"/>
      <c r="HE473" s="73"/>
      <c r="HU473" s="73"/>
      <c r="HV473" s="182"/>
    </row>
    <row r="474" spans="1:230" x14ac:dyDescent="0.25">
      <c r="A474" s="30"/>
      <c r="B474" s="30"/>
      <c r="C474" s="30"/>
      <c r="D474" s="30"/>
      <c r="G474" s="30"/>
      <c r="H474" s="30"/>
      <c r="I474" s="30"/>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c r="CE474" s="73"/>
      <c r="CF474" s="73"/>
      <c r="CG474" s="73"/>
      <c r="CH474" s="73"/>
      <c r="CI474" s="73"/>
      <c r="CJ474" s="73"/>
      <c r="CK474" s="73"/>
      <c r="CL474" s="73"/>
      <c r="CM474" s="73"/>
      <c r="CN474" s="73"/>
      <c r="CO474" s="73"/>
      <c r="CP474" s="73"/>
      <c r="CQ474" s="73"/>
      <c r="CR474" s="73"/>
      <c r="CS474" s="73"/>
      <c r="CT474" s="73"/>
      <c r="CU474" s="73"/>
      <c r="CV474" s="73"/>
      <c r="CW474" s="73"/>
      <c r="CX474" s="73"/>
      <c r="CY474" s="73"/>
      <c r="CZ474" s="73"/>
      <c r="DA474" s="73"/>
      <c r="DB474" s="73"/>
      <c r="DC474" s="73"/>
      <c r="DD474" s="73"/>
      <c r="DE474" s="73"/>
      <c r="DF474" s="73"/>
      <c r="DG474" s="73"/>
      <c r="DH474" s="73"/>
      <c r="DI474" s="73"/>
      <c r="DJ474" s="73"/>
      <c r="DK474" s="73"/>
      <c r="DL474" s="73"/>
      <c r="DM474" s="73"/>
      <c r="DN474" s="73"/>
      <c r="DO474" s="73"/>
      <c r="DP474" s="73"/>
      <c r="DQ474" s="73"/>
      <c r="DR474" s="73"/>
      <c r="DS474" s="73"/>
      <c r="DT474" s="73"/>
      <c r="DU474" s="73"/>
      <c r="DV474" s="73"/>
      <c r="DW474" s="73"/>
      <c r="DX474" s="73"/>
      <c r="DY474" s="73"/>
      <c r="DZ474" s="73"/>
      <c r="EA474" s="73"/>
      <c r="EB474" s="73"/>
      <c r="EC474" s="73"/>
      <c r="ED474" s="73"/>
      <c r="EE474" s="73"/>
      <c r="EF474" s="73"/>
      <c r="FJ474" s="73"/>
      <c r="FK474" s="73"/>
      <c r="FL474" s="73"/>
      <c r="FM474" s="73"/>
      <c r="FN474" s="73"/>
      <c r="FO474" s="73"/>
      <c r="FP474" s="73"/>
      <c r="FQ474" s="73"/>
      <c r="FR474" s="73"/>
      <c r="FS474" s="73"/>
      <c r="FT474" s="73"/>
      <c r="FU474" s="73"/>
      <c r="FV474" s="73"/>
      <c r="FW474" s="73"/>
      <c r="FX474" s="73"/>
      <c r="GO474" s="73"/>
      <c r="GP474" s="73"/>
      <c r="HE474" s="73"/>
      <c r="HU474" s="73"/>
      <c r="HV474" s="182"/>
    </row>
    <row r="475" spans="1:230" x14ac:dyDescent="0.25">
      <c r="A475" s="30"/>
      <c r="B475" s="30"/>
      <c r="C475" s="30"/>
      <c r="D475" s="30"/>
      <c r="G475" s="30"/>
      <c r="H475" s="30"/>
      <c r="I475" s="30"/>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c r="CE475" s="73"/>
      <c r="CF475" s="73"/>
      <c r="CG475" s="73"/>
      <c r="CH475" s="73"/>
      <c r="CI475" s="73"/>
      <c r="CJ475" s="73"/>
      <c r="CK475" s="73"/>
      <c r="CL475" s="73"/>
      <c r="CM475" s="73"/>
      <c r="CN475" s="73"/>
      <c r="CO475" s="73"/>
      <c r="CP475" s="73"/>
      <c r="CQ475" s="73"/>
      <c r="CR475" s="73"/>
      <c r="CS475" s="73"/>
      <c r="CT475" s="73"/>
      <c r="CU475" s="73"/>
      <c r="CV475" s="73"/>
      <c r="CW475" s="73"/>
      <c r="CX475" s="73"/>
      <c r="CY475" s="73"/>
      <c r="CZ475" s="73"/>
      <c r="DA475" s="73"/>
      <c r="DB475" s="73"/>
      <c r="DC475" s="73"/>
      <c r="DD475" s="73"/>
      <c r="DE475" s="73"/>
      <c r="DF475" s="73"/>
      <c r="DG475" s="73"/>
      <c r="DH475" s="73"/>
      <c r="DI475" s="73"/>
      <c r="DJ475" s="73"/>
      <c r="DK475" s="73"/>
      <c r="DL475" s="73"/>
      <c r="DM475" s="73"/>
      <c r="DN475" s="73"/>
      <c r="DO475" s="73"/>
      <c r="DP475" s="73"/>
      <c r="DQ475" s="73"/>
      <c r="DR475" s="73"/>
      <c r="DS475" s="73"/>
      <c r="DT475" s="73"/>
      <c r="DU475" s="73"/>
      <c r="DV475" s="73"/>
      <c r="DW475" s="73"/>
      <c r="DX475" s="73"/>
      <c r="DY475" s="73"/>
      <c r="DZ475" s="73"/>
      <c r="EA475" s="73"/>
      <c r="EB475" s="73"/>
      <c r="EC475" s="73"/>
      <c r="ED475" s="73"/>
      <c r="EE475" s="73"/>
      <c r="EF475" s="73"/>
      <c r="FJ475" s="73"/>
      <c r="FK475" s="73"/>
      <c r="FL475" s="73"/>
      <c r="FM475" s="73"/>
      <c r="FN475" s="73"/>
      <c r="FO475" s="73"/>
      <c r="FP475" s="73"/>
      <c r="FQ475" s="73"/>
      <c r="FR475" s="73"/>
      <c r="FS475" s="73"/>
      <c r="FT475" s="73"/>
      <c r="FU475" s="73"/>
      <c r="FV475" s="73"/>
      <c r="FW475" s="73"/>
      <c r="FX475" s="73"/>
      <c r="GO475" s="73"/>
      <c r="GP475" s="73"/>
      <c r="HE475" s="73"/>
      <c r="HU475" s="73"/>
      <c r="HV475" s="182"/>
    </row>
    <row r="476" spans="1:230" x14ac:dyDescent="0.25">
      <c r="A476" s="30"/>
      <c r="B476" s="30"/>
      <c r="C476" s="30"/>
      <c r="D476" s="30"/>
      <c r="G476" s="30"/>
      <c r="H476" s="30"/>
      <c r="I476" s="30"/>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3"/>
      <c r="CK476" s="73"/>
      <c r="CL476" s="73"/>
      <c r="CM476" s="73"/>
      <c r="CN476" s="73"/>
      <c r="CO476" s="73"/>
      <c r="CP476" s="73"/>
      <c r="CQ476" s="73"/>
      <c r="CR476" s="73"/>
      <c r="CS476" s="73"/>
      <c r="CT476" s="73"/>
      <c r="CU476" s="73"/>
      <c r="CV476" s="73"/>
      <c r="CW476" s="73"/>
      <c r="CX476" s="73"/>
      <c r="CY476" s="73"/>
      <c r="CZ476" s="73"/>
      <c r="DA476" s="73"/>
      <c r="DB476" s="73"/>
      <c r="DC476" s="73"/>
      <c r="DD476" s="73"/>
      <c r="DE476" s="73"/>
      <c r="DF476" s="73"/>
      <c r="DG476" s="73"/>
      <c r="DH476" s="73"/>
      <c r="DI476" s="73"/>
      <c r="DJ476" s="73"/>
      <c r="DK476" s="73"/>
      <c r="DL476" s="73"/>
      <c r="DM476" s="73"/>
      <c r="DN476" s="73"/>
      <c r="DO476" s="73"/>
      <c r="DP476" s="73"/>
      <c r="DQ476" s="73"/>
      <c r="DR476" s="73"/>
      <c r="DS476" s="73"/>
      <c r="DT476" s="73"/>
      <c r="DU476" s="73"/>
      <c r="DV476" s="73"/>
      <c r="DW476" s="73"/>
      <c r="DX476" s="73"/>
      <c r="DY476" s="73"/>
      <c r="DZ476" s="73"/>
      <c r="EA476" s="73"/>
      <c r="EB476" s="73"/>
      <c r="EC476" s="73"/>
      <c r="ED476" s="73"/>
      <c r="EE476" s="73"/>
      <c r="EF476" s="73"/>
      <c r="FJ476" s="73"/>
      <c r="FK476" s="73"/>
      <c r="FL476" s="73"/>
      <c r="FM476" s="73"/>
      <c r="FN476" s="73"/>
      <c r="FO476" s="73"/>
      <c r="FP476" s="73"/>
      <c r="FQ476" s="73"/>
      <c r="FR476" s="73"/>
      <c r="FS476" s="73"/>
      <c r="FT476" s="73"/>
      <c r="FU476" s="73"/>
      <c r="FV476" s="73"/>
      <c r="FW476" s="73"/>
      <c r="FX476" s="73"/>
      <c r="GO476" s="73"/>
      <c r="GP476" s="73"/>
      <c r="HE476" s="73"/>
      <c r="HU476" s="73"/>
      <c r="HV476" s="182"/>
    </row>
    <row r="477" spans="1:230" x14ac:dyDescent="0.25">
      <c r="A477" s="30"/>
      <c r="B477" s="30"/>
      <c r="C477" s="30"/>
      <c r="D477" s="30"/>
      <c r="G477" s="30"/>
      <c r="H477" s="30"/>
      <c r="I477" s="30"/>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3"/>
      <c r="CK477" s="73"/>
      <c r="CL477" s="73"/>
      <c r="CM477" s="73"/>
      <c r="CN477" s="73"/>
      <c r="CO477" s="73"/>
      <c r="CP477" s="73"/>
      <c r="CQ477" s="73"/>
      <c r="CR477" s="73"/>
      <c r="CS477" s="73"/>
      <c r="CT477" s="73"/>
      <c r="CU477" s="73"/>
      <c r="CV477" s="73"/>
      <c r="CW477" s="73"/>
      <c r="CX477" s="73"/>
      <c r="CY477" s="73"/>
      <c r="CZ477" s="73"/>
      <c r="DA477" s="73"/>
      <c r="DB477" s="73"/>
      <c r="DC477" s="73"/>
      <c r="DD477" s="73"/>
      <c r="DE477" s="73"/>
      <c r="DF477" s="73"/>
      <c r="DG477" s="73"/>
      <c r="DH477" s="73"/>
      <c r="DI477" s="73"/>
      <c r="DJ477" s="73"/>
      <c r="DK477" s="73"/>
      <c r="DL477" s="73"/>
      <c r="DM477" s="73"/>
      <c r="DN477" s="73"/>
      <c r="DO477" s="73"/>
      <c r="DP477" s="73"/>
      <c r="DQ477" s="73"/>
      <c r="DR477" s="73"/>
      <c r="DS477" s="73"/>
      <c r="DT477" s="73"/>
      <c r="DU477" s="73"/>
      <c r="DV477" s="73"/>
      <c r="DW477" s="73"/>
      <c r="DX477" s="73"/>
      <c r="DY477" s="73"/>
      <c r="DZ477" s="73"/>
      <c r="EA477" s="73"/>
      <c r="EB477" s="73"/>
      <c r="EC477" s="73"/>
      <c r="ED477" s="73"/>
      <c r="EE477" s="73"/>
      <c r="EF477" s="73"/>
      <c r="FJ477" s="73"/>
      <c r="FK477" s="73"/>
      <c r="FL477" s="73"/>
      <c r="FM477" s="73"/>
      <c r="FN477" s="73"/>
      <c r="FO477" s="73"/>
      <c r="FP477" s="73"/>
      <c r="FQ477" s="73"/>
      <c r="FR477" s="73"/>
      <c r="FS477" s="73"/>
      <c r="FT477" s="73"/>
      <c r="FU477" s="73"/>
      <c r="FV477" s="73"/>
      <c r="FW477" s="73"/>
      <c r="FX477" s="73"/>
      <c r="GO477" s="73"/>
      <c r="GP477" s="73"/>
      <c r="HE477" s="73"/>
      <c r="HU477" s="73"/>
      <c r="HV477" s="182"/>
    </row>
    <row r="478" spans="1:230" x14ac:dyDescent="0.25">
      <c r="A478" s="30"/>
      <c r="B478" s="30"/>
      <c r="C478" s="30"/>
      <c r="D478" s="30"/>
      <c r="G478" s="30"/>
      <c r="H478" s="30"/>
      <c r="I478" s="30"/>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c r="CE478" s="73"/>
      <c r="CF478" s="73"/>
      <c r="CG478" s="73"/>
      <c r="CH478" s="73"/>
      <c r="CI478" s="73"/>
      <c r="CJ478" s="73"/>
      <c r="CK478" s="73"/>
      <c r="CL478" s="73"/>
      <c r="CM478" s="73"/>
      <c r="CN478" s="73"/>
      <c r="CO478" s="73"/>
      <c r="CP478" s="73"/>
      <c r="CQ478" s="73"/>
      <c r="CR478" s="73"/>
      <c r="CS478" s="73"/>
      <c r="CT478" s="73"/>
      <c r="CU478" s="73"/>
      <c r="CV478" s="73"/>
      <c r="CW478" s="73"/>
      <c r="CX478" s="73"/>
      <c r="CY478" s="73"/>
      <c r="CZ478" s="73"/>
      <c r="DA478" s="73"/>
      <c r="DB478" s="73"/>
      <c r="DC478" s="73"/>
      <c r="DD478" s="73"/>
      <c r="DE478" s="73"/>
      <c r="DF478" s="73"/>
      <c r="DG478" s="73"/>
      <c r="DH478" s="73"/>
      <c r="DI478" s="73"/>
      <c r="DJ478" s="73"/>
      <c r="DK478" s="73"/>
      <c r="DL478" s="73"/>
      <c r="DM478" s="73"/>
      <c r="DN478" s="73"/>
      <c r="DO478" s="73"/>
      <c r="DP478" s="73"/>
      <c r="DQ478" s="73"/>
      <c r="DR478" s="73"/>
      <c r="DS478" s="73"/>
      <c r="DT478" s="73"/>
      <c r="DU478" s="73"/>
      <c r="DV478" s="73"/>
      <c r="DW478" s="73"/>
      <c r="DX478" s="73"/>
      <c r="DY478" s="73"/>
      <c r="DZ478" s="73"/>
      <c r="EA478" s="73"/>
      <c r="EB478" s="73"/>
      <c r="EC478" s="73"/>
      <c r="ED478" s="73"/>
      <c r="EE478" s="73"/>
      <c r="EF478" s="73"/>
      <c r="FJ478" s="73"/>
      <c r="FK478" s="73"/>
      <c r="FL478" s="73"/>
      <c r="FM478" s="73"/>
      <c r="FN478" s="73"/>
      <c r="FO478" s="73"/>
      <c r="FP478" s="73"/>
      <c r="FQ478" s="73"/>
      <c r="FR478" s="73"/>
      <c r="FS478" s="73"/>
      <c r="FT478" s="73"/>
      <c r="FU478" s="73"/>
      <c r="FV478" s="73"/>
      <c r="FW478" s="73"/>
      <c r="FX478" s="73"/>
      <c r="GO478" s="73"/>
      <c r="GP478" s="73"/>
      <c r="HE478" s="73"/>
      <c r="HU478" s="73"/>
      <c r="HV478" s="182"/>
    </row>
    <row r="479" spans="1:230" x14ac:dyDescent="0.25">
      <c r="A479" s="30"/>
      <c r="B479" s="30"/>
      <c r="C479" s="30"/>
      <c r="D479" s="30"/>
      <c r="G479" s="30"/>
      <c r="H479" s="30"/>
      <c r="I479" s="30"/>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c r="CN479" s="73"/>
      <c r="CO479" s="73"/>
      <c r="CP479" s="73"/>
      <c r="CQ479" s="73"/>
      <c r="CR479" s="73"/>
      <c r="CS479" s="73"/>
      <c r="CT479" s="73"/>
      <c r="CU479" s="73"/>
      <c r="CV479" s="73"/>
      <c r="CW479" s="73"/>
      <c r="CX479" s="73"/>
      <c r="CY479" s="73"/>
      <c r="CZ479" s="73"/>
      <c r="DA479" s="73"/>
      <c r="DB479" s="73"/>
      <c r="DC479" s="73"/>
      <c r="DD479" s="73"/>
      <c r="DE479" s="73"/>
      <c r="DF479" s="73"/>
      <c r="DG479" s="73"/>
      <c r="DH479" s="73"/>
      <c r="DI479" s="73"/>
      <c r="DJ479" s="73"/>
      <c r="DK479" s="73"/>
      <c r="DL479" s="73"/>
      <c r="DM479" s="73"/>
      <c r="DN479" s="73"/>
      <c r="DO479" s="73"/>
      <c r="DP479" s="73"/>
      <c r="DQ479" s="73"/>
      <c r="DR479" s="73"/>
      <c r="DS479" s="73"/>
      <c r="DT479" s="73"/>
      <c r="DU479" s="73"/>
      <c r="DV479" s="73"/>
      <c r="DW479" s="73"/>
      <c r="DX479" s="73"/>
      <c r="DY479" s="73"/>
      <c r="DZ479" s="73"/>
      <c r="EA479" s="73"/>
      <c r="EB479" s="73"/>
      <c r="EC479" s="73"/>
      <c r="ED479" s="73"/>
      <c r="EE479" s="73"/>
      <c r="EF479" s="73"/>
      <c r="FJ479" s="73"/>
      <c r="FK479" s="73"/>
      <c r="FL479" s="73"/>
      <c r="FM479" s="73"/>
      <c r="FN479" s="73"/>
      <c r="FO479" s="73"/>
      <c r="FP479" s="73"/>
      <c r="FQ479" s="73"/>
      <c r="FR479" s="73"/>
      <c r="FS479" s="73"/>
      <c r="FT479" s="73"/>
      <c r="FU479" s="73"/>
      <c r="FV479" s="73"/>
      <c r="FW479" s="73"/>
      <c r="FX479" s="73"/>
      <c r="GO479" s="73"/>
      <c r="GP479" s="73"/>
      <c r="HE479" s="73"/>
      <c r="HU479" s="73"/>
      <c r="HV479" s="182"/>
    </row>
    <row r="480" spans="1:230" x14ac:dyDescent="0.25">
      <c r="A480" s="30"/>
      <c r="B480" s="30"/>
      <c r="C480" s="30"/>
      <c r="D480" s="30"/>
      <c r="G480" s="30"/>
      <c r="H480" s="30"/>
      <c r="I480" s="30"/>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c r="CC480" s="73"/>
      <c r="CD480" s="73"/>
      <c r="CE480" s="73"/>
      <c r="CF480" s="73"/>
      <c r="CG480" s="73"/>
      <c r="CH480" s="73"/>
      <c r="CI480" s="73"/>
      <c r="CJ480" s="73"/>
      <c r="CK480" s="73"/>
      <c r="CL480" s="73"/>
      <c r="CM480" s="73"/>
      <c r="CN480" s="73"/>
      <c r="CO480" s="73"/>
      <c r="CP480" s="73"/>
      <c r="CQ480" s="73"/>
      <c r="CR480" s="73"/>
      <c r="CS480" s="73"/>
      <c r="CT480" s="73"/>
      <c r="CU480" s="73"/>
      <c r="CV480" s="73"/>
      <c r="CW480" s="73"/>
      <c r="CX480" s="73"/>
      <c r="CY480" s="73"/>
      <c r="CZ480" s="73"/>
      <c r="DA480" s="73"/>
      <c r="DB480" s="73"/>
      <c r="DC480" s="73"/>
      <c r="DD480" s="73"/>
      <c r="DE480" s="73"/>
      <c r="DF480" s="73"/>
      <c r="DG480" s="73"/>
      <c r="DH480" s="73"/>
      <c r="DI480" s="73"/>
      <c r="DJ480" s="73"/>
      <c r="DK480" s="73"/>
      <c r="DL480" s="73"/>
      <c r="DM480" s="73"/>
      <c r="DN480" s="73"/>
      <c r="DO480" s="73"/>
      <c r="DP480" s="73"/>
      <c r="DQ480" s="73"/>
      <c r="DR480" s="73"/>
      <c r="DS480" s="73"/>
      <c r="DT480" s="73"/>
      <c r="DU480" s="73"/>
      <c r="DV480" s="73"/>
      <c r="DW480" s="73"/>
      <c r="DX480" s="73"/>
      <c r="DY480" s="73"/>
      <c r="DZ480" s="73"/>
      <c r="EA480" s="73"/>
      <c r="EB480" s="73"/>
      <c r="EC480" s="73"/>
      <c r="ED480" s="73"/>
      <c r="EE480" s="73"/>
      <c r="EF480" s="73"/>
      <c r="FJ480" s="73"/>
      <c r="FK480" s="73"/>
      <c r="FL480" s="73"/>
      <c r="FM480" s="73"/>
      <c r="FN480" s="73"/>
      <c r="FO480" s="73"/>
      <c r="FP480" s="73"/>
      <c r="FQ480" s="73"/>
      <c r="FR480" s="73"/>
      <c r="FS480" s="73"/>
      <c r="FT480" s="73"/>
      <c r="FU480" s="73"/>
      <c r="FV480" s="73"/>
      <c r="FW480" s="73"/>
      <c r="FX480" s="73"/>
      <c r="GO480" s="73"/>
      <c r="GP480" s="73"/>
      <c r="HE480" s="73"/>
      <c r="HU480" s="73"/>
      <c r="HV480" s="182"/>
    </row>
    <row r="481" spans="1:230" x14ac:dyDescent="0.25">
      <c r="A481" s="30"/>
      <c r="B481" s="30"/>
      <c r="C481" s="30"/>
      <c r="D481" s="30"/>
      <c r="G481" s="30"/>
      <c r="H481" s="30"/>
      <c r="I481" s="30"/>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c r="CC481" s="73"/>
      <c r="CD481" s="73"/>
      <c r="CE481" s="73"/>
      <c r="CF481" s="73"/>
      <c r="CG481" s="73"/>
      <c r="CH481" s="73"/>
      <c r="CI481" s="73"/>
      <c r="CJ481" s="73"/>
      <c r="CK481" s="73"/>
      <c r="CL481" s="73"/>
      <c r="CM481" s="73"/>
      <c r="CN481" s="73"/>
      <c r="CO481" s="73"/>
      <c r="CP481" s="73"/>
      <c r="CQ481" s="73"/>
      <c r="CR481" s="73"/>
      <c r="CS481" s="73"/>
      <c r="CT481" s="73"/>
      <c r="CU481" s="73"/>
      <c r="CV481" s="73"/>
      <c r="CW481" s="73"/>
      <c r="CX481" s="73"/>
      <c r="CY481" s="73"/>
      <c r="CZ481" s="73"/>
      <c r="DA481" s="73"/>
      <c r="DB481" s="73"/>
      <c r="DC481" s="73"/>
      <c r="DD481" s="73"/>
      <c r="DE481" s="73"/>
      <c r="DF481" s="73"/>
      <c r="DG481" s="73"/>
      <c r="DH481" s="73"/>
      <c r="DI481" s="73"/>
      <c r="DJ481" s="73"/>
      <c r="DK481" s="73"/>
      <c r="DL481" s="73"/>
      <c r="DM481" s="73"/>
      <c r="DN481" s="73"/>
      <c r="DO481" s="73"/>
      <c r="DP481" s="73"/>
      <c r="DQ481" s="73"/>
      <c r="DR481" s="73"/>
      <c r="DS481" s="73"/>
      <c r="DT481" s="73"/>
      <c r="DU481" s="73"/>
      <c r="DV481" s="73"/>
      <c r="DW481" s="73"/>
      <c r="DX481" s="73"/>
      <c r="DY481" s="73"/>
      <c r="DZ481" s="73"/>
      <c r="EA481" s="73"/>
      <c r="EB481" s="73"/>
      <c r="EC481" s="73"/>
      <c r="ED481" s="73"/>
      <c r="EE481" s="73"/>
      <c r="EF481" s="73"/>
      <c r="FJ481" s="73"/>
      <c r="FK481" s="73"/>
      <c r="FL481" s="73"/>
      <c r="FM481" s="73"/>
      <c r="FN481" s="73"/>
      <c r="FO481" s="73"/>
      <c r="FP481" s="73"/>
      <c r="FQ481" s="73"/>
      <c r="FR481" s="73"/>
      <c r="FS481" s="73"/>
      <c r="FT481" s="73"/>
      <c r="FU481" s="73"/>
      <c r="FV481" s="73"/>
      <c r="FW481" s="73"/>
      <c r="FX481" s="73"/>
      <c r="GO481" s="73"/>
      <c r="GP481" s="73"/>
      <c r="HE481" s="73"/>
      <c r="HU481" s="73"/>
      <c r="HV481" s="182"/>
    </row>
    <row r="482" spans="1:230" x14ac:dyDescent="0.25">
      <c r="A482" s="30"/>
      <c r="B482" s="30"/>
      <c r="C482" s="30"/>
      <c r="D482" s="30"/>
      <c r="G482" s="30"/>
      <c r="H482" s="30"/>
      <c r="I482" s="30"/>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c r="CC482" s="73"/>
      <c r="CD482" s="73"/>
      <c r="CE482" s="73"/>
      <c r="CF482" s="73"/>
      <c r="CG482" s="73"/>
      <c r="CH482" s="73"/>
      <c r="CI482" s="73"/>
      <c r="CJ482" s="73"/>
      <c r="CK482" s="73"/>
      <c r="CL482" s="73"/>
      <c r="CM482" s="73"/>
      <c r="CN482" s="73"/>
      <c r="CO482" s="73"/>
      <c r="CP482" s="73"/>
      <c r="CQ482" s="73"/>
      <c r="CR482" s="73"/>
      <c r="CS482" s="73"/>
      <c r="CT482" s="73"/>
      <c r="CU482" s="73"/>
      <c r="CV482" s="73"/>
      <c r="CW482" s="73"/>
      <c r="CX482" s="73"/>
      <c r="CY482" s="73"/>
      <c r="CZ482" s="73"/>
      <c r="DA482" s="73"/>
      <c r="DB482" s="73"/>
      <c r="DC482" s="73"/>
      <c r="DD482" s="73"/>
      <c r="DE482" s="73"/>
      <c r="DF482" s="73"/>
      <c r="DG482" s="73"/>
      <c r="DH482" s="73"/>
      <c r="DI482" s="73"/>
      <c r="DJ482" s="73"/>
      <c r="DK482" s="73"/>
      <c r="DL482" s="73"/>
      <c r="DM482" s="73"/>
      <c r="DN482" s="73"/>
      <c r="DO482" s="73"/>
      <c r="DP482" s="73"/>
      <c r="DQ482" s="73"/>
      <c r="DR482" s="73"/>
      <c r="DS482" s="73"/>
      <c r="DT482" s="73"/>
      <c r="DU482" s="73"/>
      <c r="DV482" s="73"/>
      <c r="DW482" s="73"/>
      <c r="DX482" s="73"/>
      <c r="DY482" s="73"/>
      <c r="DZ482" s="73"/>
      <c r="EA482" s="73"/>
      <c r="EB482" s="73"/>
      <c r="EC482" s="73"/>
      <c r="ED482" s="73"/>
      <c r="EE482" s="73"/>
      <c r="EF482" s="73"/>
      <c r="FJ482" s="73"/>
      <c r="FK482" s="73"/>
      <c r="FL482" s="73"/>
      <c r="FM482" s="73"/>
      <c r="FN482" s="73"/>
      <c r="FO482" s="73"/>
      <c r="FP482" s="73"/>
      <c r="FQ482" s="73"/>
      <c r="FR482" s="73"/>
      <c r="FS482" s="73"/>
      <c r="FT482" s="73"/>
      <c r="FU482" s="73"/>
      <c r="FV482" s="73"/>
      <c r="FW482" s="73"/>
      <c r="FX482" s="73"/>
      <c r="GO482" s="73"/>
      <c r="GP482" s="73"/>
      <c r="HE482" s="73"/>
      <c r="HU482" s="73"/>
      <c r="HV482" s="182"/>
    </row>
    <row r="483" spans="1:230" x14ac:dyDescent="0.25">
      <c r="A483" s="30"/>
      <c r="B483" s="30"/>
      <c r="C483" s="30"/>
      <c r="D483" s="30"/>
      <c r="G483" s="30"/>
      <c r="H483" s="30"/>
      <c r="I483" s="30"/>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c r="CE483" s="73"/>
      <c r="CF483" s="73"/>
      <c r="CG483" s="73"/>
      <c r="CH483" s="73"/>
      <c r="CI483" s="73"/>
      <c r="CJ483" s="73"/>
      <c r="CK483" s="73"/>
      <c r="CL483" s="73"/>
      <c r="CM483" s="73"/>
      <c r="CN483" s="73"/>
      <c r="CO483" s="73"/>
      <c r="CP483" s="73"/>
      <c r="CQ483" s="73"/>
      <c r="CR483" s="73"/>
      <c r="CS483" s="73"/>
      <c r="CT483" s="73"/>
      <c r="CU483" s="73"/>
      <c r="CV483" s="73"/>
      <c r="CW483" s="73"/>
      <c r="CX483" s="73"/>
      <c r="CY483" s="73"/>
      <c r="CZ483" s="73"/>
      <c r="DA483" s="73"/>
      <c r="DB483" s="73"/>
      <c r="DC483" s="73"/>
      <c r="DD483" s="73"/>
      <c r="DE483" s="73"/>
      <c r="DF483" s="73"/>
      <c r="DG483" s="73"/>
      <c r="DH483" s="73"/>
      <c r="DI483" s="73"/>
      <c r="DJ483" s="73"/>
      <c r="DK483" s="73"/>
      <c r="DL483" s="73"/>
      <c r="DM483" s="73"/>
      <c r="DN483" s="73"/>
      <c r="DO483" s="73"/>
      <c r="DP483" s="73"/>
      <c r="DQ483" s="73"/>
      <c r="DR483" s="73"/>
      <c r="DS483" s="73"/>
      <c r="DT483" s="73"/>
      <c r="DU483" s="73"/>
      <c r="DV483" s="73"/>
      <c r="DW483" s="73"/>
      <c r="DX483" s="73"/>
      <c r="DY483" s="73"/>
      <c r="DZ483" s="73"/>
      <c r="EA483" s="73"/>
      <c r="EB483" s="73"/>
      <c r="EC483" s="73"/>
      <c r="ED483" s="73"/>
      <c r="EE483" s="73"/>
      <c r="EF483" s="73"/>
      <c r="FJ483" s="73"/>
      <c r="FK483" s="73"/>
      <c r="FL483" s="73"/>
      <c r="FM483" s="73"/>
      <c r="FN483" s="73"/>
      <c r="FO483" s="73"/>
      <c r="FP483" s="73"/>
      <c r="FQ483" s="73"/>
      <c r="FR483" s="73"/>
      <c r="FS483" s="73"/>
      <c r="FT483" s="73"/>
      <c r="FU483" s="73"/>
      <c r="FV483" s="73"/>
      <c r="FW483" s="73"/>
      <c r="FX483" s="73"/>
      <c r="GO483" s="73"/>
      <c r="GP483" s="73"/>
      <c r="HE483" s="73"/>
      <c r="HU483" s="73"/>
      <c r="HV483" s="182"/>
    </row>
    <row r="484" spans="1:230" x14ac:dyDescent="0.25">
      <c r="A484" s="30"/>
      <c r="B484" s="30"/>
      <c r="C484" s="30"/>
      <c r="D484" s="30"/>
      <c r="G484" s="30"/>
      <c r="H484" s="30"/>
      <c r="I484" s="30"/>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c r="CC484" s="73"/>
      <c r="CD484" s="73"/>
      <c r="CE484" s="73"/>
      <c r="CF484" s="73"/>
      <c r="CG484" s="73"/>
      <c r="CH484" s="73"/>
      <c r="CI484" s="73"/>
      <c r="CJ484" s="73"/>
      <c r="CK484" s="73"/>
      <c r="CL484" s="73"/>
      <c r="CM484" s="73"/>
      <c r="CN484" s="73"/>
      <c r="CO484" s="73"/>
      <c r="CP484" s="73"/>
      <c r="CQ484" s="73"/>
      <c r="CR484" s="73"/>
      <c r="CS484" s="73"/>
      <c r="CT484" s="73"/>
      <c r="CU484" s="73"/>
      <c r="CV484" s="73"/>
      <c r="CW484" s="73"/>
      <c r="CX484" s="73"/>
      <c r="CY484" s="73"/>
      <c r="CZ484" s="73"/>
      <c r="DA484" s="73"/>
      <c r="DB484" s="73"/>
      <c r="DC484" s="73"/>
      <c r="DD484" s="73"/>
      <c r="DE484" s="73"/>
      <c r="DF484" s="73"/>
      <c r="DG484" s="73"/>
      <c r="DH484" s="73"/>
      <c r="DI484" s="73"/>
      <c r="DJ484" s="73"/>
      <c r="DK484" s="73"/>
      <c r="DL484" s="73"/>
      <c r="DM484" s="73"/>
      <c r="DN484" s="73"/>
      <c r="DO484" s="73"/>
      <c r="DP484" s="73"/>
      <c r="DQ484" s="73"/>
      <c r="DR484" s="73"/>
      <c r="DS484" s="73"/>
      <c r="DT484" s="73"/>
      <c r="DU484" s="73"/>
      <c r="DV484" s="73"/>
      <c r="DW484" s="73"/>
      <c r="DX484" s="73"/>
      <c r="DY484" s="73"/>
      <c r="DZ484" s="73"/>
      <c r="EA484" s="73"/>
      <c r="EB484" s="73"/>
      <c r="EC484" s="73"/>
      <c r="ED484" s="73"/>
      <c r="EE484" s="73"/>
      <c r="EF484" s="73"/>
      <c r="FJ484" s="73"/>
      <c r="FK484" s="73"/>
      <c r="FL484" s="73"/>
      <c r="FM484" s="73"/>
      <c r="FN484" s="73"/>
      <c r="FO484" s="73"/>
      <c r="FP484" s="73"/>
      <c r="FQ484" s="73"/>
      <c r="FR484" s="73"/>
      <c r="FS484" s="73"/>
      <c r="FT484" s="73"/>
      <c r="FU484" s="73"/>
      <c r="FV484" s="73"/>
      <c r="FW484" s="73"/>
      <c r="FX484" s="73"/>
      <c r="GO484" s="73"/>
      <c r="GP484" s="73"/>
      <c r="HE484" s="73"/>
      <c r="HU484" s="73"/>
      <c r="HV484" s="182"/>
    </row>
    <row r="485" spans="1:230" x14ac:dyDescent="0.25">
      <c r="A485" s="30"/>
      <c r="B485" s="30"/>
      <c r="C485" s="30"/>
      <c r="D485" s="30"/>
      <c r="G485" s="30"/>
      <c r="H485" s="30"/>
      <c r="I485" s="30"/>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c r="CC485" s="73"/>
      <c r="CD485" s="73"/>
      <c r="CE485" s="73"/>
      <c r="CF485" s="73"/>
      <c r="CG485" s="73"/>
      <c r="CH485" s="73"/>
      <c r="CI485" s="73"/>
      <c r="CJ485" s="73"/>
      <c r="CK485" s="73"/>
      <c r="CL485" s="73"/>
      <c r="CM485" s="73"/>
      <c r="CN485" s="73"/>
      <c r="CO485" s="73"/>
      <c r="CP485" s="73"/>
      <c r="CQ485" s="73"/>
      <c r="CR485" s="73"/>
      <c r="CS485" s="73"/>
      <c r="CT485" s="73"/>
      <c r="CU485" s="73"/>
      <c r="CV485" s="73"/>
      <c r="CW485" s="73"/>
      <c r="CX485" s="73"/>
      <c r="CY485" s="73"/>
      <c r="CZ485" s="73"/>
      <c r="DA485" s="73"/>
      <c r="DB485" s="73"/>
      <c r="DC485" s="73"/>
      <c r="DD485" s="73"/>
      <c r="DE485" s="73"/>
      <c r="DF485" s="73"/>
      <c r="DG485" s="73"/>
      <c r="DH485" s="73"/>
      <c r="DI485" s="73"/>
      <c r="DJ485" s="73"/>
      <c r="DK485" s="73"/>
      <c r="DL485" s="73"/>
      <c r="DM485" s="73"/>
      <c r="DN485" s="73"/>
      <c r="DO485" s="73"/>
      <c r="DP485" s="73"/>
      <c r="DQ485" s="73"/>
      <c r="DR485" s="73"/>
      <c r="DS485" s="73"/>
      <c r="DT485" s="73"/>
      <c r="DU485" s="73"/>
      <c r="DV485" s="73"/>
      <c r="DW485" s="73"/>
      <c r="DX485" s="73"/>
      <c r="DY485" s="73"/>
      <c r="DZ485" s="73"/>
      <c r="EA485" s="73"/>
      <c r="EB485" s="73"/>
      <c r="EC485" s="73"/>
      <c r="ED485" s="73"/>
      <c r="EE485" s="73"/>
      <c r="EF485" s="73"/>
      <c r="FJ485" s="73"/>
      <c r="FK485" s="73"/>
      <c r="FL485" s="73"/>
      <c r="FM485" s="73"/>
      <c r="FN485" s="73"/>
      <c r="FO485" s="73"/>
      <c r="FP485" s="73"/>
      <c r="FQ485" s="73"/>
      <c r="FR485" s="73"/>
      <c r="FS485" s="73"/>
      <c r="FT485" s="73"/>
      <c r="FU485" s="73"/>
      <c r="FV485" s="73"/>
      <c r="FW485" s="73"/>
      <c r="FX485" s="73"/>
      <c r="GO485" s="73"/>
      <c r="GP485" s="73"/>
      <c r="HE485" s="73"/>
      <c r="HU485" s="73"/>
      <c r="HV485" s="182"/>
    </row>
    <row r="486" spans="1:230" x14ac:dyDescent="0.25">
      <c r="A486" s="30"/>
      <c r="B486" s="30"/>
      <c r="C486" s="30"/>
      <c r="D486" s="30"/>
      <c r="G486" s="30"/>
      <c r="H486" s="30"/>
      <c r="I486" s="30"/>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c r="CC486" s="73"/>
      <c r="CD486" s="73"/>
      <c r="CE486" s="73"/>
      <c r="CF486" s="73"/>
      <c r="CG486" s="73"/>
      <c r="CH486" s="73"/>
      <c r="CI486" s="73"/>
      <c r="CJ486" s="73"/>
      <c r="CK486" s="73"/>
      <c r="CL486" s="73"/>
      <c r="CM486" s="73"/>
      <c r="CN486" s="73"/>
      <c r="CO486" s="73"/>
      <c r="CP486" s="73"/>
      <c r="CQ486" s="73"/>
      <c r="CR486" s="73"/>
      <c r="CS486" s="73"/>
      <c r="CT486" s="73"/>
      <c r="CU486" s="73"/>
      <c r="CV486" s="73"/>
      <c r="CW486" s="73"/>
      <c r="CX486" s="73"/>
      <c r="CY486" s="73"/>
      <c r="CZ486" s="73"/>
      <c r="DA486" s="73"/>
      <c r="DB486" s="73"/>
      <c r="DC486" s="73"/>
      <c r="DD486" s="73"/>
      <c r="DE486" s="73"/>
      <c r="DF486" s="73"/>
      <c r="DG486" s="73"/>
      <c r="DH486" s="73"/>
      <c r="DI486" s="73"/>
      <c r="DJ486" s="73"/>
      <c r="DK486" s="73"/>
      <c r="DL486" s="73"/>
      <c r="DM486" s="73"/>
      <c r="DN486" s="73"/>
      <c r="DO486" s="73"/>
      <c r="DP486" s="73"/>
      <c r="DQ486" s="73"/>
      <c r="DR486" s="73"/>
      <c r="DS486" s="73"/>
      <c r="DT486" s="73"/>
      <c r="DU486" s="73"/>
      <c r="DV486" s="73"/>
      <c r="DW486" s="73"/>
      <c r="DX486" s="73"/>
      <c r="DY486" s="73"/>
      <c r="DZ486" s="73"/>
      <c r="EA486" s="73"/>
      <c r="EB486" s="73"/>
      <c r="EC486" s="73"/>
      <c r="ED486" s="73"/>
      <c r="EE486" s="73"/>
      <c r="EF486" s="73"/>
      <c r="FJ486" s="73"/>
      <c r="FK486" s="73"/>
      <c r="FL486" s="73"/>
      <c r="FM486" s="73"/>
      <c r="FN486" s="73"/>
      <c r="FO486" s="73"/>
      <c r="FP486" s="73"/>
      <c r="FQ486" s="73"/>
      <c r="FR486" s="73"/>
      <c r="FS486" s="73"/>
      <c r="FT486" s="73"/>
      <c r="FU486" s="73"/>
      <c r="FV486" s="73"/>
      <c r="FW486" s="73"/>
      <c r="FX486" s="73"/>
      <c r="GO486" s="73"/>
      <c r="GP486" s="73"/>
      <c r="HE486" s="73"/>
      <c r="HU486" s="73"/>
      <c r="HV486" s="182"/>
    </row>
    <row r="487" spans="1:230" x14ac:dyDescent="0.25">
      <c r="A487" s="30"/>
      <c r="B487" s="30"/>
      <c r="C487" s="30"/>
      <c r="D487" s="30"/>
      <c r="G487" s="30"/>
      <c r="H487" s="30"/>
      <c r="I487" s="30"/>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c r="CC487" s="73"/>
      <c r="CD487" s="73"/>
      <c r="CE487" s="73"/>
      <c r="CF487" s="73"/>
      <c r="CG487" s="73"/>
      <c r="CH487" s="73"/>
      <c r="CI487" s="73"/>
      <c r="CJ487" s="73"/>
      <c r="CK487" s="73"/>
      <c r="CL487" s="73"/>
      <c r="CM487" s="73"/>
      <c r="CN487" s="73"/>
      <c r="CO487" s="73"/>
      <c r="CP487" s="73"/>
      <c r="CQ487" s="73"/>
      <c r="CR487" s="73"/>
      <c r="CS487" s="73"/>
      <c r="CT487" s="73"/>
      <c r="CU487" s="73"/>
      <c r="CV487" s="73"/>
      <c r="CW487" s="73"/>
      <c r="CX487" s="73"/>
      <c r="CY487" s="73"/>
      <c r="CZ487" s="73"/>
      <c r="DA487" s="73"/>
      <c r="DB487" s="73"/>
      <c r="DC487" s="73"/>
      <c r="DD487" s="73"/>
      <c r="DE487" s="73"/>
      <c r="DF487" s="73"/>
      <c r="DG487" s="73"/>
      <c r="DH487" s="73"/>
      <c r="DI487" s="73"/>
      <c r="DJ487" s="73"/>
      <c r="DK487" s="73"/>
      <c r="DL487" s="73"/>
      <c r="DM487" s="73"/>
      <c r="DN487" s="73"/>
      <c r="DO487" s="73"/>
      <c r="DP487" s="73"/>
      <c r="DQ487" s="73"/>
      <c r="DR487" s="73"/>
      <c r="DS487" s="73"/>
      <c r="DT487" s="73"/>
      <c r="DU487" s="73"/>
      <c r="DV487" s="73"/>
      <c r="DW487" s="73"/>
      <c r="DX487" s="73"/>
      <c r="DY487" s="73"/>
      <c r="DZ487" s="73"/>
      <c r="EA487" s="73"/>
      <c r="EB487" s="73"/>
      <c r="EC487" s="73"/>
      <c r="ED487" s="73"/>
      <c r="EE487" s="73"/>
      <c r="EF487" s="73"/>
      <c r="FJ487" s="73"/>
      <c r="FK487" s="73"/>
      <c r="FL487" s="73"/>
      <c r="FM487" s="73"/>
      <c r="FN487" s="73"/>
      <c r="FO487" s="73"/>
      <c r="FP487" s="73"/>
      <c r="FQ487" s="73"/>
      <c r="FR487" s="73"/>
      <c r="FS487" s="73"/>
      <c r="FT487" s="73"/>
      <c r="FU487" s="73"/>
      <c r="FV487" s="73"/>
      <c r="FW487" s="73"/>
      <c r="FX487" s="73"/>
      <c r="GO487" s="73"/>
      <c r="GP487" s="73"/>
      <c r="HE487" s="73"/>
      <c r="HU487" s="73"/>
      <c r="HV487" s="182"/>
    </row>
    <row r="488" spans="1:230" x14ac:dyDescent="0.25">
      <c r="A488" s="30"/>
      <c r="B488" s="30"/>
      <c r="C488" s="30"/>
      <c r="D488" s="30"/>
      <c r="G488" s="30"/>
      <c r="H488" s="30"/>
      <c r="I488" s="30"/>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c r="CC488" s="73"/>
      <c r="CD488" s="73"/>
      <c r="CE488" s="73"/>
      <c r="CF488" s="73"/>
      <c r="CG488" s="73"/>
      <c r="CH488" s="73"/>
      <c r="CI488" s="73"/>
      <c r="CJ488" s="73"/>
      <c r="CK488" s="73"/>
      <c r="CL488" s="73"/>
      <c r="CM488" s="73"/>
      <c r="CN488" s="73"/>
      <c r="CO488" s="73"/>
      <c r="CP488" s="73"/>
      <c r="CQ488" s="73"/>
      <c r="CR488" s="73"/>
      <c r="CS488" s="73"/>
      <c r="CT488" s="73"/>
      <c r="CU488" s="73"/>
      <c r="CV488" s="73"/>
      <c r="CW488" s="73"/>
      <c r="CX488" s="73"/>
      <c r="CY488" s="73"/>
      <c r="CZ488" s="73"/>
      <c r="DA488" s="73"/>
      <c r="DB488" s="73"/>
      <c r="DC488" s="73"/>
      <c r="DD488" s="73"/>
      <c r="DE488" s="73"/>
      <c r="DF488" s="73"/>
      <c r="DG488" s="73"/>
      <c r="DH488" s="73"/>
      <c r="DI488" s="73"/>
      <c r="DJ488" s="73"/>
      <c r="DK488" s="73"/>
      <c r="DL488" s="73"/>
      <c r="DM488" s="73"/>
      <c r="DN488" s="73"/>
      <c r="DO488" s="73"/>
      <c r="DP488" s="73"/>
      <c r="DQ488" s="73"/>
      <c r="DR488" s="73"/>
      <c r="DS488" s="73"/>
      <c r="DT488" s="73"/>
      <c r="DU488" s="73"/>
      <c r="DV488" s="73"/>
      <c r="DW488" s="73"/>
      <c r="DX488" s="73"/>
      <c r="DY488" s="73"/>
      <c r="DZ488" s="73"/>
      <c r="EA488" s="73"/>
      <c r="EB488" s="73"/>
      <c r="EC488" s="73"/>
      <c r="ED488" s="73"/>
      <c r="EE488" s="73"/>
      <c r="EF488" s="73"/>
      <c r="FJ488" s="73"/>
      <c r="FK488" s="73"/>
      <c r="FL488" s="73"/>
      <c r="FM488" s="73"/>
      <c r="FN488" s="73"/>
      <c r="FO488" s="73"/>
      <c r="FP488" s="73"/>
      <c r="FQ488" s="73"/>
      <c r="FR488" s="73"/>
      <c r="FS488" s="73"/>
      <c r="FT488" s="73"/>
      <c r="FU488" s="73"/>
      <c r="FV488" s="73"/>
      <c r="FW488" s="73"/>
      <c r="FX488" s="73"/>
      <c r="GO488" s="73"/>
      <c r="GP488" s="73"/>
      <c r="HE488" s="73"/>
      <c r="HU488" s="73"/>
      <c r="HV488" s="182"/>
    </row>
    <row r="489" spans="1:230" x14ac:dyDescent="0.25">
      <c r="A489" s="30"/>
      <c r="B489" s="30"/>
      <c r="C489" s="30"/>
      <c r="D489" s="30"/>
      <c r="G489" s="30"/>
      <c r="H489" s="30"/>
      <c r="I489" s="30"/>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c r="CE489" s="73"/>
      <c r="CF489" s="73"/>
      <c r="CG489" s="73"/>
      <c r="CH489" s="73"/>
      <c r="CI489" s="73"/>
      <c r="CJ489" s="73"/>
      <c r="CK489" s="73"/>
      <c r="CL489" s="73"/>
      <c r="CM489" s="73"/>
      <c r="CN489" s="73"/>
      <c r="CO489" s="73"/>
      <c r="CP489" s="73"/>
      <c r="CQ489" s="73"/>
      <c r="CR489" s="73"/>
      <c r="CS489" s="73"/>
      <c r="CT489" s="73"/>
      <c r="CU489" s="73"/>
      <c r="CV489" s="73"/>
      <c r="CW489" s="73"/>
      <c r="CX489" s="73"/>
      <c r="CY489" s="73"/>
      <c r="CZ489" s="73"/>
      <c r="DA489" s="73"/>
      <c r="DB489" s="73"/>
      <c r="DC489" s="73"/>
      <c r="DD489" s="73"/>
      <c r="DE489" s="73"/>
      <c r="DF489" s="73"/>
      <c r="DG489" s="73"/>
      <c r="DH489" s="73"/>
      <c r="DI489" s="73"/>
      <c r="DJ489" s="73"/>
      <c r="DK489" s="73"/>
      <c r="DL489" s="73"/>
      <c r="DM489" s="73"/>
      <c r="DN489" s="73"/>
      <c r="DO489" s="73"/>
      <c r="DP489" s="73"/>
      <c r="DQ489" s="73"/>
      <c r="DR489" s="73"/>
      <c r="DS489" s="73"/>
      <c r="DT489" s="73"/>
      <c r="DU489" s="73"/>
      <c r="DV489" s="73"/>
      <c r="DW489" s="73"/>
      <c r="DX489" s="73"/>
      <c r="DY489" s="73"/>
      <c r="DZ489" s="73"/>
      <c r="EA489" s="73"/>
      <c r="EB489" s="73"/>
      <c r="EC489" s="73"/>
      <c r="ED489" s="73"/>
      <c r="EE489" s="73"/>
      <c r="EF489" s="73"/>
      <c r="FJ489" s="73"/>
      <c r="FK489" s="73"/>
      <c r="FL489" s="73"/>
      <c r="FM489" s="73"/>
      <c r="FN489" s="73"/>
      <c r="FO489" s="73"/>
      <c r="FP489" s="73"/>
      <c r="FQ489" s="73"/>
      <c r="FR489" s="73"/>
      <c r="FS489" s="73"/>
      <c r="FT489" s="73"/>
      <c r="FU489" s="73"/>
      <c r="FV489" s="73"/>
      <c r="FW489" s="73"/>
      <c r="FX489" s="73"/>
      <c r="GO489" s="73"/>
      <c r="GP489" s="73"/>
      <c r="HE489" s="73"/>
      <c r="HU489" s="73"/>
      <c r="HV489" s="182"/>
    </row>
    <row r="490" spans="1:230" x14ac:dyDescent="0.25">
      <c r="A490" s="30"/>
      <c r="B490" s="30"/>
      <c r="C490" s="30"/>
      <c r="D490" s="30"/>
      <c r="G490" s="30"/>
      <c r="H490" s="30"/>
      <c r="I490" s="30"/>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c r="CC490" s="73"/>
      <c r="CD490" s="73"/>
      <c r="CE490" s="73"/>
      <c r="CF490" s="73"/>
      <c r="CG490" s="73"/>
      <c r="CH490" s="73"/>
      <c r="CI490" s="73"/>
      <c r="CJ490" s="73"/>
      <c r="CK490" s="73"/>
      <c r="CL490" s="73"/>
      <c r="CM490" s="73"/>
      <c r="CN490" s="73"/>
      <c r="CO490" s="73"/>
      <c r="CP490" s="73"/>
      <c r="CQ490" s="73"/>
      <c r="CR490" s="73"/>
      <c r="CS490" s="73"/>
      <c r="CT490" s="73"/>
      <c r="CU490" s="73"/>
      <c r="CV490" s="73"/>
      <c r="CW490" s="73"/>
      <c r="CX490" s="73"/>
      <c r="CY490" s="73"/>
      <c r="CZ490" s="73"/>
      <c r="DA490" s="73"/>
      <c r="DB490" s="73"/>
      <c r="DC490" s="73"/>
      <c r="DD490" s="73"/>
      <c r="DE490" s="73"/>
      <c r="DF490" s="73"/>
      <c r="DG490" s="73"/>
      <c r="DH490" s="73"/>
      <c r="DI490" s="73"/>
      <c r="DJ490" s="73"/>
      <c r="DK490" s="73"/>
      <c r="DL490" s="73"/>
      <c r="DM490" s="73"/>
      <c r="DN490" s="73"/>
      <c r="DO490" s="73"/>
      <c r="DP490" s="73"/>
      <c r="DQ490" s="73"/>
      <c r="DR490" s="73"/>
      <c r="DS490" s="73"/>
      <c r="DT490" s="73"/>
      <c r="DU490" s="73"/>
      <c r="DV490" s="73"/>
      <c r="DW490" s="73"/>
      <c r="DX490" s="73"/>
      <c r="DY490" s="73"/>
      <c r="DZ490" s="73"/>
      <c r="EA490" s="73"/>
      <c r="EB490" s="73"/>
      <c r="EC490" s="73"/>
      <c r="ED490" s="73"/>
      <c r="EE490" s="73"/>
      <c r="EF490" s="73"/>
      <c r="FJ490" s="73"/>
      <c r="FK490" s="73"/>
      <c r="FL490" s="73"/>
      <c r="FM490" s="73"/>
      <c r="FN490" s="73"/>
      <c r="FO490" s="73"/>
      <c r="FP490" s="73"/>
      <c r="FQ490" s="73"/>
      <c r="FR490" s="73"/>
      <c r="FS490" s="73"/>
      <c r="FT490" s="73"/>
      <c r="FU490" s="73"/>
      <c r="FV490" s="73"/>
      <c r="FW490" s="73"/>
      <c r="FX490" s="73"/>
      <c r="GO490" s="73"/>
      <c r="GP490" s="73"/>
      <c r="HE490" s="73"/>
      <c r="HU490" s="73"/>
      <c r="HV490" s="182"/>
    </row>
    <row r="491" spans="1:230" x14ac:dyDescent="0.25">
      <c r="A491" s="30"/>
      <c r="B491" s="30"/>
      <c r="C491" s="30"/>
      <c r="D491" s="30"/>
      <c r="G491" s="30"/>
      <c r="H491" s="30"/>
      <c r="I491" s="30"/>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c r="CC491" s="73"/>
      <c r="CD491" s="73"/>
      <c r="CE491" s="73"/>
      <c r="CF491" s="73"/>
      <c r="CG491" s="73"/>
      <c r="CH491" s="73"/>
      <c r="CI491" s="73"/>
      <c r="CJ491" s="73"/>
      <c r="CK491" s="73"/>
      <c r="CL491" s="73"/>
      <c r="CM491" s="73"/>
      <c r="CN491" s="73"/>
      <c r="CO491" s="73"/>
      <c r="CP491" s="73"/>
      <c r="CQ491" s="73"/>
      <c r="CR491" s="73"/>
      <c r="CS491" s="73"/>
      <c r="CT491" s="73"/>
      <c r="CU491" s="73"/>
      <c r="CV491" s="73"/>
      <c r="CW491" s="73"/>
      <c r="CX491" s="73"/>
      <c r="CY491" s="73"/>
      <c r="CZ491" s="73"/>
      <c r="DA491" s="73"/>
      <c r="DB491" s="73"/>
      <c r="DC491" s="73"/>
      <c r="DD491" s="73"/>
      <c r="DE491" s="73"/>
      <c r="DF491" s="73"/>
      <c r="DG491" s="73"/>
      <c r="DH491" s="73"/>
      <c r="DI491" s="73"/>
      <c r="DJ491" s="73"/>
      <c r="DK491" s="73"/>
      <c r="DL491" s="73"/>
      <c r="DM491" s="73"/>
      <c r="DN491" s="73"/>
      <c r="DO491" s="73"/>
      <c r="DP491" s="73"/>
      <c r="DQ491" s="73"/>
      <c r="DR491" s="73"/>
      <c r="DS491" s="73"/>
      <c r="DT491" s="73"/>
      <c r="DU491" s="73"/>
      <c r="DV491" s="73"/>
      <c r="DW491" s="73"/>
      <c r="DX491" s="73"/>
      <c r="DY491" s="73"/>
      <c r="DZ491" s="73"/>
      <c r="EA491" s="73"/>
      <c r="EB491" s="73"/>
      <c r="EC491" s="73"/>
      <c r="ED491" s="73"/>
      <c r="EE491" s="73"/>
      <c r="EF491" s="73"/>
      <c r="FJ491" s="73"/>
      <c r="FK491" s="73"/>
      <c r="FL491" s="73"/>
      <c r="FM491" s="73"/>
      <c r="FN491" s="73"/>
      <c r="FO491" s="73"/>
      <c r="FP491" s="73"/>
      <c r="FQ491" s="73"/>
      <c r="FR491" s="73"/>
      <c r="FS491" s="73"/>
      <c r="FT491" s="73"/>
      <c r="FU491" s="73"/>
      <c r="FV491" s="73"/>
      <c r="FW491" s="73"/>
      <c r="FX491" s="73"/>
      <c r="GO491" s="73"/>
      <c r="GP491" s="73"/>
      <c r="HE491" s="73"/>
      <c r="HU491" s="73"/>
      <c r="HV491" s="182"/>
    </row>
    <row r="492" spans="1:230" x14ac:dyDescent="0.25">
      <c r="A492" s="30"/>
      <c r="B492" s="30"/>
      <c r="C492" s="30"/>
      <c r="D492" s="30"/>
      <c r="G492" s="30"/>
      <c r="H492" s="30"/>
      <c r="I492" s="30"/>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c r="CC492" s="73"/>
      <c r="CD492" s="73"/>
      <c r="CE492" s="73"/>
      <c r="CF492" s="73"/>
      <c r="CG492" s="73"/>
      <c r="CH492" s="73"/>
      <c r="CI492" s="73"/>
      <c r="CJ492" s="73"/>
      <c r="CK492" s="73"/>
      <c r="CL492" s="73"/>
      <c r="CM492" s="73"/>
      <c r="CN492" s="73"/>
      <c r="CO492" s="73"/>
      <c r="CP492" s="73"/>
      <c r="CQ492" s="73"/>
      <c r="CR492" s="73"/>
      <c r="CS492" s="73"/>
      <c r="CT492" s="73"/>
      <c r="CU492" s="73"/>
      <c r="CV492" s="73"/>
      <c r="CW492" s="73"/>
      <c r="CX492" s="73"/>
      <c r="CY492" s="73"/>
      <c r="CZ492" s="73"/>
      <c r="DA492" s="73"/>
      <c r="DB492" s="73"/>
      <c r="DC492" s="73"/>
      <c r="DD492" s="73"/>
      <c r="DE492" s="73"/>
      <c r="DF492" s="73"/>
      <c r="DG492" s="73"/>
      <c r="DH492" s="73"/>
      <c r="DI492" s="73"/>
      <c r="DJ492" s="73"/>
      <c r="DK492" s="73"/>
      <c r="DL492" s="73"/>
      <c r="DM492" s="73"/>
      <c r="DN492" s="73"/>
      <c r="DO492" s="73"/>
      <c r="DP492" s="73"/>
      <c r="DQ492" s="73"/>
      <c r="DR492" s="73"/>
      <c r="DS492" s="73"/>
      <c r="DT492" s="73"/>
      <c r="DU492" s="73"/>
      <c r="DV492" s="73"/>
      <c r="DW492" s="73"/>
      <c r="DX492" s="73"/>
      <c r="DY492" s="73"/>
      <c r="DZ492" s="73"/>
      <c r="EA492" s="73"/>
      <c r="EB492" s="73"/>
      <c r="EC492" s="73"/>
      <c r="ED492" s="73"/>
      <c r="EE492" s="73"/>
      <c r="EF492" s="73"/>
      <c r="FJ492" s="73"/>
      <c r="FK492" s="73"/>
      <c r="FL492" s="73"/>
      <c r="FM492" s="73"/>
      <c r="FN492" s="73"/>
      <c r="FO492" s="73"/>
      <c r="FP492" s="73"/>
      <c r="FQ492" s="73"/>
      <c r="FR492" s="73"/>
      <c r="FS492" s="73"/>
      <c r="FT492" s="73"/>
      <c r="FU492" s="73"/>
      <c r="FV492" s="73"/>
      <c r="FW492" s="73"/>
      <c r="FX492" s="73"/>
      <c r="GO492" s="73"/>
      <c r="GP492" s="73"/>
      <c r="HE492" s="73"/>
      <c r="HU492" s="73"/>
      <c r="HV492" s="182"/>
    </row>
    <row r="493" spans="1:230" x14ac:dyDescent="0.25">
      <c r="A493" s="30"/>
      <c r="B493" s="30"/>
      <c r="C493" s="30"/>
      <c r="D493" s="30"/>
      <c r="G493" s="30"/>
      <c r="H493" s="30"/>
      <c r="I493" s="30"/>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c r="CC493" s="73"/>
      <c r="CD493" s="73"/>
      <c r="CE493" s="73"/>
      <c r="CF493" s="73"/>
      <c r="CG493" s="73"/>
      <c r="CH493" s="73"/>
      <c r="CI493" s="73"/>
      <c r="CJ493" s="73"/>
      <c r="CK493" s="73"/>
      <c r="CL493" s="73"/>
      <c r="CM493" s="73"/>
      <c r="CN493" s="73"/>
      <c r="CO493" s="73"/>
      <c r="CP493" s="73"/>
      <c r="CQ493" s="73"/>
      <c r="CR493" s="73"/>
      <c r="CS493" s="73"/>
      <c r="CT493" s="73"/>
      <c r="CU493" s="73"/>
      <c r="CV493" s="73"/>
      <c r="CW493" s="73"/>
      <c r="CX493" s="73"/>
      <c r="CY493" s="73"/>
      <c r="CZ493" s="73"/>
      <c r="DA493" s="73"/>
      <c r="DB493" s="73"/>
      <c r="DC493" s="73"/>
      <c r="DD493" s="73"/>
      <c r="DE493" s="73"/>
      <c r="DF493" s="73"/>
      <c r="DG493" s="73"/>
      <c r="DH493" s="73"/>
      <c r="DI493" s="73"/>
      <c r="DJ493" s="73"/>
      <c r="DK493" s="73"/>
      <c r="DL493" s="73"/>
      <c r="DM493" s="73"/>
      <c r="DN493" s="73"/>
      <c r="DO493" s="73"/>
      <c r="DP493" s="73"/>
      <c r="DQ493" s="73"/>
      <c r="DR493" s="73"/>
      <c r="DS493" s="73"/>
      <c r="DT493" s="73"/>
      <c r="DU493" s="73"/>
      <c r="DV493" s="73"/>
      <c r="DW493" s="73"/>
      <c r="DX493" s="73"/>
      <c r="DY493" s="73"/>
      <c r="DZ493" s="73"/>
      <c r="EA493" s="73"/>
      <c r="EB493" s="73"/>
      <c r="EC493" s="73"/>
      <c r="ED493" s="73"/>
      <c r="EE493" s="73"/>
      <c r="EF493" s="73"/>
      <c r="FJ493" s="73"/>
      <c r="FK493" s="73"/>
      <c r="FL493" s="73"/>
      <c r="FM493" s="73"/>
      <c r="FN493" s="73"/>
      <c r="FO493" s="73"/>
      <c r="FP493" s="73"/>
      <c r="FQ493" s="73"/>
      <c r="FR493" s="73"/>
      <c r="FS493" s="73"/>
      <c r="FT493" s="73"/>
      <c r="FU493" s="73"/>
      <c r="FV493" s="73"/>
      <c r="FW493" s="73"/>
      <c r="FX493" s="73"/>
      <c r="GO493" s="73"/>
      <c r="GP493" s="73"/>
      <c r="HE493" s="73"/>
      <c r="HU493" s="73"/>
      <c r="HV493" s="182"/>
    </row>
    <row r="494" spans="1:230" x14ac:dyDescent="0.25">
      <c r="A494" s="30"/>
      <c r="B494" s="30"/>
      <c r="C494" s="30"/>
      <c r="D494" s="30"/>
      <c r="G494" s="30"/>
      <c r="H494" s="30"/>
      <c r="I494" s="30"/>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c r="CC494" s="73"/>
      <c r="CD494" s="73"/>
      <c r="CE494" s="73"/>
      <c r="CF494" s="73"/>
      <c r="CG494" s="73"/>
      <c r="CH494" s="73"/>
      <c r="CI494" s="73"/>
      <c r="CJ494" s="73"/>
      <c r="CK494" s="73"/>
      <c r="CL494" s="73"/>
      <c r="CM494" s="73"/>
      <c r="CN494" s="73"/>
      <c r="CO494" s="73"/>
      <c r="CP494" s="73"/>
      <c r="CQ494" s="73"/>
      <c r="CR494" s="73"/>
      <c r="CS494" s="73"/>
      <c r="CT494" s="73"/>
      <c r="CU494" s="73"/>
      <c r="CV494" s="73"/>
      <c r="CW494" s="73"/>
      <c r="CX494" s="73"/>
      <c r="CY494" s="73"/>
      <c r="CZ494" s="73"/>
      <c r="DA494" s="73"/>
      <c r="DB494" s="73"/>
      <c r="DC494" s="73"/>
      <c r="DD494" s="73"/>
      <c r="DE494" s="73"/>
      <c r="DF494" s="73"/>
      <c r="DG494" s="73"/>
      <c r="DH494" s="73"/>
      <c r="DI494" s="73"/>
      <c r="DJ494" s="73"/>
      <c r="DK494" s="73"/>
      <c r="DL494" s="73"/>
      <c r="DM494" s="73"/>
      <c r="DN494" s="73"/>
      <c r="DO494" s="73"/>
      <c r="DP494" s="73"/>
      <c r="DQ494" s="73"/>
      <c r="DR494" s="73"/>
      <c r="DS494" s="73"/>
      <c r="DT494" s="73"/>
      <c r="DU494" s="73"/>
      <c r="DV494" s="73"/>
      <c r="DW494" s="73"/>
      <c r="DX494" s="73"/>
      <c r="DY494" s="73"/>
      <c r="DZ494" s="73"/>
      <c r="EA494" s="73"/>
      <c r="EB494" s="73"/>
      <c r="EC494" s="73"/>
      <c r="ED494" s="73"/>
      <c r="EE494" s="73"/>
      <c r="EF494" s="73"/>
      <c r="FJ494" s="73"/>
      <c r="FK494" s="73"/>
      <c r="FL494" s="73"/>
      <c r="FM494" s="73"/>
      <c r="FN494" s="73"/>
      <c r="FO494" s="73"/>
      <c r="FP494" s="73"/>
      <c r="FQ494" s="73"/>
      <c r="FR494" s="73"/>
      <c r="FS494" s="73"/>
      <c r="FT494" s="73"/>
      <c r="FU494" s="73"/>
      <c r="FV494" s="73"/>
      <c r="FW494" s="73"/>
      <c r="FX494" s="73"/>
      <c r="GO494" s="73"/>
      <c r="GP494" s="73"/>
      <c r="HE494" s="73"/>
      <c r="HU494" s="73"/>
      <c r="HV494" s="182"/>
    </row>
    <row r="495" spans="1:230" x14ac:dyDescent="0.25">
      <c r="A495" s="30"/>
      <c r="B495" s="30"/>
      <c r="C495" s="30"/>
      <c r="D495" s="30"/>
      <c r="G495" s="30"/>
      <c r="H495" s="30"/>
      <c r="I495" s="30"/>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c r="CC495" s="73"/>
      <c r="CD495" s="73"/>
      <c r="CE495" s="73"/>
      <c r="CF495" s="73"/>
      <c r="CG495" s="73"/>
      <c r="CH495" s="73"/>
      <c r="CI495" s="73"/>
      <c r="CJ495" s="73"/>
      <c r="CK495" s="73"/>
      <c r="CL495" s="73"/>
      <c r="CM495" s="73"/>
      <c r="CN495" s="73"/>
      <c r="CO495" s="73"/>
      <c r="CP495" s="73"/>
      <c r="CQ495" s="73"/>
      <c r="CR495" s="73"/>
      <c r="CS495" s="73"/>
      <c r="CT495" s="73"/>
      <c r="CU495" s="73"/>
      <c r="CV495" s="73"/>
      <c r="CW495" s="73"/>
      <c r="CX495" s="73"/>
      <c r="CY495" s="73"/>
      <c r="CZ495" s="73"/>
      <c r="DA495" s="73"/>
      <c r="DB495" s="73"/>
      <c r="DC495" s="73"/>
      <c r="DD495" s="73"/>
      <c r="DE495" s="73"/>
      <c r="DF495" s="73"/>
      <c r="DG495" s="73"/>
      <c r="DH495" s="73"/>
      <c r="DI495" s="73"/>
      <c r="DJ495" s="73"/>
      <c r="DK495" s="73"/>
      <c r="DL495" s="73"/>
      <c r="DM495" s="73"/>
      <c r="DN495" s="73"/>
      <c r="DO495" s="73"/>
      <c r="DP495" s="73"/>
      <c r="DQ495" s="73"/>
      <c r="DR495" s="73"/>
      <c r="DS495" s="73"/>
      <c r="DT495" s="73"/>
      <c r="DU495" s="73"/>
      <c r="DV495" s="73"/>
      <c r="DW495" s="73"/>
      <c r="DX495" s="73"/>
      <c r="DY495" s="73"/>
      <c r="DZ495" s="73"/>
      <c r="EA495" s="73"/>
      <c r="EB495" s="73"/>
      <c r="EC495" s="73"/>
      <c r="ED495" s="73"/>
      <c r="EE495" s="73"/>
      <c r="EF495" s="73"/>
      <c r="FJ495" s="73"/>
      <c r="FK495" s="73"/>
      <c r="FL495" s="73"/>
      <c r="FM495" s="73"/>
      <c r="FN495" s="73"/>
      <c r="FO495" s="73"/>
      <c r="FP495" s="73"/>
      <c r="FQ495" s="73"/>
      <c r="FR495" s="73"/>
      <c r="FS495" s="73"/>
      <c r="FT495" s="73"/>
      <c r="FU495" s="73"/>
      <c r="FV495" s="73"/>
      <c r="FW495" s="73"/>
      <c r="FX495" s="73"/>
      <c r="GO495" s="73"/>
      <c r="GP495" s="73"/>
      <c r="HE495" s="73"/>
      <c r="HU495" s="73"/>
      <c r="HV495" s="182"/>
    </row>
    <row r="496" spans="1:230" x14ac:dyDescent="0.25">
      <c r="A496" s="30"/>
      <c r="B496" s="30"/>
      <c r="C496" s="30"/>
      <c r="D496" s="30"/>
      <c r="G496" s="30"/>
      <c r="H496" s="30"/>
      <c r="I496" s="30"/>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3"/>
      <c r="DV496" s="73"/>
      <c r="DW496" s="73"/>
      <c r="DX496" s="73"/>
      <c r="DY496" s="73"/>
      <c r="DZ496" s="73"/>
      <c r="EA496" s="73"/>
      <c r="EB496" s="73"/>
      <c r="EC496" s="73"/>
      <c r="ED496" s="73"/>
      <c r="EE496" s="73"/>
      <c r="EF496" s="73"/>
      <c r="FJ496" s="73"/>
      <c r="FK496" s="73"/>
      <c r="FL496" s="73"/>
      <c r="FM496" s="73"/>
      <c r="FN496" s="73"/>
      <c r="FO496" s="73"/>
      <c r="FP496" s="73"/>
      <c r="FQ496" s="73"/>
      <c r="FR496" s="73"/>
      <c r="FS496" s="73"/>
      <c r="FT496" s="73"/>
      <c r="FU496" s="73"/>
      <c r="FV496" s="73"/>
      <c r="FW496" s="73"/>
      <c r="FX496" s="73"/>
      <c r="GO496" s="73"/>
      <c r="GP496" s="73"/>
      <c r="HE496" s="73"/>
      <c r="HU496" s="73"/>
      <c r="HV496" s="182"/>
    </row>
    <row r="497" spans="1:230" x14ac:dyDescent="0.25">
      <c r="A497" s="30"/>
      <c r="B497" s="30"/>
      <c r="C497" s="30"/>
      <c r="D497" s="30"/>
      <c r="G497" s="30"/>
      <c r="H497" s="30"/>
      <c r="I497" s="30"/>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c r="CC497" s="73"/>
      <c r="CD497" s="73"/>
      <c r="CE497" s="73"/>
      <c r="CF497" s="73"/>
      <c r="CG497" s="73"/>
      <c r="CH497" s="73"/>
      <c r="CI497" s="73"/>
      <c r="CJ497" s="73"/>
      <c r="CK497" s="73"/>
      <c r="CL497" s="73"/>
      <c r="CM497" s="73"/>
      <c r="CN497" s="73"/>
      <c r="CO497" s="73"/>
      <c r="CP497" s="73"/>
      <c r="CQ497" s="73"/>
      <c r="CR497" s="73"/>
      <c r="CS497" s="73"/>
      <c r="CT497" s="73"/>
      <c r="CU497" s="73"/>
      <c r="CV497" s="73"/>
      <c r="CW497" s="73"/>
      <c r="CX497" s="73"/>
      <c r="CY497" s="73"/>
      <c r="CZ497" s="73"/>
      <c r="DA497" s="73"/>
      <c r="DB497" s="73"/>
      <c r="DC497" s="73"/>
      <c r="DD497" s="73"/>
      <c r="DE497" s="73"/>
      <c r="DF497" s="73"/>
      <c r="DG497" s="73"/>
      <c r="DH497" s="73"/>
      <c r="DI497" s="73"/>
      <c r="DJ497" s="73"/>
      <c r="DK497" s="73"/>
      <c r="DL497" s="73"/>
      <c r="DM497" s="73"/>
      <c r="DN497" s="73"/>
      <c r="DO497" s="73"/>
      <c r="DP497" s="73"/>
      <c r="DQ497" s="73"/>
      <c r="DR497" s="73"/>
      <c r="DS497" s="73"/>
      <c r="DT497" s="73"/>
      <c r="DU497" s="73"/>
      <c r="DV497" s="73"/>
      <c r="DW497" s="73"/>
      <c r="DX497" s="73"/>
      <c r="DY497" s="73"/>
      <c r="DZ497" s="73"/>
      <c r="EA497" s="73"/>
      <c r="EB497" s="73"/>
      <c r="EC497" s="73"/>
      <c r="ED497" s="73"/>
      <c r="EE497" s="73"/>
      <c r="EF497" s="73"/>
      <c r="FJ497" s="73"/>
      <c r="FK497" s="73"/>
      <c r="FL497" s="73"/>
      <c r="FM497" s="73"/>
      <c r="FN497" s="73"/>
      <c r="FO497" s="73"/>
      <c r="FP497" s="73"/>
      <c r="FQ497" s="73"/>
      <c r="FR497" s="73"/>
      <c r="FS497" s="73"/>
      <c r="FT497" s="73"/>
      <c r="FU497" s="73"/>
      <c r="FV497" s="73"/>
      <c r="FW497" s="73"/>
      <c r="FX497" s="73"/>
      <c r="GO497" s="73"/>
      <c r="GP497" s="73"/>
      <c r="HE497" s="73"/>
      <c r="HU497" s="73"/>
      <c r="HV497" s="182"/>
    </row>
    <row r="498" spans="1:230" x14ac:dyDescent="0.25">
      <c r="A498" s="30"/>
      <c r="B498" s="30"/>
      <c r="C498" s="30"/>
      <c r="D498" s="30"/>
      <c r="G498" s="30"/>
      <c r="H498" s="30"/>
      <c r="I498" s="30"/>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3"/>
      <c r="CK498" s="73"/>
      <c r="CL498" s="73"/>
      <c r="CM498" s="73"/>
      <c r="CN498" s="73"/>
      <c r="CO498" s="73"/>
      <c r="CP498" s="73"/>
      <c r="CQ498" s="73"/>
      <c r="CR498" s="73"/>
      <c r="CS498" s="73"/>
      <c r="CT498" s="73"/>
      <c r="CU498" s="73"/>
      <c r="CV498" s="73"/>
      <c r="CW498" s="73"/>
      <c r="CX498" s="73"/>
      <c r="CY498" s="73"/>
      <c r="CZ498" s="73"/>
      <c r="DA498" s="73"/>
      <c r="DB498" s="73"/>
      <c r="DC498" s="73"/>
      <c r="DD498" s="73"/>
      <c r="DE498" s="73"/>
      <c r="DF498" s="73"/>
      <c r="DG498" s="73"/>
      <c r="DH498" s="73"/>
      <c r="DI498" s="73"/>
      <c r="DJ498" s="73"/>
      <c r="DK498" s="73"/>
      <c r="DL498" s="73"/>
      <c r="DM498" s="73"/>
      <c r="DN498" s="73"/>
      <c r="DO498" s="73"/>
      <c r="DP498" s="73"/>
      <c r="DQ498" s="73"/>
      <c r="DR498" s="73"/>
      <c r="DS498" s="73"/>
      <c r="DT498" s="73"/>
      <c r="DU498" s="73"/>
      <c r="DV498" s="73"/>
      <c r="DW498" s="73"/>
      <c r="DX498" s="73"/>
      <c r="DY498" s="73"/>
      <c r="DZ498" s="73"/>
      <c r="EA498" s="73"/>
      <c r="EB498" s="73"/>
      <c r="EC498" s="73"/>
      <c r="ED498" s="73"/>
      <c r="EE498" s="73"/>
      <c r="EF498" s="73"/>
      <c r="FJ498" s="73"/>
      <c r="FK498" s="73"/>
      <c r="FL498" s="73"/>
      <c r="FM498" s="73"/>
      <c r="FN498" s="73"/>
      <c r="FO498" s="73"/>
      <c r="FP498" s="73"/>
      <c r="FQ498" s="73"/>
      <c r="FR498" s="73"/>
      <c r="FS498" s="73"/>
      <c r="FT498" s="73"/>
      <c r="FU498" s="73"/>
      <c r="FV498" s="73"/>
      <c r="FW498" s="73"/>
      <c r="FX498" s="73"/>
      <c r="GO498" s="73"/>
      <c r="GP498" s="73"/>
      <c r="HE498" s="73"/>
      <c r="HU498" s="73"/>
      <c r="HV498" s="182"/>
    </row>
    <row r="499" spans="1:230" x14ac:dyDescent="0.25">
      <c r="A499" s="30"/>
      <c r="B499" s="30"/>
      <c r="C499" s="30"/>
      <c r="D499" s="30"/>
      <c r="G499" s="30"/>
      <c r="H499" s="30"/>
      <c r="I499" s="30"/>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3"/>
      <c r="CK499" s="73"/>
      <c r="CL499" s="73"/>
      <c r="CM499" s="73"/>
      <c r="CN499" s="73"/>
      <c r="CO499" s="73"/>
      <c r="CP499" s="73"/>
      <c r="CQ499" s="73"/>
      <c r="CR499" s="73"/>
      <c r="CS499" s="73"/>
      <c r="CT499" s="73"/>
      <c r="CU499" s="73"/>
      <c r="CV499" s="73"/>
      <c r="CW499" s="73"/>
      <c r="CX499" s="73"/>
      <c r="CY499" s="73"/>
      <c r="CZ499" s="73"/>
      <c r="DA499" s="73"/>
      <c r="DB499" s="73"/>
      <c r="DC499" s="73"/>
      <c r="DD499" s="73"/>
      <c r="DE499" s="73"/>
      <c r="DF499" s="73"/>
      <c r="DG499" s="73"/>
      <c r="DH499" s="73"/>
      <c r="DI499" s="73"/>
      <c r="DJ499" s="73"/>
      <c r="DK499" s="73"/>
      <c r="DL499" s="73"/>
      <c r="DM499" s="73"/>
      <c r="DN499" s="73"/>
      <c r="DO499" s="73"/>
      <c r="DP499" s="73"/>
      <c r="DQ499" s="73"/>
      <c r="DR499" s="73"/>
      <c r="DS499" s="73"/>
      <c r="DT499" s="73"/>
      <c r="DU499" s="73"/>
      <c r="DV499" s="73"/>
      <c r="DW499" s="73"/>
      <c r="DX499" s="73"/>
      <c r="DY499" s="73"/>
      <c r="DZ499" s="73"/>
      <c r="EA499" s="73"/>
      <c r="EB499" s="73"/>
      <c r="EC499" s="73"/>
      <c r="ED499" s="73"/>
      <c r="EE499" s="73"/>
      <c r="EF499" s="73"/>
      <c r="FJ499" s="73"/>
      <c r="FK499" s="73"/>
      <c r="FL499" s="73"/>
      <c r="FM499" s="73"/>
      <c r="FN499" s="73"/>
      <c r="FO499" s="73"/>
      <c r="FP499" s="73"/>
      <c r="FQ499" s="73"/>
      <c r="FR499" s="73"/>
      <c r="FS499" s="73"/>
      <c r="FT499" s="73"/>
      <c r="FU499" s="73"/>
      <c r="FV499" s="73"/>
      <c r="FW499" s="73"/>
      <c r="FX499" s="73"/>
      <c r="GO499" s="73"/>
      <c r="GP499" s="73"/>
      <c r="HE499" s="73"/>
      <c r="HU499" s="73"/>
      <c r="HV499" s="182"/>
    </row>
    <row r="500" spans="1:230" x14ac:dyDescent="0.25">
      <c r="A500" s="30"/>
      <c r="B500" s="30"/>
      <c r="C500" s="30"/>
      <c r="D500" s="30"/>
      <c r="G500" s="30"/>
      <c r="H500" s="30"/>
      <c r="I500" s="30"/>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c r="CC500" s="73"/>
      <c r="CD500" s="73"/>
      <c r="CE500" s="73"/>
      <c r="CF500" s="73"/>
      <c r="CG500" s="73"/>
      <c r="CH500" s="73"/>
      <c r="CI500" s="73"/>
      <c r="CJ500" s="73"/>
      <c r="CK500" s="73"/>
      <c r="CL500" s="73"/>
      <c r="CM500" s="73"/>
      <c r="CN500" s="73"/>
      <c r="CO500" s="73"/>
      <c r="CP500" s="73"/>
      <c r="CQ500" s="73"/>
      <c r="CR500" s="73"/>
      <c r="CS500" s="73"/>
      <c r="CT500" s="73"/>
      <c r="CU500" s="73"/>
      <c r="CV500" s="73"/>
      <c r="CW500" s="73"/>
      <c r="CX500" s="73"/>
      <c r="CY500" s="73"/>
      <c r="CZ500" s="73"/>
      <c r="DA500" s="73"/>
      <c r="DB500" s="73"/>
      <c r="DC500" s="73"/>
      <c r="DD500" s="73"/>
      <c r="DE500" s="73"/>
      <c r="DF500" s="73"/>
      <c r="DG500" s="73"/>
      <c r="DH500" s="73"/>
      <c r="DI500" s="73"/>
      <c r="DJ500" s="73"/>
      <c r="DK500" s="73"/>
      <c r="DL500" s="73"/>
      <c r="DM500" s="73"/>
      <c r="DN500" s="73"/>
      <c r="DO500" s="73"/>
      <c r="DP500" s="73"/>
      <c r="DQ500" s="73"/>
      <c r="DR500" s="73"/>
      <c r="DS500" s="73"/>
      <c r="DT500" s="73"/>
      <c r="DU500" s="73"/>
      <c r="DV500" s="73"/>
      <c r="DW500" s="73"/>
      <c r="DX500" s="73"/>
      <c r="DY500" s="73"/>
      <c r="DZ500" s="73"/>
      <c r="EA500" s="73"/>
      <c r="EB500" s="73"/>
      <c r="EC500" s="73"/>
      <c r="ED500" s="73"/>
      <c r="EE500" s="73"/>
      <c r="EF500" s="73"/>
      <c r="FJ500" s="73"/>
      <c r="FK500" s="73"/>
      <c r="FL500" s="73"/>
      <c r="FM500" s="73"/>
      <c r="FN500" s="73"/>
      <c r="FO500" s="73"/>
      <c r="FP500" s="73"/>
      <c r="FQ500" s="73"/>
      <c r="FR500" s="73"/>
      <c r="FS500" s="73"/>
      <c r="FT500" s="73"/>
      <c r="FU500" s="73"/>
      <c r="FV500" s="73"/>
      <c r="FW500" s="73"/>
      <c r="FX500" s="73"/>
      <c r="GO500" s="73"/>
      <c r="GP500" s="73"/>
      <c r="HE500" s="73"/>
      <c r="HU500" s="73"/>
      <c r="HV500" s="182"/>
    </row>
    <row r="501" spans="1:230" x14ac:dyDescent="0.25">
      <c r="A501" s="30"/>
      <c r="B501" s="30"/>
      <c r="C501" s="30"/>
      <c r="D501" s="30"/>
      <c r="G501" s="30"/>
      <c r="H501" s="30"/>
      <c r="I501" s="30"/>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c r="CC501" s="73"/>
      <c r="CD501" s="73"/>
      <c r="CE501" s="73"/>
      <c r="CF501" s="73"/>
      <c r="CG501" s="73"/>
      <c r="CH501" s="73"/>
      <c r="CI501" s="73"/>
      <c r="CJ501" s="73"/>
      <c r="CK501" s="73"/>
      <c r="CL501" s="73"/>
      <c r="CM501" s="73"/>
      <c r="CN501" s="73"/>
      <c r="CO501" s="73"/>
      <c r="CP501" s="73"/>
      <c r="CQ501" s="73"/>
      <c r="CR501" s="73"/>
      <c r="CS501" s="73"/>
      <c r="CT501" s="73"/>
      <c r="CU501" s="73"/>
      <c r="CV501" s="73"/>
      <c r="CW501" s="73"/>
      <c r="CX501" s="73"/>
      <c r="CY501" s="73"/>
      <c r="CZ501" s="73"/>
      <c r="DA501" s="73"/>
      <c r="DB501" s="73"/>
      <c r="DC501" s="73"/>
      <c r="DD501" s="73"/>
      <c r="DE501" s="73"/>
      <c r="DF501" s="73"/>
      <c r="DG501" s="73"/>
      <c r="DH501" s="73"/>
      <c r="DI501" s="73"/>
      <c r="DJ501" s="73"/>
      <c r="DK501" s="73"/>
      <c r="DL501" s="73"/>
      <c r="DM501" s="73"/>
      <c r="DN501" s="73"/>
      <c r="DO501" s="73"/>
      <c r="DP501" s="73"/>
      <c r="DQ501" s="73"/>
      <c r="DR501" s="73"/>
      <c r="DS501" s="73"/>
      <c r="DT501" s="73"/>
      <c r="DU501" s="73"/>
      <c r="DV501" s="73"/>
      <c r="DW501" s="73"/>
      <c r="DX501" s="73"/>
      <c r="DY501" s="73"/>
      <c r="DZ501" s="73"/>
      <c r="EA501" s="73"/>
      <c r="EB501" s="73"/>
      <c r="EC501" s="73"/>
      <c r="ED501" s="73"/>
      <c r="EE501" s="73"/>
      <c r="EF501" s="73"/>
      <c r="FJ501" s="73"/>
      <c r="FK501" s="73"/>
      <c r="FL501" s="73"/>
      <c r="FM501" s="73"/>
      <c r="FN501" s="73"/>
      <c r="FO501" s="73"/>
      <c r="FP501" s="73"/>
      <c r="FQ501" s="73"/>
      <c r="FR501" s="73"/>
      <c r="FS501" s="73"/>
      <c r="FT501" s="73"/>
      <c r="FU501" s="73"/>
      <c r="FV501" s="73"/>
      <c r="FW501" s="73"/>
      <c r="FX501" s="73"/>
      <c r="GO501" s="73"/>
      <c r="GP501" s="73"/>
      <c r="HE501" s="73"/>
      <c r="HU501" s="73"/>
      <c r="HV501" s="182"/>
    </row>
    <row r="502" spans="1:230" x14ac:dyDescent="0.25">
      <c r="A502" s="30"/>
      <c r="B502" s="30"/>
      <c r="C502" s="30"/>
      <c r="D502" s="30"/>
      <c r="G502" s="30"/>
      <c r="H502" s="30"/>
      <c r="I502" s="30"/>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c r="CC502" s="73"/>
      <c r="CD502" s="73"/>
      <c r="CE502" s="73"/>
      <c r="CF502" s="73"/>
      <c r="CG502" s="73"/>
      <c r="CH502" s="73"/>
      <c r="CI502" s="73"/>
      <c r="CJ502" s="73"/>
      <c r="CK502" s="73"/>
      <c r="CL502" s="73"/>
      <c r="CM502" s="73"/>
      <c r="CN502" s="73"/>
      <c r="CO502" s="73"/>
      <c r="CP502" s="73"/>
      <c r="CQ502" s="73"/>
      <c r="CR502" s="73"/>
      <c r="CS502" s="73"/>
      <c r="CT502" s="73"/>
      <c r="CU502" s="73"/>
      <c r="CV502" s="73"/>
      <c r="CW502" s="73"/>
      <c r="CX502" s="73"/>
      <c r="CY502" s="73"/>
      <c r="CZ502" s="73"/>
      <c r="DA502" s="73"/>
      <c r="DB502" s="73"/>
      <c r="DC502" s="73"/>
      <c r="DD502" s="73"/>
      <c r="DE502" s="73"/>
      <c r="DF502" s="73"/>
      <c r="DG502" s="73"/>
      <c r="DH502" s="73"/>
      <c r="DI502" s="73"/>
      <c r="DJ502" s="73"/>
      <c r="DK502" s="73"/>
      <c r="DL502" s="73"/>
      <c r="DM502" s="73"/>
      <c r="DN502" s="73"/>
      <c r="DO502" s="73"/>
      <c r="DP502" s="73"/>
      <c r="DQ502" s="73"/>
      <c r="DR502" s="73"/>
      <c r="DS502" s="73"/>
      <c r="DT502" s="73"/>
      <c r="DU502" s="73"/>
      <c r="DV502" s="73"/>
      <c r="DW502" s="73"/>
      <c r="DX502" s="73"/>
      <c r="DY502" s="73"/>
      <c r="DZ502" s="73"/>
      <c r="EA502" s="73"/>
      <c r="EB502" s="73"/>
      <c r="EC502" s="73"/>
      <c r="ED502" s="73"/>
      <c r="EE502" s="73"/>
      <c r="EF502" s="73"/>
      <c r="FJ502" s="73"/>
      <c r="FK502" s="73"/>
      <c r="FL502" s="73"/>
      <c r="FM502" s="73"/>
      <c r="FN502" s="73"/>
      <c r="FO502" s="73"/>
      <c r="FP502" s="73"/>
      <c r="FQ502" s="73"/>
      <c r="FR502" s="73"/>
      <c r="FS502" s="73"/>
      <c r="FT502" s="73"/>
      <c r="FU502" s="73"/>
      <c r="FV502" s="73"/>
      <c r="FW502" s="73"/>
      <c r="FX502" s="73"/>
      <c r="GO502" s="73"/>
      <c r="GP502" s="73"/>
      <c r="HE502" s="73"/>
      <c r="HU502" s="73"/>
      <c r="HV502" s="182"/>
    </row>
    <row r="503" spans="1:230" x14ac:dyDescent="0.25">
      <c r="A503" s="30"/>
      <c r="B503" s="30"/>
      <c r="C503" s="30"/>
      <c r="D503" s="30"/>
      <c r="G503" s="30"/>
      <c r="H503" s="30"/>
      <c r="I503" s="30"/>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c r="CC503" s="73"/>
      <c r="CD503" s="73"/>
      <c r="CE503" s="73"/>
      <c r="CF503" s="73"/>
      <c r="CG503" s="73"/>
      <c r="CH503" s="73"/>
      <c r="CI503" s="73"/>
      <c r="CJ503" s="73"/>
      <c r="CK503" s="73"/>
      <c r="CL503" s="73"/>
      <c r="CM503" s="73"/>
      <c r="CN503" s="73"/>
      <c r="CO503" s="73"/>
      <c r="CP503" s="73"/>
      <c r="CQ503" s="73"/>
      <c r="CR503" s="73"/>
      <c r="CS503" s="73"/>
      <c r="CT503" s="73"/>
      <c r="CU503" s="73"/>
      <c r="CV503" s="73"/>
      <c r="CW503" s="73"/>
      <c r="CX503" s="73"/>
      <c r="CY503" s="73"/>
      <c r="CZ503" s="73"/>
      <c r="DA503" s="73"/>
      <c r="DB503" s="73"/>
      <c r="DC503" s="73"/>
      <c r="DD503" s="73"/>
      <c r="DE503" s="73"/>
      <c r="DF503" s="73"/>
      <c r="DG503" s="73"/>
      <c r="DH503" s="73"/>
      <c r="DI503" s="73"/>
      <c r="DJ503" s="73"/>
      <c r="DK503" s="73"/>
      <c r="DL503" s="73"/>
      <c r="DM503" s="73"/>
      <c r="DN503" s="73"/>
      <c r="DO503" s="73"/>
      <c r="DP503" s="73"/>
      <c r="DQ503" s="73"/>
      <c r="DR503" s="73"/>
      <c r="DS503" s="73"/>
      <c r="DT503" s="73"/>
      <c r="DU503" s="73"/>
      <c r="DV503" s="73"/>
      <c r="DW503" s="73"/>
      <c r="DX503" s="73"/>
      <c r="DY503" s="73"/>
      <c r="DZ503" s="73"/>
      <c r="EA503" s="73"/>
      <c r="EB503" s="73"/>
      <c r="EC503" s="73"/>
      <c r="ED503" s="73"/>
      <c r="EE503" s="73"/>
      <c r="EF503" s="73"/>
      <c r="FJ503" s="73"/>
      <c r="FK503" s="73"/>
      <c r="FL503" s="73"/>
      <c r="FM503" s="73"/>
      <c r="FN503" s="73"/>
      <c r="FO503" s="73"/>
      <c r="FP503" s="73"/>
      <c r="FQ503" s="73"/>
      <c r="FR503" s="73"/>
      <c r="FS503" s="73"/>
      <c r="FT503" s="73"/>
      <c r="FU503" s="73"/>
      <c r="FV503" s="73"/>
      <c r="FW503" s="73"/>
      <c r="FX503" s="73"/>
      <c r="GO503" s="73"/>
      <c r="GP503" s="73"/>
      <c r="HE503" s="73"/>
      <c r="HU503" s="73"/>
      <c r="HV503" s="182"/>
    </row>
    <row r="504" spans="1:230" x14ac:dyDescent="0.25">
      <c r="A504" s="30"/>
      <c r="B504" s="30"/>
      <c r="C504" s="30"/>
      <c r="D504" s="30"/>
      <c r="G504" s="30"/>
      <c r="H504" s="30"/>
      <c r="I504" s="30"/>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c r="CC504" s="73"/>
      <c r="CD504" s="73"/>
      <c r="CE504" s="73"/>
      <c r="CF504" s="73"/>
      <c r="CG504" s="73"/>
      <c r="CH504" s="73"/>
      <c r="CI504" s="73"/>
      <c r="CJ504" s="73"/>
      <c r="CK504" s="73"/>
      <c r="CL504" s="73"/>
      <c r="CM504" s="73"/>
      <c r="CN504" s="73"/>
      <c r="CO504" s="73"/>
      <c r="CP504" s="73"/>
      <c r="CQ504" s="73"/>
      <c r="CR504" s="73"/>
      <c r="CS504" s="73"/>
      <c r="CT504" s="73"/>
      <c r="CU504" s="73"/>
      <c r="CV504" s="73"/>
      <c r="CW504" s="73"/>
      <c r="CX504" s="73"/>
      <c r="CY504" s="73"/>
      <c r="CZ504" s="73"/>
      <c r="DA504" s="73"/>
      <c r="DB504" s="73"/>
      <c r="DC504" s="73"/>
      <c r="DD504" s="73"/>
      <c r="DE504" s="73"/>
      <c r="DF504" s="73"/>
      <c r="DG504" s="73"/>
      <c r="DH504" s="73"/>
      <c r="DI504" s="73"/>
      <c r="DJ504" s="73"/>
      <c r="DK504" s="73"/>
      <c r="DL504" s="73"/>
      <c r="DM504" s="73"/>
      <c r="DN504" s="73"/>
      <c r="DO504" s="73"/>
      <c r="DP504" s="73"/>
      <c r="DQ504" s="73"/>
      <c r="DR504" s="73"/>
      <c r="DS504" s="73"/>
      <c r="DT504" s="73"/>
      <c r="DU504" s="73"/>
      <c r="DV504" s="73"/>
      <c r="DW504" s="73"/>
      <c r="DX504" s="73"/>
      <c r="DY504" s="73"/>
      <c r="DZ504" s="73"/>
      <c r="EA504" s="73"/>
      <c r="EB504" s="73"/>
      <c r="EC504" s="73"/>
      <c r="ED504" s="73"/>
      <c r="EE504" s="73"/>
      <c r="EF504" s="73"/>
      <c r="FJ504" s="73"/>
      <c r="FK504" s="73"/>
      <c r="FL504" s="73"/>
      <c r="FM504" s="73"/>
      <c r="FN504" s="73"/>
      <c r="FO504" s="73"/>
      <c r="FP504" s="73"/>
      <c r="FQ504" s="73"/>
      <c r="FR504" s="73"/>
      <c r="FS504" s="73"/>
      <c r="FT504" s="73"/>
      <c r="FU504" s="73"/>
      <c r="FV504" s="73"/>
      <c r="FW504" s="73"/>
      <c r="FX504" s="73"/>
      <c r="GO504" s="73"/>
      <c r="GP504" s="73"/>
      <c r="HE504" s="73"/>
      <c r="HU504" s="73"/>
      <c r="HV504" s="182"/>
    </row>
    <row r="505" spans="1:230" x14ac:dyDescent="0.25">
      <c r="A505" s="30"/>
      <c r="B505" s="30"/>
      <c r="C505" s="30"/>
      <c r="D505" s="30"/>
      <c r="G505" s="30"/>
      <c r="H505" s="30"/>
      <c r="I505" s="30"/>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c r="CC505" s="73"/>
      <c r="CD505" s="73"/>
      <c r="CE505" s="73"/>
      <c r="CF505" s="73"/>
      <c r="CG505" s="73"/>
      <c r="CH505" s="73"/>
      <c r="CI505" s="73"/>
      <c r="CJ505" s="73"/>
      <c r="CK505" s="73"/>
      <c r="CL505" s="73"/>
      <c r="CM505" s="73"/>
      <c r="CN505" s="73"/>
      <c r="CO505" s="73"/>
      <c r="CP505" s="73"/>
      <c r="CQ505" s="73"/>
      <c r="CR505" s="73"/>
      <c r="CS505" s="73"/>
      <c r="CT505" s="73"/>
      <c r="CU505" s="73"/>
      <c r="CV505" s="73"/>
      <c r="CW505" s="73"/>
      <c r="CX505" s="73"/>
      <c r="CY505" s="73"/>
      <c r="CZ505" s="73"/>
      <c r="DA505" s="73"/>
      <c r="DB505" s="73"/>
      <c r="DC505" s="73"/>
      <c r="DD505" s="73"/>
      <c r="DE505" s="73"/>
      <c r="DF505" s="73"/>
      <c r="DG505" s="73"/>
      <c r="DH505" s="73"/>
      <c r="DI505" s="73"/>
      <c r="DJ505" s="73"/>
      <c r="DK505" s="73"/>
      <c r="DL505" s="73"/>
      <c r="DM505" s="73"/>
      <c r="DN505" s="73"/>
      <c r="DO505" s="73"/>
      <c r="DP505" s="73"/>
      <c r="DQ505" s="73"/>
      <c r="DR505" s="73"/>
      <c r="DS505" s="73"/>
      <c r="DT505" s="73"/>
      <c r="DU505" s="73"/>
      <c r="DV505" s="73"/>
      <c r="DW505" s="73"/>
      <c r="DX505" s="73"/>
      <c r="DY505" s="73"/>
      <c r="DZ505" s="73"/>
      <c r="EA505" s="73"/>
      <c r="EB505" s="73"/>
      <c r="EC505" s="73"/>
      <c r="ED505" s="73"/>
      <c r="EE505" s="73"/>
      <c r="EF505" s="73"/>
      <c r="FJ505" s="73"/>
      <c r="FK505" s="73"/>
      <c r="FL505" s="73"/>
      <c r="FM505" s="73"/>
      <c r="FN505" s="73"/>
      <c r="FO505" s="73"/>
      <c r="FP505" s="73"/>
      <c r="FQ505" s="73"/>
      <c r="FR505" s="73"/>
      <c r="FS505" s="73"/>
      <c r="FT505" s="73"/>
      <c r="FU505" s="73"/>
      <c r="FV505" s="73"/>
      <c r="FW505" s="73"/>
      <c r="FX505" s="73"/>
      <c r="GO505" s="73"/>
      <c r="GP505" s="73"/>
      <c r="HE505" s="73"/>
      <c r="HU505" s="73"/>
      <c r="HV505" s="182"/>
    </row>
    <row r="506" spans="1:230" x14ac:dyDescent="0.25">
      <c r="A506" s="30"/>
      <c r="B506" s="30"/>
      <c r="C506" s="30"/>
      <c r="D506" s="30"/>
      <c r="G506" s="30"/>
      <c r="H506" s="30"/>
      <c r="I506" s="30"/>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c r="CC506" s="73"/>
      <c r="CD506" s="73"/>
      <c r="CE506" s="73"/>
      <c r="CF506" s="73"/>
      <c r="CG506" s="73"/>
      <c r="CH506" s="73"/>
      <c r="CI506" s="73"/>
      <c r="CJ506" s="73"/>
      <c r="CK506" s="73"/>
      <c r="CL506" s="73"/>
      <c r="CM506" s="73"/>
      <c r="CN506" s="73"/>
      <c r="CO506" s="73"/>
      <c r="CP506" s="73"/>
      <c r="CQ506" s="73"/>
      <c r="CR506" s="73"/>
      <c r="CS506" s="73"/>
      <c r="CT506" s="73"/>
      <c r="CU506" s="73"/>
      <c r="CV506" s="73"/>
      <c r="CW506" s="73"/>
      <c r="CX506" s="73"/>
      <c r="CY506" s="73"/>
      <c r="CZ506" s="73"/>
      <c r="DA506" s="73"/>
      <c r="DB506" s="73"/>
      <c r="DC506" s="73"/>
      <c r="DD506" s="73"/>
      <c r="DE506" s="73"/>
      <c r="DF506" s="73"/>
      <c r="DG506" s="73"/>
      <c r="DH506" s="73"/>
      <c r="DI506" s="73"/>
      <c r="DJ506" s="73"/>
      <c r="DK506" s="73"/>
      <c r="DL506" s="73"/>
      <c r="DM506" s="73"/>
      <c r="DN506" s="73"/>
      <c r="DO506" s="73"/>
      <c r="DP506" s="73"/>
      <c r="DQ506" s="73"/>
      <c r="DR506" s="73"/>
      <c r="DS506" s="73"/>
      <c r="DT506" s="73"/>
      <c r="DU506" s="73"/>
      <c r="DV506" s="73"/>
      <c r="DW506" s="73"/>
      <c r="DX506" s="73"/>
      <c r="DY506" s="73"/>
      <c r="DZ506" s="73"/>
      <c r="EA506" s="73"/>
      <c r="EB506" s="73"/>
      <c r="EC506" s="73"/>
      <c r="ED506" s="73"/>
      <c r="EE506" s="73"/>
      <c r="EF506" s="73"/>
      <c r="FJ506" s="73"/>
      <c r="FK506" s="73"/>
      <c r="FL506" s="73"/>
      <c r="FM506" s="73"/>
      <c r="FN506" s="73"/>
      <c r="FO506" s="73"/>
      <c r="FP506" s="73"/>
      <c r="FQ506" s="73"/>
      <c r="FR506" s="73"/>
      <c r="FS506" s="73"/>
      <c r="FT506" s="73"/>
      <c r="FU506" s="73"/>
      <c r="FV506" s="73"/>
      <c r="FW506" s="73"/>
      <c r="FX506" s="73"/>
      <c r="GO506" s="73"/>
      <c r="GP506" s="73"/>
      <c r="HE506" s="73"/>
      <c r="HU506" s="73"/>
      <c r="HV506" s="182"/>
    </row>
    <row r="507" spans="1:230" x14ac:dyDescent="0.25">
      <c r="A507" s="30"/>
      <c r="B507" s="30"/>
      <c r="C507" s="30"/>
      <c r="D507" s="30"/>
      <c r="G507" s="30"/>
      <c r="H507" s="30"/>
      <c r="I507" s="30"/>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c r="CC507" s="73"/>
      <c r="CD507" s="73"/>
      <c r="CE507" s="73"/>
      <c r="CF507" s="73"/>
      <c r="CG507" s="73"/>
      <c r="CH507" s="73"/>
      <c r="CI507" s="73"/>
      <c r="CJ507" s="73"/>
      <c r="CK507" s="73"/>
      <c r="CL507" s="73"/>
      <c r="CM507" s="73"/>
      <c r="CN507" s="73"/>
      <c r="CO507" s="73"/>
      <c r="CP507" s="73"/>
      <c r="CQ507" s="73"/>
      <c r="CR507" s="73"/>
      <c r="CS507" s="73"/>
      <c r="CT507" s="73"/>
      <c r="CU507" s="73"/>
      <c r="CV507" s="73"/>
      <c r="CW507" s="73"/>
      <c r="CX507" s="73"/>
      <c r="CY507" s="73"/>
      <c r="CZ507" s="73"/>
      <c r="DA507" s="73"/>
      <c r="DB507" s="73"/>
      <c r="DC507" s="73"/>
      <c r="DD507" s="73"/>
      <c r="DE507" s="73"/>
      <c r="DF507" s="73"/>
      <c r="DG507" s="73"/>
      <c r="DH507" s="73"/>
      <c r="DI507" s="73"/>
      <c r="DJ507" s="73"/>
      <c r="DK507" s="73"/>
      <c r="DL507" s="73"/>
      <c r="DM507" s="73"/>
      <c r="DN507" s="73"/>
      <c r="DO507" s="73"/>
      <c r="DP507" s="73"/>
      <c r="DQ507" s="73"/>
      <c r="DR507" s="73"/>
      <c r="DS507" s="73"/>
      <c r="DT507" s="73"/>
      <c r="DU507" s="73"/>
      <c r="DV507" s="73"/>
      <c r="DW507" s="73"/>
      <c r="DX507" s="73"/>
      <c r="DY507" s="73"/>
      <c r="DZ507" s="73"/>
      <c r="EA507" s="73"/>
      <c r="EB507" s="73"/>
      <c r="EC507" s="73"/>
      <c r="ED507" s="73"/>
      <c r="EE507" s="73"/>
      <c r="EF507" s="73"/>
      <c r="FJ507" s="73"/>
      <c r="FK507" s="73"/>
      <c r="FL507" s="73"/>
      <c r="FM507" s="73"/>
      <c r="FN507" s="73"/>
      <c r="FO507" s="73"/>
      <c r="FP507" s="73"/>
      <c r="FQ507" s="73"/>
      <c r="FR507" s="73"/>
      <c r="FS507" s="73"/>
      <c r="FT507" s="73"/>
      <c r="FU507" s="73"/>
      <c r="FV507" s="73"/>
      <c r="FW507" s="73"/>
      <c r="FX507" s="73"/>
      <c r="GO507" s="73"/>
      <c r="GP507" s="73"/>
      <c r="HE507" s="73"/>
      <c r="HU507" s="73"/>
      <c r="HV507" s="182"/>
    </row>
    <row r="508" spans="1:230" x14ac:dyDescent="0.25">
      <c r="A508" s="30"/>
      <c r="B508" s="30"/>
      <c r="C508" s="30"/>
      <c r="D508" s="30"/>
      <c r="G508" s="30"/>
      <c r="H508" s="30"/>
      <c r="I508" s="30"/>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3"/>
      <c r="CK508" s="73"/>
      <c r="CL508" s="73"/>
      <c r="CM508" s="73"/>
      <c r="CN508" s="73"/>
      <c r="CO508" s="73"/>
      <c r="CP508" s="73"/>
      <c r="CQ508" s="73"/>
      <c r="CR508" s="73"/>
      <c r="CS508" s="73"/>
      <c r="CT508" s="73"/>
      <c r="CU508" s="73"/>
      <c r="CV508" s="73"/>
      <c r="CW508" s="73"/>
      <c r="CX508" s="73"/>
      <c r="CY508" s="73"/>
      <c r="CZ508" s="73"/>
      <c r="DA508" s="73"/>
      <c r="DB508" s="73"/>
      <c r="DC508" s="73"/>
      <c r="DD508" s="73"/>
      <c r="DE508" s="73"/>
      <c r="DF508" s="73"/>
      <c r="DG508" s="73"/>
      <c r="DH508" s="73"/>
      <c r="DI508" s="73"/>
      <c r="DJ508" s="73"/>
      <c r="DK508" s="73"/>
      <c r="DL508" s="73"/>
      <c r="DM508" s="73"/>
      <c r="DN508" s="73"/>
      <c r="DO508" s="73"/>
      <c r="DP508" s="73"/>
      <c r="DQ508" s="73"/>
      <c r="DR508" s="73"/>
      <c r="DS508" s="73"/>
      <c r="DT508" s="73"/>
      <c r="DU508" s="73"/>
      <c r="DV508" s="73"/>
      <c r="DW508" s="73"/>
      <c r="DX508" s="73"/>
      <c r="DY508" s="73"/>
      <c r="DZ508" s="73"/>
      <c r="EA508" s="73"/>
      <c r="EB508" s="73"/>
      <c r="EC508" s="73"/>
      <c r="ED508" s="73"/>
      <c r="EE508" s="73"/>
      <c r="EF508" s="73"/>
      <c r="FJ508" s="73"/>
      <c r="FK508" s="73"/>
      <c r="FL508" s="73"/>
      <c r="FM508" s="73"/>
      <c r="FN508" s="73"/>
      <c r="FO508" s="73"/>
      <c r="FP508" s="73"/>
      <c r="FQ508" s="73"/>
      <c r="FR508" s="73"/>
      <c r="FS508" s="73"/>
      <c r="FT508" s="73"/>
      <c r="FU508" s="73"/>
      <c r="FV508" s="73"/>
      <c r="FW508" s="73"/>
      <c r="FX508" s="73"/>
      <c r="GO508" s="73"/>
      <c r="GP508" s="73"/>
      <c r="HE508" s="73"/>
      <c r="HU508" s="73"/>
      <c r="HV508" s="182"/>
    </row>
    <row r="509" spans="1:230" x14ac:dyDescent="0.25">
      <c r="A509" s="30"/>
      <c r="B509" s="30"/>
      <c r="C509" s="30"/>
      <c r="D509" s="30"/>
      <c r="G509" s="30"/>
      <c r="H509" s="30"/>
      <c r="I509" s="30"/>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c r="CC509" s="73"/>
      <c r="CD509" s="73"/>
      <c r="CE509" s="73"/>
      <c r="CF509" s="73"/>
      <c r="CG509" s="73"/>
      <c r="CH509" s="73"/>
      <c r="CI509" s="73"/>
      <c r="CJ509" s="73"/>
      <c r="CK509" s="73"/>
      <c r="CL509" s="73"/>
      <c r="CM509" s="73"/>
      <c r="CN509" s="73"/>
      <c r="CO509" s="73"/>
      <c r="CP509" s="73"/>
      <c r="CQ509" s="73"/>
      <c r="CR509" s="73"/>
      <c r="CS509" s="73"/>
      <c r="CT509" s="73"/>
      <c r="CU509" s="73"/>
      <c r="CV509" s="73"/>
      <c r="CW509" s="73"/>
      <c r="CX509" s="73"/>
      <c r="CY509" s="73"/>
      <c r="CZ509" s="73"/>
      <c r="DA509" s="73"/>
      <c r="DB509" s="73"/>
      <c r="DC509" s="73"/>
      <c r="DD509" s="73"/>
      <c r="DE509" s="73"/>
      <c r="DF509" s="73"/>
      <c r="DG509" s="73"/>
      <c r="DH509" s="73"/>
      <c r="DI509" s="73"/>
      <c r="DJ509" s="73"/>
      <c r="DK509" s="73"/>
      <c r="DL509" s="73"/>
      <c r="DM509" s="73"/>
      <c r="DN509" s="73"/>
      <c r="DO509" s="73"/>
      <c r="DP509" s="73"/>
      <c r="DQ509" s="73"/>
      <c r="DR509" s="73"/>
      <c r="DS509" s="73"/>
      <c r="DT509" s="73"/>
      <c r="DU509" s="73"/>
      <c r="DV509" s="73"/>
      <c r="DW509" s="73"/>
      <c r="DX509" s="73"/>
      <c r="DY509" s="73"/>
      <c r="DZ509" s="73"/>
      <c r="EA509" s="73"/>
      <c r="EB509" s="73"/>
      <c r="EC509" s="73"/>
      <c r="ED509" s="73"/>
      <c r="EE509" s="73"/>
      <c r="EF509" s="73"/>
      <c r="FJ509" s="73"/>
      <c r="FK509" s="73"/>
      <c r="FL509" s="73"/>
      <c r="FM509" s="73"/>
      <c r="FN509" s="73"/>
      <c r="FO509" s="73"/>
      <c r="FP509" s="73"/>
      <c r="FQ509" s="73"/>
      <c r="FR509" s="73"/>
      <c r="FS509" s="73"/>
      <c r="FT509" s="73"/>
      <c r="FU509" s="73"/>
      <c r="FV509" s="73"/>
      <c r="FW509" s="73"/>
      <c r="FX509" s="73"/>
      <c r="GO509" s="73"/>
      <c r="GP509" s="73"/>
      <c r="HE509" s="73"/>
      <c r="HU509" s="73"/>
      <c r="HV509" s="182"/>
    </row>
    <row r="510" spans="1:230" x14ac:dyDescent="0.25">
      <c r="A510" s="30"/>
      <c r="B510" s="30"/>
      <c r="C510" s="30"/>
      <c r="D510" s="30"/>
      <c r="G510" s="30"/>
      <c r="H510" s="30"/>
      <c r="I510" s="30"/>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c r="CC510" s="73"/>
      <c r="CD510" s="73"/>
      <c r="CE510" s="73"/>
      <c r="CF510" s="73"/>
      <c r="CG510" s="73"/>
      <c r="CH510" s="73"/>
      <c r="CI510" s="73"/>
      <c r="CJ510" s="73"/>
      <c r="CK510" s="73"/>
      <c r="CL510" s="73"/>
      <c r="CM510" s="73"/>
      <c r="CN510" s="73"/>
      <c r="CO510" s="73"/>
      <c r="CP510" s="73"/>
      <c r="CQ510" s="73"/>
      <c r="CR510" s="73"/>
      <c r="CS510" s="73"/>
      <c r="CT510" s="73"/>
      <c r="CU510" s="73"/>
      <c r="CV510" s="73"/>
      <c r="CW510" s="73"/>
      <c r="CX510" s="73"/>
      <c r="CY510" s="73"/>
      <c r="CZ510" s="73"/>
      <c r="DA510" s="73"/>
      <c r="DB510" s="73"/>
      <c r="DC510" s="73"/>
      <c r="DD510" s="73"/>
      <c r="DE510" s="73"/>
      <c r="DF510" s="73"/>
      <c r="DG510" s="73"/>
      <c r="DH510" s="73"/>
      <c r="DI510" s="73"/>
      <c r="DJ510" s="73"/>
      <c r="DK510" s="73"/>
      <c r="DL510" s="73"/>
      <c r="DM510" s="73"/>
      <c r="DN510" s="73"/>
      <c r="DO510" s="73"/>
      <c r="DP510" s="73"/>
      <c r="DQ510" s="73"/>
      <c r="DR510" s="73"/>
      <c r="DS510" s="73"/>
      <c r="DT510" s="73"/>
      <c r="DU510" s="73"/>
      <c r="DV510" s="73"/>
      <c r="DW510" s="73"/>
      <c r="DX510" s="73"/>
      <c r="DY510" s="73"/>
      <c r="DZ510" s="73"/>
      <c r="EA510" s="73"/>
      <c r="EB510" s="73"/>
      <c r="EC510" s="73"/>
      <c r="ED510" s="73"/>
      <c r="EE510" s="73"/>
      <c r="EF510" s="73"/>
      <c r="FJ510" s="73"/>
      <c r="FK510" s="73"/>
      <c r="FL510" s="73"/>
      <c r="FM510" s="73"/>
      <c r="FN510" s="73"/>
      <c r="FO510" s="73"/>
      <c r="FP510" s="73"/>
      <c r="FQ510" s="73"/>
      <c r="FR510" s="73"/>
      <c r="FS510" s="73"/>
      <c r="FT510" s="73"/>
      <c r="FU510" s="73"/>
      <c r="FV510" s="73"/>
      <c r="FW510" s="73"/>
      <c r="FX510" s="73"/>
      <c r="GO510" s="73"/>
      <c r="GP510" s="73"/>
      <c r="HE510" s="73"/>
      <c r="HU510" s="73"/>
      <c r="HV510" s="182"/>
    </row>
    <row r="511" spans="1:230" x14ac:dyDescent="0.25">
      <c r="A511" s="30"/>
      <c r="B511" s="30"/>
      <c r="C511" s="30"/>
      <c r="D511" s="30"/>
      <c r="G511" s="30"/>
      <c r="H511" s="30"/>
      <c r="I511" s="30"/>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c r="CC511" s="73"/>
      <c r="CD511" s="73"/>
      <c r="CE511" s="73"/>
      <c r="CF511" s="73"/>
      <c r="CG511" s="73"/>
      <c r="CH511" s="73"/>
      <c r="CI511" s="73"/>
      <c r="CJ511" s="73"/>
      <c r="CK511" s="73"/>
      <c r="CL511" s="73"/>
      <c r="CM511" s="73"/>
      <c r="CN511" s="73"/>
      <c r="CO511" s="73"/>
      <c r="CP511" s="73"/>
      <c r="CQ511" s="73"/>
      <c r="CR511" s="73"/>
      <c r="CS511" s="73"/>
      <c r="CT511" s="73"/>
      <c r="CU511" s="73"/>
      <c r="CV511" s="73"/>
      <c r="CW511" s="73"/>
      <c r="CX511" s="73"/>
      <c r="CY511" s="73"/>
      <c r="CZ511" s="73"/>
      <c r="DA511" s="73"/>
      <c r="DB511" s="73"/>
      <c r="DC511" s="73"/>
      <c r="DD511" s="73"/>
      <c r="DE511" s="73"/>
      <c r="DF511" s="73"/>
      <c r="DG511" s="73"/>
      <c r="DH511" s="73"/>
      <c r="DI511" s="73"/>
      <c r="DJ511" s="73"/>
      <c r="DK511" s="73"/>
      <c r="DL511" s="73"/>
      <c r="DM511" s="73"/>
      <c r="DN511" s="73"/>
      <c r="DO511" s="73"/>
      <c r="DP511" s="73"/>
      <c r="DQ511" s="73"/>
      <c r="DR511" s="73"/>
      <c r="DS511" s="73"/>
      <c r="DT511" s="73"/>
      <c r="DU511" s="73"/>
      <c r="DV511" s="73"/>
      <c r="DW511" s="73"/>
      <c r="DX511" s="73"/>
      <c r="DY511" s="73"/>
      <c r="DZ511" s="73"/>
      <c r="EA511" s="73"/>
      <c r="EB511" s="73"/>
      <c r="EC511" s="73"/>
      <c r="ED511" s="73"/>
      <c r="EE511" s="73"/>
      <c r="EF511" s="73"/>
      <c r="FJ511" s="73"/>
      <c r="FK511" s="73"/>
      <c r="FL511" s="73"/>
      <c r="FM511" s="73"/>
      <c r="FN511" s="73"/>
      <c r="FO511" s="73"/>
      <c r="FP511" s="73"/>
      <c r="FQ511" s="73"/>
      <c r="FR511" s="73"/>
      <c r="FS511" s="73"/>
      <c r="FT511" s="73"/>
      <c r="FU511" s="73"/>
      <c r="FV511" s="73"/>
      <c r="FW511" s="73"/>
      <c r="FX511" s="73"/>
      <c r="GO511" s="73"/>
      <c r="GP511" s="73"/>
      <c r="HE511" s="73"/>
      <c r="HU511" s="73"/>
      <c r="HV511" s="182"/>
    </row>
    <row r="512" spans="1:230" x14ac:dyDescent="0.25">
      <c r="A512" s="30"/>
      <c r="B512" s="30"/>
      <c r="C512" s="30"/>
      <c r="D512" s="30"/>
      <c r="G512" s="30"/>
      <c r="H512" s="30"/>
      <c r="I512" s="30"/>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c r="CN512" s="73"/>
      <c r="CO512" s="73"/>
      <c r="CP512" s="73"/>
      <c r="CQ512" s="73"/>
      <c r="CR512" s="73"/>
      <c r="CS512" s="73"/>
      <c r="CT512" s="73"/>
      <c r="CU512" s="73"/>
      <c r="CV512" s="73"/>
      <c r="CW512" s="73"/>
      <c r="CX512" s="73"/>
      <c r="CY512" s="73"/>
      <c r="CZ512" s="73"/>
      <c r="DA512" s="73"/>
      <c r="DB512" s="73"/>
      <c r="DC512" s="73"/>
      <c r="DD512" s="73"/>
      <c r="DE512" s="73"/>
      <c r="DF512" s="73"/>
      <c r="DG512" s="73"/>
      <c r="DH512" s="73"/>
      <c r="DI512" s="73"/>
      <c r="DJ512" s="73"/>
      <c r="DK512" s="73"/>
      <c r="DL512" s="73"/>
      <c r="DM512" s="73"/>
      <c r="DN512" s="73"/>
      <c r="DO512" s="73"/>
      <c r="DP512" s="73"/>
      <c r="DQ512" s="73"/>
      <c r="DR512" s="73"/>
      <c r="DS512" s="73"/>
      <c r="DT512" s="73"/>
      <c r="DU512" s="73"/>
      <c r="DV512" s="73"/>
      <c r="DW512" s="73"/>
      <c r="DX512" s="73"/>
      <c r="DY512" s="73"/>
      <c r="DZ512" s="73"/>
      <c r="EA512" s="73"/>
      <c r="EB512" s="73"/>
      <c r="EC512" s="73"/>
      <c r="ED512" s="73"/>
      <c r="EE512" s="73"/>
      <c r="EF512" s="73"/>
      <c r="FJ512" s="73"/>
      <c r="FK512" s="73"/>
      <c r="FL512" s="73"/>
      <c r="FM512" s="73"/>
      <c r="FN512" s="73"/>
      <c r="FO512" s="73"/>
      <c r="FP512" s="73"/>
      <c r="FQ512" s="73"/>
      <c r="FR512" s="73"/>
      <c r="FS512" s="73"/>
      <c r="FT512" s="73"/>
      <c r="FU512" s="73"/>
      <c r="FV512" s="73"/>
      <c r="FW512" s="73"/>
      <c r="FX512" s="73"/>
      <c r="GO512" s="73"/>
      <c r="GP512" s="73"/>
      <c r="HE512" s="73"/>
      <c r="HU512" s="73"/>
      <c r="HV512" s="182"/>
    </row>
    <row r="513" spans="1:230" x14ac:dyDescent="0.25">
      <c r="A513" s="30"/>
      <c r="B513" s="30"/>
      <c r="C513" s="30"/>
      <c r="D513" s="30"/>
      <c r="G513" s="30"/>
      <c r="H513" s="30"/>
      <c r="I513" s="30"/>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3"/>
      <c r="CK513" s="73"/>
      <c r="CL513" s="73"/>
      <c r="CM513" s="73"/>
      <c r="CN513" s="73"/>
      <c r="CO513" s="73"/>
      <c r="CP513" s="73"/>
      <c r="CQ513" s="73"/>
      <c r="CR513" s="73"/>
      <c r="CS513" s="73"/>
      <c r="CT513" s="73"/>
      <c r="CU513" s="73"/>
      <c r="CV513" s="73"/>
      <c r="CW513" s="73"/>
      <c r="CX513" s="73"/>
      <c r="CY513" s="73"/>
      <c r="CZ513" s="73"/>
      <c r="DA513" s="73"/>
      <c r="DB513" s="73"/>
      <c r="DC513" s="73"/>
      <c r="DD513" s="73"/>
      <c r="DE513" s="73"/>
      <c r="DF513" s="73"/>
      <c r="DG513" s="73"/>
      <c r="DH513" s="73"/>
      <c r="DI513" s="73"/>
      <c r="DJ513" s="73"/>
      <c r="DK513" s="73"/>
      <c r="DL513" s="73"/>
      <c r="DM513" s="73"/>
      <c r="DN513" s="73"/>
      <c r="DO513" s="73"/>
      <c r="DP513" s="73"/>
      <c r="DQ513" s="73"/>
      <c r="DR513" s="73"/>
      <c r="DS513" s="73"/>
      <c r="DT513" s="73"/>
      <c r="DU513" s="73"/>
      <c r="DV513" s="73"/>
      <c r="DW513" s="73"/>
      <c r="DX513" s="73"/>
      <c r="DY513" s="73"/>
      <c r="DZ513" s="73"/>
      <c r="EA513" s="73"/>
      <c r="EB513" s="73"/>
      <c r="EC513" s="73"/>
      <c r="ED513" s="73"/>
      <c r="EE513" s="73"/>
      <c r="EF513" s="73"/>
      <c r="FJ513" s="73"/>
      <c r="FK513" s="73"/>
      <c r="FL513" s="73"/>
      <c r="FM513" s="73"/>
      <c r="FN513" s="73"/>
      <c r="FO513" s="73"/>
      <c r="FP513" s="73"/>
      <c r="FQ513" s="73"/>
      <c r="FR513" s="73"/>
      <c r="FS513" s="73"/>
      <c r="FT513" s="73"/>
      <c r="FU513" s="73"/>
      <c r="FV513" s="73"/>
      <c r="FW513" s="73"/>
      <c r="FX513" s="73"/>
      <c r="GO513" s="73"/>
      <c r="GP513" s="73"/>
      <c r="HE513" s="73"/>
      <c r="HU513" s="73"/>
      <c r="HV513" s="182"/>
    </row>
    <row r="514" spans="1:230" x14ac:dyDescent="0.25">
      <c r="A514" s="30"/>
      <c r="B514" s="30"/>
      <c r="C514" s="30"/>
      <c r="D514" s="30"/>
      <c r="G514" s="30"/>
      <c r="H514" s="30"/>
      <c r="I514" s="30"/>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3"/>
      <c r="CK514" s="73"/>
      <c r="CL514" s="73"/>
      <c r="CM514" s="73"/>
      <c r="CN514" s="73"/>
      <c r="CO514" s="73"/>
      <c r="CP514" s="73"/>
      <c r="CQ514" s="73"/>
      <c r="CR514" s="73"/>
      <c r="CS514" s="73"/>
      <c r="CT514" s="73"/>
      <c r="CU514" s="73"/>
      <c r="CV514" s="73"/>
      <c r="CW514" s="73"/>
      <c r="CX514" s="73"/>
      <c r="CY514" s="73"/>
      <c r="CZ514" s="73"/>
      <c r="DA514" s="73"/>
      <c r="DB514" s="73"/>
      <c r="DC514" s="73"/>
      <c r="DD514" s="73"/>
      <c r="DE514" s="73"/>
      <c r="DF514" s="73"/>
      <c r="DG514" s="73"/>
      <c r="DH514" s="73"/>
      <c r="DI514" s="73"/>
      <c r="DJ514" s="73"/>
      <c r="DK514" s="73"/>
      <c r="DL514" s="73"/>
      <c r="DM514" s="73"/>
      <c r="DN514" s="73"/>
      <c r="DO514" s="73"/>
      <c r="DP514" s="73"/>
      <c r="DQ514" s="73"/>
      <c r="DR514" s="73"/>
      <c r="DS514" s="73"/>
      <c r="DT514" s="73"/>
      <c r="DU514" s="73"/>
      <c r="DV514" s="73"/>
      <c r="DW514" s="73"/>
      <c r="DX514" s="73"/>
      <c r="DY514" s="73"/>
      <c r="DZ514" s="73"/>
      <c r="EA514" s="73"/>
      <c r="EB514" s="73"/>
      <c r="EC514" s="73"/>
      <c r="ED514" s="73"/>
      <c r="EE514" s="73"/>
      <c r="EF514" s="73"/>
      <c r="FJ514" s="73"/>
      <c r="FK514" s="73"/>
      <c r="FL514" s="73"/>
      <c r="FM514" s="73"/>
      <c r="FN514" s="73"/>
      <c r="FO514" s="73"/>
      <c r="FP514" s="73"/>
      <c r="FQ514" s="73"/>
      <c r="FR514" s="73"/>
      <c r="FS514" s="73"/>
      <c r="FT514" s="73"/>
      <c r="FU514" s="73"/>
      <c r="FV514" s="73"/>
      <c r="FW514" s="73"/>
      <c r="FX514" s="73"/>
      <c r="GO514" s="73"/>
      <c r="GP514" s="73"/>
      <c r="HE514" s="73"/>
      <c r="HU514" s="73"/>
      <c r="HV514" s="182"/>
    </row>
    <row r="515" spans="1:230" x14ac:dyDescent="0.25">
      <c r="A515" s="30"/>
      <c r="B515" s="30"/>
      <c r="C515" s="30"/>
      <c r="D515" s="30"/>
      <c r="G515" s="30"/>
      <c r="H515" s="30"/>
      <c r="I515" s="30"/>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c r="CE515" s="73"/>
      <c r="CF515" s="73"/>
      <c r="CG515" s="73"/>
      <c r="CH515" s="73"/>
      <c r="CI515" s="73"/>
      <c r="CJ515" s="73"/>
      <c r="CK515" s="73"/>
      <c r="CL515" s="73"/>
      <c r="CM515" s="73"/>
      <c r="CN515" s="73"/>
      <c r="CO515" s="73"/>
      <c r="CP515" s="73"/>
      <c r="CQ515" s="73"/>
      <c r="CR515" s="73"/>
      <c r="CS515" s="73"/>
      <c r="CT515" s="73"/>
      <c r="CU515" s="73"/>
      <c r="CV515" s="73"/>
      <c r="CW515" s="73"/>
      <c r="CX515" s="73"/>
      <c r="CY515" s="73"/>
      <c r="CZ515" s="73"/>
      <c r="DA515" s="73"/>
      <c r="DB515" s="73"/>
      <c r="DC515" s="73"/>
      <c r="DD515" s="73"/>
      <c r="DE515" s="73"/>
      <c r="DF515" s="73"/>
      <c r="DG515" s="73"/>
      <c r="DH515" s="73"/>
      <c r="DI515" s="73"/>
      <c r="DJ515" s="73"/>
      <c r="DK515" s="73"/>
      <c r="DL515" s="73"/>
      <c r="DM515" s="73"/>
      <c r="DN515" s="73"/>
      <c r="DO515" s="73"/>
      <c r="DP515" s="73"/>
      <c r="DQ515" s="73"/>
      <c r="DR515" s="73"/>
      <c r="DS515" s="73"/>
      <c r="DT515" s="73"/>
      <c r="DU515" s="73"/>
      <c r="DV515" s="73"/>
      <c r="DW515" s="73"/>
      <c r="DX515" s="73"/>
      <c r="DY515" s="73"/>
      <c r="DZ515" s="73"/>
      <c r="EA515" s="73"/>
      <c r="EB515" s="73"/>
      <c r="EC515" s="73"/>
      <c r="ED515" s="73"/>
      <c r="EE515" s="73"/>
      <c r="EF515" s="73"/>
      <c r="FJ515" s="73"/>
      <c r="FK515" s="73"/>
      <c r="FL515" s="73"/>
      <c r="FM515" s="73"/>
      <c r="FN515" s="73"/>
      <c r="FO515" s="73"/>
      <c r="FP515" s="73"/>
      <c r="FQ515" s="73"/>
      <c r="FR515" s="73"/>
      <c r="FS515" s="73"/>
      <c r="FT515" s="73"/>
      <c r="FU515" s="73"/>
      <c r="FV515" s="73"/>
      <c r="FW515" s="73"/>
      <c r="FX515" s="73"/>
      <c r="GO515" s="73"/>
      <c r="GP515" s="73"/>
      <c r="HE515" s="73"/>
      <c r="HU515" s="73"/>
      <c r="HV515" s="182"/>
    </row>
    <row r="516" spans="1:230" x14ac:dyDescent="0.25">
      <c r="A516" s="30"/>
      <c r="B516" s="30"/>
      <c r="C516" s="30"/>
      <c r="D516" s="30"/>
      <c r="G516" s="30"/>
      <c r="H516" s="30"/>
      <c r="I516" s="30"/>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c r="CN516" s="73"/>
      <c r="CO516" s="73"/>
      <c r="CP516" s="73"/>
      <c r="CQ516" s="73"/>
      <c r="CR516" s="73"/>
      <c r="CS516" s="73"/>
      <c r="CT516" s="73"/>
      <c r="CU516" s="73"/>
      <c r="CV516" s="73"/>
      <c r="CW516" s="73"/>
      <c r="CX516" s="73"/>
      <c r="CY516" s="73"/>
      <c r="CZ516" s="73"/>
      <c r="DA516" s="73"/>
      <c r="DB516" s="73"/>
      <c r="DC516" s="73"/>
      <c r="DD516" s="73"/>
      <c r="DE516" s="73"/>
      <c r="DF516" s="73"/>
      <c r="DG516" s="73"/>
      <c r="DH516" s="73"/>
      <c r="DI516" s="73"/>
      <c r="DJ516" s="73"/>
      <c r="DK516" s="73"/>
      <c r="DL516" s="73"/>
      <c r="DM516" s="73"/>
      <c r="DN516" s="73"/>
      <c r="DO516" s="73"/>
      <c r="DP516" s="73"/>
      <c r="DQ516" s="73"/>
      <c r="DR516" s="73"/>
      <c r="DS516" s="73"/>
      <c r="DT516" s="73"/>
      <c r="DU516" s="73"/>
      <c r="DV516" s="73"/>
      <c r="DW516" s="73"/>
      <c r="DX516" s="73"/>
      <c r="DY516" s="73"/>
      <c r="DZ516" s="73"/>
      <c r="EA516" s="73"/>
      <c r="EB516" s="73"/>
      <c r="EC516" s="73"/>
      <c r="ED516" s="73"/>
      <c r="EE516" s="73"/>
      <c r="EF516" s="73"/>
      <c r="FJ516" s="73"/>
      <c r="FK516" s="73"/>
      <c r="FL516" s="73"/>
      <c r="FM516" s="73"/>
      <c r="FN516" s="73"/>
      <c r="FO516" s="73"/>
      <c r="FP516" s="73"/>
      <c r="FQ516" s="73"/>
      <c r="FR516" s="73"/>
      <c r="FS516" s="73"/>
      <c r="FT516" s="73"/>
      <c r="FU516" s="73"/>
      <c r="FV516" s="73"/>
      <c r="FW516" s="73"/>
      <c r="FX516" s="73"/>
      <c r="GO516" s="73"/>
      <c r="GP516" s="73"/>
      <c r="HE516" s="73"/>
      <c r="HU516" s="73"/>
      <c r="HV516" s="182"/>
    </row>
    <row r="517" spans="1:230" x14ac:dyDescent="0.25">
      <c r="A517" s="30"/>
      <c r="B517" s="30"/>
      <c r="C517" s="30"/>
      <c r="D517" s="30"/>
      <c r="G517" s="30"/>
      <c r="H517" s="30"/>
      <c r="I517" s="30"/>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c r="CC517" s="73"/>
      <c r="CD517" s="73"/>
      <c r="CE517" s="73"/>
      <c r="CF517" s="73"/>
      <c r="CG517" s="73"/>
      <c r="CH517" s="73"/>
      <c r="CI517" s="73"/>
      <c r="CJ517" s="73"/>
      <c r="CK517" s="73"/>
      <c r="CL517" s="73"/>
      <c r="CM517" s="73"/>
      <c r="CN517" s="73"/>
      <c r="CO517" s="73"/>
      <c r="CP517" s="73"/>
      <c r="CQ517" s="73"/>
      <c r="CR517" s="73"/>
      <c r="CS517" s="73"/>
      <c r="CT517" s="73"/>
      <c r="CU517" s="73"/>
      <c r="CV517" s="73"/>
      <c r="CW517" s="73"/>
      <c r="CX517" s="73"/>
      <c r="CY517" s="73"/>
      <c r="CZ517" s="73"/>
      <c r="DA517" s="73"/>
      <c r="DB517" s="73"/>
      <c r="DC517" s="73"/>
      <c r="DD517" s="73"/>
      <c r="DE517" s="73"/>
      <c r="DF517" s="73"/>
      <c r="DG517" s="73"/>
      <c r="DH517" s="73"/>
      <c r="DI517" s="73"/>
      <c r="DJ517" s="73"/>
      <c r="DK517" s="73"/>
      <c r="DL517" s="73"/>
      <c r="DM517" s="73"/>
      <c r="DN517" s="73"/>
      <c r="DO517" s="73"/>
      <c r="DP517" s="73"/>
      <c r="DQ517" s="73"/>
      <c r="DR517" s="73"/>
      <c r="DS517" s="73"/>
      <c r="DT517" s="73"/>
      <c r="DU517" s="73"/>
      <c r="DV517" s="73"/>
      <c r="DW517" s="73"/>
      <c r="DX517" s="73"/>
      <c r="DY517" s="73"/>
      <c r="DZ517" s="73"/>
      <c r="EA517" s="73"/>
      <c r="EB517" s="73"/>
      <c r="EC517" s="73"/>
      <c r="ED517" s="73"/>
      <c r="EE517" s="73"/>
      <c r="EF517" s="73"/>
      <c r="FJ517" s="73"/>
      <c r="FK517" s="73"/>
      <c r="FL517" s="73"/>
      <c r="FM517" s="73"/>
      <c r="FN517" s="73"/>
      <c r="FO517" s="73"/>
      <c r="FP517" s="73"/>
      <c r="FQ517" s="73"/>
      <c r="FR517" s="73"/>
      <c r="FS517" s="73"/>
      <c r="FT517" s="73"/>
      <c r="FU517" s="73"/>
      <c r="FV517" s="73"/>
      <c r="FW517" s="73"/>
      <c r="FX517" s="73"/>
      <c r="GO517" s="73"/>
      <c r="GP517" s="73"/>
      <c r="HE517" s="73"/>
      <c r="HU517" s="73"/>
      <c r="HV517" s="182"/>
    </row>
    <row r="518" spans="1:230" x14ac:dyDescent="0.25">
      <c r="A518" s="30"/>
      <c r="B518" s="30"/>
      <c r="C518" s="30"/>
      <c r="D518" s="30"/>
      <c r="G518" s="30"/>
      <c r="H518" s="30"/>
      <c r="I518" s="30"/>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c r="CC518" s="73"/>
      <c r="CD518" s="73"/>
      <c r="CE518" s="73"/>
      <c r="CF518" s="73"/>
      <c r="CG518" s="73"/>
      <c r="CH518" s="73"/>
      <c r="CI518" s="73"/>
      <c r="CJ518" s="73"/>
      <c r="CK518" s="73"/>
      <c r="CL518" s="73"/>
      <c r="CM518" s="73"/>
      <c r="CN518" s="73"/>
      <c r="CO518" s="73"/>
      <c r="CP518" s="73"/>
      <c r="CQ518" s="73"/>
      <c r="CR518" s="73"/>
      <c r="CS518" s="73"/>
      <c r="CT518" s="73"/>
      <c r="CU518" s="73"/>
      <c r="CV518" s="73"/>
      <c r="CW518" s="73"/>
      <c r="CX518" s="73"/>
      <c r="CY518" s="73"/>
      <c r="CZ518" s="73"/>
      <c r="DA518" s="73"/>
      <c r="DB518" s="73"/>
      <c r="DC518" s="73"/>
      <c r="DD518" s="73"/>
      <c r="DE518" s="73"/>
      <c r="DF518" s="73"/>
      <c r="DG518" s="73"/>
      <c r="DH518" s="73"/>
      <c r="DI518" s="73"/>
      <c r="DJ518" s="73"/>
      <c r="DK518" s="73"/>
      <c r="DL518" s="73"/>
      <c r="DM518" s="73"/>
      <c r="DN518" s="73"/>
      <c r="DO518" s="73"/>
      <c r="DP518" s="73"/>
      <c r="DQ518" s="73"/>
      <c r="DR518" s="73"/>
      <c r="DS518" s="73"/>
      <c r="DT518" s="73"/>
      <c r="DU518" s="73"/>
      <c r="DV518" s="73"/>
      <c r="DW518" s="73"/>
      <c r="DX518" s="73"/>
      <c r="DY518" s="73"/>
      <c r="DZ518" s="73"/>
      <c r="EA518" s="73"/>
      <c r="EB518" s="73"/>
      <c r="EC518" s="73"/>
      <c r="ED518" s="73"/>
      <c r="EE518" s="73"/>
      <c r="EF518" s="73"/>
      <c r="FJ518" s="73"/>
      <c r="FK518" s="73"/>
      <c r="FL518" s="73"/>
      <c r="FM518" s="73"/>
      <c r="FN518" s="73"/>
      <c r="FO518" s="73"/>
      <c r="FP518" s="73"/>
      <c r="FQ518" s="73"/>
      <c r="FR518" s="73"/>
      <c r="FS518" s="73"/>
      <c r="FT518" s="73"/>
      <c r="FU518" s="73"/>
      <c r="FV518" s="73"/>
      <c r="FW518" s="73"/>
      <c r="FX518" s="73"/>
      <c r="GO518" s="73"/>
      <c r="GP518" s="73"/>
      <c r="HE518" s="73"/>
      <c r="HU518" s="73"/>
      <c r="HV518" s="182"/>
    </row>
    <row r="519" spans="1:230" x14ac:dyDescent="0.25">
      <c r="A519" s="30"/>
      <c r="B519" s="30"/>
      <c r="C519" s="30"/>
      <c r="D519" s="30"/>
      <c r="G519" s="30"/>
      <c r="H519" s="30"/>
      <c r="I519" s="30"/>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c r="CC519" s="73"/>
      <c r="CD519" s="73"/>
      <c r="CE519" s="73"/>
      <c r="CF519" s="73"/>
      <c r="CG519" s="73"/>
      <c r="CH519" s="73"/>
      <c r="CI519" s="73"/>
      <c r="CJ519" s="73"/>
      <c r="CK519" s="73"/>
      <c r="CL519" s="73"/>
      <c r="CM519" s="73"/>
      <c r="CN519" s="73"/>
      <c r="CO519" s="73"/>
      <c r="CP519" s="73"/>
      <c r="CQ519" s="73"/>
      <c r="CR519" s="73"/>
      <c r="CS519" s="73"/>
      <c r="CT519" s="73"/>
      <c r="CU519" s="73"/>
      <c r="CV519" s="73"/>
      <c r="CW519" s="73"/>
      <c r="CX519" s="73"/>
      <c r="CY519" s="73"/>
      <c r="CZ519" s="73"/>
      <c r="DA519" s="73"/>
      <c r="DB519" s="73"/>
      <c r="DC519" s="73"/>
      <c r="DD519" s="73"/>
      <c r="DE519" s="73"/>
      <c r="DF519" s="73"/>
      <c r="DG519" s="73"/>
      <c r="DH519" s="73"/>
      <c r="DI519" s="73"/>
      <c r="DJ519" s="73"/>
      <c r="DK519" s="73"/>
      <c r="DL519" s="73"/>
      <c r="DM519" s="73"/>
      <c r="DN519" s="73"/>
      <c r="DO519" s="73"/>
      <c r="DP519" s="73"/>
      <c r="DQ519" s="73"/>
      <c r="DR519" s="73"/>
      <c r="DS519" s="73"/>
      <c r="DT519" s="73"/>
      <c r="DU519" s="73"/>
      <c r="DV519" s="73"/>
      <c r="DW519" s="73"/>
      <c r="DX519" s="73"/>
      <c r="DY519" s="73"/>
      <c r="DZ519" s="73"/>
      <c r="EA519" s="73"/>
      <c r="EB519" s="73"/>
      <c r="EC519" s="73"/>
      <c r="ED519" s="73"/>
      <c r="EE519" s="73"/>
      <c r="EF519" s="73"/>
      <c r="FJ519" s="73"/>
      <c r="FK519" s="73"/>
      <c r="FL519" s="73"/>
      <c r="FM519" s="73"/>
      <c r="FN519" s="73"/>
      <c r="FO519" s="73"/>
      <c r="FP519" s="73"/>
      <c r="FQ519" s="73"/>
      <c r="FR519" s="73"/>
      <c r="FS519" s="73"/>
      <c r="FT519" s="73"/>
      <c r="FU519" s="73"/>
      <c r="FV519" s="73"/>
      <c r="FW519" s="73"/>
      <c r="FX519" s="73"/>
      <c r="GO519" s="73"/>
      <c r="GP519" s="73"/>
      <c r="HE519" s="73"/>
      <c r="HU519" s="73"/>
      <c r="HV519" s="182"/>
    </row>
    <row r="520" spans="1:230" x14ac:dyDescent="0.25">
      <c r="A520" s="30"/>
      <c r="B520" s="30"/>
      <c r="C520" s="30"/>
      <c r="D520" s="30"/>
      <c r="G520" s="30"/>
      <c r="H520" s="30"/>
      <c r="I520" s="30"/>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c r="CN520" s="73"/>
      <c r="CO520" s="73"/>
      <c r="CP520" s="73"/>
      <c r="CQ520" s="73"/>
      <c r="CR520" s="73"/>
      <c r="CS520" s="73"/>
      <c r="CT520" s="73"/>
      <c r="CU520" s="73"/>
      <c r="CV520" s="73"/>
      <c r="CW520" s="73"/>
      <c r="CX520" s="73"/>
      <c r="CY520" s="73"/>
      <c r="CZ520" s="73"/>
      <c r="DA520" s="73"/>
      <c r="DB520" s="73"/>
      <c r="DC520" s="73"/>
      <c r="DD520" s="73"/>
      <c r="DE520" s="73"/>
      <c r="DF520" s="73"/>
      <c r="DG520" s="73"/>
      <c r="DH520" s="73"/>
      <c r="DI520" s="73"/>
      <c r="DJ520" s="73"/>
      <c r="DK520" s="73"/>
      <c r="DL520" s="73"/>
      <c r="DM520" s="73"/>
      <c r="DN520" s="73"/>
      <c r="DO520" s="73"/>
      <c r="DP520" s="73"/>
      <c r="DQ520" s="73"/>
      <c r="DR520" s="73"/>
      <c r="DS520" s="73"/>
      <c r="DT520" s="73"/>
      <c r="DU520" s="73"/>
      <c r="DV520" s="73"/>
      <c r="DW520" s="73"/>
      <c r="DX520" s="73"/>
      <c r="DY520" s="73"/>
      <c r="DZ520" s="73"/>
      <c r="EA520" s="73"/>
      <c r="EB520" s="73"/>
      <c r="EC520" s="73"/>
      <c r="ED520" s="73"/>
      <c r="EE520" s="73"/>
      <c r="EF520" s="73"/>
      <c r="FJ520" s="73"/>
      <c r="FK520" s="73"/>
      <c r="FL520" s="73"/>
      <c r="FM520" s="73"/>
      <c r="FN520" s="73"/>
      <c r="FO520" s="73"/>
      <c r="FP520" s="73"/>
      <c r="FQ520" s="73"/>
      <c r="FR520" s="73"/>
      <c r="FS520" s="73"/>
      <c r="FT520" s="73"/>
      <c r="FU520" s="73"/>
      <c r="FV520" s="73"/>
      <c r="FW520" s="73"/>
      <c r="FX520" s="73"/>
      <c r="GO520" s="73"/>
      <c r="GP520" s="73"/>
      <c r="HE520" s="73"/>
      <c r="HU520" s="73"/>
      <c r="HV520" s="182"/>
    </row>
    <row r="521" spans="1:230" x14ac:dyDescent="0.25">
      <c r="A521" s="30"/>
      <c r="B521" s="30"/>
      <c r="C521" s="30"/>
      <c r="D521" s="30"/>
      <c r="G521" s="30"/>
      <c r="H521" s="30"/>
      <c r="I521" s="30"/>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c r="CE521" s="73"/>
      <c r="CF521" s="73"/>
      <c r="CG521" s="73"/>
      <c r="CH521" s="73"/>
      <c r="CI521" s="73"/>
      <c r="CJ521" s="73"/>
      <c r="CK521" s="73"/>
      <c r="CL521" s="73"/>
      <c r="CM521" s="73"/>
      <c r="CN521" s="73"/>
      <c r="CO521" s="73"/>
      <c r="CP521" s="73"/>
      <c r="CQ521" s="73"/>
      <c r="CR521" s="73"/>
      <c r="CS521" s="73"/>
      <c r="CT521" s="73"/>
      <c r="CU521" s="73"/>
      <c r="CV521" s="73"/>
      <c r="CW521" s="73"/>
      <c r="CX521" s="73"/>
      <c r="CY521" s="73"/>
      <c r="CZ521" s="73"/>
      <c r="DA521" s="73"/>
      <c r="DB521" s="73"/>
      <c r="DC521" s="73"/>
      <c r="DD521" s="73"/>
      <c r="DE521" s="73"/>
      <c r="DF521" s="73"/>
      <c r="DG521" s="73"/>
      <c r="DH521" s="73"/>
      <c r="DI521" s="73"/>
      <c r="DJ521" s="73"/>
      <c r="DK521" s="73"/>
      <c r="DL521" s="73"/>
      <c r="DM521" s="73"/>
      <c r="DN521" s="73"/>
      <c r="DO521" s="73"/>
      <c r="DP521" s="73"/>
      <c r="DQ521" s="73"/>
      <c r="DR521" s="73"/>
      <c r="DS521" s="73"/>
      <c r="DT521" s="73"/>
      <c r="DU521" s="73"/>
      <c r="DV521" s="73"/>
      <c r="DW521" s="73"/>
      <c r="DX521" s="73"/>
      <c r="DY521" s="73"/>
      <c r="DZ521" s="73"/>
      <c r="EA521" s="73"/>
      <c r="EB521" s="73"/>
      <c r="EC521" s="73"/>
      <c r="ED521" s="73"/>
      <c r="EE521" s="73"/>
      <c r="EF521" s="73"/>
      <c r="FJ521" s="73"/>
      <c r="FK521" s="73"/>
      <c r="FL521" s="73"/>
      <c r="FM521" s="73"/>
      <c r="FN521" s="73"/>
      <c r="FO521" s="73"/>
      <c r="FP521" s="73"/>
      <c r="FQ521" s="73"/>
      <c r="FR521" s="73"/>
      <c r="FS521" s="73"/>
      <c r="FT521" s="73"/>
      <c r="FU521" s="73"/>
      <c r="FV521" s="73"/>
      <c r="FW521" s="73"/>
      <c r="FX521" s="73"/>
      <c r="GO521" s="73"/>
      <c r="GP521" s="73"/>
      <c r="HE521" s="73"/>
      <c r="HU521" s="73"/>
      <c r="HV521" s="182"/>
    </row>
    <row r="522" spans="1:230" x14ac:dyDescent="0.25">
      <c r="A522" s="30"/>
      <c r="B522" s="30"/>
      <c r="C522" s="30"/>
      <c r="D522" s="30"/>
      <c r="G522" s="30"/>
      <c r="H522" s="30"/>
      <c r="I522" s="30"/>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3"/>
      <c r="CK522" s="73"/>
      <c r="CL522" s="73"/>
      <c r="CM522" s="73"/>
      <c r="CN522" s="73"/>
      <c r="CO522" s="73"/>
      <c r="CP522" s="73"/>
      <c r="CQ522" s="73"/>
      <c r="CR522" s="73"/>
      <c r="CS522" s="73"/>
      <c r="CT522" s="73"/>
      <c r="CU522" s="73"/>
      <c r="CV522" s="73"/>
      <c r="CW522" s="73"/>
      <c r="CX522" s="73"/>
      <c r="CY522" s="73"/>
      <c r="CZ522" s="73"/>
      <c r="DA522" s="73"/>
      <c r="DB522" s="73"/>
      <c r="DC522" s="73"/>
      <c r="DD522" s="73"/>
      <c r="DE522" s="73"/>
      <c r="DF522" s="73"/>
      <c r="DG522" s="73"/>
      <c r="DH522" s="73"/>
      <c r="DI522" s="73"/>
      <c r="DJ522" s="73"/>
      <c r="DK522" s="73"/>
      <c r="DL522" s="73"/>
      <c r="DM522" s="73"/>
      <c r="DN522" s="73"/>
      <c r="DO522" s="73"/>
      <c r="DP522" s="73"/>
      <c r="DQ522" s="73"/>
      <c r="DR522" s="73"/>
      <c r="DS522" s="73"/>
      <c r="DT522" s="73"/>
      <c r="DU522" s="73"/>
      <c r="DV522" s="73"/>
      <c r="DW522" s="73"/>
      <c r="DX522" s="73"/>
      <c r="DY522" s="73"/>
      <c r="DZ522" s="73"/>
      <c r="EA522" s="73"/>
      <c r="EB522" s="73"/>
      <c r="EC522" s="73"/>
      <c r="ED522" s="73"/>
      <c r="EE522" s="73"/>
      <c r="EF522" s="73"/>
      <c r="FJ522" s="73"/>
      <c r="FK522" s="73"/>
      <c r="FL522" s="73"/>
      <c r="FM522" s="73"/>
      <c r="FN522" s="73"/>
      <c r="FO522" s="73"/>
      <c r="FP522" s="73"/>
      <c r="FQ522" s="73"/>
      <c r="FR522" s="73"/>
      <c r="FS522" s="73"/>
      <c r="FT522" s="73"/>
      <c r="FU522" s="73"/>
      <c r="FV522" s="73"/>
      <c r="FW522" s="73"/>
      <c r="FX522" s="73"/>
      <c r="GO522" s="73"/>
      <c r="GP522" s="73"/>
      <c r="HE522" s="73"/>
      <c r="HU522" s="73"/>
      <c r="HV522" s="182"/>
    </row>
    <row r="523" spans="1:230" x14ac:dyDescent="0.25">
      <c r="A523" s="30"/>
      <c r="B523" s="30"/>
      <c r="C523" s="30"/>
      <c r="D523" s="30"/>
      <c r="G523" s="30"/>
      <c r="H523" s="30"/>
      <c r="I523" s="30"/>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3"/>
      <c r="CK523" s="73"/>
      <c r="CL523" s="73"/>
      <c r="CM523" s="73"/>
      <c r="CN523" s="73"/>
      <c r="CO523" s="73"/>
      <c r="CP523" s="73"/>
      <c r="CQ523" s="73"/>
      <c r="CR523" s="73"/>
      <c r="CS523" s="73"/>
      <c r="CT523" s="73"/>
      <c r="CU523" s="73"/>
      <c r="CV523" s="73"/>
      <c r="CW523" s="73"/>
      <c r="CX523" s="73"/>
      <c r="CY523" s="73"/>
      <c r="CZ523" s="73"/>
      <c r="DA523" s="73"/>
      <c r="DB523" s="73"/>
      <c r="DC523" s="73"/>
      <c r="DD523" s="73"/>
      <c r="DE523" s="73"/>
      <c r="DF523" s="73"/>
      <c r="DG523" s="73"/>
      <c r="DH523" s="73"/>
      <c r="DI523" s="73"/>
      <c r="DJ523" s="73"/>
      <c r="DK523" s="73"/>
      <c r="DL523" s="73"/>
      <c r="DM523" s="73"/>
      <c r="DN523" s="73"/>
      <c r="DO523" s="73"/>
      <c r="DP523" s="73"/>
      <c r="DQ523" s="73"/>
      <c r="DR523" s="73"/>
      <c r="DS523" s="73"/>
      <c r="DT523" s="73"/>
      <c r="DU523" s="73"/>
      <c r="DV523" s="73"/>
      <c r="DW523" s="73"/>
      <c r="DX523" s="73"/>
      <c r="DY523" s="73"/>
      <c r="DZ523" s="73"/>
      <c r="EA523" s="73"/>
      <c r="EB523" s="73"/>
      <c r="EC523" s="73"/>
      <c r="ED523" s="73"/>
      <c r="EE523" s="73"/>
      <c r="EF523" s="73"/>
      <c r="FJ523" s="73"/>
      <c r="FK523" s="73"/>
      <c r="FL523" s="73"/>
      <c r="FM523" s="73"/>
      <c r="FN523" s="73"/>
      <c r="FO523" s="73"/>
      <c r="FP523" s="73"/>
      <c r="FQ523" s="73"/>
      <c r="FR523" s="73"/>
      <c r="FS523" s="73"/>
      <c r="FT523" s="73"/>
      <c r="FU523" s="73"/>
      <c r="FV523" s="73"/>
      <c r="FW523" s="73"/>
      <c r="FX523" s="73"/>
      <c r="GO523" s="73"/>
      <c r="GP523" s="73"/>
      <c r="HE523" s="73"/>
      <c r="HU523" s="73"/>
      <c r="HV523" s="182"/>
    </row>
    <row r="524" spans="1:230" x14ac:dyDescent="0.25">
      <c r="A524" s="30"/>
      <c r="B524" s="30"/>
      <c r="C524" s="30"/>
      <c r="D524" s="30"/>
      <c r="G524" s="30"/>
      <c r="H524" s="30"/>
      <c r="I524" s="30"/>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c r="CN524" s="73"/>
      <c r="CO524" s="73"/>
      <c r="CP524" s="73"/>
      <c r="CQ524" s="73"/>
      <c r="CR524" s="73"/>
      <c r="CS524" s="73"/>
      <c r="CT524" s="73"/>
      <c r="CU524" s="73"/>
      <c r="CV524" s="73"/>
      <c r="CW524" s="73"/>
      <c r="CX524" s="73"/>
      <c r="CY524" s="73"/>
      <c r="CZ524" s="73"/>
      <c r="DA524" s="73"/>
      <c r="DB524" s="73"/>
      <c r="DC524" s="73"/>
      <c r="DD524" s="73"/>
      <c r="DE524" s="73"/>
      <c r="DF524" s="73"/>
      <c r="DG524" s="73"/>
      <c r="DH524" s="73"/>
      <c r="DI524" s="73"/>
      <c r="DJ524" s="73"/>
      <c r="DK524" s="73"/>
      <c r="DL524" s="73"/>
      <c r="DM524" s="73"/>
      <c r="DN524" s="73"/>
      <c r="DO524" s="73"/>
      <c r="DP524" s="73"/>
      <c r="DQ524" s="73"/>
      <c r="DR524" s="73"/>
      <c r="DS524" s="73"/>
      <c r="DT524" s="73"/>
      <c r="DU524" s="73"/>
      <c r="DV524" s="73"/>
      <c r="DW524" s="73"/>
      <c r="DX524" s="73"/>
      <c r="DY524" s="73"/>
      <c r="DZ524" s="73"/>
      <c r="EA524" s="73"/>
      <c r="EB524" s="73"/>
      <c r="EC524" s="73"/>
      <c r="ED524" s="73"/>
      <c r="EE524" s="73"/>
      <c r="EF524" s="73"/>
      <c r="FJ524" s="73"/>
      <c r="FK524" s="73"/>
      <c r="FL524" s="73"/>
      <c r="FM524" s="73"/>
      <c r="FN524" s="73"/>
      <c r="FO524" s="73"/>
      <c r="FP524" s="73"/>
      <c r="FQ524" s="73"/>
      <c r="FR524" s="73"/>
      <c r="FS524" s="73"/>
      <c r="FT524" s="73"/>
      <c r="FU524" s="73"/>
      <c r="FV524" s="73"/>
      <c r="FW524" s="73"/>
      <c r="FX524" s="73"/>
      <c r="GO524" s="73"/>
      <c r="GP524" s="73"/>
      <c r="HE524" s="73"/>
      <c r="HU524" s="73"/>
      <c r="HV524" s="182"/>
    </row>
    <row r="525" spans="1:230" x14ac:dyDescent="0.25">
      <c r="A525" s="30"/>
      <c r="B525" s="30"/>
      <c r="C525" s="30"/>
      <c r="D525" s="30"/>
      <c r="G525" s="30"/>
      <c r="H525" s="30"/>
      <c r="I525" s="30"/>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c r="CE525" s="73"/>
      <c r="CF525" s="73"/>
      <c r="CG525" s="73"/>
      <c r="CH525" s="73"/>
      <c r="CI525" s="73"/>
      <c r="CJ525" s="73"/>
      <c r="CK525" s="73"/>
      <c r="CL525" s="73"/>
      <c r="CM525" s="73"/>
      <c r="CN525" s="73"/>
      <c r="CO525" s="73"/>
      <c r="CP525" s="73"/>
      <c r="CQ525" s="73"/>
      <c r="CR525" s="73"/>
      <c r="CS525" s="73"/>
      <c r="CT525" s="73"/>
      <c r="CU525" s="73"/>
      <c r="CV525" s="73"/>
      <c r="CW525" s="73"/>
      <c r="CX525" s="73"/>
      <c r="CY525" s="73"/>
      <c r="CZ525" s="73"/>
      <c r="DA525" s="73"/>
      <c r="DB525" s="73"/>
      <c r="DC525" s="73"/>
      <c r="DD525" s="73"/>
      <c r="DE525" s="73"/>
      <c r="DF525" s="73"/>
      <c r="DG525" s="73"/>
      <c r="DH525" s="73"/>
      <c r="DI525" s="73"/>
      <c r="DJ525" s="73"/>
      <c r="DK525" s="73"/>
      <c r="DL525" s="73"/>
      <c r="DM525" s="73"/>
      <c r="DN525" s="73"/>
      <c r="DO525" s="73"/>
      <c r="DP525" s="73"/>
      <c r="DQ525" s="73"/>
      <c r="DR525" s="73"/>
      <c r="DS525" s="73"/>
      <c r="DT525" s="73"/>
      <c r="DU525" s="73"/>
      <c r="DV525" s="73"/>
      <c r="DW525" s="73"/>
      <c r="DX525" s="73"/>
      <c r="DY525" s="73"/>
      <c r="DZ525" s="73"/>
      <c r="EA525" s="73"/>
      <c r="EB525" s="73"/>
      <c r="EC525" s="73"/>
      <c r="ED525" s="73"/>
      <c r="EE525" s="73"/>
      <c r="EF525" s="73"/>
      <c r="FJ525" s="73"/>
      <c r="FK525" s="73"/>
      <c r="FL525" s="73"/>
      <c r="FM525" s="73"/>
      <c r="FN525" s="73"/>
      <c r="FO525" s="73"/>
      <c r="FP525" s="73"/>
      <c r="FQ525" s="73"/>
      <c r="FR525" s="73"/>
      <c r="FS525" s="73"/>
      <c r="FT525" s="73"/>
      <c r="FU525" s="73"/>
      <c r="FV525" s="73"/>
      <c r="FW525" s="73"/>
      <c r="FX525" s="73"/>
      <c r="GO525" s="73"/>
      <c r="GP525" s="73"/>
      <c r="HE525" s="73"/>
      <c r="HU525" s="73"/>
      <c r="HV525" s="182"/>
    </row>
    <row r="526" spans="1:230" x14ac:dyDescent="0.25">
      <c r="A526" s="30"/>
      <c r="B526" s="30"/>
      <c r="C526" s="30"/>
      <c r="D526" s="30"/>
      <c r="G526" s="30"/>
      <c r="H526" s="30"/>
      <c r="I526" s="30"/>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c r="CE526" s="73"/>
      <c r="CF526" s="73"/>
      <c r="CG526" s="73"/>
      <c r="CH526" s="73"/>
      <c r="CI526" s="73"/>
      <c r="CJ526" s="73"/>
      <c r="CK526" s="73"/>
      <c r="CL526" s="73"/>
      <c r="CM526" s="73"/>
      <c r="CN526" s="73"/>
      <c r="CO526" s="73"/>
      <c r="CP526" s="73"/>
      <c r="CQ526" s="73"/>
      <c r="CR526" s="73"/>
      <c r="CS526" s="73"/>
      <c r="CT526" s="73"/>
      <c r="CU526" s="73"/>
      <c r="CV526" s="73"/>
      <c r="CW526" s="73"/>
      <c r="CX526" s="73"/>
      <c r="CY526" s="73"/>
      <c r="CZ526" s="73"/>
      <c r="DA526" s="73"/>
      <c r="DB526" s="73"/>
      <c r="DC526" s="73"/>
      <c r="DD526" s="73"/>
      <c r="DE526" s="73"/>
      <c r="DF526" s="73"/>
      <c r="DG526" s="73"/>
      <c r="DH526" s="73"/>
      <c r="DI526" s="73"/>
      <c r="DJ526" s="73"/>
      <c r="DK526" s="73"/>
      <c r="DL526" s="73"/>
      <c r="DM526" s="73"/>
      <c r="DN526" s="73"/>
      <c r="DO526" s="73"/>
      <c r="DP526" s="73"/>
      <c r="DQ526" s="73"/>
      <c r="DR526" s="73"/>
      <c r="DS526" s="73"/>
      <c r="DT526" s="73"/>
      <c r="DU526" s="73"/>
      <c r="DV526" s="73"/>
      <c r="DW526" s="73"/>
      <c r="DX526" s="73"/>
      <c r="DY526" s="73"/>
      <c r="DZ526" s="73"/>
      <c r="EA526" s="73"/>
      <c r="EB526" s="73"/>
      <c r="EC526" s="73"/>
      <c r="ED526" s="73"/>
      <c r="EE526" s="73"/>
      <c r="EF526" s="73"/>
      <c r="FJ526" s="73"/>
      <c r="FK526" s="73"/>
      <c r="FL526" s="73"/>
      <c r="FM526" s="73"/>
      <c r="FN526" s="73"/>
      <c r="FO526" s="73"/>
      <c r="FP526" s="73"/>
      <c r="FQ526" s="73"/>
      <c r="FR526" s="73"/>
      <c r="FS526" s="73"/>
      <c r="FT526" s="73"/>
      <c r="FU526" s="73"/>
      <c r="FV526" s="73"/>
      <c r="FW526" s="73"/>
      <c r="FX526" s="73"/>
      <c r="GO526" s="73"/>
      <c r="GP526" s="73"/>
      <c r="HE526" s="73"/>
      <c r="HU526" s="73"/>
      <c r="HV526" s="182"/>
    </row>
    <row r="527" spans="1:230" x14ac:dyDescent="0.25">
      <c r="A527" s="30"/>
      <c r="B527" s="30"/>
      <c r="C527" s="30"/>
      <c r="D527" s="30"/>
      <c r="G527" s="30"/>
      <c r="H527" s="30"/>
      <c r="I527" s="30"/>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c r="CE527" s="73"/>
      <c r="CF527" s="73"/>
      <c r="CG527" s="73"/>
      <c r="CH527" s="73"/>
      <c r="CI527" s="73"/>
      <c r="CJ527" s="73"/>
      <c r="CK527" s="73"/>
      <c r="CL527" s="73"/>
      <c r="CM527" s="73"/>
      <c r="CN527" s="73"/>
      <c r="CO527" s="73"/>
      <c r="CP527" s="73"/>
      <c r="CQ527" s="73"/>
      <c r="CR527" s="73"/>
      <c r="CS527" s="73"/>
      <c r="CT527" s="73"/>
      <c r="CU527" s="73"/>
      <c r="CV527" s="73"/>
      <c r="CW527" s="73"/>
      <c r="CX527" s="73"/>
      <c r="CY527" s="73"/>
      <c r="CZ527" s="73"/>
      <c r="DA527" s="73"/>
      <c r="DB527" s="73"/>
      <c r="DC527" s="73"/>
      <c r="DD527" s="73"/>
      <c r="DE527" s="73"/>
      <c r="DF527" s="73"/>
      <c r="DG527" s="73"/>
      <c r="DH527" s="73"/>
      <c r="DI527" s="73"/>
      <c r="DJ527" s="73"/>
      <c r="DK527" s="73"/>
      <c r="DL527" s="73"/>
      <c r="DM527" s="73"/>
      <c r="DN527" s="73"/>
      <c r="DO527" s="73"/>
      <c r="DP527" s="73"/>
      <c r="DQ527" s="73"/>
      <c r="DR527" s="73"/>
      <c r="DS527" s="73"/>
      <c r="DT527" s="73"/>
      <c r="DU527" s="73"/>
      <c r="DV527" s="73"/>
      <c r="DW527" s="73"/>
      <c r="DX527" s="73"/>
      <c r="DY527" s="73"/>
      <c r="DZ527" s="73"/>
      <c r="EA527" s="73"/>
      <c r="EB527" s="73"/>
      <c r="EC527" s="73"/>
      <c r="ED527" s="73"/>
      <c r="EE527" s="73"/>
      <c r="EF527" s="73"/>
      <c r="FJ527" s="73"/>
      <c r="FK527" s="73"/>
      <c r="FL527" s="73"/>
      <c r="FM527" s="73"/>
      <c r="FN527" s="73"/>
      <c r="FO527" s="73"/>
      <c r="FP527" s="73"/>
      <c r="FQ527" s="73"/>
      <c r="FR527" s="73"/>
      <c r="FS527" s="73"/>
      <c r="FT527" s="73"/>
      <c r="FU527" s="73"/>
      <c r="FV527" s="73"/>
      <c r="FW527" s="73"/>
      <c r="FX527" s="73"/>
      <c r="GO527" s="73"/>
      <c r="GP527" s="73"/>
      <c r="HE527" s="73"/>
      <c r="HU527" s="73"/>
      <c r="HV527" s="182"/>
    </row>
    <row r="528" spans="1:230" x14ac:dyDescent="0.25">
      <c r="A528" s="30"/>
      <c r="B528" s="30"/>
      <c r="C528" s="30"/>
      <c r="D528" s="30"/>
      <c r="G528" s="30"/>
      <c r="H528" s="30"/>
      <c r="I528" s="30"/>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3"/>
      <c r="CK528" s="73"/>
      <c r="CL528" s="73"/>
      <c r="CM528" s="73"/>
      <c r="CN528" s="73"/>
      <c r="CO528" s="73"/>
      <c r="CP528" s="73"/>
      <c r="CQ528" s="73"/>
      <c r="CR528" s="73"/>
      <c r="CS528" s="73"/>
      <c r="CT528" s="73"/>
      <c r="CU528" s="73"/>
      <c r="CV528" s="73"/>
      <c r="CW528" s="73"/>
      <c r="CX528" s="73"/>
      <c r="CY528" s="73"/>
      <c r="CZ528" s="73"/>
      <c r="DA528" s="73"/>
      <c r="DB528" s="73"/>
      <c r="DC528" s="73"/>
      <c r="DD528" s="73"/>
      <c r="DE528" s="73"/>
      <c r="DF528" s="73"/>
      <c r="DG528" s="73"/>
      <c r="DH528" s="73"/>
      <c r="DI528" s="73"/>
      <c r="DJ528" s="73"/>
      <c r="DK528" s="73"/>
      <c r="DL528" s="73"/>
      <c r="DM528" s="73"/>
      <c r="DN528" s="73"/>
      <c r="DO528" s="73"/>
      <c r="DP528" s="73"/>
      <c r="DQ528" s="73"/>
      <c r="DR528" s="73"/>
      <c r="DS528" s="73"/>
      <c r="DT528" s="73"/>
      <c r="DU528" s="73"/>
      <c r="DV528" s="73"/>
      <c r="DW528" s="73"/>
      <c r="DX528" s="73"/>
      <c r="DY528" s="73"/>
      <c r="DZ528" s="73"/>
      <c r="EA528" s="73"/>
      <c r="EB528" s="73"/>
      <c r="EC528" s="73"/>
      <c r="ED528" s="73"/>
      <c r="EE528" s="73"/>
      <c r="EF528" s="73"/>
      <c r="FJ528" s="73"/>
      <c r="FK528" s="73"/>
      <c r="FL528" s="73"/>
      <c r="FM528" s="73"/>
      <c r="FN528" s="73"/>
      <c r="FO528" s="73"/>
      <c r="FP528" s="73"/>
      <c r="FQ528" s="73"/>
      <c r="FR528" s="73"/>
      <c r="FS528" s="73"/>
      <c r="FT528" s="73"/>
      <c r="FU528" s="73"/>
      <c r="FV528" s="73"/>
      <c r="FW528" s="73"/>
      <c r="FX528" s="73"/>
      <c r="GO528" s="73"/>
      <c r="GP528" s="73"/>
      <c r="HE528" s="73"/>
      <c r="HU528" s="73"/>
      <c r="HV528" s="182"/>
    </row>
    <row r="529" spans="1:230" x14ac:dyDescent="0.25">
      <c r="A529" s="30"/>
      <c r="B529" s="30"/>
      <c r="C529" s="30"/>
      <c r="D529" s="30"/>
      <c r="G529" s="30"/>
      <c r="H529" s="30"/>
      <c r="I529" s="30"/>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c r="CE529" s="73"/>
      <c r="CF529" s="73"/>
      <c r="CG529" s="73"/>
      <c r="CH529" s="73"/>
      <c r="CI529" s="73"/>
      <c r="CJ529" s="73"/>
      <c r="CK529" s="73"/>
      <c r="CL529" s="73"/>
      <c r="CM529" s="73"/>
      <c r="CN529" s="73"/>
      <c r="CO529" s="73"/>
      <c r="CP529" s="73"/>
      <c r="CQ529" s="73"/>
      <c r="CR529" s="73"/>
      <c r="CS529" s="73"/>
      <c r="CT529" s="73"/>
      <c r="CU529" s="73"/>
      <c r="CV529" s="73"/>
      <c r="CW529" s="73"/>
      <c r="CX529" s="73"/>
      <c r="CY529" s="73"/>
      <c r="CZ529" s="73"/>
      <c r="DA529" s="73"/>
      <c r="DB529" s="73"/>
      <c r="DC529" s="73"/>
      <c r="DD529" s="73"/>
      <c r="DE529" s="73"/>
      <c r="DF529" s="73"/>
      <c r="DG529" s="73"/>
      <c r="DH529" s="73"/>
      <c r="DI529" s="73"/>
      <c r="DJ529" s="73"/>
      <c r="DK529" s="73"/>
      <c r="DL529" s="73"/>
      <c r="DM529" s="73"/>
      <c r="DN529" s="73"/>
      <c r="DO529" s="73"/>
      <c r="DP529" s="73"/>
      <c r="DQ529" s="73"/>
      <c r="DR529" s="73"/>
      <c r="DS529" s="73"/>
      <c r="DT529" s="73"/>
      <c r="DU529" s="73"/>
      <c r="DV529" s="73"/>
      <c r="DW529" s="73"/>
      <c r="DX529" s="73"/>
      <c r="DY529" s="73"/>
      <c r="DZ529" s="73"/>
      <c r="EA529" s="73"/>
      <c r="EB529" s="73"/>
      <c r="EC529" s="73"/>
      <c r="ED529" s="73"/>
      <c r="EE529" s="73"/>
      <c r="EF529" s="73"/>
      <c r="FJ529" s="73"/>
      <c r="FK529" s="73"/>
      <c r="FL529" s="73"/>
      <c r="FM529" s="73"/>
      <c r="FN529" s="73"/>
      <c r="FO529" s="73"/>
      <c r="FP529" s="73"/>
      <c r="FQ529" s="73"/>
      <c r="FR529" s="73"/>
      <c r="FS529" s="73"/>
      <c r="FT529" s="73"/>
      <c r="FU529" s="73"/>
      <c r="FV529" s="73"/>
      <c r="FW529" s="73"/>
      <c r="FX529" s="73"/>
      <c r="GO529" s="73"/>
      <c r="GP529" s="73"/>
      <c r="HE529" s="73"/>
      <c r="HU529" s="73"/>
      <c r="HV529" s="182"/>
    </row>
    <row r="530" spans="1:230" x14ac:dyDescent="0.25">
      <c r="A530" s="30"/>
      <c r="B530" s="30"/>
      <c r="C530" s="30"/>
      <c r="D530" s="30"/>
      <c r="G530" s="30"/>
      <c r="H530" s="30"/>
      <c r="I530" s="30"/>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c r="CE530" s="73"/>
      <c r="CF530" s="73"/>
      <c r="CG530" s="73"/>
      <c r="CH530" s="73"/>
      <c r="CI530" s="73"/>
      <c r="CJ530" s="73"/>
      <c r="CK530" s="73"/>
      <c r="CL530" s="73"/>
      <c r="CM530" s="73"/>
      <c r="CN530" s="73"/>
      <c r="CO530" s="73"/>
      <c r="CP530" s="73"/>
      <c r="CQ530" s="73"/>
      <c r="CR530" s="73"/>
      <c r="CS530" s="73"/>
      <c r="CT530" s="73"/>
      <c r="CU530" s="73"/>
      <c r="CV530" s="73"/>
      <c r="CW530" s="73"/>
      <c r="CX530" s="73"/>
      <c r="CY530" s="73"/>
      <c r="CZ530" s="73"/>
      <c r="DA530" s="73"/>
      <c r="DB530" s="73"/>
      <c r="DC530" s="73"/>
      <c r="DD530" s="73"/>
      <c r="DE530" s="73"/>
      <c r="DF530" s="73"/>
      <c r="DG530" s="73"/>
      <c r="DH530" s="73"/>
      <c r="DI530" s="73"/>
      <c r="DJ530" s="73"/>
      <c r="DK530" s="73"/>
      <c r="DL530" s="73"/>
      <c r="DM530" s="73"/>
      <c r="DN530" s="73"/>
      <c r="DO530" s="73"/>
      <c r="DP530" s="73"/>
      <c r="DQ530" s="73"/>
      <c r="DR530" s="73"/>
      <c r="DS530" s="73"/>
      <c r="DT530" s="73"/>
      <c r="DU530" s="73"/>
      <c r="DV530" s="73"/>
      <c r="DW530" s="73"/>
      <c r="DX530" s="73"/>
      <c r="DY530" s="73"/>
      <c r="DZ530" s="73"/>
      <c r="EA530" s="73"/>
      <c r="EB530" s="73"/>
      <c r="EC530" s="73"/>
      <c r="ED530" s="73"/>
      <c r="EE530" s="73"/>
      <c r="EF530" s="73"/>
      <c r="FJ530" s="73"/>
      <c r="FK530" s="73"/>
      <c r="FL530" s="73"/>
      <c r="FM530" s="73"/>
      <c r="FN530" s="73"/>
      <c r="FO530" s="73"/>
      <c r="FP530" s="73"/>
      <c r="FQ530" s="73"/>
      <c r="FR530" s="73"/>
      <c r="FS530" s="73"/>
      <c r="FT530" s="73"/>
      <c r="FU530" s="73"/>
      <c r="FV530" s="73"/>
      <c r="FW530" s="73"/>
      <c r="FX530" s="73"/>
      <c r="GO530" s="73"/>
      <c r="GP530" s="73"/>
      <c r="HE530" s="73"/>
      <c r="HU530" s="73"/>
      <c r="HV530" s="182"/>
    </row>
    <row r="531" spans="1:230" x14ac:dyDescent="0.25">
      <c r="A531" s="30"/>
      <c r="B531" s="30"/>
      <c r="C531" s="30"/>
      <c r="D531" s="30"/>
      <c r="G531" s="30"/>
      <c r="H531" s="30"/>
      <c r="I531" s="30"/>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c r="CE531" s="73"/>
      <c r="CF531" s="73"/>
      <c r="CG531" s="73"/>
      <c r="CH531" s="73"/>
      <c r="CI531" s="73"/>
      <c r="CJ531" s="73"/>
      <c r="CK531" s="73"/>
      <c r="CL531" s="73"/>
      <c r="CM531" s="73"/>
      <c r="CN531" s="73"/>
      <c r="CO531" s="73"/>
      <c r="CP531" s="73"/>
      <c r="CQ531" s="73"/>
      <c r="CR531" s="73"/>
      <c r="CS531" s="73"/>
      <c r="CT531" s="73"/>
      <c r="CU531" s="73"/>
      <c r="CV531" s="73"/>
      <c r="CW531" s="73"/>
      <c r="CX531" s="73"/>
      <c r="CY531" s="73"/>
      <c r="CZ531" s="73"/>
      <c r="DA531" s="73"/>
      <c r="DB531" s="73"/>
      <c r="DC531" s="73"/>
      <c r="DD531" s="73"/>
      <c r="DE531" s="73"/>
      <c r="DF531" s="73"/>
      <c r="DG531" s="73"/>
      <c r="DH531" s="73"/>
      <c r="DI531" s="73"/>
      <c r="DJ531" s="73"/>
      <c r="DK531" s="73"/>
      <c r="DL531" s="73"/>
      <c r="DM531" s="73"/>
      <c r="DN531" s="73"/>
      <c r="DO531" s="73"/>
      <c r="DP531" s="73"/>
      <c r="DQ531" s="73"/>
      <c r="DR531" s="73"/>
      <c r="DS531" s="73"/>
      <c r="DT531" s="73"/>
      <c r="DU531" s="73"/>
      <c r="DV531" s="73"/>
      <c r="DW531" s="73"/>
      <c r="DX531" s="73"/>
      <c r="DY531" s="73"/>
      <c r="DZ531" s="73"/>
      <c r="EA531" s="73"/>
      <c r="EB531" s="73"/>
      <c r="EC531" s="73"/>
      <c r="ED531" s="73"/>
      <c r="EE531" s="73"/>
      <c r="EF531" s="73"/>
      <c r="FJ531" s="73"/>
      <c r="FK531" s="73"/>
      <c r="FL531" s="73"/>
      <c r="FM531" s="73"/>
      <c r="FN531" s="73"/>
      <c r="FO531" s="73"/>
      <c r="FP531" s="73"/>
      <c r="FQ531" s="73"/>
      <c r="FR531" s="73"/>
      <c r="FS531" s="73"/>
      <c r="FT531" s="73"/>
      <c r="FU531" s="73"/>
      <c r="FV531" s="73"/>
      <c r="FW531" s="73"/>
      <c r="FX531" s="73"/>
      <c r="GO531" s="73"/>
      <c r="GP531" s="73"/>
      <c r="HE531" s="73"/>
      <c r="HU531" s="73"/>
      <c r="HV531" s="182"/>
    </row>
    <row r="532" spans="1:230" x14ac:dyDescent="0.25">
      <c r="A532" s="30"/>
      <c r="B532" s="30"/>
      <c r="C532" s="30"/>
      <c r="D532" s="30"/>
      <c r="G532" s="30"/>
      <c r="H532" s="30"/>
      <c r="I532" s="30"/>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c r="CE532" s="73"/>
      <c r="CF532" s="73"/>
      <c r="CG532" s="73"/>
      <c r="CH532" s="73"/>
      <c r="CI532" s="73"/>
      <c r="CJ532" s="73"/>
      <c r="CK532" s="73"/>
      <c r="CL532" s="73"/>
      <c r="CM532" s="73"/>
      <c r="CN532" s="73"/>
      <c r="CO532" s="73"/>
      <c r="CP532" s="73"/>
      <c r="CQ532" s="73"/>
      <c r="CR532" s="73"/>
      <c r="CS532" s="73"/>
      <c r="CT532" s="73"/>
      <c r="CU532" s="73"/>
      <c r="CV532" s="73"/>
      <c r="CW532" s="73"/>
      <c r="CX532" s="73"/>
      <c r="CY532" s="73"/>
      <c r="CZ532" s="73"/>
      <c r="DA532" s="73"/>
      <c r="DB532" s="73"/>
      <c r="DC532" s="73"/>
      <c r="DD532" s="73"/>
      <c r="DE532" s="73"/>
      <c r="DF532" s="73"/>
      <c r="DG532" s="73"/>
      <c r="DH532" s="73"/>
      <c r="DI532" s="73"/>
      <c r="DJ532" s="73"/>
      <c r="DK532" s="73"/>
      <c r="DL532" s="73"/>
      <c r="DM532" s="73"/>
      <c r="DN532" s="73"/>
      <c r="DO532" s="73"/>
      <c r="DP532" s="73"/>
      <c r="DQ532" s="73"/>
      <c r="DR532" s="73"/>
      <c r="DS532" s="73"/>
      <c r="DT532" s="73"/>
      <c r="DU532" s="73"/>
      <c r="DV532" s="73"/>
      <c r="DW532" s="73"/>
      <c r="DX532" s="73"/>
      <c r="DY532" s="73"/>
      <c r="DZ532" s="73"/>
      <c r="EA532" s="73"/>
      <c r="EB532" s="73"/>
      <c r="EC532" s="73"/>
      <c r="ED532" s="73"/>
      <c r="EE532" s="73"/>
      <c r="EF532" s="73"/>
      <c r="FJ532" s="73"/>
      <c r="FK532" s="73"/>
      <c r="FL532" s="73"/>
      <c r="FM532" s="73"/>
      <c r="FN532" s="73"/>
      <c r="FO532" s="73"/>
      <c r="FP532" s="73"/>
      <c r="FQ532" s="73"/>
      <c r="FR532" s="73"/>
      <c r="FS532" s="73"/>
      <c r="FT532" s="73"/>
      <c r="FU532" s="73"/>
      <c r="FV532" s="73"/>
      <c r="FW532" s="73"/>
      <c r="FX532" s="73"/>
      <c r="GO532" s="73"/>
      <c r="GP532" s="73"/>
      <c r="HE532" s="73"/>
      <c r="HU532" s="73"/>
      <c r="HV532" s="182"/>
    </row>
    <row r="533" spans="1:230" x14ac:dyDescent="0.25">
      <c r="A533" s="30"/>
      <c r="B533" s="30"/>
      <c r="C533" s="30"/>
      <c r="D533" s="30"/>
      <c r="G533" s="30"/>
      <c r="H533" s="30"/>
      <c r="I533" s="30"/>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c r="CE533" s="73"/>
      <c r="CF533" s="73"/>
      <c r="CG533" s="73"/>
      <c r="CH533" s="73"/>
      <c r="CI533" s="73"/>
      <c r="CJ533" s="73"/>
      <c r="CK533" s="73"/>
      <c r="CL533" s="73"/>
      <c r="CM533" s="73"/>
      <c r="CN533" s="73"/>
      <c r="CO533" s="73"/>
      <c r="CP533" s="73"/>
      <c r="CQ533" s="73"/>
      <c r="CR533" s="73"/>
      <c r="CS533" s="73"/>
      <c r="CT533" s="73"/>
      <c r="CU533" s="73"/>
      <c r="CV533" s="73"/>
      <c r="CW533" s="73"/>
      <c r="CX533" s="73"/>
      <c r="CY533" s="73"/>
      <c r="CZ533" s="73"/>
      <c r="DA533" s="73"/>
      <c r="DB533" s="73"/>
      <c r="DC533" s="73"/>
      <c r="DD533" s="73"/>
      <c r="DE533" s="73"/>
      <c r="DF533" s="73"/>
      <c r="DG533" s="73"/>
      <c r="DH533" s="73"/>
      <c r="DI533" s="73"/>
      <c r="DJ533" s="73"/>
      <c r="DK533" s="73"/>
      <c r="DL533" s="73"/>
      <c r="DM533" s="73"/>
      <c r="DN533" s="73"/>
      <c r="DO533" s="73"/>
      <c r="DP533" s="73"/>
      <c r="DQ533" s="73"/>
      <c r="DR533" s="73"/>
      <c r="DS533" s="73"/>
      <c r="DT533" s="73"/>
      <c r="DU533" s="73"/>
      <c r="DV533" s="73"/>
      <c r="DW533" s="73"/>
      <c r="DX533" s="73"/>
      <c r="DY533" s="73"/>
      <c r="DZ533" s="73"/>
      <c r="EA533" s="73"/>
      <c r="EB533" s="73"/>
      <c r="EC533" s="73"/>
      <c r="ED533" s="73"/>
      <c r="EE533" s="73"/>
      <c r="EF533" s="73"/>
      <c r="FJ533" s="73"/>
      <c r="FK533" s="73"/>
      <c r="FL533" s="73"/>
      <c r="FM533" s="73"/>
      <c r="FN533" s="73"/>
      <c r="FO533" s="73"/>
      <c r="FP533" s="73"/>
      <c r="FQ533" s="73"/>
      <c r="FR533" s="73"/>
      <c r="FS533" s="73"/>
      <c r="FT533" s="73"/>
      <c r="FU533" s="73"/>
      <c r="FV533" s="73"/>
      <c r="FW533" s="73"/>
      <c r="FX533" s="73"/>
      <c r="GO533" s="73"/>
      <c r="GP533" s="73"/>
      <c r="HE533" s="73"/>
      <c r="HU533" s="73"/>
      <c r="HV533" s="182"/>
    </row>
    <row r="534" spans="1:230" x14ac:dyDescent="0.25">
      <c r="A534" s="30"/>
      <c r="B534" s="30"/>
      <c r="C534" s="30"/>
      <c r="D534" s="30"/>
      <c r="G534" s="30"/>
      <c r="H534" s="30"/>
      <c r="I534" s="30"/>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c r="CE534" s="73"/>
      <c r="CF534" s="73"/>
      <c r="CG534" s="73"/>
      <c r="CH534" s="73"/>
      <c r="CI534" s="73"/>
      <c r="CJ534" s="73"/>
      <c r="CK534" s="73"/>
      <c r="CL534" s="73"/>
      <c r="CM534" s="73"/>
      <c r="CN534" s="73"/>
      <c r="CO534" s="73"/>
      <c r="CP534" s="73"/>
      <c r="CQ534" s="73"/>
      <c r="CR534" s="73"/>
      <c r="CS534" s="73"/>
      <c r="CT534" s="73"/>
      <c r="CU534" s="73"/>
      <c r="CV534" s="73"/>
      <c r="CW534" s="73"/>
      <c r="CX534" s="73"/>
      <c r="CY534" s="73"/>
      <c r="CZ534" s="73"/>
      <c r="DA534" s="73"/>
      <c r="DB534" s="73"/>
      <c r="DC534" s="73"/>
      <c r="DD534" s="73"/>
      <c r="DE534" s="73"/>
      <c r="DF534" s="73"/>
      <c r="DG534" s="73"/>
      <c r="DH534" s="73"/>
      <c r="DI534" s="73"/>
      <c r="DJ534" s="73"/>
      <c r="DK534" s="73"/>
      <c r="DL534" s="73"/>
      <c r="DM534" s="73"/>
      <c r="DN534" s="73"/>
      <c r="DO534" s="73"/>
      <c r="DP534" s="73"/>
      <c r="DQ534" s="73"/>
      <c r="DR534" s="73"/>
      <c r="DS534" s="73"/>
      <c r="DT534" s="73"/>
      <c r="DU534" s="73"/>
      <c r="DV534" s="73"/>
      <c r="DW534" s="73"/>
      <c r="DX534" s="73"/>
      <c r="DY534" s="73"/>
      <c r="DZ534" s="73"/>
      <c r="EA534" s="73"/>
      <c r="EB534" s="73"/>
      <c r="EC534" s="73"/>
      <c r="ED534" s="73"/>
      <c r="EE534" s="73"/>
      <c r="EF534" s="73"/>
      <c r="FJ534" s="73"/>
      <c r="FK534" s="73"/>
      <c r="FL534" s="73"/>
      <c r="FM534" s="73"/>
      <c r="FN534" s="73"/>
      <c r="FO534" s="73"/>
      <c r="FP534" s="73"/>
      <c r="FQ534" s="73"/>
      <c r="FR534" s="73"/>
      <c r="FS534" s="73"/>
      <c r="FT534" s="73"/>
      <c r="FU534" s="73"/>
      <c r="FV534" s="73"/>
      <c r="FW534" s="73"/>
      <c r="FX534" s="73"/>
      <c r="GO534" s="73"/>
      <c r="GP534" s="73"/>
      <c r="HE534" s="73"/>
      <c r="HU534" s="73"/>
      <c r="HV534" s="182"/>
    </row>
    <row r="535" spans="1:230" x14ac:dyDescent="0.25">
      <c r="A535" s="30"/>
      <c r="B535" s="30"/>
      <c r="C535" s="30"/>
      <c r="D535" s="30"/>
      <c r="G535" s="30"/>
      <c r="H535" s="30"/>
      <c r="I535" s="30"/>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3"/>
      <c r="DV535" s="73"/>
      <c r="DW535" s="73"/>
      <c r="DX535" s="73"/>
      <c r="DY535" s="73"/>
      <c r="DZ535" s="73"/>
      <c r="EA535" s="73"/>
      <c r="EB535" s="73"/>
      <c r="EC535" s="73"/>
      <c r="ED535" s="73"/>
      <c r="EE535" s="73"/>
      <c r="EF535" s="73"/>
      <c r="FJ535" s="73"/>
      <c r="FK535" s="73"/>
      <c r="FL535" s="73"/>
      <c r="FM535" s="73"/>
      <c r="FN535" s="73"/>
      <c r="FO535" s="73"/>
      <c r="FP535" s="73"/>
      <c r="FQ535" s="73"/>
      <c r="FR535" s="73"/>
      <c r="FS535" s="73"/>
      <c r="FT535" s="73"/>
      <c r="FU535" s="73"/>
      <c r="FV535" s="73"/>
      <c r="FW535" s="73"/>
      <c r="FX535" s="73"/>
      <c r="GO535" s="73"/>
      <c r="GP535" s="73"/>
      <c r="HE535" s="73"/>
      <c r="HU535" s="73"/>
      <c r="HV535" s="182"/>
    </row>
    <row r="536" spans="1:230" x14ac:dyDescent="0.25">
      <c r="A536" s="30"/>
      <c r="B536" s="30"/>
      <c r="C536" s="30"/>
      <c r="D536" s="30"/>
      <c r="G536" s="30"/>
      <c r="H536" s="30"/>
      <c r="I536" s="30"/>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c r="CE536" s="73"/>
      <c r="CF536" s="73"/>
      <c r="CG536" s="73"/>
      <c r="CH536" s="73"/>
      <c r="CI536" s="73"/>
      <c r="CJ536" s="73"/>
      <c r="CK536" s="73"/>
      <c r="CL536" s="73"/>
      <c r="CM536" s="73"/>
      <c r="CN536" s="73"/>
      <c r="CO536" s="73"/>
      <c r="CP536" s="73"/>
      <c r="CQ536" s="73"/>
      <c r="CR536" s="73"/>
      <c r="CS536" s="73"/>
      <c r="CT536" s="73"/>
      <c r="CU536" s="73"/>
      <c r="CV536" s="73"/>
      <c r="CW536" s="73"/>
      <c r="CX536" s="73"/>
      <c r="CY536" s="73"/>
      <c r="CZ536" s="73"/>
      <c r="DA536" s="73"/>
      <c r="DB536" s="73"/>
      <c r="DC536" s="73"/>
      <c r="DD536" s="73"/>
      <c r="DE536" s="73"/>
      <c r="DF536" s="73"/>
      <c r="DG536" s="73"/>
      <c r="DH536" s="73"/>
      <c r="DI536" s="73"/>
      <c r="DJ536" s="73"/>
      <c r="DK536" s="73"/>
      <c r="DL536" s="73"/>
      <c r="DM536" s="73"/>
      <c r="DN536" s="73"/>
      <c r="DO536" s="73"/>
      <c r="DP536" s="73"/>
      <c r="DQ536" s="73"/>
      <c r="DR536" s="73"/>
      <c r="DS536" s="73"/>
      <c r="DT536" s="73"/>
      <c r="DU536" s="73"/>
      <c r="DV536" s="73"/>
      <c r="DW536" s="73"/>
      <c r="DX536" s="73"/>
      <c r="DY536" s="73"/>
      <c r="DZ536" s="73"/>
      <c r="EA536" s="73"/>
      <c r="EB536" s="73"/>
      <c r="EC536" s="73"/>
      <c r="ED536" s="73"/>
      <c r="EE536" s="73"/>
      <c r="EF536" s="73"/>
      <c r="FJ536" s="73"/>
      <c r="FK536" s="73"/>
      <c r="FL536" s="73"/>
      <c r="FM536" s="73"/>
      <c r="FN536" s="73"/>
      <c r="FO536" s="73"/>
      <c r="FP536" s="73"/>
      <c r="FQ536" s="73"/>
      <c r="FR536" s="73"/>
      <c r="FS536" s="73"/>
      <c r="FT536" s="73"/>
      <c r="FU536" s="73"/>
      <c r="FV536" s="73"/>
      <c r="FW536" s="73"/>
      <c r="FX536" s="73"/>
      <c r="GO536" s="73"/>
      <c r="GP536" s="73"/>
      <c r="HE536" s="73"/>
      <c r="HU536" s="73"/>
      <c r="HV536" s="182"/>
    </row>
    <row r="537" spans="1:230" x14ac:dyDescent="0.25">
      <c r="A537" s="30"/>
      <c r="B537" s="30"/>
      <c r="C537" s="30"/>
      <c r="D537" s="30"/>
      <c r="G537" s="30"/>
      <c r="H537" s="30"/>
      <c r="I537" s="30"/>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c r="CE537" s="73"/>
      <c r="CF537" s="73"/>
      <c r="CG537" s="73"/>
      <c r="CH537" s="73"/>
      <c r="CI537" s="73"/>
      <c r="CJ537" s="73"/>
      <c r="CK537" s="73"/>
      <c r="CL537" s="73"/>
      <c r="CM537" s="73"/>
      <c r="CN537" s="73"/>
      <c r="CO537" s="73"/>
      <c r="CP537" s="73"/>
      <c r="CQ537" s="73"/>
      <c r="CR537" s="73"/>
      <c r="CS537" s="73"/>
      <c r="CT537" s="73"/>
      <c r="CU537" s="73"/>
      <c r="CV537" s="73"/>
      <c r="CW537" s="73"/>
      <c r="CX537" s="73"/>
      <c r="CY537" s="73"/>
      <c r="CZ537" s="73"/>
      <c r="DA537" s="73"/>
      <c r="DB537" s="73"/>
      <c r="DC537" s="73"/>
      <c r="DD537" s="73"/>
      <c r="DE537" s="73"/>
      <c r="DF537" s="73"/>
      <c r="DG537" s="73"/>
      <c r="DH537" s="73"/>
      <c r="DI537" s="73"/>
      <c r="DJ537" s="73"/>
      <c r="DK537" s="73"/>
      <c r="DL537" s="73"/>
      <c r="DM537" s="73"/>
      <c r="DN537" s="73"/>
      <c r="DO537" s="73"/>
      <c r="DP537" s="73"/>
      <c r="DQ537" s="73"/>
      <c r="DR537" s="73"/>
      <c r="DS537" s="73"/>
      <c r="DT537" s="73"/>
      <c r="DU537" s="73"/>
      <c r="DV537" s="73"/>
      <c r="DW537" s="73"/>
      <c r="DX537" s="73"/>
      <c r="DY537" s="73"/>
      <c r="DZ537" s="73"/>
      <c r="EA537" s="73"/>
      <c r="EB537" s="73"/>
      <c r="EC537" s="73"/>
      <c r="ED537" s="73"/>
      <c r="EE537" s="73"/>
      <c r="EF537" s="73"/>
      <c r="FJ537" s="73"/>
      <c r="FK537" s="73"/>
      <c r="FL537" s="73"/>
      <c r="FM537" s="73"/>
      <c r="FN537" s="73"/>
      <c r="FO537" s="73"/>
      <c r="FP537" s="73"/>
      <c r="FQ537" s="73"/>
      <c r="FR537" s="73"/>
      <c r="FS537" s="73"/>
      <c r="FT537" s="73"/>
      <c r="FU537" s="73"/>
      <c r="FV537" s="73"/>
      <c r="FW537" s="73"/>
      <c r="FX537" s="73"/>
      <c r="GO537" s="73"/>
      <c r="GP537" s="73"/>
      <c r="HE537" s="73"/>
      <c r="HU537" s="73"/>
      <c r="HV537" s="182"/>
    </row>
    <row r="538" spans="1:230" x14ac:dyDescent="0.25">
      <c r="A538" s="30"/>
      <c r="B538" s="30"/>
      <c r="C538" s="30"/>
      <c r="D538" s="30"/>
      <c r="G538" s="30"/>
      <c r="H538" s="30"/>
      <c r="I538" s="30"/>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c r="CE538" s="73"/>
      <c r="CF538" s="73"/>
      <c r="CG538" s="73"/>
      <c r="CH538" s="73"/>
      <c r="CI538" s="73"/>
      <c r="CJ538" s="73"/>
      <c r="CK538" s="73"/>
      <c r="CL538" s="73"/>
      <c r="CM538" s="73"/>
      <c r="CN538" s="73"/>
      <c r="CO538" s="73"/>
      <c r="CP538" s="73"/>
      <c r="CQ538" s="73"/>
      <c r="CR538" s="73"/>
      <c r="CS538" s="73"/>
      <c r="CT538" s="73"/>
      <c r="CU538" s="73"/>
      <c r="CV538" s="73"/>
      <c r="CW538" s="73"/>
      <c r="CX538" s="73"/>
      <c r="CY538" s="73"/>
      <c r="CZ538" s="73"/>
      <c r="DA538" s="73"/>
      <c r="DB538" s="73"/>
      <c r="DC538" s="73"/>
      <c r="DD538" s="73"/>
      <c r="DE538" s="73"/>
      <c r="DF538" s="73"/>
      <c r="DG538" s="73"/>
      <c r="DH538" s="73"/>
      <c r="DI538" s="73"/>
      <c r="DJ538" s="73"/>
      <c r="DK538" s="73"/>
      <c r="DL538" s="73"/>
      <c r="DM538" s="73"/>
      <c r="DN538" s="73"/>
      <c r="DO538" s="73"/>
      <c r="DP538" s="73"/>
      <c r="DQ538" s="73"/>
      <c r="DR538" s="73"/>
      <c r="DS538" s="73"/>
      <c r="DT538" s="73"/>
      <c r="DU538" s="73"/>
      <c r="DV538" s="73"/>
      <c r="DW538" s="73"/>
      <c r="DX538" s="73"/>
      <c r="DY538" s="73"/>
      <c r="DZ538" s="73"/>
      <c r="EA538" s="73"/>
      <c r="EB538" s="73"/>
      <c r="EC538" s="73"/>
      <c r="ED538" s="73"/>
      <c r="EE538" s="73"/>
      <c r="EF538" s="73"/>
      <c r="FJ538" s="73"/>
      <c r="FK538" s="73"/>
      <c r="FL538" s="73"/>
      <c r="FM538" s="73"/>
      <c r="FN538" s="73"/>
      <c r="FO538" s="73"/>
      <c r="FP538" s="73"/>
      <c r="FQ538" s="73"/>
      <c r="FR538" s="73"/>
      <c r="FS538" s="73"/>
      <c r="FT538" s="73"/>
      <c r="FU538" s="73"/>
      <c r="FV538" s="73"/>
      <c r="FW538" s="73"/>
      <c r="FX538" s="73"/>
      <c r="GO538" s="73"/>
      <c r="GP538" s="73"/>
      <c r="HE538" s="73"/>
      <c r="HU538" s="73"/>
      <c r="HV538" s="182"/>
    </row>
    <row r="539" spans="1:230" x14ac:dyDescent="0.25">
      <c r="A539" s="30"/>
      <c r="B539" s="30"/>
      <c r="C539" s="30"/>
      <c r="D539" s="30"/>
      <c r="G539" s="30"/>
      <c r="H539" s="30"/>
      <c r="I539" s="30"/>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c r="CE539" s="73"/>
      <c r="CF539" s="73"/>
      <c r="CG539" s="73"/>
      <c r="CH539" s="73"/>
      <c r="CI539" s="73"/>
      <c r="CJ539" s="73"/>
      <c r="CK539" s="73"/>
      <c r="CL539" s="73"/>
      <c r="CM539" s="73"/>
      <c r="CN539" s="73"/>
      <c r="CO539" s="73"/>
      <c r="CP539" s="73"/>
      <c r="CQ539" s="73"/>
      <c r="CR539" s="73"/>
      <c r="CS539" s="73"/>
      <c r="CT539" s="73"/>
      <c r="CU539" s="73"/>
      <c r="CV539" s="73"/>
      <c r="CW539" s="73"/>
      <c r="CX539" s="73"/>
      <c r="CY539" s="73"/>
      <c r="CZ539" s="73"/>
      <c r="DA539" s="73"/>
      <c r="DB539" s="73"/>
      <c r="DC539" s="73"/>
      <c r="DD539" s="73"/>
      <c r="DE539" s="73"/>
      <c r="DF539" s="73"/>
      <c r="DG539" s="73"/>
      <c r="DH539" s="73"/>
      <c r="DI539" s="73"/>
      <c r="DJ539" s="73"/>
      <c r="DK539" s="73"/>
      <c r="DL539" s="73"/>
      <c r="DM539" s="73"/>
      <c r="DN539" s="73"/>
      <c r="DO539" s="73"/>
      <c r="DP539" s="73"/>
      <c r="DQ539" s="73"/>
      <c r="DR539" s="73"/>
      <c r="DS539" s="73"/>
      <c r="DT539" s="73"/>
      <c r="DU539" s="73"/>
      <c r="DV539" s="73"/>
      <c r="DW539" s="73"/>
      <c r="DX539" s="73"/>
      <c r="DY539" s="73"/>
      <c r="DZ539" s="73"/>
      <c r="EA539" s="73"/>
      <c r="EB539" s="73"/>
      <c r="EC539" s="73"/>
      <c r="ED539" s="73"/>
      <c r="EE539" s="73"/>
      <c r="EF539" s="73"/>
      <c r="FJ539" s="73"/>
      <c r="FK539" s="73"/>
      <c r="FL539" s="73"/>
      <c r="FM539" s="73"/>
      <c r="FN539" s="73"/>
      <c r="FO539" s="73"/>
      <c r="FP539" s="73"/>
      <c r="FQ539" s="73"/>
      <c r="FR539" s="73"/>
      <c r="FS539" s="73"/>
      <c r="FT539" s="73"/>
      <c r="FU539" s="73"/>
      <c r="FV539" s="73"/>
      <c r="FW539" s="73"/>
      <c r="FX539" s="73"/>
      <c r="GO539" s="73"/>
      <c r="GP539" s="73"/>
      <c r="HE539" s="73"/>
      <c r="HU539" s="73"/>
      <c r="HV539" s="182"/>
    </row>
    <row r="540" spans="1:230" x14ac:dyDescent="0.25">
      <c r="A540" s="30"/>
      <c r="B540" s="30"/>
      <c r="C540" s="30"/>
      <c r="D540" s="30"/>
      <c r="G540" s="30"/>
      <c r="H540" s="30"/>
      <c r="I540" s="30"/>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3"/>
      <c r="CK540" s="73"/>
      <c r="CL540" s="73"/>
      <c r="CM540" s="73"/>
      <c r="CN540" s="73"/>
      <c r="CO540" s="73"/>
      <c r="CP540" s="73"/>
      <c r="CQ540" s="73"/>
      <c r="CR540" s="73"/>
      <c r="CS540" s="73"/>
      <c r="CT540" s="73"/>
      <c r="CU540" s="73"/>
      <c r="CV540" s="73"/>
      <c r="CW540" s="73"/>
      <c r="CX540" s="73"/>
      <c r="CY540" s="73"/>
      <c r="CZ540" s="73"/>
      <c r="DA540" s="73"/>
      <c r="DB540" s="73"/>
      <c r="DC540" s="73"/>
      <c r="DD540" s="73"/>
      <c r="DE540" s="73"/>
      <c r="DF540" s="73"/>
      <c r="DG540" s="73"/>
      <c r="DH540" s="73"/>
      <c r="DI540" s="73"/>
      <c r="DJ540" s="73"/>
      <c r="DK540" s="73"/>
      <c r="DL540" s="73"/>
      <c r="DM540" s="73"/>
      <c r="DN540" s="73"/>
      <c r="DO540" s="73"/>
      <c r="DP540" s="73"/>
      <c r="DQ540" s="73"/>
      <c r="DR540" s="73"/>
      <c r="DS540" s="73"/>
      <c r="DT540" s="73"/>
      <c r="DU540" s="73"/>
      <c r="DV540" s="73"/>
      <c r="DW540" s="73"/>
      <c r="DX540" s="73"/>
      <c r="DY540" s="73"/>
      <c r="DZ540" s="73"/>
      <c r="EA540" s="73"/>
      <c r="EB540" s="73"/>
      <c r="EC540" s="73"/>
      <c r="ED540" s="73"/>
      <c r="EE540" s="73"/>
      <c r="EF540" s="73"/>
      <c r="FJ540" s="73"/>
      <c r="FK540" s="73"/>
      <c r="FL540" s="73"/>
      <c r="FM540" s="73"/>
      <c r="FN540" s="73"/>
      <c r="FO540" s="73"/>
      <c r="FP540" s="73"/>
      <c r="FQ540" s="73"/>
      <c r="FR540" s="73"/>
      <c r="FS540" s="73"/>
      <c r="FT540" s="73"/>
      <c r="FU540" s="73"/>
      <c r="FV540" s="73"/>
      <c r="FW540" s="73"/>
      <c r="FX540" s="73"/>
      <c r="GO540" s="73"/>
      <c r="GP540" s="73"/>
      <c r="HE540" s="73"/>
      <c r="HU540" s="73"/>
      <c r="HV540" s="182"/>
    </row>
    <row r="541" spans="1:230" x14ac:dyDescent="0.25">
      <c r="A541" s="30"/>
      <c r="B541" s="30"/>
      <c r="C541" s="30"/>
      <c r="D541" s="30"/>
      <c r="G541" s="30"/>
      <c r="H541" s="30"/>
      <c r="I541" s="30"/>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c r="CE541" s="73"/>
      <c r="CF541" s="73"/>
      <c r="CG541" s="73"/>
      <c r="CH541" s="73"/>
      <c r="CI541" s="73"/>
      <c r="CJ541" s="73"/>
      <c r="CK541" s="73"/>
      <c r="CL541" s="73"/>
      <c r="CM541" s="73"/>
      <c r="CN541" s="73"/>
      <c r="CO541" s="73"/>
      <c r="CP541" s="73"/>
      <c r="CQ541" s="73"/>
      <c r="CR541" s="73"/>
      <c r="CS541" s="73"/>
      <c r="CT541" s="73"/>
      <c r="CU541" s="73"/>
      <c r="CV541" s="73"/>
      <c r="CW541" s="73"/>
      <c r="CX541" s="73"/>
      <c r="CY541" s="73"/>
      <c r="CZ541" s="73"/>
      <c r="DA541" s="73"/>
      <c r="DB541" s="73"/>
      <c r="DC541" s="73"/>
      <c r="DD541" s="73"/>
      <c r="DE541" s="73"/>
      <c r="DF541" s="73"/>
      <c r="DG541" s="73"/>
      <c r="DH541" s="73"/>
      <c r="DI541" s="73"/>
      <c r="DJ541" s="73"/>
      <c r="DK541" s="73"/>
      <c r="DL541" s="73"/>
      <c r="DM541" s="73"/>
      <c r="DN541" s="73"/>
      <c r="DO541" s="73"/>
      <c r="DP541" s="73"/>
      <c r="DQ541" s="73"/>
      <c r="DR541" s="73"/>
      <c r="DS541" s="73"/>
      <c r="DT541" s="73"/>
      <c r="DU541" s="73"/>
      <c r="DV541" s="73"/>
      <c r="DW541" s="73"/>
      <c r="DX541" s="73"/>
      <c r="DY541" s="73"/>
      <c r="DZ541" s="73"/>
      <c r="EA541" s="73"/>
      <c r="EB541" s="73"/>
      <c r="EC541" s="73"/>
      <c r="ED541" s="73"/>
      <c r="EE541" s="73"/>
      <c r="EF541" s="73"/>
      <c r="FJ541" s="73"/>
      <c r="FK541" s="73"/>
      <c r="FL541" s="73"/>
      <c r="FM541" s="73"/>
      <c r="FN541" s="73"/>
      <c r="FO541" s="73"/>
      <c r="FP541" s="73"/>
      <c r="FQ541" s="73"/>
      <c r="FR541" s="73"/>
      <c r="FS541" s="73"/>
      <c r="FT541" s="73"/>
      <c r="FU541" s="73"/>
      <c r="FV541" s="73"/>
      <c r="FW541" s="73"/>
      <c r="FX541" s="73"/>
      <c r="GO541" s="73"/>
      <c r="GP541" s="73"/>
      <c r="HE541" s="73"/>
      <c r="HU541" s="73"/>
      <c r="HV541" s="182"/>
    </row>
    <row r="542" spans="1:230" x14ac:dyDescent="0.25">
      <c r="A542" s="30"/>
      <c r="B542" s="30"/>
      <c r="C542" s="30"/>
      <c r="D542" s="30"/>
      <c r="G542" s="30"/>
      <c r="H542" s="30"/>
      <c r="I542" s="30"/>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3"/>
      <c r="CK542" s="73"/>
      <c r="CL542" s="73"/>
      <c r="CM542" s="73"/>
      <c r="CN542" s="73"/>
      <c r="CO542" s="73"/>
      <c r="CP542" s="73"/>
      <c r="CQ542" s="73"/>
      <c r="CR542" s="73"/>
      <c r="CS542" s="73"/>
      <c r="CT542" s="73"/>
      <c r="CU542" s="73"/>
      <c r="CV542" s="73"/>
      <c r="CW542" s="73"/>
      <c r="CX542" s="73"/>
      <c r="CY542" s="73"/>
      <c r="CZ542" s="73"/>
      <c r="DA542" s="73"/>
      <c r="DB542" s="73"/>
      <c r="DC542" s="73"/>
      <c r="DD542" s="73"/>
      <c r="DE542" s="73"/>
      <c r="DF542" s="73"/>
      <c r="DG542" s="73"/>
      <c r="DH542" s="73"/>
      <c r="DI542" s="73"/>
      <c r="DJ542" s="73"/>
      <c r="DK542" s="73"/>
      <c r="DL542" s="73"/>
      <c r="DM542" s="73"/>
      <c r="DN542" s="73"/>
      <c r="DO542" s="73"/>
      <c r="DP542" s="73"/>
      <c r="DQ542" s="73"/>
      <c r="DR542" s="73"/>
      <c r="DS542" s="73"/>
      <c r="DT542" s="73"/>
      <c r="DU542" s="73"/>
      <c r="DV542" s="73"/>
      <c r="DW542" s="73"/>
      <c r="DX542" s="73"/>
      <c r="DY542" s="73"/>
      <c r="DZ542" s="73"/>
      <c r="EA542" s="73"/>
      <c r="EB542" s="73"/>
      <c r="EC542" s="73"/>
      <c r="ED542" s="73"/>
      <c r="EE542" s="73"/>
      <c r="EF542" s="73"/>
      <c r="FJ542" s="73"/>
      <c r="FK542" s="73"/>
      <c r="FL542" s="73"/>
      <c r="FM542" s="73"/>
      <c r="FN542" s="73"/>
      <c r="FO542" s="73"/>
      <c r="FP542" s="73"/>
      <c r="FQ542" s="73"/>
      <c r="FR542" s="73"/>
      <c r="FS542" s="73"/>
      <c r="FT542" s="73"/>
      <c r="FU542" s="73"/>
      <c r="FV542" s="73"/>
      <c r="FW542" s="73"/>
      <c r="FX542" s="73"/>
      <c r="GO542" s="73"/>
      <c r="GP542" s="73"/>
      <c r="HE542" s="73"/>
      <c r="HU542" s="73"/>
      <c r="HV542" s="182"/>
    </row>
    <row r="543" spans="1:230" x14ac:dyDescent="0.25">
      <c r="A543" s="30"/>
      <c r="B543" s="30"/>
      <c r="C543" s="30"/>
      <c r="D543" s="30"/>
      <c r="G543" s="30"/>
      <c r="H543" s="30"/>
      <c r="I543" s="30"/>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3"/>
      <c r="CK543" s="73"/>
      <c r="CL543" s="73"/>
      <c r="CM543" s="73"/>
      <c r="CN543" s="73"/>
      <c r="CO543" s="73"/>
      <c r="CP543" s="73"/>
      <c r="CQ543" s="73"/>
      <c r="CR543" s="73"/>
      <c r="CS543" s="73"/>
      <c r="CT543" s="73"/>
      <c r="CU543" s="73"/>
      <c r="CV543" s="73"/>
      <c r="CW543" s="73"/>
      <c r="CX543" s="73"/>
      <c r="CY543" s="73"/>
      <c r="CZ543" s="73"/>
      <c r="DA543" s="73"/>
      <c r="DB543" s="73"/>
      <c r="DC543" s="73"/>
      <c r="DD543" s="73"/>
      <c r="DE543" s="73"/>
      <c r="DF543" s="73"/>
      <c r="DG543" s="73"/>
      <c r="DH543" s="73"/>
      <c r="DI543" s="73"/>
      <c r="DJ543" s="73"/>
      <c r="DK543" s="73"/>
      <c r="DL543" s="73"/>
      <c r="DM543" s="73"/>
      <c r="DN543" s="73"/>
      <c r="DO543" s="73"/>
      <c r="DP543" s="73"/>
      <c r="DQ543" s="73"/>
      <c r="DR543" s="73"/>
      <c r="DS543" s="73"/>
      <c r="DT543" s="73"/>
      <c r="DU543" s="73"/>
      <c r="DV543" s="73"/>
      <c r="DW543" s="73"/>
      <c r="DX543" s="73"/>
      <c r="DY543" s="73"/>
      <c r="DZ543" s="73"/>
      <c r="EA543" s="73"/>
      <c r="EB543" s="73"/>
      <c r="EC543" s="73"/>
      <c r="ED543" s="73"/>
      <c r="EE543" s="73"/>
      <c r="EF543" s="73"/>
      <c r="FJ543" s="73"/>
      <c r="FK543" s="73"/>
      <c r="FL543" s="73"/>
      <c r="FM543" s="73"/>
      <c r="FN543" s="73"/>
      <c r="FO543" s="73"/>
      <c r="FP543" s="73"/>
      <c r="FQ543" s="73"/>
      <c r="FR543" s="73"/>
      <c r="FS543" s="73"/>
      <c r="FT543" s="73"/>
      <c r="FU543" s="73"/>
      <c r="FV543" s="73"/>
      <c r="FW543" s="73"/>
      <c r="FX543" s="73"/>
      <c r="GO543" s="73"/>
      <c r="GP543" s="73"/>
      <c r="HE543" s="73"/>
      <c r="HU543" s="73"/>
      <c r="HV543" s="182"/>
    </row>
    <row r="544" spans="1:230" x14ac:dyDescent="0.25">
      <c r="A544" s="30"/>
      <c r="B544" s="30"/>
      <c r="C544" s="30"/>
      <c r="D544" s="30"/>
      <c r="G544" s="30"/>
      <c r="H544" s="30"/>
      <c r="I544" s="30"/>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3"/>
      <c r="CM544" s="73"/>
      <c r="CN544" s="73"/>
      <c r="CO544" s="73"/>
      <c r="CP544" s="73"/>
      <c r="CQ544" s="73"/>
      <c r="CR544" s="73"/>
      <c r="CS544" s="73"/>
      <c r="CT544" s="73"/>
      <c r="CU544" s="73"/>
      <c r="CV544" s="73"/>
      <c r="CW544" s="73"/>
      <c r="CX544" s="73"/>
      <c r="CY544" s="73"/>
      <c r="CZ544" s="73"/>
      <c r="DA544" s="73"/>
      <c r="DB544" s="73"/>
      <c r="DC544" s="73"/>
      <c r="DD544" s="73"/>
      <c r="DE544" s="73"/>
      <c r="DF544" s="73"/>
      <c r="DG544" s="73"/>
      <c r="DH544" s="73"/>
      <c r="DI544" s="73"/>
      <c r="DJ544" s="73"/>
      <c r="DK544" s="73"/>
      <c r="DL544" s="73"/>
      <c r="DM544" s="73"/>
      <c r="DN544" s="73"/>
      <c r="DO544" s="73"/>
      <c r="DP544" s="73"/>
      <c r="DQ544" s="73"/>
      <c r="DR544" s="73"/>
      <c r="DS544" s="73"/>
      <c r="DT544" s="73"/>
      <c r="DU544" s="73"/>
      <c r="DV544" s="73"/>
      <c r="DW544" s="73"/>
      <c r="DX544" s="73"/>
      <c r="DY544" s="73"/>
      <c r="DZ544" s="73"/>
      <c r="EA544" s="73"/>
      <c r="EB544" s="73"/>
      <c r="EC544" s="73"/>
      <c r="ED544" s="73"/>
      <c r="EE544" s="73"/>
      <c r="EF544" s="73"/>
      <c r="FJ544" s="73"/>
      <c r="FK544" s="73"/>
      <c r="FL544" s="73"/>
      <c r="FM544" s="73"/>
      <c r="FN544" s="73"/>
      <c r="FO544" s="73"/>
      <c r="FP544" s="73"/>
      <c r="FQ544" s="73"/>
      <c r="FR544" s="73"/>
      <c r="FS544" s="73"/>
      <c r="FT544" s="73"/>
      <c r="FU544" s="73"/>
      <c r="FV544" s="73"/>
      <c r="FW544" s="73"/>
      <c r="FX544" s="73"/>
      <c r="GO544" s="73"/>
      <c r="GP544" s="73"/>
      <c r="HE544" s="73"/>
      <c r="HU544" s="73"/>
      <c r="HV544" s="182"/>
    </row>
    <row r="545" spans="1:230" x14ac:dyDescent="0.25">
      <c r="A545" s="30"/>
      <c r="B545" s="30"/>
      <c r="C545" s="30"/>
      <c r="D545" s="30"/>
      <c r="G545" s="30"/>
      <c r="H545" s="30"/>
      <c r="I545" s="30"/>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3"/>
      <c r="CK545" s="73"/>
      <c r="CL545" s="73"/>
      <c r="CM545" s="73"/>
      <c r="CN545" s="73"/>
      <c r="CO545" s="73"/>
      <c r="CP545" s="73"/>
      <c r="CQ545" s="73"/>
      <c r="CR545" s="73"/>
      <c r="CS545" s="73"/>
      <c r="CT545" s="73"/>
      <c r="CU545" s="73"/>
      <c r="CV545" s="73"/>
      <c r="CW545" s="73"/>
      <c r="CX545" s="73"/>
      <c r="CY545" s="73"/>
      <c r="CZ545" s="73"/>
      <c r="DA545" s="73"/>
      <c r="DB545" s="73"/>
      <c r="DC545" s="73"/>
      <c r="DD545" s="73"/>
      <c r="DE545" s="73"/>
      <c r="DF545" s="73"/>
      <c r="DG545" s="73"/>
      <c r="DH545" s="73"/>
      <c r="DI545" s="73"/>
      <c r="DJ545" s="73"/>
      <c r="DK545" s="73"/>
      <c r="DL545" s="73"/>
      <c r="DM545" s="73"/>
      <c r="DN545" s="73"/>
      <c r="DO545" s="73"/>
      <c r="DP545" s="73"/>
      <c r="DQ545" s="73"/>
      <c r="DR545" s="73"/>
      <c r="DS545" s="73"/>
      <c r="DT545" s="73"/>
      <c r="DU545" s="73"/>
      <c r="DV545" s="73"/>
      <c r="DW545" s="73"/>
      <c r="DX545" s="73"/>
      <c r="DY545" s="73"/>
      <c r="DZ545" s="73"/>
      <c r="EA545" s="73"/>
      <c r="EB545" s="73"/>
      <c r="EC545" s="73"/>
      <c r="ED545" s="73"/>
      <c r="EE545" s="73"/>
      <c r="EF545" s="73"/>
      <c r="FJ545" s="73"/>
      <c r="FK545" s="73"/>
      <c r="FL545" s="73"/>
      <c r="FM545" s="73"/>
      <c r="FN545" s="73"/>
      <c r="FO545" s="73"/>
      <c r="FP545" s="73"/>
      <c r="FQ545" s="73"/>
      <c r="FR545" s="73"/>
      <c r="FS545" s="73"/>
      <c r="FT545" s="73"/>
      <c r="FU545" s="73"/>
      <c r="FV545" s="73"/>
      <c r="FW545" s="73"/>
      <c r="FX545" s="73"/>
      <c r="GO545" s="73"/>
      <c r="GP545" s="73"/>
      <c r="HE545" s="73"/>
      <c r="HU545" s="73"/>
      <c r="HV545" s="182"/>
    </row>
    <row r="546" spans="1:230" x14ac:dyDescent="0.25">
      <c r="A546" s="30"/>
      <c r="B546" s="30"/>
      <c r="C546" s="30"/>
      <c r="D546" s="30"/>
      <c r="G546" s="30"/>
      <c r="H546" s="30"/>
      <c r="I546" s="30"/>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3"/>
      <c r="CK546" s="73"/>
      <c r="CL546" s="73"/>
      <c r="CM546" s="73"/>
      <c r="CN546" s="73"/>
      <c r="CO546" s="73"/>
      <c r="CP546" s="73"/>
      <c r="CQ546" s="73"/>
      <c r="CR546" s="73"/>
      <c r="CS546" s="73"/>
      <c r="CT546" s="73"/>
      <c r="CU546" s="73"/>
      <c r="CV546" s="73"/>
      <c r="CW546" s="73"/>
      <c r="CX546" s="73"/>
      <c r="CY546" s="73"/>
      <c r="CZ546" s="73"/>
      <c r="DA546" s="73"/>
      <c r="DB546" s="73"/>
      <c r="DC546" s="73"/>
      <c r="DD546" s="73"/>
      <c r="DE546" s="73"/>
      <c r="DF546" s="73"/>
      <c r="DG546" s="73"/>
      <c r="DH546" s="73"/>
      <c r="DI546" s="73"/>
      <c r="DJ546" s="73"/>
      <c r="DK546" s="73"/>
      <c r="DL546" s="73"/>
      <c r="DM546" s="73"/>
      <c r="DN546" s="73"/>
      <c r="DO546" s="73"/>
      <c r="DP546" s="73"/>
      <c r="DQ546" s="73"/>
      <c r="DR546" s="73"/>
      <c r="DS546" s="73"/>
      <c r="DT546" s="73"/>
      <c r="DU546" s="73"/>
      <c r="DV546" s="73"/>
      <c r="DW546" s="73"/>
      <c r="DX546" s="73"/>
      <c r="DY546" s="73"/>
      <c r="DZ546" s="73"/>
      <c r="EA546" s="73"/>
      <c r="EB546" s="73"/>
      <c r="EC546" s="73"/>
      <c r="ED546" s="73"/>
      <c r="EE546" s="73"/>
      <c r="EF546" s="73"/>
      <c r="FJ546" s="73"/>
      <c r="FK546" s="73"/>
      <c r="FL546" s="73"/>
      <c r="FM546" s="73"/>
      <c r="FN546" s="73"/>
      <c r="FO546" s="73"/>
      <c r="FP546" s="73"/>
      <c r="FQ546" s="73"/>
      <c r="FR546" s="73"/>
      <c r="FS546" s="73"/>
      <c r="FT546" s="73"/>
      <c r="FU546" s="73"/>
      <c r="FV546" s="73"/>
      <c r="FW546" s="73"/>
      <c r="FX546" s="73"/>
      <c r="GO546" s="73"/>
      <c r="GP546" s="73"/>
      <c r="HE546" s="73"/>
      <c r="HU546" s="73"/>
      <c r="HV546" s="182"/>
    </row>
    <row r="547" spans="1:230" x14ac:dyDescent="0.25">
      <c r="A547" s="30"/>
      <c r="B547" s="30"/>
      <c r="C547" s="30"/>
      <c r="D547" s="30"/>
      <c r="G547" s="30"/>
      <c r="H547" s="30"/>
      <c r="I547" s="30"/>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3"/>
      <c r="CK547" s="73"/>
      <c r="CL547" s="73"/>
      <c r="CM547" s="73"/>
      <c r="CN547" s="73"/>
      <c r="CO547" s="73"/>
      <c r="CP547" s="73"/>
      <c r="CQ547" s="73"/>
      <c r="CR547" s="73"/>
      <c r="CS547" s="73"/>
      <c r="CT547" s="73"/>
      <c r="CU547" s="73"/>
      <c r="CV547" s="73"/>
      <c r="CW547" s="73"/>
      <c r="CX547" s="73"/>
      <c r="CY547" s="73"/>
      <c r="CZ547" s="73"/>
      <c r="DA547" s="73"/>
      <c r="DB547" s="73"/>
      <c r="DC547" s="73"/>
      <c r="DD547" s="73"/>
      <c r="DE547" s="73"/>
      <c r="DF547" s="73"/>
      <c r="DG547" s="73"/>
      <c r="DH547" s="73"/>
      <c r="DI547" s="73"/>
      <c r="DJ547" s="73"/>
      <c r="DK547" s="73"/>
      <c r="DL547" s="73"/>
      <c r="DM547" s="73"/>
      <c r="DN547" s="73"/>
      <c r="DO547" s="73"/>
      <c r="DP547" s="73"/>
      <c r="DQ547" s="73"/>
      <c r="DR547" s="73"/>
      <c r="DS547" s="73"/>
      <c r="DT547" s="73"/>
      <c r="DU547" s="73"/>
      <c r="DV547" s="73"/>
      <c r="DW547" s="73"/>
      <c r="DX547" s="73"/>
      <c r="DY547" s="73"/>
      <c r="DZ547" s="73"/>
      <c r="EA547" s="73"/>
      <c r="EB547" s="73"/>
      <c r="EC547" s="73"/>
      <c r="ED547" s="73"/>
      <c r="EE547" s="73"/>
      <c r="EF547" s="73"/>
      <c r="FJ547" s="73"/>
      <c r="FK547" s="73"/>
      <c r="FL547" s="73"/>
      <c r="FM547" s="73"/>
      <c r="FN547" s="73"/>
      <c r="FO547" s="73"/>
      <c r="FP547" s="73"/>
      <c r="FQ547" s="73"/>
      <c r="FR547" s="73"/>
      <c r="FS547" s="73"/>
      <c r="FT547" s="73"/>
      <c r="FU547" s="73"/>
      <c r="FV547" s="73"/>
      <c r="FW547" s="73"/>
      <c r="FX547" s="73"/>
      <c r="GO547" s="73"/>
      <c r="GP547" s="73"/>
      <c r="HE547" s="73"/>
      <c r="HU547" s="73"/>
      <c r="HV547" s="182"/>
    </row>
    <row r="548" spans="1:230" x14ac:dyDescent="0.25">
      <c r="A548" s="30"/>
      <c r="B548" s="30"/>
      <c r="C548" s="30"/>
      <c r="D548" s="30"/>
      <c r="G548" s="30"/>
      <c r="H548" s="30"/>
      <c r="I548" s="30"/>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3"/>
      <c r="CK548" s="73"/>
      <c r="CL548" s="73"/>
      <c r="CM548" s="73"/>
      <c r="CN548" s="73"/>
      <c r="CO548" s="73"/>
      <c r="CP548" s="73"/>
      <c r="CQ548" s="73"/>
      <c r="CR548" s="73"/>
      <c r="CS548" s="73"/>
      <c r="CT548" s="73"/>
      <c r="CU548" s="73"/>
      <c r="CV548" s="73"/>
      <c r="CW548" s="73"/>
      <c r="CX548" s="73"/>
      <c r="CY548" s="73"/>
      <c r="CZ548" s="73"/>
      <c r="DA548" s="73"/>
      <c r="DB548" s="73"/>
      <c r="DC548" s="73"/>
      <c r="DD548" s="73"/>
      <c r="DE548" s="73"/>
      <c r="DF548" s="73"/>
      <c r="DG548" s="73"/>
      <c r="DH548" s="73"/>
      <c r="DI548" s="73"/>
      <c r="DJ548" s="73"/>
      <c r="DK548" s="73"/>
      <c r="DL548" s="73"/>
      <c r="DM548" s="73"/>
      <c r="DN548" s="73"/>
      <c r="DO548" s="73"/>
      <c r="DP548" s="73"/>
      <c r="DQ548" s="73"/>
      <c r="DR548" s="73"/>
      <c r="DS548" s="73"/>
      <c r="DT548" s="73"/>
      <c r="DU548" s="73"/>
      <c r="DV548" s="73"/>
      <c r="DW548" s="73"/>
      <c r="DX548" s="73"/>
      <c r="DY548" s="73"/>
      <c r="DZ548" s="73"/>
      <c r="EA548" s="73"/>
      <c r="EB548" s="73"/>
      <c r="EC548" s="73"/>
      <c r="ED548" s="73"/>
      <c r="EE548" s="73"/>
      <c r="EF548" s="73"/>
      <c r="FJ548" s="73"/>
      <c r="FK548" s="73"/>
      <c r="FL548" s="73"/>
      <c r="FM548" s="73"/>
      <c r="FN548" s="73"/>
      <c r="FO548" s="73"/>
      <c r="FP548" s="73"/>
      <c r="FQ548" s="73"/>
      <c r="FR548" s="73"/>
      <c r="FS548" s="73"/>
      <c r="FT548" s="73"/>
      <c r="FU548" s="73"/>
      <c r="FV548" s="73"/>
      <c r="FW548" s="73"/>
      <c r="FX548" s="73"/>
      <c r="GO548" s="73"/>
      <c r="GP548" s="73"/>
      <c r="HE548" s="73"/>
      <c r="HU548" s="73"/>
      <c r="HV548" s="182"/>
    </row>
    <row r="549" spans="1:230" x14ac:dyDescent="0.25">
      <c r="A549" s="30"/>
      <c r="B549" s="30"/>
      <c r="C549" s="30"/>
      <c r="D549" s="30"/>
      <c r="G549" s="30"/>
      <c r="H549" s="30"/>
      <c r="I549" s="30"/>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c r="CN549" s="73"/>
      <c r="CO549" s="73"/>
      <c r="CP549" s="73"/>
      <c r="CQ549" s="73"/>
      <c r="CR549" s="73"/>
      <c r="CS549" s="73"/>
      <c r="CT549" s="73"/>
      <c r="CU549" s="73"/>
      <c r="CV549" s="73"/>
      <c r="CW549" s="73"/>
      <c r="CX549" s="73"/>
      <c r="CY549" s="73"/>
      <c r="CZ549" s="73"/>
      <c r="DA549" s="73"/>
      <c r="DB549" s="73"/>
      <c r="DC549" s="73"/>
      <c r="DD549" s="73"/>
      <c r="DE549" s="73"/>
      <c r="DF549" s="73"/>
      <c r="DG549" s="73"/>
      <c r="DH549" s="73"/>
      <c r="DI549" s="73"/>
      <c r="DJ549" s="73"/>
      <c r="DK549" s="73"/>
      <c r="DL549" s="73"/>
      <c r="DM549" s="73"/>
      <c r="DN549" s="73"/>
      <c r="DO549" s="73"/>
      <c r="DP549" s="73"/>
      <c r="DQ549" s="73"/>
      <c r="DR549" s="73"/>
      <c r="DS549" s="73"/>
      <c r="DT549" s="73"/>
      <c r="DU549" s="73"/>
      <c r="DV549" s="73"/>
      <c r="DW549" s="73"/>
      <c r="DX549" s="73"/>
      <c r="DY549" s="73"/>
      <c r="DZ549" s="73"/>
      <c r="EA549" s="73"/>
      <c r="EB549" s="73"/>
      <c r="EC549" s="73"/>
      <c r="ED549" s="73"/>
      <c r="EE549" s="73"/>
      <c r="EF549" s="73"/>
      <c r="FJ549" s="73"/>
      <c r="FK549" s="73"/>
      <c r="FL549" s="73"/>
      <c r="FM549" s="73"/>
      <c r="FN549" s="73"/>
      <c r="FO549" s="73"/>
      <c r="FP549" s="73"/>
      <c r="FQ549" s="73"/>
      <c r="FR549" s="73"/>
      <c r="FS549" s="73"/>
      <c r="FT549" s="73"/>
      <c r="FU549" s="73"/>
      <c r="FV549" s="73"/>
      <c r="FW549" s="73"/>
      <c r="FX549" s="73"/>
      <c r="GO549" s="73"/>
      <c r="GP549" s="73"/>
      <c r="HE549" s="73"/>
      <c r="HU549" s="73"/>
      <c r="HV549" s="182"/>
    </row>
    <row r="550" spans="1:230" x14ac:dyDescent="0.25">
      <c r="A550" s="30"/>
      <c r="B550" s="30"/>
      <c r="C550" s="30"/>
      <c r="D550" s="30"/>
      <c r="G550" s="30"/>
      <c r="H550" s="30"/>
      <c r="I550" s="30"/>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c r="CN550" s="73"/>
      <c r="CO550" s="73"/>
      <c r="CP550" s="73"/>
      <c r="CQ550" s="73"/>
      <c r="CR550" s="73"/>
      <c r="CS550" s="73"/>
      <c r="CT550" s="73"/>
      <c r="CU550" s="73"/>
      <c r="CV550" s="73"/>
      <c r="CW550" s="73"/>
      <c r="CX550" s="73"/>
      <c r="CY550" s="73"/>
      <c r="CZ550" s="73"/>
      <c r="DA550" s="73"/>
      <c r="DB550" s="73"/>
      <c r="DC550" s="73"/>
      <c r="DD550" s="73"/>
      <c r="DE550" s="73"/>
      <c r="DF550" s="73"/>
      <c r="DG550" s="73"/>
      <c r="DH550" s="73"/>
      <c r="DI550" s="73"/>
      <c r="DJ550" s="73"/>
      <c r="DK550" s="73"/>
      <c r="DL550" s="73"/>
      <c r="DM550" s="73"/>
      <c r="DN550" s="73"/>
      <c r="DO550" s="73"/>
      <c r="DP550" s="73"/>
      <c r="DQ550" s="73"/>
      <c r="DR550" s="73"/>
      <c r="DS550" s="73"/>
      <c r="DT550" s="73"/>
      <c r="DU550" s="73"/>
      <c r="DV550" s="73"/>
      <c r="DW550" s="73"/>
      <c r="DX550" s="73"/>
      <c r="DY550" s="73"/>
      <c r="DZ550" s="73"/>
      <c r="EA550" s="73"/>
      <c r="EB550" s="73"/>
      <c r="EC550" s="73"/>
      <c r="ED550" s="73"/>
      <c r="EE550" s="73"/>
      <c r="EF550" s="73"/>
      <c r="FJ550" s="73"/>
      <c r="FK550" s="73"/>
      <c r="FL550" s="73"/>
      <c r="FM550" s="73"/>
      <c r="FN550" s="73"/>
      <c r="FO550" s="73"/>
      <c r="FP550" s="73"/>
      <c r="FQ550" s="73"/>
      <c r="FR550" s="73"/>
      <c r="FS550" s="73"/>
      <c r="FT550" s="73"/>
      <c r="FU550" s="73"/>
      <c r="FV550" s="73"/>
      <c r="FW550" s="73"/>
      <c r="FX550" s="73"/>
      <c r="GO550" s="73"/>
      <c r="GP550" s="73"/>
      <c r="HE550" s="73"/>
      <c r="HU550" s="73"/>
      <c r="HV550" s="182"/>
    </row>
    <row r="551" spans="1:230" x14ac:dyDescent="0.25">
      <c r="A551" s="30"/>
      <c r="B551" s="30"/>
      <c r="C551" s="30"/>
      <c r="D551" s="30"/>
      <c r="G551" s="30"/>
      <c r="H551" s="30"/>
      <c r="I551" s="30"/>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c r="CN551" s="73"/>
      <c r="CO551" s="73"/>
      <c r="CP551" s="73"/>
      <c r="CQ551" s="73"/>
      <c r="CR551" s="73"/>
      <c r="CS551" s="73"/>
      <c r="CT551" s="73"/>
      <c r="CU551" s="73"/>
      <c r="CV551" s="73"/>
      <c r="CW551" s="73"/>
      <c r="CX551" s="73"/>
      <c r="CY551" s="73"/>
      <c r="CZ551" s="73"/>
      <c r="DA551" s="73"/>
      <c r="DB551" s="73"/>
      <c r="DC551" s="73"/>
      <c r="DD551" s="73"/>
      <c r="DE551" s="73"/>
      <c r="DF551" s="73"/>
      <c r="DG551" s="73"/>
      <c r="DH551" s="73"/>
      <c r="DI551" s="73"/>
      <c r="DJ551" s="73"/>
      <c r="DK551" s="73"/>
      <c r="DL551" s="73"/>
      <c r="DM551" s="73"/>
      <c r="DN551" s="73"/>
      <c r="DO551" s="73"/>
      <c r="DP551" s="73"/>
      <c r="DQ551" s="73"/>
      <c r="DR551" s="73"/>
      <c r="DS551" s="73"/>
      <c r="DT551" s="73"/>
      <c r="DU551" s="73"/>
      <c r="DV551" s="73"/>
      <c r="DW551" s="73"/>
      <c r="DX551" s="73"/>
      <c r="DY551" s="73"/>
      <c r="DZ551" s="73"/>
      <c r="EA551" s="73"/>
      <c r="EB551" s="73"/>
      <c r="EC551" s="73"/>
      <c r="ED551" s="73"/>
      <c r="EE551" s="73"/>
      <c r="EF551" s="73"/>
      <c r="FJ551" s="73"/>
      <c r="FK551" s="73"/>
      <c r="FL551" s="73"/>
      <c r="FM551" s="73"/>
      <c r="FN551" s="73"/>
      <c r="FO551" s="73"/>
      <c r="FP551" s="73"/>
      <c r="FQ551" s="73"/>
      <c r="FR551" s="73"/>
      <c r="FS551" s="73"/>
      <c r="FT551" s="73"/>
      <c r="FU551" s="73"/>
      <c r="FV551" s="73"/>
      <c r="FW551" s="73"/>
      <c r="FX551" s="73"/>
      <c r="GO551" s="73"/>
      <c r="GP551" s="73"/>
      <c r="HE551" s="73"/>
      <c r="HU551" s="73"/>
      <c r="HV551" s="182"/>
    </row>
    <row r="552" spans="1:230" x14ac:dyDescent="0.25">
      <c r="A552" s="30"/>
      <c r="B552" s="30"/>
      <c r="C552" s="30"/>
      <c r="D552" s="30"/>
      <c r="G552" s="30"/>
      <c r="H552" s="30"/>
      <c r="I552" s="30"/>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c r="CN552" s="73"/>
      <c r="CO552" s="73"/>
      <c r="CP552" s="73"/>
      <c r="CQ552" s="73"/>
      <c r="CR552" s="73"/>
      <c r="CS552" s="73"/>
      <c r="CT552" s="73"/>
      <c r="CU552" s="73"/>
      <c r="CV552" s="73"/>
      <c r="CW552" s="73"/>
      <c r="CX552" s="73"/>
      <c r="CY552" s="73"/>
      <c r="CZ552" s="73"/>
      <c r="DA552" s="73"/>
      <c r="DB552" s="73"/>
      <c r="DC552" s="73"/>
      <c r="DD552" s="73"/>
      <c r="DE552" s="73"/>
      <c r="DF552" s="73"/>
      <c r="DG552" s="73"/>
      <c r="DH552" s="73"/>
      <c r="DI552" s="73"/>
      <c r="DJ552" s="73"/>
      <c r="DK552" s="73"/>
      <c r="DL552" s="73"/>
      <c r="DM552" s="73"/>
      <c r="DN552" s="73"/>
      <c r="DO552" s="73"/>
      <c r="DP552" s="73"/>
      <c r="DQ552" s="73"/>
      <c r="DR552" s="73"/>
      <c r="DS552" s="73"/>
      <c r="DT552" s="73"/>
      <c r="DU552" s="73"/>
      <c r="DV552" s="73"/>
      <c r="DW552" s="73"/>
      <c r="DX552" s="73"/>
      <c r="DY552" s="73"/>
      <c r="DZ552" s="73"/>
      <c r="EA552" s="73"/>
      <c r="EB552" s="73"/>
      <c r="EC552" s="73"/>
      <c r="ED552" s="73"/>
      <c r="EE552" s="73"/>
      <c r="EF552" s="73"/>
      <c r="FJ552" s="73"/>
      <c r="FK552" s="73"/>
      <c r="FL552" s="73"/>
      <c r="FM552" s="73"/>
      <c r="FN552" s="73"/>
      <c r="FO552" s="73"/>
      <c r="FP552" s="73"/>
      <c r="FQ552" s="73"/>
      <c r="FR552" s="73"/>
      <c r="FS552" s="73"/>
      <c r="FT552" s="73"/>
      <c r="FU552" s="73"/>
      <c r="FV552" s="73"/>
      <c r="FW552" s="73"/>
      <c r="FX552" s="73"/>
      <c r="GO552" s="73"/>
      <c r="GP552" s="73"/>
      <c r="HE552" s="73"/>
      <c r="HU552" s="73"/>
      <c r="HV552" s="182"/>
    </row>
    <row r="553" spans="1:230" x14ac:dyDescent="0.25">
      <c r="A553" s="30"/>
      <c r="B553" s="30"/>
      <c r="C553" s="30"/>
      <c r="D553" s="30"/>
      <c r="G553" s="30"/>
      <c r="H553" s="30"/>
      <c r="I553" s="30"/>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c r="CN553" s="73"/>
      <c r="CO553" s="73"/>
      <c r="CP553" s="73"/>
      <c r="CQ553" s="73"/>
      <c r="CR553" s="73"/>
      <c r="CS553" s="73"/>
      <c r="CT553" s="73"/>
      <c r="CU553" s="73"/>
      <c r="CV553" s="73"/>
      <c r="CW553" s="73"/>
      <c r="CX553" s="73"/>
      <c r="CY553" s="73"/>
      <c r="CZ553" s="73"/>
      <c r="DA553" s="73"/>
      <c r="DB553" s="73"/>
      <c r="DC553" s="73"/>
      <c r="DD553" s="73"/>
      <c r="DE553" s="73"/>
      <c r="DF553" s="73"/>
      <c r="DG553" s="73"/>
      <c r="DH553" s="73"/>
      <c r="DI553" s="73"/>
      <c r="DJ553" s="73"/>
      <c r="DK553" s="73"/>
      <c r="DL553" s="73"/>
      <c r="DM553" s="73"/>
      <c r="DN553" s="73"/>
      <c r="DO553" s="73"/>
      <c r="DP553" s="73"/>
      <c r="DQ553" s="73"/>
      <c r="DR553" s="73"/>
      <c r="DS553" s="73"/>
      <c r="DT553" s="73"/>
      <c r="DU553" s="73"/>
      <c r="DV553" s="73"/>
      <c r="DW553" s="73"/>
      <c r="DX553" s="73"/>
      <c r="DY553" s="73"/>
      <c r="DZ553" s="73"/>
      <c r="EA553" s="73"/>
      <c r="EB553" s="73"/>
      <c r="EC553" s="73"/>
      <c r="ED553" s="73"/>
      <c r="EE553" s="73"/>
      <c r="EF553" s="73"/>
      <c r="FJ553" s="73"/>
      <c r="FK553" s="73"/>
      <c r="FL553" s="73"/>
      <c r="FM553" s="73"/>
      <c r="FN553" s="73"/>
      <c r="FO553" s="73"/>
      <c r="FP553" s="73"/>
      <c r="FQ553" s="73"/>
      <c r="FR553" s="73"/>
      <c r="FS553" s="73"/>
      <c r="FT553" s="73"/>
      <c r="FU553" s="73"/>
      <c r="FV553" s="73"/>
      <c r="FW553" s="73"/>
      <c r="FX553" s="73"/>
      <c r="GO553" s="73"/>
      <c r="GP553" s="73"/>
      <c r="HE553" s="73"/>
      <c r="HU553" s="73"/>
      <c r="HV553" s="182"/>
    </row>
    <row r="554" spans="1:230" x14ac:dyDescent="0.25">
      <c r="A554" s="30"/>
      <c r="B554" s="30"/>
      <c r="C554" s="30"/>
      <c r="D554" s="30"/>
      <c r="G554" s="30"/>
      <c r="H554" s="30"/>
      <c r="I554" s="30"/>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3"/>
      <c r="CK554" s="73"/>
      <c r="CL554" s="73"/>
      <c r="CM554" s="73"/>
      <c r="CN554" s="73"/>
      <c r="CO554" s="73"/>
      <c r="CP554" s="73"/>
      <c r="CQ554" s="73"/>
      <c r="CR554" s="73"/>
      <c r="CS554" s="73"/>
      <c r="CT554" s="73"/>
      <c r="CU554" s="73"/>
      <c r="CV554" s="73"/>
      <c r="CW554" s="73"/>
      <c r="CX554" s="73"/>
      <c r="CY554" s="73"/>
      <c r="CZ554" s="73"/>
      <c r="DA554" s="73"/>
      <c r="DB554" s="73"/>
      <c r="DC554" s="73"/>
      <c r="DD554" s="73"/>
      <c r="DE554" s="73"/>
      <c r="DF554" s="73"/>
      <c r="DG554" s="73"/>
      <c r="DH554" s="73"/>
      <c r="DI554" s="73"/>
      <c r="DJ554" s="73"/>
      <c r="DK554" s="73"/>
      <c r="DL554" s="73"/>
      <c r="DM554" s="73"/>
      <c r="DN554" s="73"/>
      <c r="DO554" s="73"/>
      <c r="DP554" s="73"/>
      <c r="DQ554" s="73"/>
      <c r="DR554" s="73"/>
      <c r="DS554" s="73"/>
      <c r="DT554" s="73"/>
      <c r="DU554" s="73"/>
      <c r="DV554" s="73"/>
      <c r="DW554" s="73"/>
      <c r="DX554" s="73"/>
      <c r="DY554" s="73"/>
      <c r="DZ554" s="73"/>
      <c r="EA554" s="73"/>
      <c r="EB554" s="73"/>
      <c r="EC554" s="73"/>
      <c r="ED554" s="73"/>
      <c r="EE554" s="73"/>
      <c r="EF554" s="73"/>
      <c r="FJ554" s="73"/>
      <c r="FK554" s="73"/>
      <c r="FL554" s="73"/>
      <c r="FM554" s="73"/>
      <c r="FN554" s="73"/>
      <c r="FO554" s="73"/>
      <c r="FP554" s="73"/>
      <c r="FQ554" s="73"/>
      <c r="FR554" s="73"/>
      <c r="FS554" s="73"/>
      <c r="FT554" s="73"/>
      <c r="FU554" s="73"/>
      <c r="FV554" s="73"/>
      <c r="FW554" s="73"/>
      <c r="FX554" s="73"/>
      <c r="GO554" s="73"/>
      <c r="GP554" s="73"/>
      <c r="HE554" s="73"/>
      <c r="HU554" s="73"/>
      <c r="HV554" s="182"/>
    </row>
    <row r="555" spans="1:230" x14ac:dyDescent="0.25">
      <c r="A555" s="30"/>
      <c r="B555" s="30"/>
      <c r="C555" s="30"/>
      <c r="D555" s="30"/>
      <c r="G555" s="30"/>
      <c r="H555" s="30"/>
      <c r="I555" s="30"/>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3"/>
      <c r="CK555" s="73"/>
      <c r="CL555" s="73"/>
      <c r="CM555" s="73"/>
      <c r="CN555" s="73"/>
      <c r="CO555" s="73"/>
      <c r="CP555" s="73"/>
      <c r="CQ555" s="73"/>
      <c r="CR555" s="73"/>
      <c r="CS555" s="73"/>
      <c r="CT555" s="73"/>
      <c r="CU555" s="73"/>
      <c r="CV555" s="73"/>
      <c r="CW555" s="73"/>
      <c r="CX555" s="73"/>
      <c r="CY555" s="73"/>
      <c r="CZ555" s="73"/>
      <c r="DA555" s="73"/>
      <c r="DB555" s="73"/>
      <c r="DC555" s="73"/>
      <c r="DD555" s="73"/>
      <c r="DE555" s="73"/>
      <c r="DF555" s="73"/>
      <c r="DG555" s="73"/>
      <c r="DH555" s="73"/>
      <c r="DI555" s="73"/>
      <c r="DJ555" s="73"/>
      <c r="DK555" s="73"/>
      <c r="DL555" s="73"/>
      <c r="DM555" s="73"/>
      <c r="DN555" s="73"/>
      <c r="DO555" s="73"/>
      <c r="DP555" s="73"/>
      <c r="DQ555" s="73"/>
      <c r="DR555" s="73"/>
      <c r="DS555" s="73"/>
      <c r="DT555" s="73"/>
      <c r="DU555" s="73"/>
      <c r="DV555" s="73"/>
      <c r="DW555" s="73"/>
      <c r="DX555" s="73"/>
      <c r="DY555" s="73"/>
      <c r="DZ555" s="73"/>
      <c r="EA555" s="73"/>
      <c r="EB555" s="73"/>
      <c r="EC555" s="73"/>
      <c r="ED555" s="73"/>
      <c r="EE555" s="73"/>
      <c r="EF555" s="73"/>
      <c r="FJ555" s="73"/>
      <c r="FK555" s="73"/>
      <c r="FL555" s="73"/>
      <c r="FM555" s="73"/>
      <c r="FN555" s="73"/>
      <c r="FO555" s="73"/>
      <c r="FP555" s="73"/>
      <c r="FQ555" s="73"/>
      <c r="FR555" s="73"/>
      <c r="FS555" s="73"/>
      <c r="FT555" s="73"/>
      <c r="FU555" s="73"/>
      <c r="FV555" s="73"/>
      <c r="FW555" s="73"/>
      <c r="FX555" s="73"/>
      <c r="GO555" s="73"/>
      <c r="GP555" s="73"/>
      <c r="HE555" s="73"/>
      <c r="HU555" s="73"/>
      <c r="HV555" s="182"/>
    </row>
    <row r="556" spans="1:230" x14ac:dyDescent="0.25">
      <c r="A556" s="30"/>
      <c r="B556" s="30"/>
      <c r="C556" s="30"/>
      <c r="D556" s="30"/>
      <c r="G556" s="30"/>
      <c r="H556" s="30"/>
      <c r="I556" s="30"/>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3"/>
      <c r="CK556" s="73"/>
      <c r="CL556" s="73"/>
      <c r="CM556" s="73"/>
      <c r="CN556" s="73"/>
      <c r="CO556" s="73"/>
      <c r="CP556" s="73"/>
      <c r="CQ556" s="73"/>
      <c r="CR556" s="73"/>
      <c r="CS556" s="73"/>
      <c r="CT556" s="73"/>
      <c r="CU556" s="73"/>
      <c r="CV556" s="73"/>
      <c r="CW556" s="73"/>
      <c r="CX556" s="73"/>
      <c r="CY556" s="73"/>
      <c r="CZ556" s="73"/>
      <c r="DA556" s="73"/>
      <c r="DB556" s="73"/>
      <c r="DC556" s="73"/>
      <c r="DD556" s="73"/>
      <c r="DE556" s="73"/>
      <c r="DF556" s="73"/>
      <c r="DG556" s="73"/>
      <c r="DH556" s="73"/>
      <c r="DI556" s="73"/>
      <c r="DJ556" s="73"/>
      <c r="DK556" s="73"/>
      <c r="DL556" s="73"/>
      <c r="DM556" s="73"/>
      <c r="DN556" s="73"/>
      <c r="DO556" s="73"/>
      <c r="DP556" s="73"/>
      <c r="DQ556" s="73"/>
      <c r="DR556" s="73"/>
      <c r="DS556" s="73"/>
      <c r="DT556" s="73"/>
      <c r="DU556" s="73"/>
      <c r="DV556" s="73"/>
      <c r="DW556" s="73"/>
      <c r="DX556" s="73"/>
      <c r="DY556" s="73"/>
      <c r="DZ556" s="73"/>
      <c r="EA556" s="73"/>
      <c r="EB556" s="73"/>
      <c r="EC556" s="73"/>
      <c r="ED556" s="73"/>
      <c r="EE556" s="73"/>
      <c r="EF556" s="73"/>
      <c r="FJ556" s="73"/>
      <c r="FK556" s="73"/>
      <c r="FL556" s="73"/>
      <c r="FM556" s="73"/>
      <c r="FN556" s="73"/>
      <c r="FO556" s="73"/>
      <c r="FP556" s="73"/>
      <c r="FQ556" s="73"/>
      <c r="FR556" s="73"/>
      <c r="FS556" s="73"/>
      <c r="FT556" s="73"/>
      <c r="FU556" s="73"/>
      <c r="FV556" s="73"/>
      <c r="FW556" s="73"/>
      <c r="FX556" s="73"/>
      <c r="GO556" s="73"/>
      <c r="GP556" s="73"/>
      <c r="HE556" s="73"/>
      <c r="HU556" s="73"/>
      <c r="HV556" s="182"/>
    </row>
    <row r="557" spans="1:230" x14ac:dyDescent="0.25">
      <c r="A557" s="30"/>
      <c r="B557" s="30"/>
      <c r="C557" s="30"/>
      <c r="D557" s="30"/>
      <c r="G557" s="30"/>
      <c r="H557" s="30"/>
      <c r="I557" s="30"/>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3"/>
      <c r="CK557" s="73"/>
      <c r="CL557" s="73"/>
      <c r="CM557" s="73"/>
      <c r="CN557" s="73"/>
      <c r="CO557" s="73"/>
      <c r="CP557" s="73"/>
      <c r="CQ557" s="73"/>
      <c r="CR557" s="73"/>
      <c r="CS557" s="73"/>
      <c r="CT557" s="73"/>
      <c r="CU557" s="73"/>
      <c r="CV557" s="73"/>
      <c r="CW557" s="73"/>
      <c r="CX557" s="73"/>
      <c r="CY557" s="73"/>
      <c r="CZ557" s="73"/>
      <c r="DA557" s="73"/>
      <c r="DB557" s="73"/>
      <c r="DC557" s="73"/>
      <c r="DD557" s="73"/>
      <c r="DE557" s="73"/>
      <c r="DF557" s="73"/>
      <c r="DG557" s="73"/>
      <c r="DH557" s="73"/>
      <c r="DI557" s="73"/>
      <c r="DJ557" s="73"/>
      <c r="DK557" s="73"/>
      <c r="DL557" s="73"/>
      <c r="DM557" s="73"/>
      <c r="DN557" s="73"/>
      <c r="DO557" s="73"/>
      <c r="DP557" s="73"/>
      <c r="DQ557" s="73"/>
      <c r="DR557" s="73"/>
      <c r="DS557" s="73"/>
      <c r="DT557" s="73"/>
      <c r="DU557" s="73"/>
      <c r="DV557" s="73"/>
      <c r="DW557" s="73"/>
      <c r="DX557" s="73"/>
      <c r="DY557" s="73"/>
      <c r="DZ557" s="73"/>
      <c r="EA557" s="73"/>
      <c r="EB557" s="73"/>
      <c r="EC557" s="73"/>
      <c r="ED557" s="73"/>
      <c r="EE557" s="73"/>
      <c r="EF557" s="73"/>
      <c r="FJ557" s="73"/>
      <c r="FK557" s="73"/>
      <c r="FL557" s="73"/>
      <c r="FM557" s="73"/>
      <c r="FN557" s="73"/>
      <c r="FO557" s="73"/>
      <c r="FP557" s="73"/>
      <c r="FQ557" s="73"/>
      <c r="FR557" s="73"/>
      <c r="FS557" s="73"/>
      <c r="FT557" s="73"/>
      <c r="FU557" s="73"/>
      <c r="FV557" s="73"/>
      <c r="FW557" s="73"/>
      <c r="FX557" s="73"/>
      <c r="GO557" s="73"/>
      <c r="GP557" s="73"/>
      <c r="HE557" s="73"/>
      <c r="HU557" s="73"/>
      <c r="HV557" s="182"/>
    </row>
    <row r="558" spans="1:230" x14ac:dyDescent="0.25">
      <c r="A558" s="30"/>
      <c r="B558" s="30"/>
      <c r="C558" s="30"/>
      <c r="D558" s="30"/>
      <c r="G558" s="30"/>
      <c r="H558" s="30"/>
      <c r="I558" s="30"/>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3"/>
      <c r="CK558" s="73"/>
      <c r="CL558" s="73"/>
      <c r="CM558" s="73"/>
      <c r="CN558" s="73"/>
      <c r="CO558" s="73"/>
      <c r="CP558" s="73"/>
      <c r="CQ558" s="73"/>
      <c r="CR558" s="73"/>
      <c r="CS558" s="73"/>
      <c r="CT558" s="73"/>
      <c r="CU558" s="73"/>
      <c r="CV558" s="73"/>
      <c r="CW558" s="73"/>
      <c r="CX558" s="73"/>
      <c r="CY558" s="73"/>
      <c r="CZ558" s="73"/>
      <c r="DA558" s="73"/>
      <c r="DB558" s="73"/>
      <c r="DC558" s="73"/>
      <c r="DD558" s="73"/>
      <c r="DE558" s="73"/>
      <c r="DF558" s="73"/>
      <c r="DG558" s="73"/>
      <c r="DH558" s="73"/>
      <c r="DI558" s="73"/>
      <c r="DJ558" s="73"/>
      <c r="DK558" s="73"/>
      <c r="DL558" s="73"/>
      <c r="DM558" s="73"/>
      <c r="DN558" s="73"/>
      <c r="DO558" s="73"/>
      <c r="DP558" s="73"/>
      <c r="DQ558" s="73"/>
      <c r="DR558" s="73"/>
      <c r="DS558" s="73"/>
      <c r="DT558" s="73"/>
      <c r="DU558" s="73"/>
      <c r="DV558" s="73"/>
      <c r="DW558" s="73"/>
      <c r="DX558" s="73"/>
      <c r="DY558" s="73"/>
      <c r="DZ558" s="73"/>
      <c r="EA558" s="73"/>
      <c r="EB558" s="73"/>
      <c r="EC558" s="73"/>
      <c r="ED558" s="73"/>
      <c r="EE558" s="73"/>
      <c r="EF558" s="73"/>
      <c r="FJ558" s="73"/>
      <c r="FK558" s="73"/>
      <c r="FL558" s="73"/>
      <c r="FM558" s="73"/>
      <c r="FN558" s="73"/>
      <c r="FO558" s="73"/>
      <c r="FP558" s="73"/>
      <c r="FQ558" s="73"/>
      <c r="FR558" s="73"/>
      <c r="FS558" s="73"/>
      <c r="FT558" s="73"/>
      <c r="FU558" s="73"/>
      <c r="FV558" s="73"/>
      <c r="FW558" s="73"/>
      <c r="FX558" s="73"/>
      <c r="GO558" s="73"/>
      <c r="GP558" s="73"/>
      <c r="HE558" s="73"/>
      <c r="HU558" s="73"/>
      <c r="HV558" s="182"/>
    </row>
    <row r="559" spans="1:230" x14ac:dyDescent="0.25">
      <c r="A559" s="30"/>
      <c r="B559" s="30"/>
      <c r="C559" s="30"/>
      <c r="D559" s="30"/>
      <c r="G559" s="30"/>
      <c r="H559" s="30"/>
      <c r="I559" s="30"/>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3"/>
      <c r="CK559" s="73"/>
      <c r="CL559" s="73"/>
      <c r="CM559" s="73"/>
      <c r="CN559" s="73"/>
      <c r="CO559" s="73"/>
      <c r="CP559" s="73"/>
      <c r="CQ559" s="73"/>
      <c r="CR559" s="73"/>
      <c r="CS559" s="73"/>
      <c r="CT559" s="73"/>
      <c r="CU559" s="73"/>
      <c r="CV559" s="73"/>
      <c r="CW559" s="73"/>
      <c r="CX559" s="73"/>
      <c r="CY559" s="73"/>
      <c r="CZ559" s="73"/>
      <c r="DA559" s="73"/>
      <c r="DB559" s="73"/>
      <c r="DC559" s="73"/>
      <c r="DD559" s="73"/>
      <c r="DE559" s="73"/>
      <c r="DF559" s="73"/>
      <c r="DG559" s="73"/>
      <c r="DH559" s="73"/>
      <c r="DI559" s="73"/>
      <c r="DJ559" s="73"/>
      <c r="DK559" s="73"/>
      <c r="DL559" s="73"/>
      <c r="DM559" s="73"/>
      <c r="DN559" s="73"/>
      <c r="DO559" s="73"/>
      <c r="DP559" s="73"/>
      <c r="DQ559" s="73"/>
      <c r="DR559" s="73"/>
      <c r="DS559" s="73"/>
      <c r="DT559" s="73"/>
      <c r="DU559" s="73"/>
      <c r="DV559" s="73"/>
      <c r="DW559" s="73"/>
      <c r="DX559" s="73"/>
      <c r="DY559" s="73"/>
      <c r="DZ559" s="73"/>
      <c r="EA559" s="73"/>
      <c r="EB559" s="73"/>
      <c r="EC559" s="73"/>
      <c r="ED559" s="73"/>
      <c r="EE559" s="73"/>
      <c r="EF559" s="73"/>
      <c r="FJ559" s="73"/>
      <c r="FK559" s="73"/>
      <c r="FL559" s="73"/>
      <c r="FM559" s="73"/>
      <c r="FN559" s="73"/>
      <c r="FO559" s="73"/>
      <c r="FP559" s="73"/>
      <c r="FQ559" s="73"/>
      <c r="FR559" s="73"/>
      <c r="FS559" s="73"/>
      <c r="FT559" s="73"/>
      <c r="FU559" s="73"/>
      <c r="FV559" s="73"/>
      <c r="FW559" s="73"/>
      <c r="FX559" s="73"/>
      <c r="GO559" s="73"/>
      <c r="GP559" s="73"/>
      <c r="HE559" s="73"/>
      <c r="HU559" s="73"/>
      <c r="HV559" s="182"/>
    </row>
    <row r="560" spans="1:230" x14ac:dyDescent="0.25">
      <c r="A560" s="30"/>
      <c r="B560" s="30"/>
      <c r="C560" s="30"/>
      <c r="D560" s="30"/>
      <c r="G560" s="30"/>
      <c r="H560" s="30"/>
      <c r="I560" s="30"/>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3"/>
      <c r="CK560" s="73"/>
      <c r="CL560" s="73"/>
      <c r="CM560" s="73"/>
      <c r="CN560" s="73"/>
      <c r="CO560" s="73"/>
      <c r="CP560" s="73"/>
      <c r="CQ560" s="73"/>
      <c r="CR560" s="73"/>
      <c r="CS560" s="73"/>
      <c r="CT560" s="73"/>
      <c r="CU560" s="73"/>
      <c r="CV560" s="73"/>
      <c r="CW560" s="73"/>
      <c r="CX560" s="73"/>
      <c r="CY560" s="73"/>
      <c r="CZ560" s="73"/>
      <c r="DA560" s="73"/>
      <c r="DB560" s="73"/>
      <c r="DC560" s="73"/>
      <c r="DD560" s="73"/>
      <c r="DE560" s="73"/>
      <c r="DF560" s="73"/>
      <c r="DG560" s="73"/>
      <c r="DH560" s="73"/>
      <c r="DI560" s="73"/>
      <c r="DJ560" s="73"/>
      <c r="DK560" s="73"/>
      <c r="DL560" s="73"/>
      <c r="DM560" s="73"/>
      <c r="DN560" s="73"/>
      <c r="DO560" s="73"/>
      <c r="DP560" s="73"/>
      <c r="DQ560" s="73"/>
      <c r="DR560" s="73"/>
      <c r="DS560" s="73"/>
      <c r="DT560" s="73"/>
      <c r="DU560" s="73"/>
      <c r="DV560" s="73"/>
      <c r="DW560" s="73"/>
      <c r="DX560" s="73"/>
      <c r="DY560" s="73"/>
      <c r="DZ560" s="73"/>
      <c r="EA560" s="73"/>
      <c r="EB560" s="73"/>
      <c r="EC560" s="73"/>
      <c r="ED560" s="73"/>
      <c r="EE560" s="73"/>
      <c r="EF560" s="73"/>
      <c r="FJ560" s="73"/>
      <c r="FK560" s="73"/>
      <c r="FL560" s="73"/>
      <c r="FM560" s="73"/>
      <c r="FN560" s="73"/>
      <c r="FO560" s="73"/>
      <c r="FP560" s="73"/>
      <c r="FQ560" s="73"/>
      <c r="FR560" s="73"/>
      <c r="FS560" s="73"/>
      <c r="FT560" s="73"/>
      <c r="FU560" s="73"/>
      <c r="FV560" s="73"/>
      <c r="FW560" s="73"/>
      <c r="FX560" s="73"/>
      <c r="GO560" s="73"/>
      <c r="GP560" s="73"/>
      <c r="HE560" s="73"/>
      <c r="HU560" s="73"/>
      <c r="HV560" s="182"/>
    </row>
    <row r="561" spans="1:230" x14ac:dyDescent="0.25">
      <c r="A561" s="30"/>
      <c r="B561" s="30"/>
      <c r="C561" s="30"/>
      <c r="D561" s="30"/>
      <c r="G561" s="30"/>
      <c r="H561" s="30"/>
      <c r="I561" s="30"/>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3"/>
      <c r="CK561" s="73"/>
      <c r="CL561" s="73"/>
      <c r="CM561" s="73"/>
      <c r="CN561" s="73"/>
      <c r="CO561" s="73"/>
      <c r="CP561" s="73"/>
      <c r="CQ561" s="73"/>
      <c r="CR561" s="73"/>
      <c r="CS561" s="73"/>
      <c r="CT561" s="73"/>
      <c r="CU561" s="73"/>
      <c r="CV561" s="73"/>
      <c r="CW561" s="73"/>
      <c r="CX561" s="73"/>
      <c r="CY561" s="73"/>
      <c r="CZ561" s="73"/>
      <c r="DA561" s="73"/>
      <c r="DB561" s="73"/>
      <c r="DC561" s="73"/>
      <c r="DD561" s="73"/>
      <c r="DE561" s="73"/>
      <c r="DF561" s="73"/>
      <c r="DG561" s="73"/>
      <c r="DH561" s="73"/>
      <c r="DI561" s="73"/>
      <c r="DJ561" s="73"/>
      <c r="DK561" s="73"/>
      <c r="DL561" s="73"/>
      <c r="DM561" s="73"/>
      <c r="DN561" s="73"/>
      <c r="DO561" s="73"/>
      <c r="DP561" s="73"/>
      <c r="DQ561" s="73"/>
      <c r="DR561" s="73"/>
      <c r="DS561" s="73"/>
      <c r="DT561" s="73"/>
      <c r="DU561" s="73"/>
      <c r="DV561" s="73"/>
      <c r="DW561" s="73"/>
      <c r="DX561" s="73"/>
      <c r="DY561" s="73"/>
      <c r="DZ561" s="73"/>
      <c r="EA561" s="73"/>
      <c r="EB561" s="73"/>
      <c r="EC561" s="73"/>
      <c r="ED561" s="73"/>
      <c r="EE561" s="73"/>
      <c r="EF561" s="73"/>
      <c r="FJ561" s="73"/>
      <c r="FK561" s="73"/>
      <c r="FL561" s="73"/>
      <c r="FM561" s="73"/>
      <c r="FN561" s="73"/>
      <c r="FO561" s="73"/>
      <c r="FP561" s="73"/>
      <c r="FQ561" s="73"/>
      <c r="FR561" s="73"/>
      <c r="FS561" s="73"/>
      <c r="FT561" s="73"/>
      <c r="FU561" s="73"/>
      <c r="FV561" s="73"/>
      <c r="FW561" s="73"/>
      <c r="FX561" s="73"/>
      <c r="GO561" s="73"/>
      <c r="GP561" s="73"/>
      <c r="HE561" s="73"/>
      <c r="HU561" s="73"/>
      <c r="HV561" s="182"/>
    </row>
    <row r="562" spans="1:230" x14ac:dyDescent="0.25">
      <c r="A562" s="30"/>
      <c r="B562" s="30"/>
      <c r="C562" s="30"/>
      <c r="D562" s="30"/>
      <c r="G562" s="30"/>
      <c r="H562" s="30"/>
      <c r="I562" s="30"/>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c r="CE562" s="73"/>
      <c r="CF562" s="73"/>
      <c r="CG562" s="73"/>
      <c r="CH562" s="73"/>
      <c r="CI562" s="73"/>
      <c r="CJ562" s="73"/>
      <c r="CK562" s="73"/>
      <c r="CL562" s="73"/>
      <c r="CM562" s="73"/>
      <c r="CN562" s="73"/>
      <c r="CO562" s="73"/>
      <c r="CP562" s="73"/>
      <c r="CQ562" s="73"/>
      <c r="CR562" s="73"/>
      <c r="CS562" s="73"/>
      <c r="CT562" s="73"/>
      <c r="CU562" s="73"/>
      <c r="CV562" s="73"/>
      <c r="CW562" s="73"/>
      <c r="CX562" s="73"/>
      <c r="CY562" s="73"/>
      <c r="CZ562" s="73"/>
      <c r="DA562" s="73"/>
      <c r="DB562" s="73"/>
      <c r="DC562" s="73"/>
      <c r="DD562" s="73"/>
      <c r="DE562" s="73"/>
      <c r="DF562" s="73"/>
      <c r="DG562" s="73"/>
      <c r="DH562" s="73"/>
      <c r="DI562" s="73"/>
      <c r="DJ562" s="73"/>
      <c r="DK562" s="73"/>
      <c r="DL562" s="73"/>
      <c r="DM562" s="73"/>
      <c r="DN562" s="73"/>
      <c r="DO562" s="73"/>
      <c r="DP562" s="73"/>
      <c r="DQ562" s="73"/>
      <c r="DR562" s="73"/>
      <c r="DS562" s="73"/>
      <c r="DT562" s="73"/>
      <c r="DU562" s="73"/>
      <c r="DV562" s="73"/>
      <c r="DW562" s="73"/>
      <c r="DX562" s="73"/>
      <c r="DY562" s="73"/>
      <c r="DZ562" s="73"/>
      <c r="EA562" s="73"/>
      <c r="EB562" s="73"/>
      <c r="EC562" s="73"/>
      <c r="ED562" s="73"/>
      <c r="EE562" s="73"/>
      <c r="EF562" s="73"/>
      <c r="FJ562" s="73"/>
      <c r="FK562" s="73"/>
      <c r="FL562" s="73"/>
      <c r="FM562" s="73"/>
      <c r="FN562" s="73"/>
      <c r="FO562" s="73"/>
      <c r="FP562" s="73"/>
      <c r="FQ562" s="73"/>
      <c r="FR562" s="73"/>
      <c r="FS562" s="73"/>
      <c r="FT562" s="73"/>
      <c r="FU562" s="73"/>
      <c r="FV562" s="73"/>
      <c r="FW562" s="73"/>
      <c r="FX562" s="73"/>
      <c r="GO562" s="73"/>
      <c r="GP562" s="73"/>
      <c r="HE562" s="73"/>
      <c r="HU562" s="73"/>
      <c r="HV562" s="182"/>
    </row>
    <row r="563" spans="1:230" x14ac:dyDescent="0.25">
      <c r="A563" s="30"/>
      <c r="B563" s="30"/>
      <c r="C563" s="30"/>
      <c r="D563" s="30"/>
      <c r="G563" s="30"/>
      <c r="H563" s="30"/>
      <c r="I563" s="30"/>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c r="CE563" s="73"/>
      <c r="CF563" s="73"/>
      <c r="CG563" s="73"/>
      <c r="CH563" s="73"/>
      <c r="CI563" s="73"/>
      <c r="CJ563" s="73"/>
      <c r="CK563" s="73"/>
      <c r="CL563" s="73"/>
      <c r="CM563" s="73"/>
      <c r="CN563" s="73"/>
      <c r="CO563" s="73"/>
      <c r="CP563" s="73"/>
      <c r="CQ563" s="73"/>
      <c r="CR563" s="73"/>
      <c r="CS563" s="73"/>
      <c r="CT563" s="73"/>
      <c r="CU563" s="73"/>
      <c r="CV563" s="73"/>
      <c r="CW563" s="73"/>
      <c r="CX563" s="73"/>
      <c r="CY563" s="73"/>
      <c r="CZ563" s="73"/>
      <c r="DA563" s="73"/>
      <c r="DB563" s="73"/>
      <c r="DC563" s="73"/>
      <c r="DD563" s="73"/>
      <c r="DE563" s="73"/>
      <c r="DF563" s="73"/>
      <c r="DG563" s="73"/>
      <c r="DH563" s="73"/>
      <c r="DI563" s="73"/>
      <c r="DJ563" s="73"/>
      <c r="DK563" s="73"/>
      <c r="DL563" s="73"/>
      <c r="DM563" s="73"/>
      <c r="DN563" s="73"/>
      <c r="DO563" s="73"/>
      <c r="DP563" s="73"/>
      <c r="DQ563" s="73"/>
      <c r="DR563" s="73"/>
      <c r="DS563" s="73"/>
      <c r="DT563" s="73"/>
      <c r="DU563" s="73"/>
      <c r="DV563" s="73"/>
      <c r="DW563" s="73"/>
      <c r="DX563" s="73"/>
      <c r="DY563" s="73"/>
      <c r="DZ563" s="73"/>
      <c r="EA563" s="73"/>
      <c r="EB563" s="73"/>
      <c r="EC563" s="73"/>
      <c r="ED563" s="73"/>
      <c r="EE563" s="73"/>
      <c r="EF563" s="73"/>
      <c r="FJ563" s="73"/>
      <c r="FK563" s="73"/>
      <c r="FL563" s="73"/>
      <c r="FM563" s="73"/>
      <c r="FN563" s="73"/>
      <c r="FO563" s="73"/>
      <c r="FP563" s="73"/>
      <c r="FQ563" s="73"/>
      <c r="FR563" s="73"/>
      <c r="FS563" s="73"/>
      <c r="FT563" s="73"/>
      <c r="FU563" s="73"/>
      <c r="FV563" s="73"/>
      <c r="FW563" s="73"/>
      <c r="FX563" s="73"/>
      <c r="GO563" s="73"/>
      <c r="GP563" s="73"/>
      <c r="HE563" s="73"/>
      <c r="HU563" s="73"/>
      <c r="HV563" s="182"/>
    </row>
    <row r="564" spans="1:230" x14ac:dyDescent="0.25">
      <c r="A564" s="30"/>
      <c r="B564" s="30"/>
      <c r="C564" s="30"/>
      <c r="D564" s="30"/>
      <c r="G564" s="30"/>
      <c r="H564" s="30"/>
      <c r="I564" s="30"/>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3"/>
      <c r="CK564" s="73"/>
      <c r="CL564" s="73"/>
      <c r="CM564" s="73"/>
      <c r="CN564" s="73"/>
      <c r="CO564" s="73"/>
      <c r="CP564" s="73"/>
      <c r="CQ564" s="73"/>
      <c r="CR564" s="73"/>
      <c r="CS564" s="73"/>
      <c r="CT564" s="73"/>
      <c r="CU564" s="73"/>
      <c r="CV564" s="73"/>
      <c r="CW564" s="73"/>
      <c r="CX564" s="73"/>
      <c r="CY564" s="73"/>
      <c r="CZ564" s="73"/>
      <c r="DA564" s="73"/>
      <c r="DB564" s="73"/>
      <c r="DC564" s="73"/>
      <c r="DD564" s="73"/>
      <c r="DE564" s="73"/>
      <c r="DF564" s="73"/>
      <c r="DG564" s="73"/>
      <c r="DH564" s="73"/>
      <c r="DI564" s="73"/>
      <c r="DJ564" s="73"/>
      <c r="DK564" s="73"/>
      <c r="DL564" s="73"/>
      <c r="DM564" s="73"/>
      <c r="DN564" s="73"/>
      <c r="DO564" s="73"/>
      <c r="DP564" s="73"/>
      <c r="DQ564" s="73"/>
      <c r="DR564" s="73"/>
      <c r="DS564" s="73"/>
      <c r="DT564" s="73"/>
      <c r="DU564" s="73"/>
      <c r="DV564" s="73"/>
      <c r="DW564" s="73"/>
      <c r="DX564" s="73"/>
      <c r="DY564" s="73"/>
      <c r="DZ564" s="73"/>
      <c r="EA564" s="73"/>
      <c r="EB564" s="73"/>
      <c r="EC564" s="73"/>
      <c r="ED564" s="73"/>
      <c r="EE564" s="73"/>
      <c r="EF564" s="73"/>
      <c r="FJ564" s="73"/>
      <c r="FK564" s="73"/>
      <c r="FL564" s="73"/>
      <c r="FM564" s="73"/>
      <c r="FN564" s="73"/>
      <c r="FO564" s="73"/>
      <c r="FP564" s="73"/>
      <c r="FQ564" s="73"/>
      <c r="FR564" s="73"/>
      <c r="FS564" s="73"/>
      <c r="FT564" s="73"/>
      <c r="FU564" s="73"/>
      <c r="FV564" s="73"/>
      <c r="FW564" s="73"/>
      <c r="FX564" s="73"/>
      <c r="GO564" s="73"/>
      <c r="GP564" s="73"/>
      <c r="HE564" s="73"/>
      <c r="HU564" s="73"/>
      <c r="HV564" s="182"/>
    </row>
    <row r="565" spans="1:230" x14ac:dyDescent="0.25">
      <c r="A565" s="30"/>
      <c r="B565" s="30"/>
      <c r="C565" s="30"/>
      <c r="D565" s="30"/>
      <c r="G565" s="30"/>
      <c r="H565" s="30"/>
      <c r="I565" s="30"/>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3"/>
      <c r="CK565" s="73"/>
      <c r="CL565" s="73"/>
      <c r="CM565" s="73"/>
      <c r="CN565" s="73"/>
      <c r="CO565" s="73"/>
      <c r="CP565" s="73"/>
      <c r="CQ565" s="73"/>
      <c r="CR565" s="73"/>
      <c r="CS565" s="73"/>
      <c r="CT565" s="73"/>
      <c r="CU565" s="73"/>
      <c r="CV565" s="73"/>
      <c r="CW565" s="73"/>
      <c r="CX565" s="73"/>
      <c r="CY565" s="73"/>
      <c r="CZ565" s="73"/>
      <c r="DA565" s="73"/>
      <c r="DB565" s="73"/>
      <c r="DC565" s="73"/>
      <c r="DD565" s="73"/>
      <c r="DE565" s="73"/>
      <c r="DF565" s="73"/>
      <c r="DG565" s="73"/>
      <c r="DH565" s="73"/>
      <c r="DI565" s="73"/>
      <c r="DJ565" s="73"/>
      <c r="DK565" s="73"/>
      <c r="DL565" s="73"/>
      <c r="DM565" s="73"/>
      <c r="DN565" s="73"/>
      <c r="DO565" s="73"/>
      <c r="DP565" s="73"/>
      <c r="DQ565" s="73"/>
      <c r="DR565" s="73"/>
      <c r="DS565" s="73"/>
      <c r="DT565" s="73"/>
      <c r="DU565" s="73"/>
      <c r="DV565" s="73"/>
      <c r="DW565" s="73"/>
      <c r="DX565" s="73"/>
      <c r="DY565" s="73"/>
      <c r="DZ565" s="73"/>
      <c r="EA565" s="73"/>
      <c r="EB565" s="73"/>
      <c r="EC565" s="73"/>
      <c r="ED565" s="73"/>
      <c r="EE565" s="73"/>
      <c r="EF565" s="73"/>
      <c r="FJ565" s="73"/>
      <c r="FK565" s="73"/>
      <c r="FL565" s="73"/>
      <c r="FM565" s="73"/>
      <c r="FN565" s="73"/>
      <c r="FO565" s="73"/>
      <c r="FP565" s="73"/>
      <c r="FQ565" s="73"/>
      <c r="FR565" s="73"/>
      <c r="FS565" s="73"/>
      <c r="FT565" s="73"/>
      <c r="FU565" s="73"/>
      <c r="FV565" s="73"/>
      <c r="FW565" s="73"/>
      <c r="FX565" s="73"/>
      <c r="GO565" s="73"/>
      <c r="GP565" s="73"/>
      <c r="HE565" s="73"/>
      <c r="HU565" s="73"/>
      <c r="HV565" s="182"/>
    </row>
    <row r="566" spans="1:230" x14ac:dyDescent="0.25">
      <c r="A566" s="30"/>
      <c r="B566" s="30"/>
      <c r="C566" s="30"/>
      <c r="D566" s="30"/>
      <c r="G566" s="30"/>
      <c r="H566" s="30"/>
      <c r="I566" s="30"/>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c r="CE566" s="73"/>
      <c r="CF566" s="73"/>
      <c r="CG566" s="73"/>
      <c r="CH566" s="73"/>
      <c r="CI566" s="73"/>
      <c r="CJ566" s="73"/>
      <c r="CK566" s="73"/>
      <c r="CL566" s="73"/>
      <c r="CM566" s="73"/>
      <c r="CN566" s="73"/>
      <c r="CO566" s="73"/>
      <c r="CP566" s="73"/>
      <c r="CQ566" s="73"/>
      <c r="CR566" s="73"/>
      <c r="CS566" s="73"/>
      <c r="CT566" s="73"/>
      <c r="CU566" s="73"/>
      <c r="CV566" s="73"/>
      <c r="CW566" s="73"/>
      <c r="CX566" s="73"/>
      <c r="CY566" s="73"/>
      <c r="CZ566" s="73"/>
      <c r="DA566" s="73"/>
      <c r="DB566" s="73"/>
      <c r="DC566" s="73"/>
      <c r="DD566" s="73"/>
      <c r="DE566" s="73"/>
      <c r="DF566" s="73"/>
      <c r="DG566" s="73"/>
      <c r="DH566" s="73"/>
      <c r="DI566" s="73"/>
      <c r="DJ566" s="73"/>
      <c r="DK566" s="73"/>
      <c r="DL566" s="73"/>
      <c r="DM566" s="73"/>
      <c r="DN566" s="73"/>
      <c r="DO566" s="73"/>
      <c r="DP566" s="73"/>
      <c r="DQ566" s="73"/>
      <c r="DR566" s="73"/>
      <c r="DS566" s="73"/>
      <c r="DT566" s="73"/>
      <c r="DU566" s="73"/>
      <c r="DV566" s="73"/>
      <c r="DW566" s="73"/>
      <c r="DX566" s="73"/>
      <c r="DY566" s="73"/>
      <c r="DZ566" s="73"/>
      <c r="EA566" s="73"/>
      <c r="EB566" s="73"/>
      <c r="EC566" s="73"/>
      <c r="ED566" s="73"/>
      <c r="EE566" s="73"/>
      <c r="EF566" s="73"/>
      <c r="FJ566" s="73"/>
      <c r="FK566" s="73"/>
      <c r="FL566" s="73"/>
      <c r="FM566" s="73"/>
      <c r="FN566" s="73"/>
      <c r="FO566" s="73"/>
      <c r="FP566" s="73"/>
      <c r="FQ566" s="73"/>
      <c r="FR566" s="73"/>
      <c r="FS566" s="73"/>
      <c r="FT566" s="73"/>
      <c r="FU566" s="73"/>
      <c r="FV566" s="73"/>
      <c r="FW566" s="73"/>
      <c r="FX566" s="73"/>
      <c r="GO566" s="73"/>
      <c r="GP566" s="73"/>
      <c r="HE566" s="73"/>
      <c r="HU566" s="73"/>
      <c r="HV566" s="182"/>
    </row>
    <row r="567" spans="1:230" x14ac:dyDescent="0.25">
      <c r="A567" s="30"/>
      <c r="B567" s="30"/>
      <c r="C567" s="30"/>
      <c r="D567" s="30"/>
      <c r="G567" s="30"/>
      <c r="H567" s="30"/>
      <c r="I567" s="30"/>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c r="CN567" s="73"/>
      <c r="CO567" s="73"/>
      <c r="CP567" s="73"/>
      <c r="CQ567" s="73"/>
      <c r="CR567" s="73"/>
      <c r="CS567" s="73"/>
      <c r="CT567" s="73"/>
      <c r="CU567" s="73"/>
      <c r="CV567" s="73"/>
      <c r="CW567" s="73"/>
      <c r="CX567" s="73"/>
      <c r="CY567" s="73"/>
      <c r="CZ567" s="73"/>
      <c r="DA567" s="73"/>
      <c r="DB567" s="73"/>
      <c r="DC567" s="73"/>
      <c r="DD567" s="73"/>
      <c r="DE567" s="73"/>
      <c r="DF567" s="73"/>
      <c r="DG567" s="73"/>
      <c r="DH567" s="73"/>
      <c r="DI567" s="73"/>
      <c r="DJ567" s="73"/>
      <c r="DK567" s="73"/>
      <c r="DL567" s="73"/>
      <c r="DM567" s="73"/>
      <c r="DN567" s="73"/>
      <c r="DO567" s="73"/>
      <c r="DP567" s="73"/>
      <c r="DQ567" s="73"/>
      <c r="DR567" s="73"/>
      <c r="DS567" s="73"/>
      <c r="DT567" s="73"/>
      <c r="DU567" s="73"/>
      <c r="DV567" s="73"/>
      <c r="DW567" s="73"/>
      <c r="DX567" s="73"/>
      <c r="DY567" s="73"/>
      <c r="DZ567" s="73"/>
      <c r="EA567" s="73"/>
      <c r="EB567" s="73"/>
      <c r="EC567" s="73"/>
      <c r="ED567" s="73"/>
      <c r="EE567" s="73"/>
      <c r="EF567" s="73"/>
      <c r="FJ567" s="73"/>
      <c r="FK567" s="73"/>
      <c r="FL567" s="73"/>
      <c r="FM567" s="73"/>
      <c r="FN567" s="73"/>
      <c r="FO567" s="73"/>
      <c r="FP567" s="73"/>
      <c r="FQ567" s="73"/>
      <c r="FR567" s="73"/>
      <c r="FS567" s="73"/>
      <c r="FT567" s="73"/>
      <c r="FU567" s="73"/>
      <c r="FV567" s="73"/>
      <c r="FW567" s="73"/>
      <c r="FX567" s="73"/>
      <c r="GO567" s="73"/>
      <c r="GP567" s="73"/>
      <c r="HE567" s="73"/>
      <c r="HU567" s="73"/>
      <c r="HV567" s="182"/>
    </row>
    <row r="568" spans="1:230" x14ac:dyDescent="0.25">
      <c r="A568" s="30"/>
      <c r="B568" s="30"/>
      <c r="C568" s="30"/>
      <c r="D568" s="30"/>
      <c r="G568" s="30"/>
      <c r="H568" s="30"/>
      <c r="I568" s="30"/>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c r="CE568" s="73"/>
      <c r="CF568" s="73"/>
      <c r="CG568" s="73"/>
      <c r="CH568" s="73"/>
      <c r="CI568" s="73"/>
      <c r="CJ568" s="73"/>
      <c r="CK568" s="73"/>
      <c r="CL568" s="73"/>
      <c r="CM568" s="73"/>
      <c r="CN568" s="73"/>
      <c r="CO568" s="73"/>
      <c r="CP568" s="73"/>
      <c r="CQ568" s="73"/>
      <c r="CR568" s="73"/>
      <c r="CS568" s="73"/>
      <c r="CT568" s="73"/>
      <c r="CU568" s="73"/>
      <c r="CV568" s="73"/>
      <c r="CW568" s="73"/>
      <c r="CX568" s="73"/>
      <c r="CY568" s="73"/>
      <c r="CZ568" s="73"/>
      <c r="DA568" s="73"/>
      <c r="DB568" s="73"/>
      <c r="DC568" s="73"/>
      <c r="DD568" s="73"/>
      <c r="DE568" s="73"/>
      <c r="DF568" s="73"/>
      <c r="DG568" s="73"/>
      <c r="DH568" s="73"/>
      <c r="DI568" s="73"/>
      <c r="DJ568" s="73"/>
      <c r="DK568" s="73"/>
      <c r="DL568" s="73"/>
      <c r="DM568" s="73"/>
      <c r="DN568" s="73"/>
      <c r="DO568" s="73"/>
      <c r="DP568" s="73"/>
      <c r="DQ568" s="73"/>
      <c r="DR568" s="73"/>
      <c r="DS568" s="73"/>
      <c r="DT568" s="73"/>
      <c r="DU568" s="73"/>
      <c r="DV568" s="73"/>
      <c r="DW568" s="73"/>
      <c r="DX568" s="73"/>
      <c r="DY568" s="73"/>
      <c r="DZ568" s="73"/>
      <c r="EA568" s="73"/>
      <c r="EB568" s="73"/>
      <c r="EC568" s="73"/>
      <c r="ED568" s="73"/>
      <c r="EE568" s="73"/>
      <c r="EF568" s="73"/>
      <c r="FJ568" s="73"/>
      <c r="FK568" s="73"/>
      <c r="FL568" s="73"/>
      <c r="FM568" s="73"/>
      <c r="FN568" s="73"/>
      <c r="FO568" s="73"/>
      <c r="FP568" s="73"/>
      <c r="FQ568" s="73"/>
      <c r="FR568" s="73"/>
      <c r="FS568" s="73"/>
      <c r="FT568" s="73"/>
      <c r="FU568" s="73"/>
      <c r="FV568" s="73"/>
      <c r="FW568" s="73"/>
      <c r="FX568" s="73"/>
      <c r="GO568" s="73"/>
      <c r="GP568" s="73"/>
      <c r="HE568" s="73"/>
      <c r="HU568" s="73"/>
      <c r="HV568" s="182"/>
    </row>
    <row r="569" spans="1:230" x14ac:dyDescent="0.25">
      <c r="A569" s="30"/>
      <c r="B569" s="30"/>
      <c r="C569" s="30"/>
      <c r="D569" s="30"/>
      <c r="G569" s="30"/>
      <c r="H569" s="30"/>
      <c r="I569" s="30"/>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c r="CE569" s="73"/>
      <c r="CF569" s="73"/>
      <c r="CG569" s="73"/>
      <c r="CH569" s="73"/>
      <c r="CI569" s="73"/>
      <c r="CJ569" s="73"/>
      <c r="CK569" s="73"/>
      <c r="CL569" s="73"/>
      <c r="CM569" s="73"/>
      <c r="CN569" s="73"/>
      <c r="CO569" s="73"/>
      <c r="CP569" s="73"/>
      <c r="CQ569" s="73"/>
      <c r="CR569" s="73"/>
      <c r="CS569" s="73"/>
      <c r="CT569" s="73"/>
      <c r="CU569" s="73"/>
      <c r="CV569" s="73"/>
      <c r="CW569" s="73"/>
      <c r="CX569" s="73"/>
      <c r="CY569" s="73"/>
      <c r="CZ569" s="73"/>
      <c r="DA569" s="73"/>
      <c r="DB569" s="73"/>
      <c r="DC569" s="73"/>
      <c r="DD569" s="73"/>
      <c r="DE569" s="73"/>
      <c r="DF569" s="73"/>
      <c r="DG569" s="73"/>
      <c r="DH569" s="73"/>
      <c r="DI569" s="73"/>
      <c r="DJ569" s="73"/>
      <c r="DK569" s="73"/>
      <c r="DL569" s="73"/>
      <c r="DM569" s="73"/>
      <c r="DN569" s="73"/>
      <c r="DO569" s="73"/>
      <c r="DP569" s="73"/>
      <c r="DQ569" s="73"/>
      <c r="DR569" s="73"/>
      <c r="DS569" s="73"/>
      <c r="DT569" s="73"/>
      <c r="DU569" s="73"/>
      <c r="DV569" s="73"/>
      <c r="DW569" s="73"/>
      <c r="DX569" s="73"/>
      <c r="DY569" s="73"/>
      <c r="DZ569" s="73"/>
      <c r="EA569" s="73"/>
      <c r="EB569" s="73"/>
      <c r="EC569" s="73"/>
      <c r="ED569" s="73"/>
      <c r="EE569" s="73"/>
      <c r="EF569" s="73"/>
      <c r="FJ569" s="73"/>
      <c r="FK569" s="73"/>
      <c r="FL569" s="73"/>
      <c r="FM569" s="73"/>
      <c r="FN569" s="73"/>
      <c r="FO569" s="73"/>
      <c r="FP569" s="73"/>
      <c r="FQ569" s="73"/>
      <c r="FR569" s="73"/>
      <c r="FS569" s="73"/>
      <c r="FT569" s="73"/>
      <c r="FU569" s="73"/>
      <c r="FV569" s="73"/>
      <c r="FW569" s="73"/>
      <c r="FX569" s="73"/>
      <c r="GO569" s="73"/>
      <c r="GP569" s="73"/>
      <c r="HE569" s="73"/>
      <c r="HU569" s="73"/>
      <c r="HV569" s="182"/>
    </row>
    <row r="570" spans="1:230" x14ac:dyDescent="0.25">
      <c r="A570" s="30"/>
      <c r="B570" s="30"/>
      <c r="C570" s="30"/>
      <c r="D570" s="30"/>
      <c r="G570" s="30"/>
      <c r="H570" s="30"/>
      <c r="I570" s="30"/>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3"/>
      <c r="CK570" s="73"/>
      <c r="CL570" s="73"/>
      <c r="CM570" s="73"/>
      <c r="CN570" s="73"/>
      <c r="CO570" s="73"/>
      <c r="CP570" s="73"/>
      <c r="CQ570" s="73"/>
      <c r="CR570" s="73"/>
      <c r="CS570" s="73"/>
      <c r="CT570" s="73"/>
      <c r="CU570" s="73"/>
      <c r="CV570" s="73"/>
      <c r="CW570" s="73"/>
      <c r="CX570" s="73"/>
      <c r="CY570" s="73"/>
      <c r="CZ570" s="73"/>
      <c r="DA570" s="73"/>
      <c r="DB570" s="73"/>
      <c r="DC570" s="73"/>
      <c r="DD570" s="73"/>
      <c r="DE570" s="73"/>
      <c r="DF570" s="73"/>
      <c r="DG570" s="73"/>
      <c r="DH570" s="73"/>
      <c r="DI570" s="73"/>
      <c r="DJ570" s="73"/>
      <c r="DK570" s="73"/>
      <c r="DL570" s="73"/>
      <c r="DM570" s="73"/>
      <c r="DN570" s="73"/>
      <c r="DO570" s="73"/>
      <c r="DP570" s="73"/>
      <c r="DQ570" s="73"/>
      <c r="DR570" s="73"/>
      <c r="DS570" s="73"/>
      <c r="DT570" s="73"/>
      <c r="DU570" s="73"/>
      <c r="DV570" s="73"/>
      <c r="DW570" s="73"/>
      <c r="DX570" s="73"/>
      <c r="DY570" s="73"/>
      <c r="DZ570" s="73"/>
      <c r="EA570" s="73"/>
      <c r="EB570" s="73"/>
      <c r="EC570" s="73"/>
      <c r="ED570" s="73"/>
      <c r="EE570" s="73"/>
      <c r="EF570" s="73"/>
      <c r="FJ570" s="73"/>
      <c r="FK570" s="73"/>
      <c r="FL570" s="73"/>
      <c r="FM570" s="73"/>
      <c r="FN570" s="73"/>
      <c r="FO570" s="73"/>
      <c r="FP570" s="73"/>
      <c r="FQ570" s="73"/>
      <c r="FR570" s="73"/>
      <c r="FS570" s="73"/>
      <c r="FT570" s="73"/>
      <c r="FU570" s="73"/>
      <c r="FV570" s="73"/>
      <c r="FW570" s="73"/>
      <c r="FX570" s="73"/>
      <c r="GO570" s="73"/>
      <c r="GP570" s="73"/>
      <c r="HE570" s="73"/>
      <c r="HU570" s="73"/>
      <c r="HV570" s="182"/>
    </row>
    <row r="571" spans="1:230" x14ac:dyDescent="0.25">
      <c r="A571" s="30"/>
      <c r="B571" s="30"/>
      <c r="C571" s="30"/>
      <c r="D571" s="30"/>
      <c r="G571" s="30"/>
      <c r="H571" s="30"/>
      <c r="I571" s="30"/>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c r="CN571" s="73"/>
      <c r="CO571" s="73"/>
      <c r="CP571" s="73"/>
      <c r="CQ571" s="73"/>
      <c r="CR571" s="73"/>
      <c r="CS571" s="73"/>
      <c r="CT571" s="73"/>
      <c r="CU571" s="73"/>
      <c r="CV571" s="73"/>
      <c r="CW571" s="73"/>
      <c r="CX571" s="73"/>
      <c r="CY571" s="73"/>
      <c r="CZ571" s="73"/>
      <c r="DA571" s="73"/>
      <c r="DB571" s="73"/>
      <c r="DC571" s="73"/>
      <c r="DD571" s="73"/>
      <c r="DE571" s="73"/>
      <c r="DF571" s="73"/>
      <c r="DG571" s="73"/>
      <c r="DH571" s="73"/>
      <c r="DI571" s="73"/>
      <c r="DJ571" s="73"/>
      <c r="DK571" s="73"/>
      <c r="DL571" s="73"/>
      <c r="DM571" s="73"/>
      <c r="DN571" s="73"/>
      <c r="DO571" s="73"/>
      <c r="DP571" s="73"/>
      <c r="DQ571" s="73"/>
      <c r="DR571" s="73"/>
      <c r="DS571" s="73"/>
      <c r="DT571" s="73"/>
      <c r="DU571" s="73"/>
      <c r="DV571" s="73"/>
      <c r="DW571" s="73"/>
      <c r="DX571" s="73"/>
      <c r="DY571" s="73"/>
      <c r="DZ571" s="73"/>
      <c r="EA571" s="73"/>
      <c r="EB571" s="73"/>
      <c r="EC571" s="73"/>
      <c r="ED571" s="73"/>
      <c r="EE571" s="73"/>
      <c r="EF571" s="73"/>
      <c r="FJ571" s="73"/>
      <c r="FK571" s="73"/>
      <c r="FL571" s="73"/>
      <c r="FM571" s="73"/>
      <c r="FN571" s="73"/>
      <c r="FO571" s="73"/>
      <c r="FP571" s="73"/>
      <c r="FQ571" s="73"/>
      <c r="FR571" s="73"/>
      <c r="FS571" s="73"/>
      <c r="FT571" s="73"/>
      <c r="FU571" s="73"/>
      <c r="FV571" s="73"/>
      <c r="FW571" s="73"/>
      <c r="FX571" s="73"/>
      <c r="GO571" s="73"/>
      <c r="GP571" s="73"/>
      <c r="HE571" s="73"/>
      <c r="HU571" s="73"/>
      <c r="HV571" s="182"/>
    </row>
    <row r="572" spans="1:230" x14ac:dyDescent="0.25">
      <c r="A572" s="30"/>
      <c r="B572" s="30"/>
      <c r="C572" s="30"/>
      <c r="D572" s="30"/>
      <c r="G572" s="30"/>
      <c r="H572" s="30"/>
      <c r="I572" s="30"/>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c r="CE572" s="73"/>
      <c r="CF572" s="73"/>
      <c r="CG572" s="73"/>
      <c r="CH572" s="73"/>
      <c r="CI572" s="73"/>
      <c r="CJ572" s="73"/>
      <c r="CK572" s="73"/>
      <c r="CL572" s="73"/>
      <c r="CM572" s="73"/>
      <c r="CN572" s="73"/>
      <c r="CO572" s="73"/>
      <c r="CP572" s="73"/>
      <c r="CQ572" s="73"/>
      <c r="CR572" s="73"/>
      <c r="CS572" s="73"/>
      <c r="CT572" s="73"/>
      <c r="CU572" s="73"/>
      <c r="CV572" s="73"/>
      <c r="CW572" s="73"/>
      <c r="CX572" s="73"/>
      <c r="CY572" s="73"/>
      <c r="CZ572" s="73"/>
      <c r="DA572" s="73"/>
      <c r="DB572" s="73"/>
      <c r="DC572" s="73"/>
      <c r="DD572" s="73"/>
      <c r="DE572" s="73"/>
      <c r="DF572" s="73"/>
      <c r="DG572" s="73"/>
      <c r="DH572" s="73"/>
      <c r="DI572" s="73"/>
      <c r="DJ572" s="73"/>
      <c r="DK572" s="73"/>
      <c r="DL572" s="73"/>
      <c r="DM572" s="73"/>
      <c r="DN572" s="73"/>
      <c r="DO572" s="73"/>
      <c r="DP572" s="73"/>
      <c r="DQ572" s="73"/>
      <c r="DR572" s="73"/>
      <c r="DS572" s="73"/>
      <c r="DT572" s="73"/>
      <c r="DU572" s="73"/>
      <c r="DV572" s="73"/>
      <c r="DW572" s="73"/>
      <c r="DX572" s="73"/>
      <c r="DY572" s="73"/>
      <c r="DZ572" s="73"/>
      <c r="EA572" s="73"/>
      <c r="EB572" s="73"/>
      <c r="EC572" s="73"/>
      <c r="ED572" s="73"/>
      <c r="EE572" s="73"/>
      <c r="EF572" s="73"/>
      <c r="FJ572" s="73"/>
      <c r="FK572" s="73"/>
      <c r="FL572" s="73"/>
      <c r="FM572" s="73"/>
      <c r="FN572" s="73"/>
      <c r="FO572" s="73"/>
      <c r="FP572" s="73"/>
      <c r="FQ572" s="73"/>
      <c r="FR572" s="73"/>
      <c r="FS572" s="73"/>
      <c r="FT572" s="73"/>
      <c r="FU572" s="73"/>
      <c r="FV572" s="73"/>
      <c r="FW572" s="73"/>
      <c r="FX572" s="73"/>
      <c r="GO572" s="73"/>
      <c r="GP572" s="73"/>
      <c r="HE572" s="73"/>
      <c r="HU572" s="73"/>
      <c r="HV572" s="182"/>
    </row>
    <row r="573" spans="1:230" x14ac:dyDescent="0.25">
      <c r="A573" s="30"/>
      <c r="B573" s="30"/>
      <c r="C573" s="30"/>
      <c r="D573" s="30"/>
      <c r="G573" s="30"/>
      <c r="H573" s="30"/>
      <c r="I573" s="30"/>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3"/>
      <c r="CK573" s="73"/>
      <c r="CL573" s="73"/>
      <c r="CM573" s="73"/>
      <c r="CN573" s="73"/>
      <c r="CO573" s="73"/>
      <c r="CP573" s="73"/>
      <c r="CQ573" s="73"/>
      <c r="CR573" s="73"/>
      <c r="CS573" s="73"/>
      <c r="CT573" s="73"/>
      <c r="CU573" s="73"/>
      <c r="CV573" s="73"/>
      <c r="CW573" s="73"/>
      <c r="CX573" s="73"/>
      <c r="CY573" s="73"/>
      <c r="CZ573" s="73"/>
      <c r="DA573" s="73"/>
      <c r="DB573" s="73"/>
      <c r="DC573" s="73"/>
      <c r="DD573" s="73"/>
      <c r="DE573" s="73"/>
      <c r="DF573" s="73"/>
      <c r="DG573" s="73"/>
      <c r="DH573" s="73"/>
      <c r="DI573" s="73"/>
      <c r="DJ573" s="73"/>
      <c r="DK573" s="73"/>
      <c r="DL573" s="73"/>
      <c r="DM573" s="73"/>
      <c r="DN573" s="73"/>
      <c r="DO573" s="73"/>
      <c r="DP573" s="73"/>
      <c r="DQ573" s="73"/>
      <c r="DR573" s="73"/>
      <c r="DS573" s="73"/>
      <c r="DT573" s="73"/>
      <c r="DU573" s="73"/>
      <c r="DV573" s="73"/>
      <c r="DW573" s="73"/>
      <c r="DX573" s="73"/>
      <c r="DY573" s="73"/>
      <c r="DZ573" s="73"/>
      <c r="EA573" s="73"/>
      <c r="EB573" s="73"/>
      <c r="EC573" s="73"/>
      <c r="ED573" s="73"/>
      <c r="EE573" s="73"/>
      <c r="EF573" s="73"/>
      <c r="FJ573" s="73"/>
      <c r="FK573" s="73"/>
      <c r="FL573" s="73"/>
      <c r="FM573" s="73"/>
      <c r="FN573" s="73"/>
      <c r="FO573" s="73"/>
      <c r="FP573" s="73"/>
      <c r="FQ573" s="73"/>
      <c r="FR573" s="73"/>
      <c r="FS573" s="73"/>
      <c r="FT573" s="73"/>
      <c r="FU573" s="73"/>
      <c r="FV573" s="73"/>
      <c r="FW573" s="73"/>
      <c r="FX573" s="73"/>
      <c r="GO573" s="73"/>
      <c r="GP573" s="73"/>
      <c r="HE573" s="73"/>
      <c r="HU573" s="73"/>
      <c r="HV573" s="182"/>
    </row>
    <row r="574" spans="1:230" x14ac:dyDescent="0.25">
      <c r="A574" s="30"/>
      <c r="B574" s="30"/>
      <c r="C574" s="30"/>
      <c r="D574" s="30"/>
      <c r="G574" s="30"/>
      <c r="H574" s="30"/>
      <c r="I574" s="30"/>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3"/>
      <c r="CK574" s="73"/>
      <c r="CL574" s="73"/>
      <c r="CM574" s="73"/>
      <c r="CN574" s="73"/>
      <c r="CO574" s="73"/>
      <c r="CP574" s="73"/>
      <c r="CQ574" s="73"/>
      <c r="CR574" s="73"/>
      <c r="CS574" s="73"/>
      <c r="CT574" s="73"/>
      <c r="CU574" s="73"/>
      <c r="CV574" s="73"/>
      <c r="CW574" s="73"/>
      <c r="CX574" s="73"/>
      <c r="CY574" s="73"/>
      <c r="CZ574" s="73"/>
      <c r="DA574" s="73"/>
      <c r="DB574" s="73"/>
      <c r="DC574" s="73"/>
      <c r="DD574" s="73"/>
      <c r="DE574" s="73"/>
      <c r="DF574" s="73"/>
      <c r="DG574" s="73"/>
      <c r="DH574" s="73"/>
      <c r="DI574" s="73"/>
      <c r="DJ574" s="73"/>
      <c r="DK574" s="73"/>
      <c r="DL574" s="73"/>
      <c r="DM574" s="73"/>
      <c r="DN574" s="73"/>
      <c r="DO574" s="73"/>
      <c r="DP574" s="73"/>
      <c r="DQ574" s="73"/>
      <c r="DR574" s="73"/>
      <c r="DS574" s="73"/>
      <c r="DT574" s="73"/>
      <c r="DU574" s="73"/>
      <c r="DV574" s="73"/>
      <c r="DW574" s="73"/>
      <c r="DX574" s="73"/>
      <c r="DY574" s="73"/>
      <c r="DZ574" s="73"/>
      <c r="EA574" s="73"/>
      <c r="EB574" s="73"/>
      <c r="EC574" s="73"/>
      <c r="ED574" s="73"/>
      <c r="EE574" s="73"/>
      <c r="EF574" s="73"/>
      <c r="FJ574" s="73"/>
      <c r="FK574" s="73"/>
      <c r="FL574" s="73"/>
      <c r="FM574" s="73"/>
      <c r="FN574" s="73"/>
      <c r="FO574" s="73"/>
      <c r="FP574" s="73"/>
      <c r="FQ574" s="73"/>
      <c r="FR574" s="73"/>
      <c r="FS574" s="73"/>
      <c r="FT574" s="73"/>
      <c r="FU574" s="73"/>
      <c r="FV574" s="73"/>
      <c r="FW574" s="73"/>
      <c r="FX574" s="73"/>
      <c r="GO574" s="73"/>
      <c r="GP574" s="73"/>
      <c r="HE574" s="73"/>
      <c r="HU574" s="73"/>
      <c r="HV574" s="182"/>
    </row>
    <row r="575" spans="1:230" x14ac:dyDescent="0.25">
      <c r="A575" s="30"/>
      <c r="B575" s="30"/>
      <c r="C575" s="30"/>
      <c r="D575" s="30"/>
      <c r="G575" s="30"/>
      <c r="H575" s="30"/>
      <c r="I575" s="30"/>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c r="CN575" s="73"/>
      <c r="CO575" s="73"/>
      <c r="CP575" s="73"/>
      <c r="CQ575" s="73"/>
      <c r="CR575" s="73"/>
      <c r="CS575" s="73"/>
      <c r="CT575" s="73"/>
      <c r="CU575" s="73"/>
      <c r="CV575" s="73"/>
      <c r="CW575" s="73"/>
      <c r="CX575" s="73"/>
      <c r="CY575" s="73"/>
      <c r="CZ575" s="73"/>
      <c r="DA575" s="73"/>
      <c r="DB575" s="73"/>
      <c r="DC575" s="73"/>
      <c r="DD575" s="73"/>
      <c r="DE575" s="73"/>
      <c r="DF575" s="73"/>
      <c r="DG575" s="73"/>
      <c r="DH575" s="73"/>
      <c r="DI575" s="73"/>
      <c r="DJ575" s="73"/>
      <c r="DK575" s="73"/>
      <c r="DL575" s="73"/>
      <c r="DM575" s="73"/>
      <c r="DN575" s="73"/>
      <c r="DO575" s="73"/>
      <c r="DP575" s="73"/>
      <c r="DQ575" s="73"/>
      <c r="DR575" s="73"/>
      <c r="DS575" s="73"/>
      <c r="DT575" s="73"/>
      <c r="DU575" s="73"/>
      <c r="DV575" s="73"/>
      <c r="DW575" s="73"/>
      <c r="DX575" s="73"/>
      <c r="DY575" s="73"/>
      <c r="DZ575" s="73"/>
      <c r="EA575" s="73"/>
      <c r="EB575" s="73"/>
      <c r="EC575" s="73"/>
      <c r="ED575" s="73"/>
      <c r="EE575" s="73"/>
      <c r="EF575" s="73"/>
      <c r="FJ575" s="73"/>
      <c r="FK575" s="73"/>
      <c r="FL575" s="73"/>
      <c r="FM575" s="73"/>
      <c r="FN575" s="73"/>
      <c r="FO575" s="73"/>
      <c r="FP575" s="73"/>
      <c r="FQ575" s="73"/>
      <c r="FR575" s="73"/>
      <c r="FS575" s="73"/>
      <c r="FT575" s="73"/>
      <c r="FU575" s="73"/>
      <c r="FV575" s="73"/>
      <c r="FW575" s="73"/>
      <c r="FX575" s="73"/>
      <c r="GO575" s="73"/>
      <c r="GP575" s="73"/>
      <c r="HE575" s="73"/>
      <c r="HU575" s="73"/>
      <c r="HV575" s="182"/>
    </row>
    <row r="576" spans="1:230" x14ac:dyDescent="0.25">
      <c r="A576" s="30"/>
      <c r="B576" s="30"/>
      <c r="C576" s="30"/>
      <c r="D576" s="30"/>
      <c r="G576" s="30"/>
      <c r="H576" s="30"/>
      <c r="I576" s="30"/>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3"/>
      <c r="CK576" s="73"/>
      <c r="CL576" s="73"/>
      <c r="CM576" s="73"/>
      <c r="CN576" s="73"/>
      <c r="CO576" s="73"/>
      <c r="CP576" s="73"/>
      <c r="CQ576" s="73"/>
      <c r="CR576" s="73"/>
      <c r="CS576" s="73"/>
      <c r="CT576" s="73"/>
      <c r="CU576" s="73"/>
      <c r="CV576" s="73"/>
      <c r="CW576" s="73"/>
      <c r="CX576" s="73"/>
      <c r="CY576" s="73"/>
      <c r="CZ576" s="73"/>
      <c r="DA576" s="73"/>
      <c r="DB576" s="73"/>
      <c r="DC576" s="73"/>
      <c r="DD576" s="73"/>
      <c r="DE576" s="73"/>
      <c r="DF576" s="73"/>
      <c r="DG576" s="73"/>
      <c r="DH576" s="73"/>
      <c r="DI576" s="73"/>
      <c r="DJ576" s="73"/>
      <c r="DK576" s="73"/>
      <c r="DL576" s="73"/>
      <c r="DM576" s="73"/>
      <c r="DN576" s="73"/>
      <c r="DO576" s="73"/>
      <c r="DP576" s="73"/>
      <c r="DQ576" s="73"/>
      <c r="DR576" s="73"/>
      <c r="DS576" s="73"/>
      <c r="DT576" s="73"/>
      <c r="DU576" s="73"/>
      <c r="DV576" s="73"/>
      <c r="DW576" s="73"/>
      <c r="DX576" s="73"/>
      <c r="DY576" s="73"/>
      <c r="DZ576" s="73"/>
      <c r="EA576" s="73"/>
      <c r="EB576" s="73"/>
      <c r="EC576" s="73"/>
      <c r="ED576" s="73"/>
      <c r="EE576" s="73"/>
      <c r="EF576" s="73"/>
      <c r="FJ576" s="73"/>
      <c r="FK576" s="73"/>
      <c r="FL576" s="73"/>
      <c r="FM576" s="73"/>
      <c r="FN576" s="73"/>
      <c r="FO576" s="73"/>
      <c r="FP576" s="73"/>
      <c r="FQ576" s="73"/>
      <c r="FR576" s="73"/>
      <c r="FS576" s="73"/>
      <c r="FT576" s="73"/>
      <c r="FU576" s="73"/>
      <c r="FV576" s="73"/>
      <c r="FW576" s="73"/>
      <c r="FX576" s="73"/>
      <c r="GO576" s="73"/>
      <c r="GP576" s="73"/>
      <c r="HE576" s="73"/>
      <c r="HU576" s="73"/>
      <c r="HV576" s="182"/>
    </row>
    <row r="577" spans="1:230" x14ac:dyDescent="0.25">
      <c r="A577" s="30"/>
      <c r="B577" s="30"/>
      <c r="C577" s="30"/>
      <c r="D577" s="30"/>
      <c r="G577" s="30"/>
      <c r="H577" s="30"/>
      <c r="I577" s="30"/>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3"/>
      <c r="CK577" s="73"/>
      <c r="CL577" s="73"/>
      <c r="CM577" s="73"/>
      <c r="CN577" s="73"/>
      <c r="CO577" s="73"/>
      <c r="CP577" s="73"/>
      <c r="CQ577" s="73"/>
      <c r="CR577" s="73"/>
      <c r="CS577" s="73"/>
      <c r="CT577" s="73"/>
      <c r="CU577" s="73"/>
      <c r="CV577" s="73"/>
      <c r="CW577" s="73"/>
      <c r="CX577" s="73"/>
      <c r="CY577" s="73"/>
      <c r="CZ577" s="73"/>
      <c r="DA577" s="73"/>
      <c r="DB577" s="73"/>
      <c r="DC577" s="73"/>
      <c r="DD577" s="73"/>
      <c r="DE577" s="73"/>
      <c r="DF577" s="73"/>
      <c r="DG577" s="73"/>
      <c r="DH577" s="73"/>
      <c r="DI577" s="73"/>
      <c r="DJ577" s="73"/>
      <c r="DK577" s="73"/>
      <c r="DL577" s="73"/>
      <c r="DM577" s="73"/>
      <c r="DN577" s="73"/>
      <c r="DO577" s="73"/>
      <c r="DP577" s="73"/>
      <c r="DQ577" s="73"/>
      <c r="DR577" s="73"/>
      <c r="DS577" s="73"/>
      <c r="DT577" s="73"/>
      <c r="DU577" s="73"/>
      <c r="DV577" s="73"/>
      <c r="DW577" s="73"/>
      <c r="DX577" s="73"/>
      <c r="DY577" s="73"/>
      <c r="DZ577" s="73"/>
      <c r="EA577" s="73"/>
      <c r="EB577" s="73"/>
      <c r="EC577" s="73"/>
      <c r="ED577" s="73"/>
      <c r="EE577" s="73"/>
      <c r="EF577" s="73"/>
      <c r="FJ577" s="73"/>
      <c r="FK577" s="73"/>
      <c r="FL577" s="73"/>
      <c r="FM577" s="73"/>
      <c r="FN577" s="73"/>
      <c r="FO577" s="73"/>
      <c r="FP577" s="73"/>
      <c r="FQ577" s="73"/>
      <c r="FR577" s="73"/>
      <c r="FS577" s="73"/>
      <c r="FT577" s="73"/>
      <c r="FU577" s="73"/>
      <c r="FV577" s="73"/>
      <c r="FW577" s="73"/>
      <c r="FX577" s="73"/>
      <c r="GO577" s="73"/>
      <c r="GP577" s="73"/>
      <c r="HE577" s="73"/>
      <c r="HU577" s="73"/>
      <c r="HV577" s="182"/>
    </row>
    <row r="578" spans="1:230" x14ac:dyDescent="0.25">
      <c r="A578" s="30"/>
      <c r="B578" s="30"/>
      <c r="C578" s="30"/>
      <c r="D578" s="30"/>
      <c r="G578" s="30"/>
      <c r="H578" s="30"/>
      <c r="I578" s="30"/>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3"/>
      <c r="CK578" s="73"/>
      <c r="CL578" s="73"/>
      <c r="CM578" s="73"/>
      <c r="CN578" s="73"/>
      <c r="CO578" s="73"/>
      <c r="CP578" s="73"/>
      <c r="CQ578" s="73"/>
      <c r="CR578" s="73"/>
      <c r="CS578" s="73"/>
      <c r="CT578" s="73"/>
      <c r="CU578" s="73"/>
      <c r="CV578" s="73"/>
      <c r="CW578" s="73"/>
      <c r="CX578" s="73"/>
      <c r="CY578" s="73"/>
      <c r="CZ578" s="73"/>
      <c r="DA578" s="73"/>
      <c r="DB578" s="73"/>
      <c r="DC578" s="73"/>
      <c r="DD578" s="73"/>
      <c r="DE578" s="73"/>
      <c r="DF578" s="73"/>
      <c r="DG578" s="73"/>
      <c r="DH578" s="73"/>
      <c r="DI578" s="73"/>
      <c r="DJ578" s="73"/>
      <c r="DK578" s="73"/>
      <c r="DL578" s="73"/>
      <c r="DM578" s="73"/>
      <c r="DN578" s="73"/>
      <c r="DO578" s="73"/>
      <c r="DP578" s="73"/>
      <c r="DQ578" s="73"/>
      <c r="DR578" s="73"/>
      <c r="DS578" s="73"/>
      <c r="DT578" s="73"/>
      <c r="DU578" s="73"/>
      <c r="DV578" s="73"/>
      <c r="DW578" s="73"/>
      <c r="DX578" s="73"/>
      <c r="DY578" s="73"/>
      <c r="DZ578" s="73"/>
      <c r="EA578" s="73"/>
      <c r="EB578" s="73"/>
      <c r="EC578" s="73"/>
      <c r="ED578" s="73"/>
      <c r="EE578" s="73"/>
      <c r="EF578" s="73"/>
      <c r="FJ578" s="73"/>
      <c r="FK578" s="73"/>
      <c r="FL578" s="73"/>
      <c r="FM578" s="73"/>
      <c r="FN578" s="73"/>
      <c r="FO578" s="73"/>
      <c r="FP578" s="73"/>
      <c r="FQ578" s="73"/>
      <c r="FR578" s="73"/>
      <c r="FS578" s="73"/>
      <c r="FT578" s="73"/>
      <c r="FU578" s="73"/>
      <c r="FV578" s="73"/>
      <c r="FW578" s="73"/>
      <c r="FX578" s="73"/>
      <c r="GO578" s="73"/>
      <c r="GP578" s="73"/>
      <c r="HE578" s="73"/>
      <c r="HU578" s="73"/>
      <c r="HV578" s="182"/>
    </row>
    <row r="579" spans="1:230" x14ac:dyDescent="0.25">
      <c r="A579" s="30"/>
      <c r="B579" s="30"/>
      <c r="C579" s="30"/>
      <c r="D579" s="30"/>
      <c r="G579" s="30"/>
      <c r="H579" s="30"/>
      <c r="I579" s="30"/>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3"/>
      <c r="DV579" s="73"/>
      <c r="DW579" s="73"/>
      <c r="DX579" s="73"/>
      <c r="DY579" s="73"/>
      <c r="DZ579" s="73"/>
      <c r="EA579" s="73"/>
      <c r="EB579" s="73"/>
      <c r="EC579" s="73"/>
      <c r="ED579" s="73"/>
      <c r="EE579" s="73"/>
      <c r="EF579" s="73"/>
      <c r="FJ579" s="73"/>
      <c r="FK579" s="73"/>
      <c r="FL579" s="73"/>
      <c r="FM579" s="73"/>
      <c r="FN579" s="73"/>
      <c r="FO579" s="73"/>
      <c r="FP579" s="73"/>
      <c r="FQ579" s="73"/>
      <c r="FR579" s="73"/>
      <c r="FS579" s="73"/>
      <c r="FT579" s="73"/>
      <c r="FU579" s="73"/>
      <c r="FV579" s="73"/>
      <c r="FW579" s="73"/>
      <c r="FX579" s="73"/>
      <c r="GO579" s="73"/>
      <c r="GP579" s="73"/>
      <c r="HE579" s="73"/>
      <c r="HU579" s="73"/>
      <c r="HV579" s="182"/>
    </row>
    <row r="580" spans="1:230" x14ac:dyDescent="0.25">
      <c r="A580" s="30"/>
      <c r="B580" s="30"/>
      <c r="C580" s="30"/>
      <c r="D580" s="30"/>
      <c r="G580" s="30"/>
      <c r="H580" s="30"/>
      <c r="I580" s="30"/>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3"/>
      <c r="CK580" s="73"/>
      <c r="CL580" s="73"/>
      <c r="CM580" s="73"/>
      <c r="CN580" s="73"/>
      <c r="CO580" s="73"/>
      <c r="CP580" s="73"/>
      <c r="CQ580" s="73"/>
      <c r="CR580" s="73"/>
      <c r="CS580" s="73"/>
      <c r="CT580" s="73"/>
      <c r="CU580" s="73"/>
      <c r="CV580" s="73"/>
      <c r="CW580" s="73"/>
      <c r="CX580" s="73"/>
      <c r="CY580" s="73"/>
      <c r="CZ580" s="73"/>
      <c r="DA580" s="73"/>
      <c r="DB580" s="73"/>
      <c r="DC580" s="73"/>
      <c r="DD580" s="73"/>
      <c r="DE580" s="73"/>
      <c r="DF580" s="73"/>
      <c r="DG580" s="73"/>
      <c r="DH580" s="73"/>
      <c r="DI580" s="73"/>
      <c r="DJ580" s="73"/>
      <c r="DK580" s="73"/>
      <c r="DL580" s="73"/>
      <c r="DM580" s="73"/>
      <c r="DN580" s="73"/>
      <c r="DO580" s="73"/>
      <c r="DP580" s="73"/>
      <c r="DQ580" s="73"/>
      <c r="DR580" s="73"/>
      <c r="DS580" s="73"/>
      <c r="DT580" s="73"/>
      <c r="DU580" s="73"/>
      <c r="DV580" s="73"/>
      <c r="DW580" s="73"/>
      <c r="DX580" s="73"/>
      <c r="DY580" s="73"/>
      <c r="DZ580" s="73"/>
      <c r="EA580" s="73"/>
      <c r="EB580" s="73"/>
      <c r="EC580" s="73"/>
      <c r="ED580" s="73"/>
      <c r="EE580" s="73"/>
      <c r="EF580" s="73"/>
      <c r="FJ580" s="73"/>
      <c r="FK580" s="73"/>
      <c r="FL580" s="73"/>
      <c r="FM580" s="73"/>
      <c r="FN580" s="73"/>
      <c r="FO580" s="73"/>
      <c r="FP580" s="73"/>
      <c r="FQ580" s="73"/>
      <c r="FR580" s="73"/>
      <c r="FS580" s="73"/>
      <c r="FT580" s="73"/>
      <c r="FU580" s="73"/>
      <c r="FV580" s="73"/>
      <c r="FW580" s="73"/>
      <c r="FX580" s="73"/>
      <c r="GO580" s="73"/>
      <c r="GP580" s="73"/>
      <c r="HE580" s="73"/>
      <c r="HU580" s="73"/>
      <c r="HV580" s="182"/>
    </row>
    <row r="581" spans="1:230" x14ac:dyDescent="0.25">
      <c r="A581" s="30"/>
      <c r="B581" s="30"/>
      <c r="C581" s="30"/>
      <c r="D581" s="30"/>
      <c r="G581" s="30"/>
      <c r="H581" s="30"/>
      <c r="I581" s="30"/>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3"/>
      <c r="CK581" s="73"/>
      <c r="CL581" s="73"/>
      <c r="CM581" s="73"/>
      <c r="CN581" s="73"/>
      <c r="CO581" s="73"/>
      <c r="CP581" s="73"/>
      <c r="CQ581" s="73"/>
      <c r="CR581" s="73"/>
      <c r="CS581" s="73"/>
      <c r="CT581" s="73"/>
      <c r="CU581" s="73"/>
      <c r="CV581" s="73"/>
      <c r="CW581" s="73"/>
      <c r="CX581" s="73"/>
      <c r="CY581" s="73"/>
      <c r="CZ581" s="73"/>
      <c r="DA581" s="73"/>
      <c r="DB581" s="73"/>
      <c r="DC581" s="73"/>
      <c r="DD581" s="73"/>
      <c r="DE581" s="73"/>
      <c r="DF581" s="73"/>
      <c r="DG581" s="73"/>
      <c r="DH581" s="73"/>
      <c r="DI581" s="73"/>
      <c r="DJ581" s="73"/>
      <c r="DK581" s="73"/>
      <c r="DL581" s="73"/>
      <c r="DM581" s="73"/>
      <c r="DN581" s="73"/>
      <c r="DO581" s="73"/>
      <c r="DP581" s="73"/>
      <c r="DQ581" s="73"/>
      <c r="DR581" s="73"/>
      <c r="DS581" s="73"/>
      <c r="DT581" s="73"/>
      <c r="DU581" s="73"/>
      <c r="DV581" s="73"/>
      <c r="DW581" s="73"/>
      <c r="DX581" s="73"/>
      <c r="DY581" s="73"/>
      <c r="DZ581" s="73"/>
      <c r="EA581" s="73"/>
      <c r="EB581" s="73"/>
      <c r="EC581" s="73"/>
      <c r="ED581" s="73"/>
      <c r="EE581" s="73"/>
      <c r="EF581" s="73"/>
      <c r="FJ581" s="73"/>
      <c r="FK581" s="73"/>
      <c r="FL581" s="73"/>
      <c r="FM581" s="73"/>
      <c r="FN581" s="73"/>
      <c r="FO581" s="73"/>
      <c r="FP581" s="73"/>
      <c r="FQ581" s="73"/>
      <c r="FR581" s="73"/>
      <c r="FS581" s="73"/>
      <c r="FT581" s="73"/>
      <c r="FU581" s="73"/>
      <c r="FV581" s="73"/>
      <c r="FW581" s="73"/>
      <c r="FX581" s="73"/>
      <c r="GO581" s="73"/>
      <c r="GP581" s="73"/>
      <c r="HE581" s="73"/>
      <c r="HU581" s="73"/>
      <c r="HV581" s="182"/>
    </row>
    <row r="582" spans="1:230" x14ac:dyDescent="0.25">
      <c r="A582" s="30"/>
      <c r="B582" s="30"/>
      <c r="C582" s="30"/>
      <c r="D582" s="30"/>
      <c r="G582" s="30"/>
      <c r="H582" s="30"/>
      <c r="I582" s="30"/>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3"/>
      <c r="CK582" s="73"/>
      <c r="CL582" s="73"/>
      <c r="CM582" s="73"/>
      <c r="CN582" s="73"/>
      <c r="CO582" s="73"/>
      <c r="CP582" s="73"/>
      <c r="CQ582" s="73"/>
      <c r="CR582" s="73"/>
      <c r="CS582" s="73"/>
      <c r="CT582" s="73"/>
      <c r="CU582" s="73"/>
      <c r="CV582" s="73"/>
      <c r="CW582" s="73"/>
      <c r="CX582" s="73"/>
      <c r="CY582" s="73"/>
      <c r="CZ582" s="73"/>
      <c r="DA582" s="73"/>
      <c r="DB582" s="73"/>
      <c r="DC582" s="73"/>
      <c r="DD582" s="73"/>
      <c r="DE582" s="73"/>
      <c r="DF582" s="73"/>
      <c r="DG582" s="73"/>
      <c r="DH582" s="73"/>
      <c r="DI582" s="73"/>
      <c r="DJ582" s="73"/>
      <c r="DK582" s="73"/>
      <c r="DL582" s="73"/>
      <c r="DM582" s="73"/>
      <c r="DN582" s="73"/>
      <c r="DO582" s="73"/>
      <c r="DP582" s="73"/>
      <c r="DQ582" s="73"/>
      <c r="DR582" s="73"/>
      <c r="DS582" s="73"/>
      <c r="DT582" s="73"/>
      <c r="DU582" s="73"/>
      <c r="DV582" s="73"/>
      <c r="DW582" s="73"/>
      <c r="DX582" s="73"/>
      <c r="DY582" s="73"/>
      <c r="DZ582" s="73"/>
      <c r="EA582" s="73"/>
      <c r="EB582" s="73"/>
      <c r="EC582" s="73"/>
      <c r="ED582" s="73"/>
      <c r="EE582" s="73"/>
      <c r="EF582" s="73"/>
      <c r="FJ582" s="73"/>
      <c r="FK582" s="73"/>
      <c r="FL582" s="73"/>
      <c r="FM582" s="73"/>
      <c r="FN582" s="73"/>
      <c r="FO582" s="73"/>
      <c r="FP582" s="73"/>
      <c r="FQ582" s="73"/>
      <c r="FR582" s="73"/>
      <c r="FS582" s="73"/>
      <c r="FT582" s="73"/>
      <c r="FU582" s="73"/>
      <c r="FV582" s="73"/>
      <c r="FW582" s="73"/>
      <c r="FX582" s="73"/>
      <c r="GO582" s="73"/>
      <c r="GP582" s="73"/>
      <c r="HE582" s="73"/>
      <c r="HU582" s="73"/>
      <c r="HV582" s="182"/>
    </row>
    <row r="583" spans="1:230" x14ac:dyDescent="0.25">
      <c r="A583" s="30"/>
      <c r="B583" s="30"/>
      <c r="C583" s="30"/>
      <c r="D583" s="30"/>
      <c r="G583" s="30"/>
      <c r="H583" s="30"/>
      <c r="I583" s="30"/>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c r="CN583" s="73"/>
      <c r="CO583" s="73"/>
      <c r="CP583" s="73"/>
      <c r="CQ583" s="73"/>
      <c r="CR583" s="73"/>
      <c r="CS583" s="73"/>
      <c r="CT583" s="73"/>
      <c r="CU583" s="73"/>
      <c r="CV583" s="73"/>
      <c r="CW583" s="73"/>
      <c r="CX583" s="73"/>
      <c r="CY583" s="73"/>
      <c r="CZ583" s="73"/>
      <c r="DA583" s="73"/>
      <c r="DB583" s="73"/>
      <c r="DC583" s="73"/>
      <c r="DD583" s="73"/>
      <c r="DE583" s="73"/>
      <c r="DF583" s="73"/>
      <c r="DG583" s="73"/>
      <c r="DH583" s="73"/>
      <c r="DI583" s="73"/>
      <c r="DJ583" s="73"/>
      <c r="DK583" s="73"/>
      <c r="DL583" s="73"/>
      <c r="DM583" s="73"/>
      <c r="DN583" s="73"/>
      <c r="DO583" s="73"/>
      <c r="DP583" s="73"/>
      <c r="DQ583" s="73"/>
      <c r="DR583" s="73"/>
      <c r="DS583" s="73"/>
      <c r="DT583" s="73"/>
      <c r="DU583" s="73"/>
      <c r="DV583" s="73"/>
      <c r="DW583" s="73"/>
      <c r="DX583" s="73"/>
      <c r="DY583" s="73"/>
      <c r="DZ583" s="73"/>
      <c r="EA583" s="73"/>
      <c r="EB583" s="73"/>
      <c r="EC583" s="73"/>
      <c r="ED583" s="73"/>
      <c r="EE583" s="73"/>
      <c r="EF583" s="73"/>
      <c r="FJ583" s="73"/>
      <c r="FK583" s="73"/>
      <c r="FL583" s="73"/>
      <c r="FM583" s="73"/>
      <c r="FN583" s="73"/>
      <c r="FO583" s="73"/>
      <c r="FP583" s="73"/>
      <c r="FQ583" s="73"/>
      <c r="FR583" s="73"/>
      <c r="FS583" s="73"/>
      <c r="FT583" s="73"/>
      <c r="FU583" s="73"/>
      <c r="FV583" s="73"/>
      <c r="FW583" s="73"/>
      <c r="FX583" s="73"/>
      <c r="GO583" s="73"/>
      <c r="GP583" s="73"/>
      <c r="HE583" s="73"/>
      <c r="HU583" s="73"/>
      <c r="HV583" s="182"/>
    </row>
    <row r="584" spans="1:230" x14ac:dyDescent="0.25">
      <c r="A584" s="30"/>
      <c r="B584" s="30"/>
      <c r="C584" s="30"/>
      <c r="D584" s="30"/>
      <c r="G584" s="30"/>
      <c r="H584" s="30"/>
      <c r="I584" s="30"/>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3"/>
      <c r="CK584" s="73"/>
      <c r="CL584" s="73"/>
      <c r="CM584" s="73"/>
      <c r="CN584" s="73"/>
      <c r="CO584" s="73"/>
      <c r="CP584" s="73"/>
      <c r="CQ584" s="73"/>
      <c r="CR584" s="73"/>
      <c r="CS584" s="73"/>
      <c r="CT584" s="73"/>
      <c r="CU584" s="73"/>
      <c r="CV584" s="73"/>
      <c r="CW584" s="73"/>
      <c r="CX584" s="73"/>
      <c r="CY584" s="73"/>
      <c r="CZ584" s="73"/>
      <c r="DA584" s="73"/>
      <c r="DB584" s="73"/>
      <c r="DC584" s="73"/>
      <c r="DD584" s="73"/>
      <c r="DE584" s="73"/>
      <c r="DF584" s="73"/>
      <c r="DG584" s="73"/>
      <c r="DH584" s="73"/>
      <c r="DI584" s="73"/>
      <c r="DJ584" s="73"/>
      <c r="DK584" s="73"/>
      <c r="DL584" s="73"/>
      <c r="DM584" s="73"/>
      <c r="DN584" s="73"/>
      <c r="DO584" s="73"/>
      <c r="DP584" s="73"/>
      <c r="DQ584" s="73"/>
      <c r="DR584" s="73"/>
      <c r="DS584" s="73"/>
      <c r="DT584" s="73"/>
      <c r="DU584" s="73"/>
      <c r="DV584" s="73"/>
      <c r="DW584" s="73"/>
      <c r="DX584" s="73"/>
      <c r="DY584" s="73"/>
      <c r="DZ584" s="73"/>
      <c r="EA584" s="73"/>
      <c r="EB584" s="73"/>
      <c r="EC584" s="73"/>
      <c r="ED584" s="73"/>
      <c r="EE584" s="73"/>
      <c r="EF584" s="73"/>
      <c r="FJ584" s="73"/>
      <c r="FK584" s="73"/>
      <c r="FL584" s="73"/>
      <c r="FM584" s="73"/>
      <c r="FN584" s="73"/>
      <c r="FO584" s="73"/>
      <c r="FP584" s="73"/>
      <c r="FQ584" s="73"/>
      <c r="FR584" s="73"/>
      <c r="FS584" s="73"/>
      <c r="FT584" s="73"/>
      <c r="FU584" s="73"/>
      <c r="FV584" s="73"/>
      <c r="FW584" s="73"/>
      <c r="FX584" s="73"/>
      <c r="GO584" s="73"/>
      <c r="GP584" s="73"/>
      <c r="HE584" s="73"/>
      <c r="HU584" s="73"/>
      <c r="HV584" s="182"/>
    </row>
    <row r="585" spans="1:230" x14ac:dyDescent="0.25">
      <c r="A585" s="30"/>
      <c r="B585" s="30"/>
      <c r="C585" s="30"/>
      <c r="D585" s="30"/>
      <c r="G585" s="30"/>
      <c r="H585" s="30"/>
      <c r="I585" s="30"/>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c r="CE585" s="73"/>
      <c r="CF585" s="73"/>
      <c r="CG585" s="73"/>
      <c r="CH585" s="73"/>
      <c r="CI585" s="73"/>
      <c r="CJ585" s="73"/>
      <c r="CK585" s="73"/>
      <c r="CL585" s="73"/>
      <c r="CM585" s="73"/>
      <c r="CN585" s="73"/>
      <c r="CO585" s="73"/>
      <c r="CP585" s="73"/>
      <c r="CQ585" s="73"/>
      <c r="CR585" s="73"/>
      <c r="CS585" s="73"/>
      <c r="CT585" s="73"/>
      <c r="CU585" s="73"/>
      <c r="CV585" s="73"/>
      <c r="CW585" s="73"/>
      <c r="CX585" s="73"/>
      <c r="CY585" s="73"/>
      <c r="CZ585" s="73"/>
      <c r="DA585" s="73"/>
      <c r="DB585" s="73"/>
      <c r="DC585" s="73"/>
      <c r="DD585" s="73"/>
      <c r="DE585" s="73"/>
      <c r="DF585" s="73"/>
      <c r="DG585" s="73"/>
      <c r="DH585" s="73"/>
      <c r="DI585" s="73"/>
      <c r="DJ585" s="73"/>
      <c r="DK585" s="73"/>
      <c r="DL585" s="73"/>
      <c r="DM585" s="73"/>
      <c r="DN585" s="73"/>
      <c r="DO585" s="73"/>
      <c r="DP585" s="73"/>
      <c r="DQ585" s="73"/>
      <c r="DR585" s="73"/>
      <c r="DS585" s="73"/>
      <c r="DT585" s="73"/>
      <c r="DU585" s="73"/>
      <c r="DV585" s="73"/>
      <c r="DW585" s="73"/>
      <c r="DX585" s="73"/>
      <c r="DY585" s="73"/>
      <c r="DZ585" s="73"/>
      <c r="EA585" s="73"/>
      <c r="EB585" s="73"/>
      <c r="EC585" s="73"/>
      <c r="ED585" s="73"/>
      <c r="EE585" s="73"/>
      <c r="EF585" s="73"/>
      <c r="FJ585" s="73"/>
      <c r="FK585" s="73"/>
      <c r="FL585" s="73"/>
      <c r="FM585" s="73"/>
      <c r="FN585" s="73"/>
      <c r="FO585" s="73"/>
      <c r="FP585" s="73"/>
      <c r="FQ585" s="73"/>
      <c r="FR585" s="73"/>
      <c r="FS585" s="73"/>
      <c r="FT585" s="73"/>
      <c r="FU585" s="73"/>
      <c r="FV585" s="73"/>
      <c r="FW585" s="73"/>
      <c r="FX585" s="73"/>
      <c r="GO585" s="73"/>
      <c r="GP585" s="73"/>
      <c r="HE585" s="73"/>
      <c r="HU585" s="73"/>
      <c r="HV585" s="182"/>
    </row>
    <row r="586" spans="1:230" x14ac:dyDescent="0.25">
      <c r="A586" s="30"/>
      <c r="B586" s="30"/>
      <c r="C586" s="30"/>
      <c r="D586" s="30"/>
      <c r="G586" s="30"/>
      <c r="H586" s="30"/>
      <c r="I586" s="30"/>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3"/>
      <c r="CK586" s="73"/>
      <c r="CL586" s="73"/>
      <c r="CM586" s="73"/>
      <c r="CN586" s="73"/>
      <c r="CO586" s="73"/>
      <c r="CP586" s="73"/>
      <c r="CQ586" s="73"/>
      <c r="CR586" s="73"/>
      <c r="CS586" s="73"/>
      <c r="CT586" s="73"/>
      <c r="CU586" s="73"/>
      <c r="CV586" s="73"/>
      <c r="CW586" s="73"/>
      <c r="CX586" s="73"/>
      <c r="CY586" s="73"/>
      <c r="CZ586" s="73"/>
      <c r="DA586" s="73"/>
      <c r="DB586" s="73"/>
      <c r="DC586" s="73"/>
      <c r="DD586" s="73"/>
      <c r="DE586" s="73"/>
      <c r="DF586" s="73"/>
      <c r="DG586" s="73"/>
      <c r="DH586" s="73"/>
      <c r="DI586" s="73"/>
      <c r="DJ586" s="73"/>
      <c r="DK586" s="73"/>
      <c r="DL586" s="73"/>
      <c r="DM586" s="73"/>
      <c r="DN586" s="73"/>
      <c r="DO586" s="73"/>
      <c r="DP586" s="73"/>
      <c r="DQ586" s="73"/>
      <c r="DR586" s="73"/>
      <c r="DS586" s="73"/>
      <c r="DT586" s="73"/>
      <c r="DU586" s="73"/>
      <c r="DV586" s="73"/>
      <c r="DW586" s="73"/>
      <c r="DX586" s="73"/>
      <c r="DY586" s="73"/>
      <c r="DZ586" s="73"/>
      <c r="EA586" s="73"/>
      <c r="EB586" s="73"/>
      <c r="EC586" s="73"/>
      <c r="ED586" s="73"/>
      <c r="EE586" s="73"/>
      <c r="EF586" s="73"/>
      <c r="FJ586" s="73"/>
      <c r="FK586" s="73"/>
      <c r="FL586" s="73"/>
      <c r="FM586" s="73"/>
      <c r="FN586" s="73"/>
      <c r="FO586" s="73"/>
      <c r="FP586" s="73"/>
      <c r="FQ586" s="73"/>
      <c r="FR586" s="73"/>
      <c r="FS586" s="73"/>
      <c r="FT586" s="73"/>
      <c r="FU586" s="73"/>
      <c r="FV586" s="73"/>
      <c r="FW586" s="73"/>
      <c r="FX586" s="73"/>
      <c r="GO586" s="73"/>
      <c r="GP586" s="73"/>
      <c r="HE586" s="73"/>
      <c r="HU586" s="73"/>
      <c r="HV586" s="182"/>
    </row>
    <row r="587" spans="1:230" x14ac:dyDescent="0.25">
      <c r="A587" s="30"/>
      <c r="B587" s="30"/>
      <c r="C587" s="30"/>
      <c r="D587" s="30"/>
      <c r="G587" s="30"/>
      <c r="H587" s="30"/>
      <c r="I587" s="30"/>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c r="CN587" s="73"/>
      <c r="CO587" s="73"/>
      <c r="CP587" s="73"/>
      <c r="CQ587" s="73"/>
      <c r="CR587" s="73"/>
      <c r="CS587" s="73"/>
      <c r="CT587" s="73"/>
      <c r="CU587" s="73"/>
      <c r="CV587" s="73"/>
      <c r="CW587" s="73"/>
      <c r="CX587" s="73"/>
      <c r="CY587" s="73"/>
      <c r="CZ587" s="73"/>
      <c r="DA587" s="73"/>
      <c r="DB587" s="73"/>
      <c r="DC587" s="73"/>
      <c r="DD587" s="73"/>
      <c r="DE587" s="73"/>
      <c r="DF587" s="73"/>
      <c r="DG587" s="73"/>
      <c r="DH587" s="73"/>
      <c r="DI587" s="73"/>
      <c r="DJ587" s="73"/>
      <c r="DK587" s="73"/>
      <c r="DL587" s="73"/>
      <c r="DM587" s="73"/>
      <c r="DN587" s="73"/>
      <c r="DO587" s="73"/>
      <c r="DP587" s="73"/>
      <c r="DQ587" s="73"/>
      <c r="DR587" s="73"/>
      <c r="DS587" s="73"/>
      <c r="DT587" s="73"/>
      <c r="DU587" s="73"/>
      <c r="DV587" s="73"/>
      <c r="DW587" s="73"/>
      <c r="DX587" s="73"/>
      <c r="DY587" s="73"/>
      <c r="DZ587" s="73"/>
      <c r="EA587" s="73"/>
      <c r="EB587" s="73"/>
      <c r="EC587" s="73"/>
      <c r="ED587" s="73"/>
      <c r="EE587" s="73"/>
      <c r="EF587" s="73"/>
      <c r="FJ587" s="73"/>
      <c r="FK587" s="73"/>
      <c r="FL587" s="73"/>
      <c r="FM587" s="73"/>
      <c r="FN587" s="73"/>
      <c r="FO587" s="73"/>
      <c r="FP587" s="73"/>
      <c r="FQ587" s="73"/>
      <c r="FR587" s="73"/>
      <c r="FS587" s="73"/>
      <c r="FT587" s="73"/>
      <c r="FU587" s="73"/>
      <c r="FV587" s="73"/>
      <c r="FW587" s="73"/>
      <c r="FX587" s="73"/>
      <c r="GO587" s="73"/>
      <c r="GP587" s="73"/>
      <c r="HE587" s="73"/>
      <c r="HU587" s="73"/>
      <c r="HV587" s="182"/>
    </row>
    <row r="588" spans="1:230" x14ac:dyDescent="0.25">
      <c r="A588" s="30"/>
      <c r="B588" s="30"/>
      <c r="C588" s="30"/>
      <c r="D588" s="30"/>
      <c r="G588" s="30"/>
      <c r="H588" s="30"/>
      <c r="I588" s="30"/>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c r="CE588" s="73"/>
      <c r="CF588" s="73"/>
      <c r="CG588" s="73"/>
      <c r="CH588" s="73"/>
      <c r="CI588" s="73"/>
      <c r="CJ588" s="73"/>
      <c r="CK588" s="73"/>
      <c r="CL588" s="73"/>
      <c r="CM588" s="73"/>
      <c r="CN588" s="73"/>
      <c r="CO588" s="73"/>
      <c r="CP588" s="73"/>
      <c r="CQ588" s="73"/>
      <c r="CR588" s="73"/>
      <c r="CS588" s="73"/>
      <c r="CT588" s="73"/>
      <c r="CU588" s="73"/>
      <c r="CV588" s="73"/>
      <c r="CW588" s="73"/>
      <c r="CX588" s="73"/>
      <c r="CY588" s="73"/>
      <c r="CZ588" s="73"/>
      <c r="DA588" s="73"/>
      <c r="DB588" s="73"/>
      <c r="DC588" s="73"/>
      <c r="DD588" s="73"/>
      <c r="DE588" s="73"/>
      <c r="DF588" s="73"/>
      <c r="DG588" s="73"/>
      <c r="DH588" s="73"/>
      <c r="DI588" s="73"/>
      <c r="DJ588" s="73"/>
      <c r="DK588" s="73"/>
      <c r="DL588" s="73"/>
      <c r="DM588" s="73"/>
      <c r="DN588" s="73"/>
      <c r="DO588" s="73"/>
      <c r="DP588" s="73"/>
      <c r="DQ588" s="73"/>
      <c r="DR588" s="73"/>
      <c r="DS588" s="73"/>
      <c r="DT588" s="73"/>
      <c r="DU588" s="73"/>
      <c r="DV588" s="73"/>
      <c r="DW588" s="73"/>
      <c r="DX588" s="73"/>
      <c r="DY588" s="73"/>
      <c r="DZ588" s="73"/>
      <c r="EA588" s="73"/>
      <c r="EB588" s="73"/>
      <c r="EC588" s="73"/>
      <c r="ED588" s="73"/>
      <c r="EE588" s="73"/>
      <c r="EF588" s="73"/>
      <c r="FJ588" s="73"/>
      <c r="FK588" s="73"/>
      <c r="FL588" s="73"/>
      <c r="FM588" s="73"/>
      <c r="FN588" s="73"/>
      <c r="FO588" s="73"/>
      <c r="FP588" s="73"/>
      <c r="FQ588" s="73"/>
      <c r="FR588" s="73"/>
      <c r="FS588" s="73"/>
      <c r="FT588" s="73"/>
      <c r="FU588" s="73"/>
      <c r="FV588" s="73"/>
      <c r="FW588" s="73"/>
      <c r="FX588" s="73"/>
      <c r="GO588" s="73"/>
      <c r="GP588" s="73"/>
      <c r="HE588" s="73"/>
      <c r="HU588" s="73"/>
      <c r="HV588" s="182"/>
    </row>
    <row r="589" spans="1:230" x14ac:dyDescent="0.25">
      <c r="A589" s="30"/>
      <c r="B589" s="30"/>
      <c r="C589" s="30"/>
      <c r="D589" s="30"/>
      <c r="G589" s="30"/>
      <c r="H589" s="30"/>
      <c r="I589" s="30"/>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3"/>
      <c r="CM589" s="73"/>
      <c r="CN589" s="73"/>
      <c r="CO589" s="73"/>
      <c r="CP589" s="73"/>
      <c r="CQ589" s="73"/>
      <c r="CR589" s="73"/>
      <c r="CS589" s="73"/>
      <c r="CT589" s="73"/>
      <c r="CU589" s="73"/>
      <c r="CV589" s="73"/>
      <c r="CW589" s="73"/>
      <c r="CX589" s="73"/>
      <c r="CY589" s="73"/>
      <c r="CZ589" s="73"/>
      <c r="DA589" s="73"/>
      <c r="DB589" s="73"/>
      <c r="DC589" s="73"/>
      <c r="DD589" s="73"/>
      <c r="DE589" s="73"/>
      <c r="DF589" s="73"/>
      <c r="DG589" s="73"/>
      <c r="DH589" s="73"/>
      <c r="DI589" s="73"/>
      <c r="DJ589" s="73"/>
      <c r="DK589" s="73"/>
      <c r="DL589" s="73"/>
      <c r="DM589" s="73"/>
      <c r="DN589" s="73"/>
      <c r="DO589" s="73"/>
      <c r="DP589" s="73"/>
      <c r="DQ589" s="73"/>
      <c r="DR589" s="73"/>
      <c r="DS589" s="73"/>
      <c r="DT589" s="73"/>
      <c r="DU589" s="73"/>
      <c r="DV589" s="73"/>
      <c r="DW589" s="73"/>
      <c r="DX589" s="73"/>
      <c r="DY589" s="73"/>
      <c r="DZ589" s="73"/>
      <c r="EA589" s="73"/>
      <c r="EB589" s="73"/>
      <c r="EC589" s="73"/>
      <c r="ED589" s="73"/>
      <c r="EE589" s="73"/>
      <c r="EF589" s="73"/>
      <c r="FJ589" s="73"/>
      <c r="FK589" s="73"/>
      <c r="FL589" s="73"/>
      <c r="FM589" s="73"/>
      <c r="FN589" s="73"/>
      <c r="FO589" s="73"/>
      <c r="FP589" s="73"/>
      <c r="FQ589" s="73"/>
      <c r="FR589" s="73"/>
      <c r="FS589" s="73"/>
      <c r="FT589" s="73"/>
      <c r="FU589" s="73"/>
      <c r="FV589" s="73"/>
      <c r="FW589" s="73"/>
      <c r="FX589" s="73"/>
      <c r="GO589" s="73"/>
      <c r="GP589" s="73"/>
      <c r="HE589" s="73"/>
      <c r="HU589" s="73"/>
      <c r="HV589" s="182"/>
    </row>
    <row r="590" spans="1:230" x14ac:dyDescent="0.25">
      <c r="A590" s="30"/>
      <c r="B590" s="30"/>
      <c r="C590" s="30"/>
      <c r="D590" s="30"/>
      <c r="G590" s="30"/>
      <c r="H590" s="30"/>
      <c r="I590" s="30"/>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c r="CE590" s="73"/>
      <c r="CF590" s="73"/>
      <c r="CG590" s="73"/>
      <c r="CH590" s="73"/>
      <c r="CI590" s="73"/>
      <c r="CJ590" s="73"/>
      <c r="CK590" s="73"/>
      <c r="CL590" s="73"/>
      <c r="CM590" s="73"/>
      <c r="CN590" s="73"/>
      <c r="CO590" s="73"/>
      <c r="CP590" s="73"/>
      <c r="CQ590" s="73"/>
      <c r="CR590" s="73"/>
      <c r="CS590" s="73"/>
      <c r="CT590" s="73"/>
      <c r="CU590" s="73"/>
      <c r="CV590" s="73"/>
      <c r="CW590" s="73"/>
      <c r="CX590" s="73"/>
      <c r="CY590" s="73"/>
      <c r="CZ590" s="73"/>
      <c r="DA590" s="73"/>
      <c r="DB590" s="73"/>
      <c r="DC590" s="73"/>
      <c r="DD590" s="73"/>
      <c r="DE590" s="73"/>
      <c r="DF590" s="73"/>
      <c r="DG590" s="73"/>
      <c r="DH590" s="73"/>
      <c r="DI590" s="73"/>
      <c r="DJ590" s="73"/>
      <c r="DK590" s="73"/>
      <c r="DL590" s="73"/>
      <c r="DM590" s="73"/>
      <c r="DN590" s="73"/>
      <c r="DO590" s="73"/>
      <c r="DP590" s="73"/>
      <c r="DQ590" s="73"/>
      <c r="DR590" s="73"/>
      <c r="DS590" s="73"/>
      <c r="DT590" s="73"/>
      <c r="DU590" s="73"/>
      <c r="DV590" s="73"/>
      <c r="DW590" s="73"/>
      <c r="DX590" s="73"/>
      <c r="DY590" s="73"/>
      <c r="DZ590" s="73"/>
      <c r="EA590" s="73"/>
      <c r="EB590" s="73"/>
      <c r="EC590" s="73"/>
      <c r="ED590" s="73"/>
      <c r="EE590" s="73"/>
      <c r="EF590" s="73"/>
      <c r="FJ590" s="73"/>
      <c r="FK590" s="73"/>
      <c r="FL590" s="73"/>
      <c r="FM590" s="73"/>
      <c r="FN590" s="73"/>
      <c r="FO590" s="73"/>
      <c r="FP590" s="73"/>
      <c r="FQ590" s="73"/>
      <c r="FR590" s="73"/>
      <c r="FS590" s="73"/>
      <c r="FT590" s="73"/>
      <c r="FU590" s="73"/>
      <c r="FV590" s="73"/>
      <c r="FW590" s="73"/>
      <c r="FX590" s="73"/>
      <c r="GO590" s="73"/>
      <c r="GP590" s="73"/>
      <c r="HE590" s="73"/>
      <c r="HU590" s="73"/>
      <c r="HV590" s="182"/>
    </row>
    <row r="591" spans="1:230" x14ac:dyDescent="0.25">
      <c r="A591" s="30"/>
      <c r="B591" s="30"/>
      <c r="C591" s="30"/>
      <c r="D591" s="30"/>
      <c r="G591" s="30"/>
      <c r="H591" s="30"/>
      <c r="I591" s="30"/>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3"/>
      <c r="CK591" s="73"/>
      <c r="CL591" s="73"/>
      <c r="CM591" s="73"/>
      <c r="CN591" s="73"/>
      <c r="CO591" s="73"/>
      <c r="CP591" s="73"/>
      <c r="CQ591" s="73"/>
      <c r="CR591" s="73"/>
      <c r="CS591" s="73"/>
      <c r="CT591" s="73"/>
      <c r="CU591" s="73"/>
      <c r="CV591" s="73"/>
      <c r="CW591" s="73"/>
      <c r="CX591" s="73"/>
      <c r="CY591" s="73"/>
      <c r="CZ591" s="73"/>
      <c r="DA591" s="73"/>
      <c r="DB591" s="73"/>
      <c r="DC591" s="73"/>
      <c r="DD591" s="73"/>
      <c r="DE591" s="73"/>
      <c r="DF591" s="73"/>
      <c r="DG591" s="73"/>
      <c r="DH591" s="73"/>
      <c r="DI591" s="73"/>
      <c r="DJ591" s="73"/>
      <c r="DK591" s="73"/>
      <c r="DL591" s="73"/>
      <c r="DM591" s="73"/>
      <c r="DN591" s="73"/>
      <c r="DO591" s="73"/>
      <c r="DP591" s="73"/>
      <c r="DQ591" s="73"/>
      <c r="DR591" s="73"/>
      <c r="DS591" s="73"/>
      <c r="DT591" s="73"/>
      <c r="DU591" s="73"/>
      <c r="DV591" s="73"/>
      <c r="DW591" s="73"/>
      <c r="DX591" s="73"/>
      <c r="DY591" s="73"/>
      <c r="DZ591" s="73"/>
      <c r="EA591" s="73"/>
      <c r="EB591" s="73"/>
      <c r="EC591" s="73"/>
      <c r="ED591" s="73"/>
      <c r="EE591" s="73"/>
      <c r="EF591" s="73"/>
      <c r="FJ591" s="73"/>
      <c r="FK591" s="73"/>
      <c r="FL591" s="73"/>
      <c r="FM591" s="73"/>
      <c r="FN591" s="73"/>
      <c r="FO591" s="73"/>
      <c r="FP591" s="73"/>
      <c r="FQ591" s="73"/>
      <c r="FR591" s="73"/>
      <c r="FS591" s="73"/>
      <c r="FT591" s="73"/>
      <c r="FU591" s="73"/>
      <c r="FV591" s="73"/>
      <c r="FW591" s="73"/>
      <c r="FX591" s="73"/>
      <c r="GO591" s="73"/>
      <c r="GP591" s="73"/>
      <c r="HE591" s="73"/>
      <c r="HU591" s="73"/>
      <c r="HV591" s="182"/>
    </row>
    <row r="592" spans="1:230" x14ac:dyDescent="0.25">
      <c r="A592" s="30"/>
      <c r="B592" s="30"/>
      <c r="C592" s="30"/>
      <c r="D592" s="30"/>
      <c r="G592" s="30"/>
      <c r="H592" s="30"/>
      <c r="I592" s="30"/>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c r="CC592" s="73"/>
      <c r="CD592" s="73"/>
      <c r="CE592" s="73"/>
      <c r="CF592" s="73"/>
      <c r="CG592" s="73"/>
      <c r="CH592" s="73"/>
      <c r="CI592" s="73"/>
      <c r="CJ592" s="73"/>
      <c r="CK592" s="73"/>
      <c r="CL592" s="73"/>
      <c r="CM592" s="73"/>
      <c r="CN592" s="73"/>
      <c r="CO592" s="73"/>
      <c r="CP592" s="73"/>
      <c r="CQ592" s="73"/>
      <c r="CR592" s="73"/>
      <c r="CS592" s="73"/>
      <c r="CT592" s="73"/>
      <c r="CU592" s="73"/>
      <c r="CV592" s="73"/>
      <c r="CW592" s="73"/>
      <c r="CX592" s="73"/>
      <c r="CY592" s="73"/>
      <c r="CZ592" s="73"/>
      <c r="DA592" s="73"/>
      <c r="DB592" s="73"/>
      <c r="DC592" s="73"/>
      <c r="DD592" s="73"/>
      <c r="DE592" s="73"/>
      <c r="DF592" s="73"/>
      <c r="DG592" s="73"/>
      <c r="DH592" s="73"/>
      <c r="DI592" s="73"/>
      <c r="DJ592" s="73"/>
      <c r="DK592" s="73"/>
      <c r="DL592" s="73"/>
      <c r="DM592" s="73"/>
      <c r="DN592" s="73"/>
      <c r="DO592" s="73"/>
      <c r="DP592" s="73"/>
      <c r="DQ592" s="73"/>
      <c r="DR592" s="73"/>
      <c r="DS592" s="73"/>
      <c r="DT592" s="73"/>
      <c r="DU592" s="73"/>
      <c r="DV592" s="73"/>
      <c r="DW592" s="73"/>
      <c r="DX592" s="73"/>
      <c r="DY592" s="73"/>
      <c r="DZ592" s="73"/>
      <c r="EA592" s="73"/>
      <c r="EB592" s="73"/>
      <c r="EC592" s="73"/>
      <c r="ED592" s="73"/>
      <c r="EE592" s="73"/>
      <c r="EF592" s="73"/>
      <c r="FJ592" s="73"/>
      <c r="FK592" s="73"/>
      <c r="FL592" s="73"/>
      <c r="FM592" s="73"/>
      <c r="FN592" s="73"/>
      <c r="FO592" s="73"/>
      <c r="FP592" s="73"/>
      <c r="FQ592" s="73"/>
      <c r="FR592" s="73"/>
      <c r="FS592" s="73"/>
      <c r="FT592" s="73"/>
      <c r="FU592" s="73"/>
      <c r="FV592" s="73"/>
      <c r="FW592" s="73"/>
      <c r="FX592" s="73"/>
      <c r="GO592" s="73"/>
      <c r="GP592" s="73"/>
      <c r="HE592" s="73"/>
      <c r="HU592" s="73"/>
      <c r="HV592" s="182"/>
    </row>
    <row r="593" spans="1:230" x14ac:dyDescent="0.25">
      <c r="A593" s="30"/>
      <c r="B593" s="30"/>
      <c r="C593" s="30"/>
      <c r="D593" s="30"/>
      <c r="G593" s="30"/>
      <c r="H593" s="30"/>
      <c r="I593" s="30"/>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c r="CC593" s="73"/>
      <c r="CD593" s="73"/>
      <c r="CE593" s="73"/>
      <c r="CF593" s="73"/>
      <c r="CG593" s="73"/>
      <c r="CH593" s="73"/>
      <c r="CI593" s="73"/>
      <c r="CJ593" s="73"/>
      <c r="CK593" s="73"/>
      <c r="CL593" s="73"/>
      <c r="CM593" s="73"/>
      <c r="CN593" s="73"/>
      <c r="CO593" s="73"/>
      <c r="CP593" s="73"/>
      <c r="CQ593" s="73"/>
      <c r="CR593" s="73"/>
      <c r="CS593" s="73"/>
      <c r="CT593" s="73"/>
      <c r="CU593" s="73"/>
      <c r="CV593" s="73"/>
      <c r="CW593" s="73"/>
      <c r="CX593" s="73"/>
      <c r="CY593" s="73"/>
      <c r="CZ593" s="73"/>
      <c r="DA593" s="73"/>
      <c r="DB593" s="73"/>
      <c r="DC593" s="73"/>
      <c r="DD593" s="73"/>
      <c r="DE593" s="73"/>
      <c r="DF593" s="73"/>
      <c r="DG593" s="73"/>
      <c r="DH593" s="73"/>
      <c r="DI593" s="73"/>
      <c r="DJ593" s="73"/>
      <c r="DK593" s="73"/>
      <c r="DL593" s="73"/>
      <c r="DM593" s="73"/>
      <c r="DN593" s="73"/>
      <c r="DO593" s="73"/>
      <c r="DP593" s="73"/>
      <c r="DQ593" s="73"/>
      <c r="DR593" s="73"/>
      <c r="DS593" s="73"/>
      <c r="DT593" s="73"/>
      <c r="DU593" s="73"/>
      <c r="DV593" s="73"/>
      <c r="DW593" s="73"/>
      <c r="DX593" s="73"/>
      <c r="DY593" s="73"/>
      <c r="DZ593" s="73"/>
      <c r="EA593" s="73"/>
      <c r="EB593" s="73"/>
      <c r="EC593" s="73"/>
      <c r="ED593" s="73"/>
      <c r="EE593" s="73"/>
      <c r="EF593" s="73"/>
      <c r="FJ593" s="73"/>
      <c r="FK593" s="73"/>
      <c r="FL593" s="73"/>
      <c r="FM593" s="73"/>
      <c r="FN593" s="73"/>
      <c r="FO593" s="73"/>
      <c r="FP593" s="73"/>
      <c r="FQ593" s="73"/>
      <c r="FR593" s="73"/>
      <c r="FS593" s="73"/>
      <c r="FT593" s="73"/>
      <c r="FU593" s="73"/>
      <c r="FV593" s="73"/>
      <c r="FW593" s="73"/>
      <c r="FX593" s="73"/>
      <c r="GO593" s="73"/>
      <c r="GP593" s="73"/>
      <c r="HE593" s="73"/>
      <c r="HU593" s="73"/>
      <c r="HV593" s="182"/>
    </row>
    <row r="594" spans="1:230" x14ac:dyDescent="0.25">
      <c r="A594" s="30"/>
      <c r="B594" s="30"/>
      <c r="C594" s="30"/>
      <c r="D594" s="30"/>
      <c r="G594" s="30"/>
      <c r="H594" s="30"/>
      <c r="I594" s="30"/>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c r="CC594" s="73"/>
      <c r="CD594" s="73"/>
      <c r="CE594" s="73"/>
      <c r="CF594" s="73"/>
      <c r="CG594" s="73"/>
      <c r="CH594" s="73"/>
      <c r="CI594" s="73"/>
      <c r="CJ594" s="73"/>
      <c r="CK594" s="73"/>
      <c r="CL594" s="73"/>
      <c r="CM594" s="73"/>
      <c r="CN594" s="73"/>
      <c r="CO594" s="73"/>
      <c r="CP594" s="73"/>
      <c r="CQ594" s="73"/>
      <c r="CR594" s="73"/>
      <c r="CS594" s="73"/>
      <c r="CT594" s="73"/>
      <c r="CU594" s="73"/>
      <c r="CV594" s="73"/>
      <c r="CW594" s="73"/>
      <c r="CX594" s="73"/>
      <c r="CY594" s="73"/>
      <c r="CZ594" s="73"/>
      <c r="DA594" s="73"/>
      <c r="DB594" s="73"/>
      <c r="DC594" s="73"/>
      <c r="DD594" s="73"/>
      <c r="DE594" s="73"/>
      <c r="DF594" s="73"/>
      <c r="DG594" s="73"/>
      <c r="DH594" s="73"/>
      <c r="DI594" s="73"/>
      <c r="DJ594" s="73"/>
      <c r="DK594" s="73"/>
      <c r="DL594" s="73"/>
      <c r="DM594" s="73"/>
      <c r="DN594" s="73"/>
      <c r="DO594" s="73"/>
      <c r="DP594" s="73"/>
      <c r="DQ594" s="73"/>
      <c r="DR594" s="73"/>
      <c r="DS594" s="73"/>
      <c r="DT594" s="73"/>
      <c r="DU594" s="73"/>
      <c r="DV594" s="73"/>
      <c r="DW594" s="73"/>
      <c r="DX594" s="73"/>
      <c r="DY594" s="73"/>
      <c r="DZ594" s="73"/>
      <c r="EA594" s="73"/>
      <c r="EB594" s="73"/>
      <c r="EC594" s="73"/>
      <c r="ED594" s="73"/>
      <c r="EE594" s="73"/>
      <c r="EF594" s="73"/>
      <c r="FJ594" s="73"/>
      <c r="FK594" s="73"/>
      <c r="FL594" s="73"/>
      <c r="FM594" s="73"/>
      <c r="FN594" s="73"/>
      <c r="FO594" s="73"/>
      <c r="FP594" s="73"/>
      <c r="FQ594" s="73"/>
      <c r="FR594" s="73"/>
      <c r="FS594" s="73"/>
      <c r="FT594" s="73"/>
      <c r="FU594" s="73"/>
      <c r="FV594" s="73"/>
      <c r="FW594" s="73"/>
      <c r="FX594" s="73"/>
      <c r="GO594" s="73"/>
      <c r="GP594" s="73"/>
      <c r="HE594" s="73"/>
      <c r="HU594" s="73"/>
      <c r="HV594" s="182"/>
    </row>
    <row r="595" spans="1:230" x14ac:dyDescent="0.25">
      <c r="A595" s="30"/>
      <c r="B595" s="30"/>
      <c r="C595" s="30"/>
      <c r="D595" s="30"/>
      <c r="G595" s="30"/>
      <c r="H595" s="30"/>
      <c r="I595" s="30"/>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c r="CC595" s="73"/>
      <c r="CD595" s="73"/>
      <c r="CE595" s="73"/>
      <c r="CF595" s="73"/>
      <c r="CG595" s="73"/>
      <c r="CH595" s="73"/>
      <c r="CI595" s="73"/>
      <c r="CJ595" s="73"/>
      <c r="CK595" s="73"/>
      <c r="CL595" s="73"/>
      <c r="CM595" s="73"/>
      <c r="CN595" s="73"/>
      <c r="CO595" s="73"/>
      <c r="CP595" s="73"/>
      <c r="CQ595" s="73"/>
      <c r="CR595" s="73"/>
      <c r="CS595" s="73"/>
      <c r="CT595" s="73"/>
      <c r="CU595" s="73"/>
      <c r="CV595" s="73"/>
      <c r="CW595" s="73"/>
      <c r="CX595" s="73"/>
      <c r="CY595" s="73"/>
      <c r="CZ595" s="73"/>
      <c r="DA595" s="73"/>
      <c r="DB595" s="73"/>
      <c r="DC595" s="73"/>
      <c r="DD595" s="73"/>
      <c r="DE595" s="73"/>
      <c r="DF595" s="73"/>
      <c r="DG595" s="73"/>
      <c r="DH595" s="73"/>
      <c r="DI595" s="73"/>
      <c r="DJ595" s="73"/>
      <c r="DK595" s="73"/>
      <c r="DL595" s="73"/>
      <c r="DM595" s="73"/>
      <c r="DN595" s="73"/>
      <c r="DO595" s="73"/>
      <c r="DP595" s="73"/>
      <c r="DQ595" s="73"/>
      <c r="DR595" s="73"/>
      <c r="DS595" s="73"/>
      <c r="DT595" s="73"/>
      <c r="DU595" s="73"/>
      <c r="DV595" s="73"/>
      <c r="DW595" s="73"/>
      <c r="DX595" s="73"/>
      <c r="DY595" s="73"/>
      <c r="DZ595" s="73"/>
      <c r="EA595" s="73"/>
      <c r="EB595" s="73"/>
      <c r="EC595" s="73"/>
      <c r="ED595" s="73"/>
      <c r="EE595" s="73"/>
      <c r="EF595" s="73"/>
      <c r="FJ595" s="73"/>
      <c r="FK595" s="73"/>
      <c r="FL595" s="73"/>
      <c r="FM595" s="73"/>
      <c r="FN595" s="73"/>
      <c r="FO595" s="73"/>
      <c r="FP595" s="73"/>
      <c r="FQ595" s="73"/>
      <c r="FR595" s="73"/>
      <c r="FS595" s="73"/>
      <c r="FT595" s="73"/>
      <c r="FU595" s="73"/>
      <c r="FV595" s="73"/>
      <c r="FW595" s="73"/>
      <c r="FX595" s="73"/>
      <c r="GO595" s="73"/>
      <c r="GP595" s="73"/>
      <c r="HE595" s="73"/>
      <c r="HU595" s="73"/>
      <c r="HV595" s="182"/>
    </row>
    <row r="596" spans="1:230" x14ac:dyDescent="0.25">
      <c r="A596" s="30"/>
      <c r="B596" s="30"/>
      <c r="C596" s="30"/>
      <c r="D596" s="30"/>
      <c r="G596" s="30"/>
      <c r="H596" s="30"/>
      <c r="I596" s="30"/>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c r="CC596" s="73"/>
      <c r="CD596" s="73"/>
      <c r="CE596" s="73"/>
      <c r="CF596" s="73"/>
      <c r="CG596" s="73"/>
      <c r="CH596" s="73"/>
      <c r="CI596" s="73"/>
      <c r="CJ596" s="73"/>
      <c r="CK596" s="73"/>
      <c r="CL596" s="73"/>
      <c r="CM596" s="73"/>
      <c r="CN596" s="73"/>
      <c r="CO596" s="73"/>
      <c r="CP596" s="73"/>
      <c r="CQ596" s="73"/>
      <c r="CR596" s="73"/>
      <c r="CS596" s="73"/>
      <c r="CT596" s="73"/>
      <c r="CU596" s="73"/>
      <c r="CV596" s="73"/>
      <c r="CW596" s="73"/>
      <c r="CX596" s="73"/>
      <c r="CY596" s="73"/>
      <c r="CZ596" s="73"/>
      <c r="DA596" s="73"/>
      <c r="DB596" s="73"/>
      <c r="DC596" s="73"/>
      <c r="DD596" s="73"/>
      <c r="DE596" s="73"/>
      <c r="DF596" s="73"/>
      <c r="DG596" s="73"/>
      <c r="DH596" s="73"/>
      <c r="DI596" s="73"/>
      <c r="DJ596" s="73"/>
      <c r="DK596" s="73"/>
      <c r="DL596" s="73"/>
      <c r="DM596" s="73"/>
      <c r="DN596" s="73"/>
      <c r="DO596" s="73"/>
      <c r="DP596" s="73"/>
      <c r="DQ596" s="73"/>
      <c r="DR596" s="73"/>
      <c r="DS596" s="73"/>
      <c r="DT596" s="73"/>
      <c r="DU596" s="73"/>
      <c r="DV596" s="73"/>
      <c r="DW596" s="73"/>
      <c r="DX596" s="73"/>
      <c r="DY596" s="73"/>
      <c r="DZ596" s="73"/>
      <c r="EA596" s="73"/>
      <c r="EB596" s="73"/>
      <c r="EC596" s="73"/>
      <c r="ED596" s="73"/>
      <c r="EE596" s="73"/>
      <c r="EF596" s="73"/>
      <c r="FJ596" s="73"/>
      <c r="FK596" s="73"/>
      <c r="FL596" s="73"/>
      <c r="FM596" s="73"/>
      <c r="FN596" s="73"/>
      <c r="FO596" s="73"/>
      <c r="FP596" s="73"/>
      <c r="FQ596" s="73"/>
      <c r="FR596" s="73"/>
      <c r="FS596" s="73"/>
      <c r="FT596" s="73"/>
      <c r="FU596" s="73"/>
      <c r="FV596" s="73"/>
      <c r="FW596" s="73"/>
      <c r="FX596" s="73"/>
      <c r="GO596" s="73"/>
      <c r="GP596" s="73"/>
      <c r="HE596" s="73"/>
      <c r="HU596" s="73"/>
      <c r="HV596" s="182"/>
    </row>
    <row r="597" spans="1:230" x14ac:dyDescent="0.25">
      <c r="A597" s="30"/>
      <c r="B597" s="30"/>
      <c r="C597" s="30"/>
      <c r="D597" s="30"/>
      <c r="G597" s="30"/>
      <c r="H597" s="30"/>
      <c r="I597" s="30"/>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c r="CC597" s="73"/>
      <c r="CD597" s="73"/>
      <c r="CE597" s="73"/>
      <c r="CF597" s="73"/>
      <c r="CG597" s="73"/>
      <c r="CH597" s="73"/>
      <c r="CI597" s="73"/>
      <c r="CJ597" s="73"/>
      <c r="CK597" s="73"/>
      <c r="CL597" s="73"/>
      <c r="CM597" s="73"/>
      <c r="CN597" s="73"/>
      <c r="CO597" s="73"/>
      <c r="CP597" s="73"/>
      <c r="CQ597" s="73"/>
      <c r="CR597" s="73"/>
      <c r="CS597" s="73"/>
      <c r="CT597" s="73"/>
      <c r="CU597" s="73"/>
      <c r="CV597" s="73"/>
      <c r="CW597" s="73"/>
      <c r="CX597" s="73"/>
      <c r="CY597" s="73"/>
      <c r="CZ597" s="73"/>
      <c r="DA597" s="73"/>
      <c r="DB597" s="73"/>
      <c r="DC597" s="73"/>
      <c r="DD597" s="73"/>
      <c r="DE597" s="73"/>
      <c r="DF597" s="73"/>
      <c r="DG597" s="73"/>
      <c r="DH597" s="73"/>
      <c r="DI597" s="73"/>
      <c r="DJ597" s="73"/>
      <c r="DK597" s="73"/>
      <c r="DL597" s="73"/>
      <c r="DM597" s="73"/>
      <c r="DN597" s="73"/>
      <c r="DO597" s="73"/>
      <c r="DP597" s="73"/>
      <c r="DQ597" s="73"/>
      <c r="DR597" s="73"/>
      <c r="DS597" s="73"/>
      <c r="DT597" s="73"/>
      <c r="DU597" s="73"/>
      <c r="DV597" s="73"/>
      <c r="DW597" s="73"/>
      <c r="DX597" s="73"/>
      <c r="DY597" s="73"/>
      <c r="DZ597" s="73"/>
      <c r="EA597" s="73"/>
      <c r="EB597" s="73"/>
      <c r="EC597" s="73"/>
      <c r="ED597" s="73"/>
      <c r="EE597" s="73"/>
      <c r="EF597" s="73"/>
      <c r="FJ597" s="73"/>
      <c r="FK597" s="73"/>
      <c r="FL597" s="73"/>
      <c r="FM597" s="73"/>
      <c r="FN597" s="73"/>
      <c r="FO597" s="73"/>
      <c r="FP597" s="73"/>
      <c r="FQ597" s="73"/>
      <c r="FR597" s="73"/>
      <c r="FS597" s="73"/>
      <c r="FT597" s="73"/>
      <c r="FU597" s="73"/>
      <c r="FV597" s="73"/>
      <c r="FW597" s="73"/>
      <c r="FX597" s="73"/>
      <c r="GO597" s="73"/>
      <c r="GP597" s="73"/>
      <c r="HE597" s="73"/>
      <c r="HU597" s="73"/>
      <c r="HV597" s="182"/>
    </row>
    <row r="598" spans="1:230" x14ac:dyDescent="0.25">
      <c r="A598" s="30"/>
      <c r="B598" s="30"/>
      <c r="C598" s="30"/>
      <c r="D598" s="30"/>
      <c r="G598" s="30"/>
      <c r="H598" s="30"/>
      <c r="I598" s="30"/>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c r="CC598" s="73"/>
      <c r="CD598" s="73"/>
      <c r="CE598" s="73"/>
      <c r="CF598" s="73"/>
      <c r="CG598" s="73"/>
      <c r="CH598" s="73"/>
      <c r="CI598" s="73"/>
      <c r="CJ598" s="73"/>
      <c r="CK598" s="73"/>
      <c r="CL598" s="73"/>
      <c r="CM598" s="73"/>
      <c r="CN598" s="73"/>
      <c r="CO598" s="73"/>
      <c r="CP598" s="73"/>
      <c r="CQ598" s="73"/>
      <c r="CR598" s="73"/>
      <c r="CS598" s="73"/>
      <c r="CT598" s="73"/>
      <c r="CU598" s="73"/>
      <c r="CV598" s="73"/>
      <c r="CW598" s="73"/>
      <c r="CX598" s="73"/>
      <c r="CY598" s="73"/>
      <c r="CZ598" s="73"/>
      <c r="DA598" s="73"/>
      <c r="DB598" s="73"/>
      <c r="DC598" s="73"/>
      <c r="DD598" s="73"/>
      <c r="DE598" s="73"/>
      <c r="DF598" s="73"/>
      <c r="DG598" s="73"/>
      <c r="DH598" s="73"/>
      <c r="DI598" s="73"/>
      <c r="DJ598" s="73"/>
      <c r="DK598" s="73"/>
      <c r="DL598" s="73"/>
      <c r="DM598" s="73"/>
      <c r="DN598" s="73"/>
      <c r="DO598" s="73"/>
      <c r="DP598" s="73"/>
      <c r="DQ598" s="73"/>
      <c r="DR598" s="73"/>
      <c r="DS598" s="73"/>
      <c r="DT598" s="73"/>
      <c r="DU598" s="73"/>
      <c r="DV598" s="73"/>
      <c r="DW598" s="73"/>
      <c r="DX598" s="73"/>
      <c r="DY598" s="73"/>
      <c r="DZ598" s="73"/>
      <c r="EA598" s="73"/>
      <c r="EB598" s="73"/>
      <c r="EC598" s="73"/>
      <c r="ED598" s="73"/>
      <c r="EE598" s="73"/>
      <c r="EF598" s="73"/>
      <c r="FJ598" s="73"/>
      <c r="FK598" s="73"/>
      <c r="FL598" s="73"/>
      <c r="FM598" s="73"/>
      <c r="FN598" s="73"/>
      <c r="FO598" s="73"/>
      <c r="FP598" s="73"/>
      <c r="FQ598" s="73"/>
      <c r="FR598" s="73"/>
      <c r="FS598" s="73"/>
      <c r="FT598" s="73"/>
      <c r="FU598" s="73"/>
      <c r="FV598" s="73"/>
      <c r="FW598" s="73"/>
      <c r="FX598" s="73"/>
      <c r="GO598" s="73"/>
      <c r="GP598" s="73"/>
      <c r="HE598" s="73"/>
      <c r="HU598" s="73"/>
      <c r="HV598" s="182"/>
    </row>
    <row r="599" spans="1:230" x14ac:dyDescent="0.25">
      <c r="A599" s="30"/>
      <c r="B599" s="30"/>
      <c r="C599" s="30"/>
      <c r="D599" s="30"/>
      <c r="G599" s="30"/>
      <c r="H599" s="30"/>
      <c r="I599" s="30"/>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3"/>
      <c r="CK599" s="73"/>
      <c r="CL599" s="73"/>
      <c r="CM599" s="73"/>
      <c r="CN599" s="73"/>
      <c r="CO599" s="73"/>
      <c r="CP599" s="73"/>
      <c r="CQ599" s="73"/>
      <c r="CR599" s="73"/>
      <c r="CS599" s="73"/>
      <c r="CT599" s="73"/>
      <c r="CU599" s="73"/>
      <c r="CV599" s="73"/>
      <c r="CW599" s="73"/>
      <c r="CX599" s="73"/>
      <c r="CY599" s="73"/>
      <c r="CZ599" s="73"/>
      <c r="DA599" s="73"/>
      <c r="DB599" s="73"/>
      <c r="DC599" s="73"/>
      <c r="DD599" s="73"/>
      <c r="DE599" s="73"/>
      <c r="DF599" s="73"/>
      <c r="DG599" s="73"/>
      <c r="DH599" s="73"/>
      <c r="DI599" s="73"/>
      <c r="DJ599" s="73"/>
      <c r="DK599" s="73"/>
      <c r="DL599" s="73"/>
      <c r="DM599" s="73"/>
      <c r="DN599" s="73"/>
      <c r="DO599" s="73"/>
      <c r="DP599" s="73"/>
      <c r="DQ599" s="73"/>
      <c r="DR599" s="73"/>
      <c r="DS599" s="73"/>
      <c r="DT599" s="73"/>
      <c r="DU599" s="73"/>
      <c r="DV599" s="73"/>
      <c r="DW599" s="73"/>
      <c r="DX599" s="73"/>
      <c r="DY599" s="73"/>
      <c r="DZ599" s="73"/>
      <c r="EA599" s="73"/>
      <c r="EB599" s="73"/>
      <c r="EC599" s="73"/>
      <c r="ED599" s="73"/>
      <c r="EE599" s="73"/>
      <c r="EF599" s="73"/>
      <c r="FJ599" s="73"/>
      <c r="FK599" s="73"/>
      <c r="FL599" s="73"/>
      <c r="FM599" s="73"/>
      <c r="FN599" s="73"/>
      <c r="FO599" s="73"/>
      <c r="FP599" s="73"/>
      <c r="FQ599" s="73"/>
      <c r="FR599" s="73"/>
      <c r="FS599" s="73"/>
      <c r="FT599" s="73"/>
      <c r="FU599" s="73"/>
      <c r="FV599" s="73"/>
      <c r="FW599" s="73"/>
      <c r="FX599" s="73"/>
      <c r="GO599" s="73"/>
      <c r="GP599" s="73"/>
      <c r="HE599" s="73"/>
      <c r="HU599" s="73"/>
      <c r="HV599" s="182"/>
    </row>
    <row r="600" spans="1:230" x14ac:dyDescent="0.25">
      <c r="A600" s="30"/>
      <c r="B600" s="30"/>
      <c r="C600" s="30"/>
      <c r="D600" s="30"/>
      <c r="G600" s="30"/>
      <c r="H600" s="30"/>
      <c r="I600" s="30"/>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c r="CC600" s="73"/>
      <c r="CD600" s="73"/>
      <c r="CE600" s="73"/>
      <c r="CF600" s="73"/>
      <c r="CG600" s="73"/>
      <c r="CH600" s="73"/>
      <c r="CI600" s="73"/>
      <c r="CJ600" s="73"/>
      <c r="CK600" s="73"/>
      <c r="CL600" s="73"/>
      <c r="CM600" s="73"/>
      <c r="CN600" s="73"/>
      <c r="CO600" s="73"/>
      <c r="CP600" s="73"/>
      <c r="CQ600" s="73"/>
      <c r="CR600" s="73"/>
      <c r="CS600" s="73"/>
      <c r="CT600" s="73"/>
      <c r="CU600" s="73"/>
      <c r="CV600" s="73"/>
      <c r="CW600" s="73"/>
      <c r="CX600" s="73"/>
      <c r="CY600" s="73"/>
      <c r="CZ600" s="73"/>
      <c r="DA600" s="73"/>
      <c r="DB600" s="73"/>
      <c r="DC600" s="73"/>
      <c r="DD600" s="73"/>
      <c r="DE600" s="73"/>
      <c r="DF600" s="73"/>
      <c r="DG600" s="73"/>
      <c r="DH600" s="73"/>
      <c r="DI600" s="73"/>
      <c r="DJ600" s="73"/>
      <c r="DK600" s="73"/>
      <c r="DL600" s="73"/>
      <c r="DM600" s="73"/>
      <c r="DN600" s="73"/>
      <c r="DO600" s="73"/>
      <c r="DP600" s="73"/>
      <c r="DQ600" s="73"/>
      <c r="DR600" s="73"/>
      <c r="DS600" s="73"/>
      <c r="DT600" s="73"/>
      <c r="DU600" s="73"/>
      <c r="DV600" s="73"/>
      <c r="DW600" s="73"/>
      <c r="DX600" s="73"/>
      <c r="DY600" s="73"/>
      <c r="DZ600" s="73"/>
      <c r="EA600" s="73"/>
      <c r="EB600" s="73"/>
      <c r="EC600" s="73"/>
      <c r="ED600" s="73"/>
      <c r="EE600" s="73"/>
      <c r="EF600" s="73"/>
      <c r="FJ600" s="73"/>
      <c r="FK600" s="73"/>
      <c r="FL600" s="73"/>
      <c r="FM600" s="73"/>
      <c r="FN600" s="73"/>
      <c r="FO600" s="73"/>
      <c r="FP600" s="73"/>
      <c r="FQ600" s="73"/>
      <c r="FR600" s="73"/>
      <c r="FS600" s="73"/>
      <c r="FT600" s="73"/>
      <c r="FU600" s="73"/>
      <c r="FV600" s="73"/>
      <c r="FW600" s="73"/>
      <c r="FX600" s="73"/>
      <c r="GO600" s="73"/>
      <c r="GP600" s="73"/>
      <c r="HE600" s="73"/>
      <c r="HU600" s="73"/>
      <c r="HV600" s="182"/>
    </row>
    <row r="601" spans="1:230" x14ac:dyDescent="0.25">
      <c r="A601" s="30"/>
      <c r="B601" s="30"/>
      <c r="C601" s="30"/>
      <c r="D601" s="30"/>
      <c r="G601" s="30"/>
      <c r="H601" s="30"/>
      <c r="I601" s="30"/>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c r="CC601" s="73"/>
      <c r="CD601" s="73"/>
      <c r="CE601" s="73"/>
      <c r="CF601" s="73"/>
      <c r="CG601" s="73"/>
      <c r="CH601" s="73"/>
      <c r="CI601" s="73"/>
      <c r="CJ601" s="73"/>
      <c r="CK601" s="73"/>
      <c r="CL601" s="73"/>
      <c r="CM601" s="73"/>
      <c r="CN601" s="73"/>
      <c r="CO601" s="73"/>
      <c r="CP601" s="73"/>
      <c r="CQ601" s="73"/>
      <c r="CR601" s="73"/>
      <c r="CS601" s="73"/>
      <c r="CT601" s="73"/>
      <c r="CU601" s="73"/>
      <c r="CV601" s="73"/>
      <c r="CW601" s="73"/>
      <c r="CX601" s="73"/>
      <c r="CY601" s="73"/>
      <c r="CZ601" s="73"/>
      <c r="DA601" s="73"/>
      <c r="DB601" s="73"/>
      <c r="DC601" s="73"/>
      <c r="DD601" s="73"/>
      <c r="DE601" s="73"/>
      <c r="DF601" s="73"/>
      <c r="DG601" s="73"/>
      <c r="DH601" s="73"/>
      <c r="DI601" s="73"/>
      <c r="DJ601" s="73"/>
      <c r="DK601" s="73"/>
      <c r="DL601" s="73"/>
      <c r="DM601" s="73"/>
      <c r="DN601" s="73"/>
      <c r="DO601" s="73"/>
      <c r="DP601" s="73"/>
      <c r="DQ601" s="73"/>
      <c r="DR601" s="73"/>
      <c r="DS601" s="73"/>
      <c r="DT601" s="73"/>
      <c r="DU601" s="73"/>
      <c r="DV601" s="73"/>
      <c r="DW601" s="73"/>
      <c r="DX601" s="73"/>
      <c r="DY601" s="73"/>
      <c r="DZ601" s="73"/>
      <c r="EA601" s="73"/>
      <c r="EB601" s="73"/>
      <c r="EC601" s="73"/>
      <c r="ED601" s="73"/>
      <c r="EE601" s="73"/>
      <c r="EF601" s="73"/>
      <c r="FJ601" s="73"/>
      <c r="FK601" s="73"/>
      <c r="FL601" s="73"/>
      <c r="FM601" s="73"/>
      <c r="FN601" s="73"/>
      <c r="FO601" s="73"/>
      <c r="FP601" s="73"/>
      <c r="FQ601" s="73"/>
      <c r="FR601" s="73"/>
      <c r="FS601" s="73"/>
      <c r="FT601" s="73"/>
      <c r="FU601" s="73"/>
      <c r="FV601" s="73"/>
      <c r="FW601" s="73"/>
      <c r="FX601" s="73"/>
      <c r="GO601" s="73"/>
      <c r="GP601" s="73"/>
      <c r="HE601" s="73"/>
      <c r="HU601" s="73"/>
      <c r="HV601" s="182"/>
    </row>
    <row r="602" spans="1:230" x14ac:dyDescent="0.25">
      <c r="A602" s="30"/>
      <c r="B602" s="30"/>
      <c r="C602" s="30"/>
      <c r="D602" s="30"/>
      <c r="G602" s="30"/>
      <c r="H602" s="30"/>
      <c r="I602" s="30"/>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c r="CC602" s="73"/>
      <c r="CD602" s="73"/>
      <c r="CE602" s="73"/>
      <c r="CF602" s="73"/>
      <c r="CG602" s="73"/>
      <c r="CH602" s="73"/>
      <c r="CI602" s="73"/>
      <c r="CJ602" s="73"/>
      <c r="CK602" s="73"/>
      <c r="CL602" s="73"/>
      <c r="CM602" s="73"/>
      <c r="CN602" s="73"/>
      <c r="CO602" s="73"/>
      <c r="CP602" s="73"/>
      <c r="CQ602" s="73"/>
      <c r="CR602" s="73"/>
      <c r="CS602" s="73"/>
      <c r="CT602" s="73"/>
      <c r="CU602" s="73"/>
      <c r="CV602" s="73"/>
      <c r="CW602" s="73"/>
      <c r="CX602" s="73"/>
      <c r="CY602" s="73"/>
      <c r="CZ602" s="73"/>
      <c r="DA602" s="73"/>
      <c r="DB602" s="73"/>
      <c r="DC602" s="73"/>
      <c r="DD602" s="73"/>
      <c r="DE602" s="73"/>
      <c r="DF602" s="73"/>
      <c r="DG602" s="73"/>
      <c r="DH602" s="73"/>
      <c r="DI602" s="73"/>
      <c r="DJ602" s="73"/>
      <c r="DK602" s="73"/>
      <c r="DL602" s="73"/>
      <c r="DM602" s="73"/>
      <c r="DN602" s="73"/>
      <c r="DO602" s="73"/>
      <c r="DP602" s="73"/>
      <c r="DQ602" s="73"/>
      <c r="DR602" s="73"/>
      <c r="DS602" s="73"/>
      <c r="DT602" s="73"/>
      <c r="DU602" s="73"/>
      <c r="DV602" s="73"/>
      <c r="DW602" s="73"/>
      <c r="DX602" s="73"/>
      <c r="DY602" s="73"/>
      <c r="DZ602" s="73"/>
      <c r="EA602" s="73"/>
      <c r="EB602" s="73"/>
      <c r="EC602" s="73"/>
      <c r="ED602" s="73"/>
      <c r="EE602" s="73"/>
      <c r="EF602" s="73"/>
      <c r="FJ602" s="73"/>
      <c r="FK602" s="73"/>
      <c r="FL602" s="73"/>
      <c r="FM602" s="73"/>
      <c r="FN602" s="73"/>
      <c r="FO602" s="73"/>
      <c r="FP602" s="73"/>
      <c r="FQ602" s="73"/>
      <c r="FR602" s="73"/>
      <c r="FS602" s="73"/>
      <c r="FT602" s="73"/>
      <c r="FU602" s="73"/>
      <c r="FV602" s="73"/>
      <c r="FW602" s="73"/>
      <c r="FX602" s="73"/>
      <c r="GO602" s="73"/>
      <c r="GP602" s="73"/>
      <c r="HE602" s="73"/>
      <c r="HU602" s="73"/>
      <c r="HV602" s="182"/>
    </row>
    <row r="603" spans="1:230" x14ac:dyDescent="0.25">
      <c r="A603" s="30"/>
      <c r="B603" s="30"/>
      <c r="C603" s="30"/>
      <c r="D603" s="30"/>
      <c r="G603" s="30"/>
      <c r="H603" s="30"/>
      <c r="I603" s="30"/>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c r="CC603" s="73"/>
      <c r="CD603" s="73"/>
      <c r="CE603" s="73"/>
      <c r="CF603" s="73"/>
      <c r="CG603" s="73"/>
      <c r="CH603" s="73"/>
      <c r="CI603" s="73"/>
      <c r="CJ603" s="73"/>
      <c r="CK603" s="73"/>
      <c r="CL603" s="73"/>
      <c r="CM603" s="73"/>
      <c r="CN603" s="73"/>
      <c r="CO603" s="73"/>
      <c r="CP603" s="73"/>
      <c r="CQ603" s="73"/>
      <c r="CR603" s="73"/>
      <c r="CS603" s="73"/>
      <c r="CT603" s="73"/>
      <c r="CU603" s="73"/>
      <c r="CV603" s="73"/>
      <c r="CW603" s="73"/>
      <c r="CX603" s="73"/>
      <c r="CY603" s="73"/>
      <c r="CZ603" s="73"/>
      <c r="DA603" s="73"/>
      <c r="DB603" s="73"/>
      <c r="DC603" s="73"/>
      <c r="DD603" s="73"/>
      <c r="DE603" s="73"/>
      <c r="DF603" s="73"/>
      <c r="DG603" s="73"/>
      <c r="DH603" s="73"/>
      <c r="DI603" s="73"/>
      <c r="DJ603" s="73"/>
      <c r="DK603" s="73"/>
      <c r="DL603" s="73"/>
      <c r="DM603" s="73"/>
      <c r="DN603" s="73"/>
      <c r="DO603" s="73"/>
      <c r="DP603" s="73"/>
      <c r="DQ603" s="73"/>
      <c r="DR603" s="73"/>
      <c r="DS603" s="73"/>
      <c r="DT603" s="73"/>
      <c r="DU603" s="73"/>
      <c r="DV603" s="73"/>
      <c r="DW603" s="73"/>
      <c r="DX603" s="73"/>
      <c r="DY603" s="73"/>
      <c r="DZ603" s="73"/>
      <c r="EA603" s="73"/>
      <c r="EB603" s="73"/>
      <c r="EC603" s="73"/>
      <c r="ED603" s="73"/>
      <c r="EE603" s="73"/>
      <c r="EF603" s="73"/>
      <c r="FJ603" s="73"/>
      <c r="FK603" s="73"/>
      <c r="FL603" s="73"/>
      <c r="FM603" s="73"/>
      <c r="FN603" s="73"/>
      <c r="FO603" s="73"/>
      <c r="FP603" s="73"/>
      <c r="FQ603" s="73"/>
      <c r="FR603" s="73"/>
      <c r="FS603" s="73"/>
      <c r="FT603" s="73"/>
      <c r="FU603" s="73"/>
      <c r="FV603" s="73"/>
      <c r="FW603" s="73"/>
      <c r="FX603" s="73"/>
      <c r="GO603" s="73"/>
      <c r="GP603" s="73"/>
      <c r="HE603" s="73"/>
      <c r="HU603" s="73"/>
      <c r="HV603" s="182"/>
    </row>
    <row r="604" spans="1:230" x14ac:dyDescent="0.25">
      <c r="A604" s="30"/>
      <c r="B604" s="30"/>
      <c r="C604" s="30"/>
      <c r="D604" s="30"/>
      <c r="G604" s="30"/>
      <c r="H604" s="30"/>
      <c r="I604" s="30"/>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c r="CC604" s="73"/>
      <c r="CD604" s="73"/>
      <c r="CE604" s="73"/>
      <c r="CF604" s="73"/>
      <c r="CG604" s="73"/>
      <c r="CH604" s="73"/>
      <c r="CI604" s="73"/>
      <c r="CJ604" s="73"/>
      <c r="CK604" s="73"/>
      <c r="CL604" s="73"/>
      <c r="CM604" s="73"/>
      <c r="CN604" s="73"/>
      <c r="CO604" s="73"/>
      <c r="CP604" s="73"/>
      <c r="CQ604" s="73"/>
      <c r="CR604" s="73"/>
      <c r="CS604" s="73"/>
      <c r="CT604" s="73"/>
      <c r="CU604" s="73"/>
      <c r="CV604" s="73"/>
      <c r="CW604" s="73"/>
      <c r="CX604" s="73"/>
      <c r="CY604" s="73"/>
      <c r="CZ604" s="73"/>
      <c r="DA604" s="73"/>
      <c r="DB604" s="73"/>
      <c r="DC604" s="73"/>
      <c r="DD604" s="73"/>
      <c r="DE604" s="73"/>
      <c r="DF604" s="73"/>
      <c r="DG604" s="73"/>
      <c r="DH604" s="73"/>
      <c r="DI604" s="73"/>
      <c r="DJ604" s="73"/>
      <c r="DK604" s="73"/>
      <c r="DL604" s="73"/>
      <c r="DM604" s="73"/>
      <c r="DN604" s="73"/>
      <c r="DO604" s="73"/>
      <c r="DP604" s="73"/>
      <c r="DQ604" s="73"/>
      <c r="DR604" s="73"/>
      <c r="DS604" s="73"/>
      <c r="DT604" s="73"/>
      <c r="DU604" s="73"/>
      <c r="DV604" s="73"/>
      <c r="DW604" s="73"/>
      <c r="DX604" s="73"/>
      <c r="DY604" s="73"/>
      <c r="DZ604" s="73"/>
      <c r="EA604" s="73"/>
      <c r="EB604" s="73"/>
      <c r="EC604" s="73"/>
      <c r="ED604" s="73"/>
      <c r="EE604" s="73"/>
      <c r="EF604" s="73"/>
      <c r="FJ604" s="73"/>
      <c r="FK604" s="73"/>
      <c r="FL604" s="73"/>
      <c r="FM604" s="73"/>
      <c r="FN604" s="73"/>
      <c r="FO604" s="73"/>
      <c r="FP604" s="73"/>
      <c r="FQ604" s="73"/>
      <c r="FR604" s="73"/>
      <c r="FS604" s="73"/>
      <c r="FT604" s="73"/>
      <c r="FU604" s="73"/>
      <c r="FV604" s="73"/>
      <c r="FW604" s="73"/>
      <c r="FX604" s="73"/>
      <c r="GO604" s="73"/>
      <c r="GP604" s="73"/>
      <c r="HE604" s="73"/>
      <c r="HU604" s="73"/>
      <c r="HV604" s="182"/>
    </row>
    <row r="605" spans="1:230" x14ac:dyDescent="0.25">
      <c r="A605" s="30"/>
      <c r="B605" s="30"/>
      <c r="C605" s="30"/>
      <c r="D605" s="30"/>
      <c r="G605" s="30"/>
      <c r="H605" s="30"/>
      <c r="I605" s="30"/>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c r="CC605" s="73"/>
      <c r="CD605" s="73"/>
      <c r="CE605" s="73"/>
      <c r="CF605" s="73"/>
      <c r="CG605" s="73"/>
      <c r="CH605" s="73"/>
      <c r="CI605" s="73"/>
      <c r="CJ605" s="73"/>
      <c r="CK605" s="73"/>
      <c r="CL605" s="73"/>
      <c r="CM605" s="73"/>
      <c r="CN605" s="73"/>
      <c r="CO605" s="73"/>
      <c r="CP605" s="73"/>
      <c r="CQ605" s="73"/>
      <c r="CR605" s="73"/>
      <c r="CS605" s="73"/>
      <c r="CT605" s="73"/>
      <c r="CU605" s="73"/>
      <c r="CV605" s="73"/>
      <c r="CW605" s="73"/>
      <c r="CX605" s="73"/>
      <c r="CY605" s="73"/>
      <c r="CZ605" s="73"/>
      <c r="DA605" s="73"/>
      <c r="DB605" s="73"/>
      <c r="DC605" s="73"/>
      <c r="DD605" s="73"/>
      <c r="DE605" s="73"/>
      <c r="DF605" s="73"/>
      <c r="DG605" s="73"/>
      <c r="DH605" s="73"/>
      <c r="DI605" s="73"/>
      <c r="DJ605" s="73"/>
      <c r="DK605" s="73"/>
      <c r="DL605" s="73"/>
      <c r="DM605" s="73"/>
      <c r="DN605" s="73"/>
      <c r="DO605" s="73"/>
      <c r="DP605" s="73"/>
      <c r="DQ605" s="73"/>
      <c r="DR605" s="73"/>
      <c r="DS605" s="73"/>
      <c r="DT605" s="73"/>
      <c r="DU605" s="73"/>
      <c r="DV605" s="73"/>
      <c r="DW605" s="73"/>
      <c r="DX605" s="73"/>
      <c r="DY605" s="73"/>
      <c r="DZ605" s="73"/>
      <c r="EA605" s="73"/>
      <c r="EB605" s="73"/>
      <c r="EC605" s="73"/>
      <c r="ED605" s="73"/>
      <c r="EE605" s="73"/>
      <c r="EF605" s="73"/>
      <c r="FJ605" s="73"/>
      <c r="FK605" s="73"/>
      <c r="FL605" s="73"/>
      <c r="FM605" s="73"/>
      <c r="FN605" s="73"/>
      <c r="FO605" s="73"/>
      <c r="FP605" s="73"/>
      <c r="FQ605" s="73"/>
      <c r="FR605" s="73"/>
      <c r="FS605" s="73"/>
      <c r="FT605" s="73"/>
      <c r="FU605" s="73"/>
      <c r="FV605" s="73"/>
      <c r="FW605" s="73"/>
      <c r="FX605" s="73"/>
      <c r="GO605" s="73"/>
      <c r="GP605" s="73"/>
      <c r="HE605" s="73"/>
      <c r="HU605" s="73"/>
      <c r="HV605" s="182"/>
    </row>
    <row r="606" spans="1:230" x14ac:dyDescent="0.25">
      <c r="A606" s="30"/>
      <c r="B606" s="30"/>
      <c r="C606" s="30"/>
      <c r="D606" s="30"/>
      <c r="G606" s="30"/>
      <c r="H606" s="30"/>
      <c r="I606" s="30"/>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c r="CC606" s="73"/>
      <c r="CD606" s="73"/>
      <c r="CE606" s="73"/>
      <c r="CF606" s="73"/>
      <c r="CG606" s="73"/>
      <c r="CH606" s="73"/>
      <c r="CI606" s="73"/>
      <c r="CJ606" s="73"/>
      <c r="CK606" s="73"/>
      <c r="CL606" s="73"/>
      <c r="CM606" s="73"/>
      <c r="CN606" s="73"/>
      <c r="CO606" s="73"/>
      <c r="CP606" s="73"/>
      <c r="CQ606" s="73"/>
      <c r="CR606" s="73"/>
      <c r="CS606" s="73"/>
      <c r="CT606" s="73"/>
      <c r="CU606" s="73"/>
      <c r="CV606" s="73"/>
      <c r="CW606" s="73"/>
      <c r="CX606" s="73"/>
      <c r="CY606" s="73"/>
      <c r="CZ606" s="73"/>
      <c r="DA606" s="73"/>
      <c r="DB606" s="73"/>
      <c r="DC606" s="73"/>
      <c r="DD606" s="73"/>
      <c r="DE606" s="73"/>
      <c r="DF606" s="73"/>
      <c r="DG606" s="73"/>
      <c r="DH606" s="73"/>
      <c r="DI606" s="73"/>
      <c r="DJ606" s="73"/>
      <c r="DK606" s="73"/>
      <c r="DL606" s="73"/>
      <c r="DM606" s="73"/>
      <c r="DN606" s="73"/>
      <c r="DO606" s="73"/>
      <c r="DP606" s="73"/>
      <c r="DQ606" s="73"/>
      <c r="DR606" s="73"/>
      <c r="DS606" s="73"/>
      <c r="DT606" s="73"/>
      <c r="DU606" s="73"/>
      <c r="DV606" s="73"/>
      <c r="DW606" s="73"/>
      <c r="DX606" s="73"/>
      <c r="DY606" s="73"/>
      <c r="DZ606" s="73"/>
      <c r="EA606" s="73"/>
      <c r="EB606" s="73"/>
      <c r="EC606" s="73"/>
      <c r="ED606" s="73"/>
      <c r="EE606" s="73"/>
      <c r="EF606" s="73"/>
      <c r="FJ606" s="73"/>
      <c r="FK606" s="73"/>
      <c r="FL606" s="73"/>
      <c r="FM606" s="73"/>
      <c r="FN606" s="73"/>
      <c r="FO606" s="73"/>
      <c r="FP606" s="73"/>
      <c r="FQ606" s="73"/>
      <c r="FR606" s="73"/>
      <c r="FS606" s="73"/>
      <c r="FT606" s="73"/>
      <c r="FU606" s="73"/>
      <c r="FV606" s="73"/>
      <c r="FW606" s="73"/>
      <c r="FX606" s="73"/>
      <c r="GO606" s="73"/>
      <c r="GP606" s="73"/>
      <c r="HE606" s="73"/>
      <c r="HU606" s="73"/>
      <c r="HV606" s="182"/>
    </row>
    <row r="607" spans="1:230" x14ac:dyDescent="0.25">
      <c r="A607" s="30"/>
      <c r="B607" s="30"/>
      <c r="C607" s="30"/>
      <c r="D607" s="30"/>
      <c r="G607" s="30"/>
      <c r="H607" s="30"/>
      <c r="I607" s="30"/>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c r="CC607" s="73"/>
      <c r="CD607" s="73"/>
      <c r="CE607" s="73"/>
      <c r="CF607" s="73"/>
      <c r="CG607" s="73"/>
      <c r="CH607" s="73"/>
      <c r="CI607" s="73"/>
      <c r="CJ607" s="73"/>
      <c r="CK607" s="73"/>
      <c r="CL607" s="73"/>
      <c r="CM607" s="73"/>
      <c r="CN607" s="73"/>
      <c r="CO607" s="73"/>
      <c r="CP607" s="73"/>
      <c r="CQ607" s="73"/>
      <c r="CR607" s="73"/>
      <c r="CS607" s="73"/>
      <c r="CT607" s="73"/>
      <c r="CU607" s="73"/>
      <c r="CV607" s="73"/>
      <c r="CW607" s="73"/>
      <c r="CX607" s="73"/>
      <c r="CY607" s="73"/>
      <c r="CZ607" s="73"/>
      <c r="DA607" s="73"/>
      <c r="DB607" s="73"/>
      <c r="DC607" s="73"/>
      <c r="DD607" s="73"/>
      <c r="DE607" s="73"/>
      <c r="DF607" s="73"/>
      <c r="DG607" s="73"/>
      <c r="DH607" s="73"/>
      <c r="DI607" s="73"/>
      <c r="DJ607" s="73"/>
      <c r="DK607" s="73"/>
      <c r="DL607" s="73"/>
      <c r="DM607" s="73"/>
      <c r="DN607" s="73"/>
      <c r="DO607" s="73"/>
      <c r="DP607" s="73"/>
      <c r="DQ607" s="73"/>
      <c r="DR607" s="73"/>
      <c r="DS607" s="73"/>
      <c r="DT607" s="73"/>
      <c r="DU607" s="73"/>
      <c r="DV607" s="73"/>
      <c r="DW607" s="73"/>
      <c r="DX607" s="73"/>
      <c r="DY607" s="73"/>
      <c r="DZ607" s="73"/>
      <c r="EA607" s="73"/>
      <c r="EB607" s="73"/>
      <c r="EC607" s="73"/>
      <c r="ED607" s="73"/>
      <c r="EE607" s="73"/>
      <c r="EF607" s="73"/>
      <c r="FJ607" s="73"/>
      <c r="FK607" s="73"/>
      <c r="FL607" s="73"/>
      <c r="FM607" s="73"/>
      <c r="FN607" s="73"/>
      <c r="FO607" s="73"/>
      <c r="FP607" s="73"/>
      <c r="FQ607" s="73"/>
      <c r="FR607" s="73"/>
      <c r="FS607" s="73"/>
      <c r="FT607" s="73"/>
      <c r="FU607" s="73"/>
      <c r="FV607" s="73"/>
      <c r="FW607" s="73"/>
      <c r="FX607" s="73"/>
      <c r="GO607" s="73"/>
      <c r="GP607" s="73"/>
      <c r="HE607" s="73"/>
      <c r="HU607" s="73"/>
      <c r="HV607" s="182"/>
    </row>
    <row r="608" spans="1:230" x14ac:dyDescent="0.25">
      <c r="A608" s="30"/>
      <c r="B608" s="30"/>
      <c r="C608" s="30"/>
      <c r="D608" s="30"/>
      <c r="G608" s="30"/>
      <c r="H608" s="30"/>
      <c r="I608" s="30"/>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c r="CC608" s="73"/>
      <c r="CD608" s="73"/>
      <c r="CE608" s="73"/>
      <c r="CF608" s="73"/>
      <c r="CG608" s="73"/>
      <c r="CH608" s="73"/>
      <c r="CI608" s="73"/>
      <c r="CJ608" s="73"/>
      <c r="CK608" s="73"/>
      <c r="CL608" s="73"/>
      <c r="CM608" s="73"/>
      <c r="CN608" s="73"/>
      <c r="CO608" s="73"/>
      <c r="CP608" s="73"/>
      <c r="CQ608" s="73"/>
      <c r="CR608" s="73"/>
      <c r="CS608" s="73"/>
      <c r="CT608" s="73"/>
      <c r="CU608" s="73"/>
      <c r="CV608" s="73"/>
      <c r="CW608" s="73"/>
      <c r="CX608" s="73"/>
      <c r="CY608" s="73"/>
      <c r="CZ608" s="73"/>
      <c r="DA608" s="73"/>
      <c r="DB608" s="73"/>
      <c r="DC608" s="73"/>
      <c r="DD608" s="73"/>
      <c r="DE608" s="73"/>
      <c r="DF608" s="73"/>
      <c r="DG608" s="73"/>
      <c r="DH608" s="73"/>
      <c r="DI608" s="73"/>
      <c r="DJ608" s="73"/>
      <c r="DK608" s="73"/>
      <c r="DL608" s="73"/>
      <c r="DM608" s="73"/>
      <c r="DN608" s="73"/>
      <c r="DO608" s="73"/>
      <c r="DP608" s="73"/>
      <c r="DQ608" s="73"/>
      <c r="DR608" s="73"/>
      <c r="DS608" s="73"/>
      <c r="DT608" s="73"/>
      <c r="DU608" s="73"/>
      <c r="DV608" s="73"/>
      <c r="DW608" s="73"/>
      <c r="DX608" s="73"/>
      <c r="DY608" s="73"/>
      <c r="DZ608" s="73"/>
      <c r="EA608" s="73"/>
      <c r="EB608" s="73"/>
      <c r="EC608" s="73"/>
      <c r="ED608" s="73"/>
      <c r="EE608" s="73"/>
      <c r="EF608" s="73"/>
      <c r="FJ608" s="73"/>
      <c r="FK608" s="73"/>
      <c r="FL608" s="73"/>
      <c r="FM608" s="73"/>
      <c r="FN608" s="73"/>
      <c r="FO608" s="73"/>
      <c r="FP608" s="73"/>
      <c r="FQ608" s="73"/>
      <c r="FR608" s="73"/>
      <c r="FS608" s="73"/>
      <c r="FT608" s="73"/>
      <c r="FU608" s="73"/>
      <c r="FV608" s="73"/>
      <c r="FW608" s="73"/>
      <c r="FX608" s="73"/>
      <c r="GO608" s="73"/>
      <c r="GP608" s="73"/>
      <c r="HE608" s="73"/>
      <c r="HU608" s="73"/>
      <c r="HV608" s="182"/>
    </row>
    <row r="609" spans="1:230" x14ac:dyDescent="0.25">
      <c r="A609" s="30"/>
      <c r="B609" s="30"/>
      <c r="C609" s="30"/>
      <c r="D609" s="30"/>
      <c r="G609" s="30"/>
      <c r="H609" s="30"/>
      <c r="I609" s="30"/>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c r="CC609" s="73"/>
      <c r="CD609" s="73"/>
      <c r="CE609" s="73"/>
      <c r="CF609" s="73"/>
      <c r="CG609" s="73"/>
      <c r="CH609" s="73"/>
      <c r="CI609" s="73"/>
      <c r="CJ609" s="73"/>
      <c r="CK609" s="73"/>
      <c r="CL609" s="73"/>
      <c r="CM609" s="73"/>
      <c r="CN609" s="73"/>
      <c r="CO609" s="73"/>
      <c r="CP609" s="73"/>
      <c r="CQ609" s="73"/>
      <c r="CR609" s="73"/>
      <c r="CS609" s="73"/>
      <c r="CT609" s="73"/>
      <c r="CU609" s="73"/>
      <c r="CV609" s="73"/>
      <c r="CW609" s="73"/>
      <c r="CX609" s="73"/>
      <c r="CY609" s="73"/>
      <c r="CZ609" s="73"/>
      <c r="DA609" s="73"/>
      <c r="DB609" s="73"/>
      <c r="DC609" s="73"/>
      <c r="DD609" s="73"/>
      <c r="DE609" s="73"/>
      <c r="DF609" s="73"/>
      <c r="DG609" s="73"/>
      <c r="DH609" s="73"/>
      <c r="DI609" s="73"/>
      <c r="DJ609" s="73"/>
      <c r="DK609" s="73"/>
      <c r="DL609" s="73"/>
      <c r="DM609" s="73"/>
      <c r="DN609" s="73"/>
      <c r="DO609" s="73"/>
      <c r="DP609" s="73"/>
      <c r="DQ609" s="73"/>
      <c r="DR609" s="73"/>
      <c r="DS609" s="73"/>
      <c r="DT609" s="73"/>
      <c r="DU609" s="73"/>
      <c r="DV609" s="73"/>
      <c r="DW609" s="73"/>
      <c r="DX609" s="73"/>
      <c r="DY609" s="73"/>
      <c r="DZ609" s="73"/>
      <c r="EA609" s="73"/>
      <c r="EB609" s="73"/>
      <c r="EC609" s="73"/>
      <c r="ED609" s="73"/>
      <c r="EE609" s="73"/>
      <c r="EF609" s="73"/>
      <c r="FJ609" s="73"/>
      <c r="FK609" s="73"/>
      <c r="FL609" s="73"/>
      <c r="FM609" s="73"/>
      <c r="FN609" s="73"/>
      <c r="FO609" s="73"/>
      <c r="FP609" s="73"/>
      <c r="FQ609" s="73"/>
      <c r="FR609" s="73"/>
      <c r="FS609" s="73"/>
      <c r="FT609" s="73"/>
      <c r="FU609" s="73"/>
      <c r="FV609" s="73"/>
      <c r="FW609" s="73"/>
      <c r="FX609" s="73"/>
      <c r="GO609" s="73"/>
      <c r="GP609" s="73"/>
      <c r="HE609" s="73"/>
      <c r="HU609" s="73"/>
      <c r="HV609" s="182"/>
    </row>
    <row r="610" spans="1:230" x14ac:dyDescent="0.25">
      <c r="A610" s="30"/>
      <c r="B610" s="30"/>
      <c r="C610" s="30"/>
      <c r="D610" s="30"/>
      <c r="G610" s="30"/>
      <c r="H610" s="30"/>
      <c r="I610" s="30"/>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c r="CC610" s="73"/>
      <c r="CD610" s="73"/>
      <c r="CE610" s="73"/>
      <c r="CF610" s="73"/>
      <c r="CG610" s="73"/>
      <c r="CH610" s="73"/>
      <c r="CI610" s="73"/>
      <c r="CJ610" s="73"/>
      <c r="CK610" s="73"/>
      <c r="CL610" s="73"/>
      <c r="CM610" s="73"/>
      <c r="CN610" s="73"/>
      <c r="CO610" s="73"/>
      <c r="CP610" s="73"/>
      <c r="CQ610" s="73"/>
      <c r="CR610" s="73"/>
      <c r="CS610" s="73"/>
      <c r="CT610" s="73"/>
      <c r="CU610" s="73"/>
      <c r="CV610" s="73"/>
      <c r="CW610" s="73"/>
      <c r="CX610" s="73"/>
      <c r="CY610" s="73"/>
      <c r="CZ610" s="73"/>
      <c r="DA610" s="73"/>
      <c r="DB610" s="73"/>
      <c r="DC610" s="73"/>
      <c r="DD610" s="73"/>
      <c r="DE610" s="73"/>
      <c r="DF610" s="73"/>
      <c r="DG610" s="73"/>
      <c r="DH610" s="73"/>
      <c r="DI610" s="73"/>
      <c r="DJ610" s="73"/>
      <c r="DK610" s="73"/>
      <c r="DL610" s="73"/>
      <c r="DM610" s="73"/>
      <c r="DN610" s="73"/>
      <c r="DO610" s="73"/>
      <c r="DP610" s="73"/>
      <c r="DQ610" s="73"/>
      <c r="DR610" s="73"/>
      <c r="DS610" s="73"/>
      <c r="DT610" s="73"/>
      <c r="DU610" s="73"/>
      <c r="DV610" s="73"/>
      <c r="DW610" s="73"/>
      <c r="DX610" s="73"/>
      <c r="DY610" s="73"/>
      <c r="DZ610" s="73"/>
      <c r="EA610" s="73"/>
      <c r="EB610" s="73"/>
      <c r="EC610" s="73"/>
      <c r="ED610" s="73"/>
      <c r="EE610" s="73"/>
      <c r="EF610" s="73"/>
      <c r="FJ610" s="73"/>
      <c r="FK610" s="73"/>
      <c r="FL610" s="73"/>
      <c r="FM610" s="73"/>
      <c r="FN610" s="73"/>
      <c r="FO610" s="73"/>
      <c r="FP610" s="73"/>
      <c r="FQ610" s="73"/>
      <c r="FR610" s="73"/>
      <c r="FS610" s="73"/>
      <c r="FT610" s="73"/>
      <c r="FU610" s="73"/>
      <c r="FV610" s="73"/>
      <c r="FW610" s="73"/>
      <c r="FX610" s="73"/>
      <c r="GO610" s="73"/>
      <c r="GP610" s="73"/>
      <c r="HE610" s="73"/>
      <c r="HU610" s="73"/>
      <c r="HV610" s="182"/>
    </row>
    <row r="611" spans="1:230" x14ac:dyDescent="0.25">
      <c r="A611" s="30"/>
      <c r="B611" s="30"/>
      <c r="C611" s="30"/>
      <c r="D611" s="30"/>
      <c r="G611" s="30"/>
      <c r="H611" s="30"/>
      <c r="I611" s="30"/>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c r="CC611" s="73"/>
      <c r="CD611" s="73"/>
      <c r="CE611" s="73"/>
      <c r="CF611" s="73"/>
      <c r="CG611" s="73"/>
      <c r="CH611" s="73"/>
      <c r="CI611" s="73"/>
      <c r="CJ611" s="73"/>
      <c r="CK611" s="73"/>
      <c r="CL611" s="73"/>
      <c r="CM611" s="73"/>
      <c r="CN611" s="73"/>
      <c r="CO611" s="73"/>
      <c r="CP611" s="73"/>
      <c r="CQ611" s="73"/>
      <c r="CR611" s="73"/>
      <c r="CS611" s="73"/>
      <c r="CT611" s="73"/>
      <c r="CU611" s="73"/>
      <c r="CV611" s="73"/>
      <c r="CW611" s="73"/>
      <c r="CX611" s="73"/>
      <c r="CY611" s="73"/>
      <c r="CZ611" s="73"/>
      <c r="DA611" s="73"/>
      <c r="DB611" s="73"/>
      <c r="DC611" s="73"/>
      <c r="DD611" s="73"/>
      <c r="DE611" s="73"/>
      <c r="DF611" s="73"/>
      <c r="DG611" s="73"/>
      <c r="DH611" s="73"/>
      <c r="DI611" s="73"/>
      <c r="DJ611" s="73"/>
      <c r="DK611" s="73"/>
      <c r="DL611" s="73"/>
      <c r="DM611" s="73"/>
      <c r="DN611" s="73"/>
      <c r="DO611" s="73"/>
      <c r="DP611" s="73"/>
      <c r="DQ611" s="73"/>
      <c r="DR611" s="73"/>
      <c r="DS611" s="73"/>
      <c r="DT611" s="73"/>
      <c r="DU611" s="73"/>
      <c r="DV611" s="73"/>
      <c r="DW611" s="73"/>
      <c r="DX611" s="73"/>
      <c r="DY611" s="73"/>
      <c r="DZ611" s="73"/>
      <c r="EA611" s="73"/>
      <c r="EB611" s="73"/>
      <c r="EC611" s="73"/>
      <c r="ED611" s="73"/>
      <c r="EE611" s="73"/>
      <c r="EF611" s="73"/>
      <c r="FJ611" s="73"/>
      <c r="FK611" s="73"/>
      <c r="FL611" s="73"/>
      <c r="FM611" s="73"/>
      <c r="FN611" s="73"/>
      <c r="FO611" s="73"/>
      <c r="FP611" s="73"/>
      <c r="FQ611" s="73"/>
      <c r="FR611" s="73"/>
      <c r="FS611" s="73"/>
      <c r="FT611" s="73"/>
      <c r="FU611" s="73"/>
      <c r="FV611" s="73"/>
      <c r="FW611" s="73"/>
      <c r="FX611" s="73"/>
      <c r="GO611" s="73"/>
      <c r="GP611" s="73"/>
      <c r="HE611" s="73"/>
      <c r="HU611" s="73"/>
      <c r="HV611" s="182"/>
    </row>
    <row r="612" spans="1:230" x14ac:dyDescent="0.25">
      <c r="A612" s="30"/>
      <c r="B612" s="30"/>
      <c r="C612" s="30"/>
      <c r="D612" s="30"/>
      <c r="G612" s="30"/>
      <c r="H612" s="30"/>
      <c r="I612" s="30"/>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c r="CA612" s="73"/>
      <c r="CB612" s="73"/>
      <c r="CC612" s="73"/>
      <c r="CD612" s="73"/>
      <c r="CE612" s="73"/>
      <c r="CF612" s="73"/>
      <c r="CG612" s="73"/>
      <c r="CH612" s="73"/>
      <c r="CI612" s="73"/>
      <c r="CJ612" s="73"/>
      <c r="CK612" s="73"/>
      <c r="CL612" s="73"/>
      <c r="CM612" s="73"/>
      <c r="CN612" s="73"/>
      <c r="CO612" s="73"/>
      <c r="CP612" s="73"/>
      <c r="CQ612" s="73"/>
      <c r="CR612" s="73"/>
      <c r="CS612" s="73"/>
      <c r="CT612" s="73"/>
      <c r="CU612" s="73"/>
      <c r="CV612" s="73"/>
      <c r="CW612" s="73"/>
      <c r="CX612" s="73"/>
      <c r="CY612" s="73"/>
      <c r="CZ612" s="73"/>
      <c r="DA612" s="73"/>
      <c r="DB612" s="73"/>
      <c r="DC612" s="73"/>
      <c r="DD612" s="73"/>
      <c r="DE612" s="73"/>
      <c r="DF612" s="73"/>
      <c r="DG612" s="73"/>
      <c r="DH612" s="73"/>
      <c r="DI612" s="73"/>
      <c r="DJ612" s="73"/>
      <c r="DK612" s="73"/>
      <c r="DL612" s="73"/>
      <c r="DM612" s="73"/>
      <c r="DN612" s="73"/>
      <c r="DO612" s="73"/>
      <c r="DP612" s="73"/>
      <c r="DQ612" s="73"/>
      <c r="DR612" s="73"/>
      <c r="DS612" s="73"/>
      <c r="DT612" s="73"/>
      <c r="DU612" s="73"/>
      <c r="DV612" s="73"/>
      <c r="DW612" s="73"/>
      <c r="DX612" s="73"/>
      <c r="DY612" s="73"/>
      <c r="DZ612" s="73"/>
      <c r="EA612" s="73"/>
      <c r="EB612" s="73"/>
      <c r="EC612" s="73"/>
      <c r="ED612" s="73"/>
      <c r="EE612" s="73"/>
      <c r="EF612" s="73"/>
      <c r="FJ612" s="73"/>
      <c r="FK612" s="73"/>
      <c r="FL612" s="73"/>
      <c r="FM612" s="73"/>
      <c r="FN612" s="73"/>
      <c r="FO612" s="73"/>
      <c r="FP612" s="73"/>
      <c r="FQ612" s="73"/>
      <c r="FR612" s="73"/>
      <c r="FS612" s="73"/>
      <c r="FT612" s="73"/>
      <c r="FU612" s="73"/>
      <c r="FV612" s="73"/>
      <c r="FW612" s="73"/>
      <c r="FX612" s="73"/>
      <c r="GO612" s="73"/>
      <c r="GP612" s="73"/>
      <c r="HE612" s="73"/>
      <c r="HU612" s="73"/>
      <c r="HV612" s="182"/>
    </row>
    <row r="613" spans="1:230" x14ac:dyDescent="0.25">
      <c r="A613" s="30"/>
      <c r="B613" s="30"/>
      <c r="C613" s="30"/>
      <c r="D613" s="30"/>
      <c r="G613" s="30"/>
      <c r="H613" s="30"/>
      <c r="I613" s="30"/>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c r="CA613" s="73"/>
      <c r="CB613" s="73"/>
      <c r="CC613" s="73"/>
      <c r="CD613" s="73"/>
      <c r="CE613" s="73"/>
      <c r="CF613" s="73"/>
      <c r="CG613" s="73"/>
      <c r="CH613" s="73"/>
      <c r="CI613" s="73"/>
      <c r="CJ613" s="73"/>
      <c r="CK613" s="73"/>
      <c r="CL613" s="73"/>
      <c r="CM613" s="73"/>
      <c r="CN613" s="73"/>
      <c r="CO613" s="73"/>
      <c r="CP613" s="73"/>
      <c r="CQ613" s="73"/>
      <c r="CR613" s="73"/>
      <c r="CS613" s="73"/>
      <c r="CT613" s="73"/>
      <c r="CU613" s="73"/>
      <c r="CV613" s="73"/>
      <c r="CW613" s="73"/>
      <c r="CX613" s="73"/>
      <c r="CY613" s="73"/>
      <c r="CZ613" s="73"/>
      <c r="DA613" s="73"/>
      <c r="DB613" s="73"/>
      <c r="DC613" s="73"/>
      <c r="DD613" s="73"/>
      <c r="DE613" s="73"/>
      <c r="DF613" s="73"/>
      <c r="DG613" s="73"/>
      <c r="DH613" s="73"/>
      <c r="DI613" s="73"/>
      <c r="DJ613" s="73"/>
      <c r="DK613" s="73"/>
      <c r="DL613" s="73"/>
      <c r="DM613" s="73"/>
      <c r="DN613" s="73"/>
      <c r="DO613" s="73"/>
      <c r="DP613" s="73"/>
      <c r="DQ613" s="73"/>
      <c r="DR613" s="73"/>
      <c r="DS613" s="73"/>
      <c r="DT613" s="73"/>
      <c r="DU613" s="73"/>
      <c r="DV613" s="73"/>
      <c r="DW613" s="73"/>
      <c r="DX613" s="73"/>
      <c r="DY613" s="73"/>
      <c r="DZ613" s="73"/>
      <c r="EA613" s="73"/>
      <c r="EB613" s="73"/>
      <c r="EC613" s="73"/>
      <c r="ED613" s="73"/>
      <c r="EE613" s="73"/>
      <c r="EF613" s="73"/>
      <c r="FJ613" s="73"/>
      <c r="FK613" s="73"/>
      <c r="FL613" s="73"/>
      <c r="FM613" s="73"/>
      <c r="FN613" s="73"/>
      <c r="FO613" s="73"/>
      <c r="FP613" s="73"/>
      <c r="FQ613" s="73"/>
      <c r="FR613" s="73"/>
      <c r="FS613" s="73"/>
      <c r="FT613" s="73"/>
      <c r="FU613" s="73"/>
      <c r="FV613" s="73"/>
      <c r="FW613" s="73"/>
      <c r="FX613" s="73"/>
      <c r="GO613" s="73"/>
      <c r="GP613" s="73"/>
      <c r="HE613" s="73"/>
      <c r="HU613" s="73"/>
      <c r="HV613" s="182"/>
    </row>
    <row r="614" spans="1:230" x14ac:dyDescent="0.25">
      <c r="A614" s="30"/>
      <c r="B614" s="30"/>
      <c r="C614" s="30"/>
      <c r="D614" s="30"/>
      <c r="G614" s="30"/>
      <c r="H614" s="30"/>
      <c r="I614" s="30"/>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c r="CC614" s="73"/>
      <c r="CD614" s="73"/>
      <c r="CE614" s="73"/>
      <c r="CF614" s="73"/>
      <c r="CG614" s="73"/>
      <c r="CH614" s="73"/>
      <c r="CI614" s="73"/>
      <c r="CJ614" s="73"/>
      <c r="CK614" s="73"/>
      <c r="CL614" s="73"/>
      <c r="CM614" s="73"/>
      <c r="CN614" s="73"/>
      <c r="CO614" s="73"/>
      <c r="CP614" s="73"/>
      <c r="CQ614" s="73"/>
      <c r="CR614" s="73"/>
      <c r="CS614" s="73"/>
      <c r="CT614" s="73"/>
      <c r="CU614" s="73"/>
      <c r="CV614" s="73"/>
      <c r="CW614" s="73"/>
      <c r="CX614" s="73"/>
      <c r="CY614" s="73"/>
      <c r="CZ614" s="73"/>
      <c r="DA614" s="73"/>
      <c r="DB614" s="73"/>
      <c r="DC614" s="73"/>
      <c r="DD614" s="73"/>
      <c r="DE614" s="73"/>
      <c r="DF614" s="73"/>
      <c r="DG614" s="73"/>
      <c r="DH614" s="73"/>
      <c r="DI614" s="73"/>
      <c r="DJ614" s="73"/>
      <c r="DK614" s="73"/>
      <c r="DL614" s="73"/>
      <c r="DM614" s="73"/>
      <c r="DN614" s="73"/>
      <c r="DO614" s="73"/>
      <c r="DP614" s="73"/>
      <c r="DQ614" s="73"/>
      <c r="DR614" s="73"/>
      <c r="DS614" s="73"/>
      <c r="DT614" s="73"/>
      <c r="DU614" s="73"/>
      <c r="DV614" s="73"/>
      <c r="DW614" s="73"/>
      <c r="DX614" s="73"/>
      <c r="DY614" s="73"/>
      <c r="DZ614" s="73"/>
      <c r="EA614" s="73"/>
      <c r="EB614" s="73"/>
      <c r="EC614" s="73"/>
      <c r="ED614" s="73"/>
      <c r="EE614" s="73"/>
      <c r="EF614" s="73"/>
      <c r="FJ614" s="73"/>
      <c r="FK614" s="73"/>
      <c r="FL614" s="73"/>
      <c r="FM614" s="73"/>
      <c r="FN614" s="73"/>
      <c r="FO614" s="73"/>
      <c r="FP614" s="73"/>
      <c r="FQ614" s="73"/>
      <c r="FR614" s="73"/>
      <c r="FS614" s="73"/>
      <c r="FT614" s="73"/>
      <c r="FU614" s="73"/>
      <c r="FV614" s="73"/>
      <c r="FW614" s="73"/>
      <c r="FX614" s="73"/>
      <c r="GO614" s="73"/>
      <c r="GP614" s="73"/>
      <c r="HE614" s="73"/>
      <c r="HU614" s="73"/>
      <c r="HV614" s="182"/>
    </row>
    <row r="615" spans="1:230" x14ac:dyDescent="0.25">
      <c r="A615" s="30"/>
      <c r="B615" s="30"/>
      <c r="C615" s="30"/>
      <c r="D615" s="30"/>
      <c r="G615" s="30"/>
      <c r="H615" s="30"/>
      <c r="I615" s="30"/>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c r="CA615" s="73"/>
      <c r="CB615" s="73"/>
      <c r="CC615" s="73"/>
      <c r="CD615" s="73"/>
      <c r="CE615" s="73"/>
      <c r="CF615" s="73"/>
      <c r="CG615" s="73"/>
      <c r="CH615" s="73"/>
      <c r="CI615" s="73"/>
      <c r="CJ615" s="73"/>
      <c r="CK615" s="73"/>
      <c r="CL615" s="73"/>
      <c r="CM615" s="73"/>
      <c r="CN615" s="73"/>
      <c r="CO615" s="73"/>
      <c r="CP615" s="73"/>
      <c r="CQ615" s="73"/>
      <c r="CR615" s="73"/>
      <c r="CS615" s="73"/>
      <c r="CT615" s="73"/>
      <c r="CU615" s="73"/>
      <c r="CV615" s="73"/>
      <c r="CW615" s="73"/>
      <c r="CX615" s="73"/>
      <c r="CY615" s="73"/>
      <c r="CZ615" s="73"/>
      <c r="DA615" s="73"/>
      <c r="DB615" s="73"/>
      <c r="DC615" s="73"/>
      <c r="DD615" s="73"/>
      <c r="DE615" s="73"/>
      <c r="DF615" s="73"/>
      <c r="DG615" s="73"/>
      <c r="DH615" s="73"/>
      <c r="DI615" s="73"/>
      <c r="DJ615" s="73"/>
      <c r="DK615" s="73"/>
      <c r="DL615" s="73"/>
      <c r="DM615" s="73"/>
      <c r="DN615" s="73"/>
      <c r="DO615" s="73"/>
      <c r="DP615" s="73"/>
      <c r="DQ615" s="73"/>
      <c r="DR615" s="73"/>
      <c r="DS615" s="73"/>
      <c r="DT615" s="73"/>
      <c r="DU615" s="73"/>
      <c r="DV615" s="73"/>
      <c r="DW615" s="73"/>
      <c r="DX615" s="73"/>
      <c r="DY615" s="73"/>
      <c r="DZ615" s="73"/>
      <c r="EA615" s="73"/>
      <c r="EB615" s="73"/>
      <c r="EC615" s="73"/>
      <c r="ED615" s="73"/>
      <c r="EE615" s="73"/>
      <c r="EF615" s="73"/>
      <c r="FJ615" s="73"/>
      <c r="FK615" s="73"/>
      <c r="FL615" s="73"/>
      <c r="FM615" s="73"/>
      <c r="FN615" s="73"/>
      <c r="FO615" s="73"/>
      <c r="FP615" s="73"/>
      <c r="FQ615" s="73"/>
      <c r="FR615" s="73"/>
      <c r="FS615" s="73"/>
      <c r="FT615" s="73"/>
      <c r="FU615" s="73"/>
      <c r="FV615" s="73"/>
      <c r="FW615" s="73"/>
      <c r="FX615" s="73"/>
      <c r="GO615" s="73"/>
      <c r="GP615" s="73"/>
      <c r="HE615" s="73"/>
      <c r="HU615" s="73"/>
      <c r="HV615" s="182"/>
    </row>
    <row r="616" spans="1:230" x14ac:dyDescent="0.25">
      <c r="A616" s="30"/>
      <c r="B616" s="30"/>
      <c r="C616" s="30"/>
      <c r="D616" s="30"/>
      <c r="G616" s="30"/>
      <c r="H616" s="30"/>
      <c r="I616" s="30"/>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c r="CA616" s="73"/>
      <c r="CB616" s="73"/>
      <c r="CC616" s="73"/>
      <c r="CD616" s="73"/>
      <c r="CE616" s="73"/>
      <c r="CF616" s="73"/>
      <c r="CG616" s="73"/>
      <c r="CH616" s="73"/>
      <c r="CI616" s="73"/>
      <c r="CJ616" s="73"/>
      <c r="CK616" s="73"/>
      <c r="CL616" s="73"/>
      <c r="CM616" s="73"/>
      <c r="CN616" s="73"/>
      <c r="CO616" s="73"/>
      <c r="CP616" s="73"/>
      <c r="CQ616" s="73"/>
      <c r="CR616" s="73"/>
      <c r="CS616" s="73"/>
      <c r="CT616" s="73"/>
      <c r="CU616" s="73"/>
      <c r="CV616" s="73"/>
      <c r="CW616" s="73"/>
      <c r="CX616" s="73"/>
      <c r="CY616" s="73"/>
      <c r="CZ616" s="73"/>
      <c r="DA616" s="73"/>
      <c r="DB616" s="73"/>
      <c r="DC616" s="73"/>
      <c r="DD616" s="73"/>
      <c r="DE616" s="73"/>
      <c r="DF616" s="73"/>
      <c r="DG616" s="73"/>
      <c r="DH616" s="73"/>
      <c r="DI616" s="73"/>
      <c r="DJ616" s="73"/>
      <c r="DK616" s="73"/>
      <c r="DL616" s="73"/>
      <c r="DM616" s="73"/>
      <c r="DN616" s="73"/>
      <c r="DO616" s="73"/>
      <c r="DP616" s="73"/>
      <c r="DQ616" s="73"/>
      <c r="DR616" s="73"/>
      <c r="DS616" s="73"/>
      <c r="DT616" s="73"/>
      <c r="DU616" s="73"/>
      <c r="DV616" s="73"/>
      <c r="DW616" s="73"/>
      <c r="DX616" s="73"/>
      <c r="DY616" s="73"/>
      <c r="DZ616" s="73"/>
      <c r="EA616" s="73"/>
      <c r="EB616" s="73"/>
      <c r="EC616" s="73"/>
      <c r="ED616" s="73"/>
      <c r="EE616" s="73"/>
      <c r="EF616" s="73"/>
      <c r="FJ616" s="73"/>
      <c r="FK616" s="73"/>
      <c r="FL616" s="73"/>
      <c r="FM616" s="73"/>
      <c r="FN616" s="73"/>
      <c r="FO616" s="73"/>
      <c r="FP616" s="73"/>
      <c r="FQ616" s="73"/>
      <c r="FR616" s="73"/>
      <c r="FS616" s="73"/>
      <c r="FT616" s="73"/>
      <c r="FU616" s="73"/>
      <c r="FV616" s="73"/>
      <c r="FW616" s="73"/>
      <c r="FX616" s="73"/>
      <c r="GO616" s="73"/>
      <c r="GP616" s="73"/>
      <c r="HE616" s="73"/>
      <c r="HU616" s="73"/>
      <c r="HV616" s="182"/>
    </row>
    <row r="617" spans="1:230" x14ac:dyDescent="0.25">
      <c r="A617" s="30"/>
      <c r="B617" s="30"/>
      <c r="C617" s="30"/>
      <c r="D617" s="30"/>
      <c r="G617" s="30"/>
      <c r="H617" s="30"/>
      <c r="I617" s="30"/>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c r="CA617" s="73"/>
      <c r="CB617" s="73"/>
      <c r="CC617" s="73"/>
      <c r="CD617" s="73"/>
      <c r="CE617" s="73"/>
      <c r="CF617" s="73"/>
      <c r="CG617" s="73"/>
      <c r="CH617" s="73"/>
      <c r="CI617" s="73"/>
      <c r="CJ617" s="73"/>
      <c r="CK617" s="73"/>
      <c r="CL617" s="73"/>
      <c r="CM617" s="73"/>
      <c r="CN617" s="73"/>
      <c r="CO617" s="73"/>
      <c r="CP617" s="73"/>
      <c r="CQ617" s="73"/>
      <c r="CR617" s="73"/>
      <c r="CS617" s="73"/>
      <c r="CT617" s="73"/>
      <c r="CU617" s="73"/>
      <c r="CV617" s="73"/>
      <c r="CW617" s="73"/>
      <c r="CX617" s="73"/>
      <c r="CY617" s="73"/>
      <c r="CZ617" s="73"/>
      <c r="DA617" s="73"/>
      <c r="DB617" s="73"/>
      <c r="DC617" s="73"/>
      <c r="DD617" s="73"/>
      <c r="DE617" s="73"/>
      <c r="DF617" s="73"/>
      <c r="DG617" s="73"/>
      <c r="DH617" s="73"/>
      <c r="DI617" s="73"/>
      <c r="DJ617" s="73"/>
      <c r="DK617" s="73"/>
      <c r="DL617" s="73"/>
      <c r="DM617" s="73"/>
      <c r="DN617" s="73"/>
      <c r="DO617" s="73"/>
      <c r="DP617" s="73"/>
      <c r="DQ617" s="73"/>
      <c r="DR617" s="73"/>
      <c r="DS617" s="73"/>
      <c r="DT617" s="73"/>
      <c r="DU617" s="73"/>
      <c r="DV617" s="73"/>
      <c r="DW617" s="73"/>
      <c r="DX617" s="73"/>
      <c r="DY617" s="73"/>
      <c r="DZ617" s="73"/>
      <c r="EA617" s="73"/>
      <c r="EB617" s="73"/>
      <c r="EC617" s="73"/>
      <c r="ED617" s="73"/>
      <c r="EE617" s="73"/>
      <c r="EF617" s="73"/>
      <c r="FJ617" s="73"/>
      <c r="FK617" s="73"/>
      <c r="FL617" s="73"/>
      <c r="FM617" s="73"/>
      <c r="FN617" s="73"/>
      <c r="FO617" s="73"/>
      <c r="FP617" s="73"/>
      <c r="FQ617" s="73"/>
      <c r="FR617" s="73"/>
      <c r="FS617" s="73"/>
      <c r="FT617" s="73"/>
      <c r="FU617" s="73"/>
      <c r="FV617" s="73"/>
      <c r="FW617" s="73"/>
      <c r="FX617" s="73"/>
      <c r="GO617" s="73"/>
      <c r="GP617" s="73"/>
      <c r="HE617" s="73"/>
      <c r="HU617" s="73"/>
      <c r="HV617" s="182"/>
    </row>
    <row r="618" spans="1:230" x14ac:dyDescent="0.25">
      <c r="A618" s="30"/>
      <c r="B618" s="30"/>
      <c r="C618" s="30"/>
      <c r="D618" s="30"/>
      <c r="G618" s="30"/>
      <c r="H618" s="30"/>
      <c r="I618" s="30"/>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3"/>
      <c r="DV618" s="73"/>
      <c r="DW618" s="73"/>
      <c r="DX618" s="73"/>
      <c r="DY618" s="73"/>
      <c r="DZ618" s="73"/>
      <c r="EA618" s="73"/>
      <c r="EB618" s="73"/>
      <c r="EC618" s="73"/>
      <c r="ED618" s="73"/>
      <c r="EE618" s="73"/>
      <c r="EF618" s="73"/>
      <c r="FJ618" s="73"/>
      <c r="FK618" s="73"/>
      <c r="FL618" s="73"/>
      <c r="FM618" s="73"/>
      <c r="FN618" s="73"/>
      <c r="FO618" s="73"/>
      <c r="FP618" s="73"/>
      <c r="FQ618" s="73"/>
      <c r="FR618" s="73"/>
      <c r="FS618" s="73"/>
      <c r="FT618" s="73"/>
      <c r="FU618" s="73"/>
      <c r="FV618" s="73"/>
      <c r="FW618" s="73"/>
      <c r="FX618" s="73"/>
      <c r="GO618" s="73"/>
      <c r="GP618" s="73"/>
      <c r="HE618" s="73"/>
      <c r="HU618" s="73"/>
      <c r="HV618" s="182"/>
    </row>
    <row r="619" spans="1:230" x14ac:dyDescent="0.25">
      <c r="A619" s="30"/>
      <c r="B619" s="30"/>
      <c r="C619" s="30"/>
      <c r="D619" s="30"/>
      <c r="G619" s="30"/>
      <c r="H619" s="30"/>
      <c r="I619" s="30"/>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c r="CA619" s="73"/>
      <c r="CB619" s="73"/>
      <c r="CC619" s="73"/>
      <c r="CD619" s="73"/>
      <c r="CE619" s="73"/>
      <c r="CF619" s="73"/>
      <c r="CG619" s="73"/>
      <c r="CH619" s="73"/>
      <c r="CI619" s="73"/>
      <c r="CJ619" s="73"/>
      <c r="CK619" s="73"/>
      <c r="CL619" s="73"/>
      <c r="CM619" s="73"/>
      <c r="CN619" s="73"/>
      <c r="CO619" s="73"/>
      <c r="CP619" s="73"/>
      <c r="CQ619" s="73"/>
      <c r="CR619" s="73"/>
      <c r="CS619" s="73"/>
      <c r="CT619" s="73"/>
      <c r="CU619" s="73"/>
      <c r="CV619" s="73"/>
      <c r="CW619" s="73"/>
      <c r="CX619" s="73"/>
      <c r="CY619" s="73"/>
      <c r="CZ619" s="73"/>
      <c r="DA619" s="73"/>
      <c r="DB619" s="73"/>
      <c r="DC619" s="73"/>
      <c r="DD619" s="73"/>
      <c r="DE619" s="73"/>
      <c r="DF619" s="73"/>
      <c r="DG619" s="73"/>
      <c r="DH619" s="73"/>
      <c r="DI619" s="73"/>
      <c r="DJ619" s="73"/>
      <c r="DK619" s="73"/>
      <c r="DL619" s="73"/>
      <c r="DM619" s="73"/>
      <c r="DN619" s="73"/>
      <c r="DO619" s="73"/>
      <c r="DP619" s="73"/>
      <c r="DQ619" s="73"/>
      <c r="DR619" s="73"/>
      <c r="DS619" s="73"/>
      <c r="DT619" s="73"/>
      <c r="DU619" s="73"/>
      <c r="DV619" s="73"/>
      <c r="DW619" s="73"/>
      <c r="DX619" s="73"/>
      <c r="DY619" s="73"/>
      <c r="DZ619" s="73"/>
      <c r="EA619" s="73"/>
      <c r="EB619" s="73"/>
      <c r="EC619" s="73"/>
      <c r="ED619" s="73"/>
      <c r="EE619" s="73"/>
      <c r="EF619" s="73"/>
      <c r="FJ619" s="73"/>
      <c r="FK619" s="73"/>
      <c r="FL619" s="73"/>
      <c r="FM619" s="73"/>
      <c r="FN619" s="73"/>
      <c r="FO619" s="73"/>
      <c r="FP619" s="73"/>
      <c r="FQ619" s="73"/>
      <c r="FR619" s="73"/>
      <c r="FS619" s="73"/>
      <c r="FT619" s="73"/>
      <c r="FU619" s="73"/>
      <c r="FV619" s="73"/>
      <c r="FW619" s="73"/>
      <c r="FX619" s="73"/>
      <c r="GO619" s="73"/>
      <c r="GP619" s="73"/>
      <c r="HE619" s="73"/>
      <c r="HU619" s="73"/>
      <c r="HV619" s="182"/>
    </row>
    <row r="620" spans="1:230" x14ac:dyDescent="0.25">
      <c r="A620" s="30"/>
      <c r="B620" s="30"/>
      <c r="C620" s="30"/>
      <c r="D620" s="30"/>
      <c r="G620" s="30"/>
      <c r="H620" s="30"/>
      <c r="I620" s="30"/>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c r="CA620" s="73"/>
      <c r="CB620" s="73"/>
      <c r="CC620" s="73"/>
      <c r="CD620" s="73"/>
      <c r="CE620" s="73"/>
      <c r="CF620" s="73"/>
      <c r="CG620" s="73"/>
      <c r="CH620" s="73"/>
      <c r="CI620" s="73"/>
      <c r="CJ620" s="73"/>
      <c r="CK620" s="73"/>
      <c r="CL620" s="73"/>
      <c r="CM620" s="73"/>
      <c r="CN620" s="73"/>
      <c r="CO620" s="73"/>
      <c r="CP620" s="73"/>
      <c r="CQ620" s="73"/>
      <c r="CR620" s="73"/>
      <c r="CS620" s="73"/>
      <c r="CT620" s="73"/>
      <c r="CU620" s="73"/>
      <c r="CV620" s="73"/>
      <c r="CW620" s="73"/>
      <c r="CX620" s="73"/>
      <c r="CY620" s="73"/>
      <c r="CZ620" s="73"/>
      <c r="DA620" s="73"/>
      <c r="DB620" s="73"/>
      <c r="DC620" s="73"/>
      <c r="DD620" s="73"/>
      <c r="DE620" s="73"/>
      <c r="DF620" s="73"/>
      <c r="DG620" s="73"/>
      <c r="DH620" s="73"/>
      <c r="DI620" s="73"/>
      <c r="DJ620" s="73"/>
      <c r="DK620" s="73"/>
      <c r="DL620" s="73"/>
      <c r="DM620" s="73"/>
      <c r="DN620" s="73"/>
      <c r="DO620" s="73"/>
      <c r="DP620" s="73"/>
      <c r="DQ620" s="73"/>
      <c r="DR620" s="73"/>
      <c r="DS620" s="73"/>
      <c r="DT620" s="73"/>
      <c r="DU620" s="73"/>
      <c r="DV620" s="73"/>
      <c r="DW620" s="73"/>
      <c r="DX620" s="73"/>
      <c r="DY620" s="73"/>
      <c r="DZ620" s="73"/>
      <c r="EA620" s="73"/>
      <c r="EB620" s="73"/>
      <c r="EC620" s="73"/>
      <c r="ED620" s="73"/>
      <c r="EE620" s="73"/>
      <c r="EF620" s="73"/>
      <c r="FJ620" s="73"/>
      <c r="FK620" s="73"/>
      <c r="FL620" s="73"/>
      <c r="FM620" s="73"/>
      <c r="FN620" s="73"/>
      <c r="FO620" s="73"/>
      <c r="FP620" s="73"/>
      <c r="FQ620" s="73"/>
      <c r="FR620" s="73"/>
      <c r="FS620" s="73"/>
      <c r="FT620" s="73"/>
      <c r="FU620" s="73"/>
      <c r="FV620" s="73"/>
      <c r="FW620" s="73"/>
      <c r="FX620" s="73"/>
      <c r="GO620" s="73"/>
      <c r="GP620" s="73"/>
      <c r="HE620" s="73"/>
      <c r="HU620" s="73"/>
      <c r="HV620" s="182"/>
    </row>
    <row r="621" spans="1:230" x14ac:dyDescent="0.25">
      <c r="A621" s="30"/>
      <c r="B621" s="30"/>
      <c r="C621" s="30"/>
      <c r="D621" s="30"/>
      <c r="G621" s="30"/>
      <c r="H621" s="30"/>
      <c r="I621" s="30"/>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c r="CA621" s="73"/>
      <c r="CB621" s="73"/>
      <c r="CC621" s="73"/>
      <c r="CD621" s="73"/>
      <c r="CE621" s="73"/>
      <c r="CF621" s="73"/>
      <c r="CG621" s="73"/>
      <c r="CH621" s="73"/>
      <c r="CI621" s="73"/>
      <c r="CJ621" s="73"/>
      <c r="CK621" s="73"/>
      <c r="CL621" s="73"/>
      <c r="CM621" s="73"/>
      <c r="CN621" s="73"/>
      <c r="CO621" s="73"/>
      <c r="CP621" s="73"/>
      <c r="CQ621" s="73"/>
      <c r="CR621" s="73"/>
      <c r="CS621" s="73"/>
      <c r="CT621" s="73"/>
      <c r="CU621" s="73"/>
      <c r="CV621" s="73"/>
      <c r="CW621" s="73"/>
      <c r="CX621" s="73"/>
      <c r="CY621" s="73"/>
      <c r="CZ621" s="73"/>
      <c r="DA621" s="73"/>
      <c r="DB621" s="73"/>
      <c r="DC621" s="73"/>
      <c r="DD621" s="73"/>
      <c r="DE621" s="73"/>
      <c r="DF621" s="73"/>
      <c r="DG621" s="73"/>
      <c r="DH621" s="73"/>
      <c r="DI621" s="73"/>
      <c r="DJ621" s="73"/>
      <c r="DK621" s="73"/>
      <c r="DL621" s="73"/>
      <c r="DM621" s="73"/>
      <c r="DN621" s="73"/>
      <c r="DO621" s="73"/>
      <c r="DP621" s="73"/>
      <c r="DQ621" s="73"/>
      <c r="DR621" s="73"/>
      <c r="DS621" s="73"/>
      <c r="DT621" s="73"/>
      <c r="DU621" s="73"/>
      <c r="DV621" s="73"/>
      <c r="DW621" s="73"/>
      <c r="DX621" s="73"/>
      <c r="DY621" s="73"/>
      <c r="DZ621" s="73"/>
      <c r="EA621" s="73"/>
      <c r="EB621" s="73"/>
      <c r="EC621" s="73"/>
      <c r="ED621" s="73"/>
      <c r="EE621" s="73"/>
      <c r="EF621" s="73"/>
      <c r="FJ621" s="73"/>
      <c r="FK621" s="73"/>
      <c r="FL621" s="73"/>
      <c r="FM621" s="73"/>
      <c r="FN621" s="73"/>
      <c r="FO621" s="73"/>
      <c r="FP621" s="73"/>
      <c r="FQ621" s="73"/>
      <c r="FR621" s="73"/>
      <c r="FS621" s="73"/>
      <c r="FT621" s="73"/>
      <c r="FU621" s="73"/>
      <c r="FV621" s="73"/>
      <c r="FW621" s="73"/>
      <c r="FX621" s="73"/>
      <c r="GO621" s="73"/>
      <c r="GP621" s="73"/>
      <c r="HE621" s="73"/>
      <c r="HU621" s="73"/>
      <c r="HV621" s="182"/>
    </row>
    <row r="622" spans="1:230" x14ac:dyDescent="0.25">
      <c r="A622" s="30"/>
      <c r="B622" s="30"/>
      <c r="C622" s="30"/>
      <c r="D622" s="30"/>
      <c r="G622" s="30"/>
      <c r="H622" s="30"/>
      <c r="I622" s="30"/>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c r="CA622" s="73"/>
      <c r="CB622" s="73"/>
      <c r="CC622" s="73"/>
      <c r="CD622" s="73"/>
      <c r="CE622" s="73"/>
      <c r="CF622" s="73"/>
      <c r="CG622" s="73"/>
      <c r="CH622" s="73"/>
      <c r="CI622" s="73"/>
      <c r="CJ622" s="73"/>
      <c r="CK622" s="73"/>
      <c r="CL622" s="73"/>
      <c r="CM622" s="73"/>
      <c r="CN622" s="73"/>
      <c r="CO622" s="73"/>
      <c r="CP622" s="73"/>
      <c r="CQ622" s="73"/>
      <c r="CR622" s="73"/>
      <c r="CS622" s="73"/>
      <c r="CT622" s="73"/>
      <c r="CU622" s="73"/>
      <c r="CV622" s="73"/>
      <c r="CW622" s="73"/>
      <c r="CX622" s="73"/>
      <c r="CY622" s="73"/>
      <c r="CZ622" s="73"/>
      <c r="DA622" s="73"/>
      <c r="DB622" s="73"/>
      <c r="DC622" s="73"/>
      <c r="DD622" s="73"/>
      <c r="DE622" s="73"/>
      <c r="DF622" s="73"/>
      <c r="DG622" s="73"/>
      <c r="DH622" s="73"/>
      <c r="DI622" s="73"/>
      <c r="DJ622" s="73"/>
      <c r="DK622" s="73"/>
      <c r="DL622" s="73"/>
      <c r="DM622" s="73"/>
      <c r="DN622" s="73"/>
      <c r="DO622" s="73"/>
      <c r="DP622" s="73"/>
      <c r="DQ622" s="73"/>
      <c r="DR622" s="73"/>
      <c r="DS622" s="73"/>
      <c r="DT622" s="73"/>
      <c r="DU622" s="73"/>
      <c r="DV622" s="73"/>
      <c r="DW622" s="73"/>
      <c r="DX622" s="73"/>
      <c r="DY622" s="73"/>
      <c r="DZ622" s="73"/>
      <c r="EA622" s="73"/>
      <c r="EB622" s="73"/>
      <c r="EC622" s="73"/>
      <c r="ED622" s="73"/>
      <c r="EE622" s="73"/>
      <c r="EF622" s="73"/>
      <c r="FJ622" s="73"/>
      <c r="FK622" s="73"/>
      <c r="FL622" s="73"/>
      <c r="FM622" s="73"/>
      <c r="FN622" s="73"/>
      <c r="FO622" s="73"/>
      <c r="FP622" s="73"/>
      <c r="FQ622" s="73"/>
      <c r="FR622" s="73"/>
      <c r="FS622" s="73"/>
      <c r="FT622" s="73"/>
      <c r="FU622" s="73"/>
      <c r="FV622" s="73"/>
      <c r="FW622" s="73"/>
      <c r="FX622" s="73"/>
      <c r="GO622" s="73"/>
      <c r="GP622" s="73"/>
      <c r="HE622" s="73"/>
      <c r="HU622" s="73"/>
      <c r="HV622" s="182"/>
    </row>
    <row r="623" spans="1:230" x14ac:dyDescent="0.25">
      <c r="A623" s="30"/>
      <c r="B623" s="30"/>
      <c r="C623" s="30"/>
      <c r="D623" s="30"/>
      <c r="G623" s="30"/>
      <c r="H623" s="30"/>
      <c r="I623" s="30"/>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c r="CA623" s="73"/>
      <c r="CB623" s="73"/>
      <c r="CC623" s="73"/>
      <c r="CD623" s="73"/>
      <c r="CE623" s="73"/>
      <c r="CF623" s="73"/>
      <c r="CG623" s="73"/>
      <c r="CH623" s="73"/>
      <c r="CI623" s="73"/>
      <c r="CJ623" s="73"/>
      <c r="CK623" s="73"/>
      <c r="CL623" s="73"/>
      <c r="CM623" s="73"/>
      <c r="CN623" s="73"/>
      <c r="CO623" s="73"/>
      <c r="CP623" s="73"/>
      <c r="CQ623" s="73"/>
      <c r="CR623" s="73"/>
      <c r="CS623" s="73"/>
      <c r="CT623" s="73"/>
      <c r="CU623" s="73"/>
      <c r="CV623" s="73"/>
      <c r="CW623" s="73"/>
      <c r="CX623" s="73"/>
      <c r="CY623" s="73"/>
      <c r="CZ623" s="73"/>
      <c r="DA623" s="73"/>
      <c r="DB623" s="73"/>
      <c r="DC623" s="73"/>
      <c r="DD623" s="73"/>
      <c r="DE623" s="73"/>
      <c r="DF623" s="73"/>
      <c r="DG623" s="73"/>
      <c r="DH623" s="73"/>
      <c r="DI623" s="73"/>
      <c r="DJ623" s="73"/>
      <c r="DK623" s="73"/>
      <c r="DL623" s="73"/>
      <c r="DM623" s="73"/>
      <c r="DN623" s="73"/>
      <c r="DO623" s="73"/>
      <c r="DP623" s="73"/>
      <c r="DQ623" s="73"/>
      <c r="DR623" s="73"/>
      <c r="DS623" s="73"/>
      <c r="DT623" s="73"/>
      <c r="DU623" s="73"/>
      <c r="DV623" s="73"/>
      <c r="DW623" s="73"/>
      <c r="DX623" s="73"/>
      <c r="DY623" s="73"/>
      <c r="DZ623" s="73"/>
      <c r="EA623" s="73"/>
      <c r="EB623" s="73"/>
      <c r="EC623" s="73"/>
      <c r="ED623" s="73"/>
      <c r="EE623" s="73"/>
      <c r="EF623" s="73"/>
      <c r="FJ623" s="73"/>
      <c r="FK623" s="73"/>
      <c r="FL623" s="73"/>
      <c r="FM623" s="73"/>
      <c r="FN623" s="73"/>
      <c r="FO623" s="73"/>
      <c r="FP623" s="73"/>
      <c r="FQ623" s="73"/>
      <c r="FR623" s="73"/>
      <c r="FS623" s="73"/>
      <c r="FT623" s="73"/>
      <c r="FU623" s="73"/>
      <c r="FV623" s="73"/>
      <c r="FW623" s="73"/>
      <c r="FX623" s="73"/>
      <c r="GO623" s="73"/>
      <c r="GP623" s="73"/>
      <c r="HE623" s="73"/>
      <c r="HU623" s="73"/>
      <c r="HV623" s="182"/>
    </row>
    <row r="624" spans="1:230" x14ac:dyDescent="0.25">
      <c r="A624" s="30"/>
      <c r="B624" s="30"/>
      <c r="C624" s="30"/>
      <c r="D624" s="30"/>
      <c r="G624" s="30"/>
      <c r="H624" s="30"/>
      <c r="I624" s="30"/>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c r="CA624" s="73"/>
      <c r="CB624" s="73"/>
      <c r="CC624" s="73"/>
      <c r="CD624" s="73"/>
      <c r="CE624" s="73"/>
      <c r="CF624" s="73"/>
      <c r="CG624" s="73"/>
      <c r="CH624" s="73"/>
      <c r="CI624" s="73"/>
      <c r="CJ624" s="73"/>
      <c r="CK624" s="73"/>
      <c r="CL624" s="73"/>
      <c r="CM624" s="73"/>
      <c r="CN624" s="73"/>
      <c r="CO624" s="73"/>
      <c r="CP624" s="73"/>
      <c r="CQ624" s="73"/>
      <c r="CR624" s="73"/>
      <c r="CS624" s="73"/>
      <c r="CT624" s="73"/>
      <c r="CU624" s="73"/>
      <c r="CV624" s="73"/>
      <c r="CW624" s="73"/>
      <c r="CX624" s="73"/>
      <c r="CY624" s="73"/>
      <c r="CZ624" s="73"/>
      <c r="DA624" s="73"/>
      <c r="DB624" s="73"/>
      <c r="DC624" s="73"/>
      <c r="DD624" s="73"/>
      <c r="DE624" s="73"/>
      <c r="DF624" s="73"/>
      <c r="DG624" s="73"/>
      <c r="DH624" s="73"/>
      <c r="DI624" s="73"/>
      <c r="DJ624" s="73"/>
      <c r="DK624" s="73"/>
      <c r="DL624" s="73"/>
      <c r="DM624" s="73"/>
      <c r="DN624" s="73"/>
      <c r="DO624" s="73"/>
      <c r="DP624" s="73"/>
      <c r="DQ624" s="73"/>
      <c r="DR624" s="73"/>
      <c r="DS624" s="73"/>
      <c r="DT624" s="73"/>
      <c r="DU624" s="73"/>
      <c r="DV624" s="73"/>
      <c r="DW624" s="73"/>
      <c r="DX624" s="73"/>
      <c r="DY624" s="73"/>
      <c r="DZ624" s="73"/>
      <c r="EA624" s="73"/>
      <c r="EB624" s="73"/>
      <c r="EC624" s="73"/>
      <c r="ED624" s="73"/>
      <c r="EE624" s="73"/>
      <c r="EF624" s="73"/>
      <c r="FJ624" s="73"/>
      <c r="FK624" s="73"/>
      <c r="FL624" s="73"/>
      <c r="FM624" s="73"/>
      <c r="FN624" s="73"/>
      <c r="FO624" s="73"/>
      <c r="FP624" s="73"/>
      <c r="FQ624" s="73"/>
      <c r="FR624" s="73"/>
      <c r="FS624" s="73"/>
      <c r="FT624" s="73"/>
      <c r="FU624" s="73"/>
      <c r="FV624" s="73"/>
      <c r="FW624" s="73"/>
      <c r="FX624" s="73"/>
      <c r="GO624" s="73"/>
      <c r="GP624" s="73"/>
      <c r="HE624" s="73"/>
      <c r="HU624" s="73"/>
      <c r="HV624" s="182"/>
    </row>
    <row r="625" spans="1:230" x14ac:dyDescent="0.25">
      <c r="A625" s="30"/>
      <c r="B625" s="30"/>
      <c r="C625" s="30"/>
      <c r="D625" s="30"/>
      <c r="G625" s="30"/>
      <c r="H625" s="30"/>
      <c r="I625" s="30"/>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c r="CA625" s="73"/>
      <c r="CB625" s="73"/>
      <c r="CC625" s="73"/>
      <c r="CD625" s="73"/>
      <c r="CE625" s="73"/>
      <c r="CF625" s="73"/>
      <c r="CG625" s="73"/>
      <c r="CH625" s="73"/>
      <c r="CI625" s="73"/>
      <c r="CJ625" s="73"/>
      <c r="CK625" s="73"/>
      <c r="CL625" s="73"/>
      <c r="CM625" s="73"/>
      <c r="CN625" s="73"/>
      <c r="CO625" s="73"/>
      <c r="CP625" s="73"/>
      <c r="CQ625" s="73"/>
      <c r="CR625" s="73"/>
      <c r="CS625" s="73"/>
      <c r="CT625" s="73"/>
      <c r="CU625" s="73"/>
      <c r="CV625" s="73"/>
      <c r="CW625" s="73"/>
      <c r="CX625" s="73"/>
      <c r="CY625" s="73"/>
      <c r="CZ625" s="73"/>
      <c r="DA625" s="73"/>
      <c r="DB625" s="73"/>
      <c r="DC625" s="73"/>
      <c r="DD625" s="73"/>
      <c r="DE625" s="73"/>
      <c r="DF625" s="73"/>
      <c r="DG625" s="73"/>
      <c r="DH625" s="73"/>
      <c r="DI625" s="73"/>
      <c r="DJ625" s="73"/>
      <c r="DK625" s="73"/>
      <c r="DL625" s="73"/>
      <c r="DM625" s="73"/>
      <c r="DN625" s="73"/>
      <c r="DO625" s="73"/>
      <c r="DP625" s="73"/>
      <c r="DQ625" s="73"/>
      <c r="DR625" s="73"/>
      <c r="DS625" s="73"/>
      <c r="DT625" s="73"/>
      <c r="DU625" s="73"/>
      <c r="DV625" s="73"/>
      <c r="DW625" s="73"/>
      <c r="DX625" s="73"/>
      <c r="DY625" s="73"/>
      <c r="DZ625" s="73"/>
      <c r="EA625" s="73"/>
      <c r="EB625" s="73"/>
      <c r="EC625" s="73"/>
      <c r="ED625" s="73"/>
      <c r="EE625" s="73"/>
      <c r="EF625" s="73"/>
      <c r="FJ625" s="73"/>
      <c r="FK625" s="73"/>
      <c r="FL625" s="73"/>
      <c r="FM625" s="73"/>
      <c r="FN625" s="73"/>
      <c r="FO625" s="73"/>
      <c r="FP625" s="73"/>
      <c r="FQ625" s="73"/>
      <c r="FR625" s="73"/>
      <c r="FS625" s="73"/>
      <c r="FT625" s="73"/>
      <c r="FU625" s="73"/>
      <c r="FV625" s="73"/>
      <c r="FW625" s="73"/>
      <c r="FX625" s="73"/>
      <c r="GO625" s="73"/>
      <c r="GP625" s="73"/>
      <c r="HE625" s="73"/>
      <c r="HU625" s="73"/>
      <c r="HV625" s="182"/>
    </row>
    <row r="626" spans="1:230" x14ac:dyDescent="0.25">
      <c r="A626" s="30"/>
      <c r="B626" s="30"/>
      <c r="C626" s="30"/>
      <c r="D626" s="30"/>
      <c r="G626" s="30"/>
      <c r="H626" s="30"/>
      <c r="I626" s="30"/>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c r="CA626" s="73"/>
      <c r="CB626" s="73"/>
      <c r="CC626" s="73"/>
      <c r="CD626" s="73"/>
      <c r="CE626" s="73"/>
      <c r="CF626" s="73"/>
      <c r="CG626" s="73"/>
      <c r="CH626" s="73"/>
      <c r="CI626" s="73"/>
      <c r="CJ626" s="73"/>
      <c r="CK626" s="73"/>
      <c r="CL626" s="73"/>
      <c r="CM626" s="73"/>
      <c r="CN626" s="73"/>
      <c r="CO626" s="73"/>
      <c r="CP626" s="73"/>
      <c r="CQ626" s="73"/>
      <c r="CR626" s="73"/>
      <c r="CS626" s="73"/>
      <c r="CT626" s="73"/>
      <c r="CU626" s="73"/>
      <c r="CV626" s="73"/>
      <c r="CW626" s="73"/>
      <c r="CX626" s="73"/>
      <c r="CY626" s="73"/>
      <c r="CZ626" s="73"/>
      <c r="DA626" s="73"/>
      <c r="DB626" s="73"/>
      <c r="DC626" s="73"/>
      <c r="DD626" s="73"/>
      <c r="DE626" s="73"/>
      <c r="DF626" s="73"/>
      <c r="DG626" s="73"/>
      <c r="DH626" s="73"/>
      <c r="DI626" s="73"/>
      <c r="DJ626" s="73"/>
      <c r="DK626" s="73"/>
      <c r="DL626" s="73"/>
      <c r="DM626" s="73"/>
      <c r="DN626" s="73"/>
      <c r="DO626" s="73"/>
      <c r="DP626" s="73"/>
      <c r="DQ626" s="73"/>
      <c r="DR626" s="73"/>
      <c r="DS626" s="73"/>
      <c r="DT626" s="73"/>
      <c r="DU626" s="73"/>
      <c r="DV626" s="73"/>
      <c r="DW626" s="73"/>
      <c r="DX626" s="73"/>
      <c r="DY626" s="73"/>
      <c r="DZ626" s="73"/>
      <c r="EA626" s="73"/>
      <c r="EB626" s="73"/>
      <c r="EC626" s="73"/>
      <c r="ED626" s="73"/>
      <c r="EE626" s="73"/>
      <c r="EF626" s="73"/>
      <c r="FJ626" s="73"/>
      <c r="FK626" s="73"/>
      <c r="FL626" s="73"/>
      <c r="FM626" s="73"/>
      <c r="FN626" s="73"/>
      <c r="FO626" s="73"/>
      <c r="FP626" s="73"/>
      <c r="FQ626" s="73"/>
      <c r="FR626" s="73"/>
      <c r="FS626" s="73"/>
      <c r="FT626" s="73"/>
      <c r="FU626" s="73"/>
      <c r="FV626" s="73"/>
      <c r="FW626" s="73"/>
      <c r="FX626" s="73"/>
      <c r="GO626" s="73"/>
      <c r="GP626" s="73"/>
      <c r="HE626" s="73"/>
      <c r="HU626" s="73"/>
      <c r="HV626" s="182"/>
    </row>
    <row r="627" spans="1:230" x14ac:dyDescent="0.25">
      <c r="A627" s="30"/>
      <c r="B627" s="30"/>
      <c r="C627" s="30"/>
      <c r="D627" s="30"/>
      <c r="G627" s="30"/>
      <c r="H627" s="30"/>
      <c r="I627" s="30"/>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c r="CA627" s="73"/>
      <c r="CB627" s="73"/>
      <c r="CC627" s="73"/>
      <c r="CD627" s="73"/>
      <c r="CE627" s="73"/>
      <c r="CF627" s="73"/>
      <c r="CG627" s="73"/>
      <c r="CH627" s="73"/>
      <c r="CI627" s="73"/>
      <c r="CJ627" s="73"/>
      <c r="CK627" s="73"/>
      <c r="CL627" s="73"/>
      <c r="CM627" s="73"/>
      <c r="CN627" s="73"/>
      <c r="CO627" s="73"/>
      <c r="CP627" s="73"/>
      <c r="CQ627" s="73"/>
      <c r="CR627" s="73"/>
      <c r="CS627" s="73"/>
      <c r="CT627" s="73"/>
      <c r="CU627" s="73"/>
      <c r="CV627" s="73"/>
      <c r="CW627" s="73"/>
      <c r="CX627" s="73"/>
      <c r="CY627" s="73"/>
      <c r="CZ627" s="73"/>
      <c r="DA627" s="73"/>
      <c r="DB627" s="73"/>
      <c r="DC627" s="73"/>
      <c r="DD627" s="73"/>
      <c r="DE627" s="73"/>
      <c r="DF627" s="73"/>
      <c r="DG627" s="73"/>
      <c r="DH627" s="73"/>
      <c r="DI627" s="73"/>
      <c r="DJ627" s="73"/>
      <c r="DK627" s="73"/>
      <c r="DL627" s="73"/>
      <c r="DM627" s="73"/>
      <c r="DN627" s="73"/>
      <c r="DO627" s="73"/>
      <c r="DP627" s="73"/>
      <c r="DQ627" s="73"/>
      <c r="DR627" s="73"/>
      <c r="DS627" s="73"/>
      <c r="DT627" s="73"/>
      <c r="DU627" s="73"/>
      <c r="DV627" s="73"/>
      <c r="DW627" s="73"/>
      <c r="DX627" s="73"/>
      <c r="DY627" s="73"/>
      <c r="DZ627" s="73"/>
      <c r="EA627" s="73"/>
      <c r="EB627" s="73"/>
      <c r="EC627" s="73"/>
      <c r="ED627" s="73"/>
      <c r="EE627" s="73"/>
      <c r="EF627" s="73"/>
      <c r="FJ627" s="73"/>
      <c r="FK627" s="73"/>
      <c r="FL627" s="73"/>
      <c r="FM627" s="73"/>
      <c r="FN627" s="73"/>
      <c r="FO627" s="73"/>
      <c r="FP627" s="73"/>
      <c r="FQ627" s="73"/>
      <c r="FR627" s="73"/>
      <c r="FS627" s="73"/>
      <c r="FT627" s="73"/>
      <c r="FU627" s="73"/>
      <c r="FV627" s="73"/>
      <c r="FW627" s="73"/>
      <c r="FX627" s="73"/>
      <c r="GO627" s="73"/>
      <c r="GP627" s="73"/>
      <c r="HE627" s="73"/>
      <c r="HU627" s="73"/>
      <c r="HV627" s="182"/>
    </row>
    <row r="628" spans="1:230" x14ac:dyDescent="0.25">
      <c r="A628" s="30"/>
      <c r="B628" s="30"/>
      <c r="C628" s="30"/>
      <c r="D628" s="30"/>
      <c r="G628" s="30"/>
      <c r="H628" s="30"/>
      <c r="I628" s="30"/>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c r="CA628" s="73"/>
      <c r="CB628" s="73"/>
      <c r="CC628" s="73"/>
      <c r="CD628" s="73"/>
      <c r="CE628" s="73"/>
      <c r="CF628" s="73"/>
      <c r="CG628" s="73"/>
      <c r="CH628" s="73"/>
      <c r="CI628" s="73"/>
      <c r="CJ628" s="73"/>
      <c r="CK628" s="73"/>
      <c r="CL628" s="73"/>
      <c r="CM628" s="73"/>
      <c r="CN628" s="73"/>
      <c r="CO628" s="73"/>
      <c r="CP628" s="73"/>
      <c r="CQ628" s="73"/>
      <c r="CR628" s="73"/>
      <c r="CS628" s="73"/>
      <c r="CT628" s="73"/>
      <c r="CU628" s="73"/>
      <c r="CV628" s="73"/>
      <c r="CW628" s="73"/>
      <c r="CX628" s="73"/>
      <c r="CY628" s="73"/>
      <c r="CZ628" s="73"/>
      <c r="DA628" s="73"/>
      <c r="DB628" s="73"/>
      <c r="DC628" s="73"/>
      <c r="DD628" s="73"/>
      <c r="DE628" s="73"/>
      <c r="DF628" s="73"/>
      <c r="DG628" s="73"/>
      <c r="DH628" s="73"/>
      <c r="DI628" s="73"/>
      <c r="DJ628" s="73"/>
      <c r="DK628" s="73"/>
      <c r="DL628" s="73"/>
      <c r="DM628" s="73"/>
      <c r="DN628" s="73"/>
      <c r="DO628" s="73"/>
      <c r="DP628" s="73"/>
      <c r="DQ628" s="73"/>
      <c r="DR628" s="73"/>
      <c r="DS628" s="73"/>
      <c r="DT628" s="73"/>
      <c r="DU628" s="73"/>
      <c r="DV628" s="73"/>
      <c r="DW628" s="73"/>
      <c r="DX628" s="73"/>
      <c r="DY628" s="73"/>
      <c r="DZ628" s="73"/>
      <c r="EA628" s="73"/>
      <c r="EB628" s="73"/>
      <c r="EC628" s="73"/>
      <c r="ED628" s="73"/>
      <c r="EE628" s="73"/>
      <c r="EF628" s="73"/>
      <c r="FJ628" s="73"/>
      <c r="FK628" s="73"/>
      <c r="FL628" s="73"/>
      <c r="FM628" s="73"/>
      <c r="FN628" s="73"/>
      <c r="FO628" s="73"/>
      <c r="FP628" s="73"/>
      <c r="FQ628" s="73"/>
      <c r="FR628" s="73"/>
      <c r="FS628" s="73"/>
      <c r="FT628" s="73"/>
      <c r="FU628" s="73"/>
      <c r="FV628" s="73"/>
      <c r="FW628" s="73"/>
      <c r="FX628" s="73"/>
      <c r="GO628" s="73"/>
      <c r="GP628" s="73"/>
      <c r="HE628" s="73"/>
      <c r="HU628" s="73"/>
      <c r="HV628" s="182"/>
    </row>
    <row r="629" spans="1:230" x14ac:dyDescent="0.25">
      <c r="A629" s="30"/>
      <c r="B629" s="30"/>
      <c r="C629" s="30"/>
      <c r="D629" s="30"/>
      <c r="G629" s="30"/>
      <c r="H629" s="30"/>
      <c r="I629" s="30"/>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c r="CA629" s="73"/>
      <c r="CB629" s="73"/>
      <c r="CC629" s="73"/>
      <c r="CD629" s="73"/>
      <c r="CE629" s="73"/>
      <c r="CF629" s="73"/>
      <c r="CG629" s="73"/>
      <c r="CH629" s="73"/>
      <c r="CI629" s="73"/>
      <c r="CJ629" s="73"/>
      <c r="CK629" s="73"/>
      <c r="CL629" s="73"/>
      <c r="CM629" s="73"/>
      <c r="CN629" s="73"/>
      <c r="CO629" s="73"/>
      <c r="CP629" s="73"/>
      <c r="CQ629" s="73"/>
      <c r="CR629" s="73"/>
      <c r="CS629" s="73"/>
      <c r="CT629" s="73"/>
      <c r="CU629" s="73"/>
      <c r="CV629" s="73"/>
      <c r="CW629" s="73"/>
      <c r="CX629" s="73"/>
      <c r="CY629" s="73"/>
      <c r="CZ629" s="73"/>
      <c r="DA629" s="73"/>
      <c r="DB629" s="73"/>
      <c r="DC629" s="73"/>
      <c r="DD629" s="73"/>
      <c r="DE629" s="73"/>
      <c r="DF629" s="73"/>
      <c r="DG629" s="73"/>
      <c r="DH629" s="73"/>
      <c r="DI629" s="73"/>
      <c r="DJ629" s="73"/>
      <c r="DK629" s="73"/>
      <c r="DL629" s="73"/>
      <c r="DM629" s="73"/>
      <c r="DN629" s="73"/>
      <c r="DO629" s="73"/>
      <c r="DP629" s="73"/>
      <c r="DQ629" s="73"/>
      <c r="DR629" s="73"/>
      <c r="DS629" s="73"/>
      <c r="DT629" s="73"/>
      <c r="DU629" s="73"/>
      <c r="DV629" s="73"/>
      <c r="DW629" s="73"/>
      <c r="DX629" s="73"/>
      <c r="DY629" s="73"/>
      <c r="DZ629" s="73"/>
      <c r="EA629" s="73"/>
      <c r="EB629" s="73"/>
      <c r="EC629" s="73"/>
      <c r="ED629" s="73"/>
      <c r="EE629" s="73"/>
      <c r="EF629" s="73"/>
      <c r="FJ629" s="73"/>
      <c r="FK629" s="73"/>
      <c r="FL629" s="73"/>
      <c r="FM629" s="73"/>
      <c r="FN629" s="73"/>
      <c r="FO629" s="73"/>
      <c r="FP629" s="73"/>
      <c r="FQ629" s="73"/>
      <c r="FR629" s="73"/>
      <c r="FS629" s="73"/>
      <c r="FT629" s="73"/>
      <c r="FU629" s="73"/>
      <c r="FV629" s="73"/>
      <c r="FW629" s="73"/>
      <c r="FX629" s="73"/>
      <c r="GO629" s="73"/>
      <c r="GP629" s="73"/>
      <c r="HE629" s="73"/>
      <c r="HU629" s="73"/>
      <c r="HV629" s="182"/>
    </row>
    <row r="630" spans="1:230" x14ac:dyDescent="0.25">
      <c r="A630" s="30"/>
      <c r="B630" s="30"/>
      <c r="C630" s="30"/>
      <c r="D630" s="30"/>
      <c r="G630" s="30"/>
      <c r="H630" s="30"/>
      <c r="I630" s="30"/>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c r="CA630" s="73"/>
      <c r="CB630" s="73"/>
      <c r="CC630" s="73"/>
      <c r="CD630" s="73"/>
      <c r="CE630" s="73"/>
      <c r="CF630" s="73"/>
      <c r="CG630" s="73"/>
      <c r="CH630" s="73"/>
      <c r="CI630" s="73"/>
      <c r="CJ630" s="73"/>
      <c r="CK630" s="73"/>
      <c r="CL630" s="73"/>
      <c r="CM630" s="73"/>
      <c r="CN630" s="73"/>
      <c r="CO630" s="73"/>
      <c r="CP630" s="73"/>
      <c r="CQ630" s="73"/>
      <c r="CR630" s="73"/>
      <c r="CS630" s="73"/>
      <c r="CT630" s="73"/>
      <c r="CU630" s="73"/>
      <c r="CV630" s="73"/>
      <c r="CW630" s="73"/>
      <c r="CX630" s="73"/>
      <c r="CY630" s="73"/>
      <c r="CZ630" s="73"/>
      <c r="DA630" s="73"/>
      <c r="DB630" s="73"/>
      <c r="DC630" s="73"/>
      <c r="DD630" s="73"/>
      <c r="DE630" s="73"/>
      <c r="DF630" s="73"/>
      <c r="DG630" s="73"/>
      <c r="DH630" s="73"/>
      <c r="DI630" s="73"/>
      <c r="DJ630" s="73"/>
      <c r="DK630" s="73"/>
      <c r="DL630" s="73"/>
      <c r="DM630" s="73"/>
      <c r="DN630" s="73"/>
      <c r="DO630" s="73"/>
      <c r="DP630" s="73"/>
      <c r="DQ630" s="73"/>
      <c r="DR630" s="73"/>
      <c r="DS630" s="73"/>
      <c r="DT630" s="73"/>
      <c r="DU630" s="73"/>
      <c r="DV630" s="73"/>
      <c r="DW630" s="73"/>
      <c r="DX630" s="73"/>
      <c r="DY630" s="73"/>
      <c r="DZ630" s="73"/>
      <c r="EA630" s="73"/>
      <c r="EB630" s="73"/>
      <c r="EC630" s="73"/>
      <c r="ED630" s="73"/>
      <c r="EE630" s="73"/>
      <c r="EF630" s="73"/>
      <c r="FJ630" s="73"/>
      <c r="FK630" s="73"/>
      <c r="FL630" s="73"/>
      <c r="FM630" s="73"/>
      <c r="FN630" s="73"/>
      <c r="FO630" s="73"/>
      <c r="FP630" s="73"/>
      <c r="FQ630" s="73"/>
      <c r="FR630" s="73"/>
      <c r="FS630" s="73"/>
      <c r="FT630" s="73"/>
      <c r="FU630" s="73"/>
      <c r="FV630" s="73"/>
      <c r="FW630" s="73"/>
      <c r="FX630" s="73"/>
      <c r="GO630" s="73"/>
      <c r="GP630" s="73"/>
      <c r="HE630" s="73"/>
      <c r="HU630" s="73"/>
      <c r="HV630" s="182"/>
    </row>
    <row r="631" spans="1:230" x14ac:dyDescent="0.25">
      <c r="A631" s="30"/>
      <c r="B631" s="30"/>
      <c r="C631" s="30"/>
      <c r="D631" s="30"/>
      <c r="G631" s="30"/>
      <c r="H631" s="30"/>
      <c r="I631" s="30"/>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c r="CA631" s="73"/>
      <c r="CB631" s="73"/>
      <c r="CC631" s="73"/>
      <c r="CD631" s="73"/>
      <c r="CE631" s="73"/>
      <c r="CF631" s="73"/>
      <c r="CG631" s="73"/>
      <c r="CH631" s="73"/>
      <c r="CI631" s="73"/>
      <c r="CJ631" s="73"/>
      <c r="CK631" s="73"/>
      <c r="CL631" s="73"/>
      <c r="CM631" s="73"/>
      <c r="CN631" s="73"/>
      <c r="CO631" s="73"/>
      <c r="CP631" s="73"/>
      <c r="CQ631" s="73"/>
      <c r="CR631" s="73"/>
      <c r="CS631" s="73"/>
      <c r="CT631" s="73"/>
      <c r="CU631" s="73"/>
      <c r="CV631" s="73"/>
      <c r="CW631" s="73"/>
      <c r="CX631" s="73"/>
      <c r="CY631" s="73"/>
      <c r="CZ631" s="73"/>
      <c r="DA631" s="73"/>
      <c r="DB631" s="73"/>
      <c r="DC631" s="73"/>
      <c r="DD631" s="73"/>
      <c r="DE631" s="73"/>
      <c r="DF631" s="73"/>
      <c r="DG631" s="73"/>
      <c r="DH631" s="73"/>
      <c r="DI631" s="73"/>
      <c r="DJ631" s="73"/>
      <c r="DK631" s="73"/>
      <c r="DL631" s="73"/>
      <c r="DM631" s="73"/>
      <c r="DN631" s="73"/>
      <c r="DO631" s="73"/>
      <c r="DP631" s="73"/>
      <c r="DQ631" s="73"/>
      <c r="DR631" s="73"/>
      <c r="DS631" s="73"/>
      <c r="DT631" s="73"/>
      <c r="DU631" s="73"/>
      <c r="DV631" s="73"/>
      <c r="DW631" s="73"/>
      <c r="DX631" s="73"/>
      <c r="DY631" s="73"/>
      <c r="DZ631" s="73"/>
      <c r="EA631" s="73"/>
      <c r="EB631" s="73"/>
      <c r="EC631" s="73"/>
      <c r="ED631" s="73"/>
      <c r="EE631" s="73"/>
      <c r="EF631" s="73"/>
      <c r="FJ631" s="73"/>
      <c r="FK631" s="73"/>
      <c r="FL631" s="73"/>
      <c r="FM631" s="73"/>
      <c r="FN631" s="73"/>
      <c r="FO631" s="73"/>
      <c r="FP631" s="73"/>
      <c r="FQ631" s="73"/>
      <c r="FR631" s="73"/>
      <c r="FS631" s="73"/>
      <c r="FT631" s="73"/>
      <c r="FU631" s="73"/>
      <c r="FV631" s="73"/>
      <c r="FW631" s="73"/>
      <c r="FX631" s="73"/>
      <c r="GO631" s="73"/>
      <c r="GP631" s="73"/>
      <c r="HE631" s="73"/>
      <c r="HU631" s="73"/>
      <c r="HV631" s="182"/>
    </row>
    <row r="632" spans="1:230" x14ac:dyDescent="0.25">
      <c r="A632" s="30"/>
      <c r="B632" s="30"/>
      <c r="C632" s="30"/>
      <c r="D632" s="30"/>
      <c r="G632" s="30"/>
      <c r="H632" s="30"/>
      <c r="I632" s="30"/>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c r="CA632" s="73"/>
      <c r="CB632" s="73"/>
      <c r="CC632" s="73"/>
      <c r="CD632" s="73"/>
      <c r="CE632" s="73"/>
      <c r="CF632" s="73"/>
      <c r="CG632" s="73"/>
      <c r="CH632" s="73"/>
      <c r="CI632" s="73"/>
      <c r="CJ632" s="73"/>
      <c r="CK632" s="73"/>
      <c r="CL632" s="73"/>
      <c r="CM632" s="73"/>
      <c r="CN632" s="73"/>
      <c r="CO632" s="73"/>
      <c r="CP632" s="73"/>
      <c r="CQ632" s="73"/>
      <c r="CR632" s="73"/>
      <c r="CS632" s="73"/>
      <c r="CT632" s="73"/>
      <c r="CU632" s="73"/>
      <c r="CV632" s="73"/>
      <c r="CW632" s="73"/>
      <c r="CX632" s="73"/>
      <c r="CY632" s="73"/>
      <c r="CZ632" s="73"/>
      <c r="DA632" s="73"/>
      <c r="DB632" s="73"/>
      <c r="DC632" s="73"/>
      <c r="DD632" s="73"/>
      <c r="DE632" s="73"/>
      <c r="DF632" s="73"/>
      <c r="DG632" s="73"/>
      <c r="DH632" s="73"/>
      <c r="DI632" s="73"/>
      <c r="DJ632" s="73"/>
      <c r="DK632" s="73"/>
      <c r="DL632" s="73"/>
      <c r="DM632" s="73"/>
      <c r="DN632" s="73"/>
      <c r="DO632" s="73"/>
      <c r="DP632" s="73"/>
      <c r="DQ632" s="73"/>
      <c r="DR632" s="73"/>
      <c r="DS632" s="73"/>
      <c r="DT632" s="73"/>
      <c r="DU632" s="73"/>
      <c r="DV632" s="73"/>
      <c r="DW632" s="73"/>
      <c r="DX632" s="73"/>
      <c r="DY632" s="73"/>
      <c r="DZ632" s="73"/>
      <c r="EA632" s="73"/>
      <c r="EB632" s="73"/>
      <c r="EC632" s="73"/>
      <c r="ED632" s="73"/>
      <c r="EE632" s="73"/>
      <c r="EF632" s="73"/>
      <c r="FJ632" s="73"/>
      <c r="FK632" s="73"/>
      <c r="FL632" s="73"/>
      <c r="FM632" s="73"/>
      <c r="FN632" s="73"/>
      <c r="FO632" s="73"/>
      <c r="FP632" s="73"/>
      <c r="FQ632" s="73"/>
      <c r="FR632" s="73"/>
      <c r="FS632" s="73"/>
      <c r="FT632" s="73"/>
      <c r="FU632" s="73"/>
      <c r="FV632" s="73"/>
      <c r="FW632" s="73"/>
      <c r="FX632" s="73"/>
      <c r="GO632" s="73"/>
      <c r="GP632" s="73"/>
      <c r="HE632" s="73"/>
      <c r="HU632" s="73"/>
      <c r="HV632" s="182"/>
    </row>
    <row r="633" spans="1:230" x14ac:dyDescent="0.25">
      <c r="A633" s="30"/>
      <c r="B633" s="30"/>
      <c r="C633" s="30"/>
      <c r="D633" s="30"/>
      <c r="G633" s="30"/>
      <c r="H633" s="30"/>
      <c r="I633" s="30"/>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c r="CA633" s="73"/>
      <c r="CB633" s="73"/>
      <c r="CC633" s="73"/>
      <c r="CD633" s="73"/>
      <c r="CE633" s="73"/>
      <c r="CF633" s="73"/>
      <c r="CG633" s="73"/>
      <c r="CH633" s="73"/>
      <c r="CI633" s="73"/>
      <c r="CJ633" s="73"/>
      <c r="CK633" s="73"/>
      <c r="CL633" s="73"/>
      <c r="CM633" s="73"/>
      <c r="CN633" s="73"/>
      <c r="CO633" s="73"/>
      <c r="CP633" s="73"/>
      <c r="CQ633" s="73"/>
      <c r="CR633" s="73"/>
      <c r="CS633" s="73"/>
      <c r="CT633" s="73"/>
      <c r="CU633" s="73"/>
      <c r="CV633" s="73"/>
      <c r="CW633" s="73"/>
      <c r="CX633" s="73"/>
      <c r="CY633" s="73"/>
      <c r="CZ633" s="73"/>
      <c r="DA633" s="73"/>
      <c r="DB633" s="73"/>
      <c r="DC633" s="73"/>
      <c r="DD633" s="73"/>
      <c r="DE633" s="73"/>
      <c r="DF633" s="73"/>
      <c r="DG633" s="73"/>
      <c r="DH633" s="73"/>
      <c r="DI633" s="73"/>
      <c r="DJ633" s="73"/>
      <c r="DK633" s="73"/>
      <c r="DL633" s="73"/>
      <c r="DM633" s="73"/>
      <c r="DN633" s="73"/>
      <c r="DO633" s="73"/>
      <c r="DP633" s="73"/>
      <c r="DQ633" s="73"/>
      <c r="DR633" s="73"/>
      <c r="DS633" s="73"/>
      <c r="DT633" s="73"/>
      <c r="DU633" s="73"/>
      <c r="DV633" s="73"/>
      <c r="DW633" s="73"/>
      <c r="DX633" s="73"/>
      <c r="DY633" s="73"/>
      <c r="DZ633" s="73"/>
      <c r="EA633" s="73"/>
      <c r="EB633" s="73"/>
      <c r="EC633" s="73"/>
      <c r="ED633" s="73"/>
      <c r="EE633" s="73"/>
      <c r="EF633" s="73"/>
      <c r="FJ633" s="73"/>
      <c r="FK633" s="73"/>
      <c r="FL633" s="73"/>
      <c r="FM633" s="73"/>
      <c r="FN633" s="73"/>
      <c r="FO633" s="73"/>
      <c r="FP633" s="73"/>
      <c r="FQ633" s="73"/>
      <c r="FR633" s="73"/>
      <c r="FS633" s="73"/>
      <c r="FT633" s="73"/>
      <c r="FU633" s="73"/>
      <c r="FV633" s="73"/>
      <c r="FW633" s="73"/>
      <c r="FX633" s="73"/>
      <c r="GO633" s="73"/>
      <c r="GP633" s="73"/>
      <c r="HE633" s="73"/>
      <c r="HU633" s="73"/>
      <c r="HV633" s="182"/>
    </row>
    <row r="634" spans="1:230" x14ac:dyDescent="0.25">
      <c r="A634" s="30"/>
      <c r="B634" s="30"/>
      <c r="C634" s="30"/>
      <c r="D634" s="30"/>
      <c r="G634" s="30"/>
      <c r="H634" s="30"/>
      <c r="I634" s="30"/>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c r="CC634" s="73"/>
      <c r="CD634" s="73"/>
      <c r="CE634" s="73"/>
      <c r="CF634" s="73"/>
      <c r="CG634" s="73"/>
      <c r="CH634" s="73"/>
      <c r="CI634" s="73"/>
      <c r="CJ634" s="73"/>
      <c r="CK634" s="73"/>
      <c r="CL634" s="73"/>
      <c r="CM634" s="73"/>
      <c r="CN634" s="73"/>
      <c r="CO634" s="73"/>
      <c r="CP634" s="73"/>
      <c r="CQ634" s="73"/>
      <c r="CR634" s="73"/>
      <c r="CS634" s="73"/>
      <c r="CT634" s="73"/>
      <c r="CU634" s="73"/>
      <c r="CV634" s="73"/>
      <c r="CW634" s="73"/>
      <c r="CX634" s="73"/>
      <c r="CY634" s="73"/>
      <c r="CZ634" s="73"/>
      <c r="DA634" s="73"/>
      <c r="DB634" s="73"/>
      <c r="DC634" s="73"/>
      <c r="DD634" s="73"/>
      <c r="DE634" s="73"/>
      <c r="DF634" s="73"/>
      <c r="DG634" s="73"/>
      <c r="DH634" s="73"/>
      <c r="DI634" s="73"/>
      <c r="DJ634" s="73"/>
      <c r="DK634" s="73"/>
      <c r="DL634" s="73"/>
      <c r="DM634" s="73"/>
      <c r="DN634" s="73"/>
      <c r="DO634" s="73"/>
      <c r="DP634" s="73"/>
      <c r="DQ634" s="73"/>
      <c r="DR634" s="73"/>
      <c r="DS634" s="73"/>
      <c r="DT634" s="73"/>
      <c r="DU634" s="73"/>
      <c r="DV634" s="73"/>
      <c r="DW634" s="73"/>
      <c r="DX634" s="73"/>
      <c r="DY634" s="73"/>
      <c r="DZ634" s="73"/>
      <c r="EA634" s="73"/>
      <c r="EB634" s="73"/>
      <c r="EC634" s="73"/>
      <c r="ED634" s="73"/>
      <c r="EE634" s="73"/>
      <c r="EF634" s="73"/>
      <c r="FJ634" s="73"/>
      <c r="FK634" s="73"/>
      <c r="FL634" s="73"/>
      <c r="FM634" s="73"/>
      <c r="FN634" s="73"/>
      <c r="FO634" s="73"/>
      <c r="FP634" s="73"/>
      <c r="FQ634" s="73"/>
      <c r="FR634" s="73"/>
      <c r="FS634" s="73"/>
      <c r="FT634" s="73"/>
      <c r="FU634" s="73"/>
      <c r="FV634" s="73"/>
      <c r="FW634" s="73"/>
      <c r="FX634" s="73"/>
      <c r="GO634" s="73"/>
      <c r="GP634" s="73"/>
      <c r="HE634" s="73"/>
      <c r="HU634" s="73"/>
      <c r="HV634" s="182"/>
    </row>
    <row r="635" spans="1:230" x14ac:dyDescent="0.25">
      <c r="A635" s="30"/>
      <c r="B635" s="30"/>
      <c r="C635" s="30"/>
      <c r="D635" s="30"/>
      <c r="G635" s="30"/>
      <c r="H635" s="30"/>
      <c r="I635" s="30"/>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c r="CA635" s="73"/>
      <c r="CB635" s="73"/>
      <c r="CC635" s="73"/>
      <c r="CD635" s="73"/>
      <c r="CE635" s="73"/>
      <c r="CF635" s="73"/>
      <c r="CG635" s="73"/>
      <c r="CH635" s="73"/>
      <c r="CI635" s="73"/>
      <c r="CJ635" s="73"/>
      <c r="CK635" s="73"/>
      <c r="CL635" s="73"/>
      <c r="CM635" s="73"/>
      <c r="CN635" s="73"/>
      <c r="CO635" s="73"/>
      <c r="CP635" s="73"/>
      <c r="CQ635" s="73"/>
      <c r="CR635" s="73"/>
      <c r="CS635" s="73"/>
      <c r="CT635" s="73"/>
      <c r="CU635" s="73"/>
      <c r="CV635" s="73"/>
      <c r="CW635" s="73"/>
      <c r="CX635" s="73"/>
      <c r="CY635" s="73"/>
      <c r="CZ635" s="73"/>
      <c r="DA635" s="73"/>
      <c r="DB635" s="73"/>
      <c r="DC635" s="73"/>
      <c r="DD635" s="73"/>
      <c r="DE635" s="73"/>
      <c r="DF635" s="73"/>
      <c r="DG635" s="73"/>
      <c r="DH635" s="73"/>
      <c r="DI635" s="73"/>
      <c r="DJ635" s="73"/>
      <c r="DK635" s="73"/>
      <c r="DL635" s="73"/>
      <c r="DM635" s="73"/>
      <c r="DN635" s="73"/>
      <c r="DO635" s="73"/>
      <c r="DP635" s="73"/>
      <c r="DQ635" s="73"/>
      <c r="DR635" s="73"/>
      <c r="DS635" s="73"/>
      <c r="DT635" s="73"/>
      <c r="DU635" s="73"/>
      <c r="DV635" s="73"/>
      <c r="DW635" s="73"/>
      <c r="DX635" s="73"/>
      <c r="DY635" s="73"/>
      <c r="DZ635" s="73"/>
      <c r="EA635" s="73"/>
      <c r="EB635" s="73"/>
      <c r="EC635" s="73"/>
      <c r="ED635" s="73"/>
      <c r="EE635" s="73"/>
      <c r="EF635" s="73"/>
      <c r="FJ635" s="73"/>
      <c r="FK635" s="73"/>
      <c r="FL635" s="73"/>
      <c r="FM635" s="73"/>
      <c r="FN635" s="73"/>
      <c r="FO635" s="73"/>
      <c r="FP635" s="73"/>
      <c r="FQ635" s="73"/>
      <c r="FR635" s="73"/>
      <c r="FS635" s="73"/>
      <c r="FT635" s="73"/>
      <c r="FU635" s="73"/>
      <c r="FV635" s="73"/>
      <c r="FW635" s="73"/>
      <c r="FX635" s="73"/>
      <c r="GO635" s="73"/>
      <c r="GP635" s="73"/>
      <c r="HE635" s="73"/>
      <c r="HU635" s="73"/>
      <c r="HV635" s="182"/>
    </row>
    <row r="636" spans="1:230" x14ac:dyDescent="0.25">
      <c r="A636" s="30"/>
      <c r="B636" s="30"/>
      <c r="C636" s="30"/>
      <c r="D636" s="30"/>
      <c r="G636" s="30"/>
      <c r="H636" s="30"/>
      <c r="I636" s="30"/>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c r="CA636" s="73"/>
      <c r="CB636" s="73"/>
      <c r="CC636" s="73"/>
      <c r="CD636" s="73"/>
      <c r="CE636" s="73"/>
      <c r="CF636" s="73"/>
      <c r="CG636" s="73"/>
      <c r="CH636" s="73"/>
      <c r="CI636" s="73"/>
      <c r="CJ636" s="73"/>
      <c r="CK636" s="73"/>
      <c r="CL636" s="73"/>
      <c r="CM636" s="73"/>
      <c r="CN636" s="73"/>
      <c r="CO636" s="73"/>
      <c r="CP636" s="73"/>
      <c r="CQ636" s="73"/>
      <c r="CR636" s="73"/>
      <c r="CS636" s="73"/>
      <c r="CT636" s="73"/>
      <c r="CU636" s="73"/>
      <c r="CV636" s="73"/>
      <c r="CW636" s="73"/>
      <c r="CX636" s="73"/>
      <c r="CY636" s="73"/>
      <c r="CZ636" s="73"/>
      <c r="DA636" s="73"/>
      <c r="DB636" s="73"/>
      <c r="DC636" s="73"/>
      <c r="DD636" s="73"/>
      <c r="DE636" s="73"/>
      <c r="DF636" s="73"/>
      <c r="DG636" s="73"/>
      <c r="DH636" s="73"/>
      <c r="DI636" s="73"/>
      <c r="DJ636" s="73"/>
      <c r="DK636" s="73"/>
      <c r="DL636" s="73"/>
      <c r="DM636" s="73"/>
      <c r="DN636" s="73"/>
      <c r="DO636" s="73"/>
      <c r="DP636" s="73"/>
      <c r="DQ636" s="73"/>
      <c r="DR636" s="73"/>
      <c r="DS636" s="73"/>
      <c r="DT636" s="73"/>
      <c r="DU636" s="73"/>
      <c r="DV636" s="73"/>
      <c r="DW636" s="73"/>
      <c r="DX636" s="73"/>
      <c r="DY636" s="73"/>
      <c r="DZ636" s="73"/>
      <c r="EA636" s="73"/>
      <c r="EB636" s="73"/>
      <c r="EC636" s="73"/>
      <c r="ED636" s="73"/>
      <c r="EE636" s="73"/>
      <c r="EF636" s="73"/>
      <c r="FJ636" s="73"/>
      <c r="FK636" s="73"/>
      <c r="FL636" s="73"/>
      <c r="FM636" s="73"/>
      <c r="FN636" s="73"/>
      <c r="FO636" s="73"/>
      <c r="FP636" s="73"/>
      <c r="FQ636" s="73"/>
      <c r="FR636" s="73"/>
      <c r="FS636" s="73"/>
      <c r="FT636" s="73"/>
      <c r="FU636" s="73"/>
      <c r="FV636" s="73"/>
      <c r="FW636" s="73"/>
      <c r="FX636" s="73"/>
      <c r="GO636" s="73"/>
      <c r="GP636" s="73"/>
      <c r="HE636" s="73"/>
      <c r="HU636" s="73"/>
      <c r="HV636" s="182"/>
    </row>
    <row r="637" spans="1:230" x14ac:dyDescent="0.25">
      <c r="A637" s="30"/>
      <c r="B637" s="30"/>
      <c r="C637" s="30"/>
      <c r="D637" s="30"/>
      <c r="G637" s="30"/>
      <c r="H637" s="30"/>
      <c r="I637" s="30"/>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c r="CA637" s="73"/>
      <c r="CB637" s="73"/>
      <c r="CC637" s="73"/>
      <c r="CD637" s="73"/>
      <c r="CE637" s="73"/>
      <c r="CF637" s="73"/>
      <c r="CG637" s="73"/>
      <c r="CH637" s="73"/>
      <c r="CI637" s="73"/>
      <c r="CJ637" s="73"/>
      <c r="CK637" s="73"/>
      <c r="CL637" s="73"/>
      <c r="CM637" s="73"/>
      <c r="CN637" s="73"/>
      <c r="CO637" s="73"/>
      <c r="CP637" s="73"/>
      <c r="CQ637" s="73"/>
      <c r="CR637" s="73"/>
      <c r="CS637" s="73"/>
      <c r="CT637" s="73"/>
      <c r="CU637" s="73"/>
      <c r="CV637" s="73"/>
      <c r="CW637" s="73"/>
      <c r="CX637" s="73"/>
      <c r="CY637" s="73"/>
      <c r="CZ637" s="73"/>
      <c r="DA637" s="73"/>
      <c r="DB637" s="73"/>
      <c r="DC637" s="73"/>
      <c r="DD637" s="73"/>
      <c r="DE637" s="73"/>
      <c r="DF637" s="73"/>
      <c r="DG637" s="73"/>
      <c r="DH637" s="73"/>
      <c r="DI637" s="73"/>
      <c r="DJ637" s="73"/>
      <c r="DK637" s="73"/>
      <c r="DL637" s="73"/>
      <c r="DM637" s="73"/>
      <c r="DN637" s="73"/>
      <c r="DO637" s="73"/>
      <c r="DP637" s="73"/>
      <c r="DQ637" s="73"/>
      <c r="DR637" s="73"/>
      <c r="DS637" s="73"/>
      <c r="DT637" s="73"/>
      <c r="DU637" s="73"/>
      <c r="DV637" s="73"/>
      <c r="DW637" s="73"/>
      <c r="DX637" s="73"/>
      <c r="DY637" s="73"/>
      <c r="DZ637" s="73"/>
      <c r="EA637" s="73"/>
      <c r="EB637" s="73"/>
      <c r="EC637" s="73"/>
      <c r="ED637" s="73"/>
      <c r="EE637" s="73"/>
      <c r="EF637" s="73"/>
      <c r="FJ637" s="73"/>
      <c r="FK637" s="73"/>
      <c r="FL637" s="73"/>
      <c r="FM637" s="73"/>
      <c r="FN637" s="73"/>
      <c r="FO637" s="73"/>
      <c r="FP637" s="73"/>
      <c r="FQ637" s="73"/>
      <c r="FR637" s="73"/>
      <c r="FS637" s="73"/>
      <c r="FT637" s="73"/>
      <c r="FU637" s="73"/>
      <c r="FV637" s="73"/>
      <c r="FW637" s="73"/>
      <c r="FX637" s="73"/>
      <c r="GO637" s="73"/>
      <c r="GP637" s="73"/>
      <c r="HE637" s="73"/>
      <c r="HU637" s="73"/>
      <c r="HV637" s="182"/>
    </row>
    <row r="638" spans="1:230" x14ac:dyDescent="0.25">
      <c r="A638" s="30"/>
      <c r="B638" s="30"/>
      <c r="C638" s="30"/>
      <c r="D638" s="30"/>
      <c r="G638" s="30"/>
      <c r="H638" s="30"/>
      <c r="I638" s="30"/>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c r="CA638" s="73"/>
      <c r="CB638" s="73"/>
      <c r="CC638" s="73"/>
      <c r="CD638" s="73"/>
      <c r="CE638" s="73"/>
      <c r="CF638" s="73"/>
      <c r="CG638" s="73"/>
      <c r="CH638" s="73"/>
      <c r="CI638" s="73"/>
      <c r="CJ638" s="73"/>
      <c r="CK638" s="73"/>
      <c r="CL638" s="73"/>
      <c r="CM638" s="73"/>
      <c r="CN638" s="73"/>
      <c r="CO638" s="73"/>
      <c r="CP638" s="73"/>
      <c r="CQ638" s="73"/>
      <c r="CR638" s="73"/>
      <c r="CS638" s="73"/>
      <c r="CT638" s="73"/>
      <c r="CU638" s="73"/>
      <c r="CV638" s="73"/>
      <c r="CW638" s="73"/>
      <c r="CX638" s="73"/>
      <c r="CY638" s="73"/>
      <c r="CZ638" s="73"/>
      <c r="DA638" s="73"/>
      <c r="DB638" s="73"/>
      <c r="DC638" s="73"/>
      <c r="DD638" s="73"/>
      <c r="DE638" s="73"/>
      <c r="DF638" s="73"/>
      <c r="DG638" s="73"/>
      <c r="DH638" s="73"/>
      <c r="DI638" s="73"/>
      <c r="DJ638" s="73"/>
      <c r="DK638" s="73"/>
      <c r="DL638" s="73"/>
      <c r="DM638" s="73"/>
      <c r="DN638" s="73"/>
      <c r="DO638" s="73"/>
      <c r="DP638" s="73"/>
      <c r="DQ638" s="73"/>
      <c r="DR638" s="73"/>
      <c r="DS638" s="73"/>
      <c r="DT638" s="73"/>
      <c r="DU638" s="73"/>
      <c r="DV638" s="73"/>
      <c r="DW638" s="73"/>
      <c r="DX638" s="73"/>
      <c r="DY638" s="73"/>
      <c r="DZ638" s="73"/>
      <c r="EA638" s="73"/>
      <c r="EB638" s="73"/>
      <c r="EC638" s="73"/>
      <c r="ED638" s="73"/>
      <c r="EE638" s="73"/>
      <c r="EF638" s="73"/>
      <c r="FJ638" s="73"/>
      <c r="FK638" s="73"/>
      <c r="FL638" s="73"/>
      <c r="FM638" s="73"/>
      <c r="FN638" s="73"/>
      <c r="FO638" s="73"/>
      <c r="FP638" s="73"/>
      <c r="FQ638" s="73"/>
      <c r="FR638" s="73"/>
      <c r="FS638" s="73"/>
      <c r="FT638" s="73"/>
      <c r="FU638" s="73"/>
      <c r="FV638" s="73"/>
      <c r="FW638" s="73"/>
      <c r="FX638" s="73"/>
      <c r="GO638" s="73"/>
      <c r="GP638" s="73"/>
      <c r="HE638" s="73"/>
      <c r="HU638" s="73"/>
      <c r="HV638" s="182"/>
    </row>
    <row r="639" spans="1:230" x14ac:dyDescent="0.25">
      <c r="A639" s="30"/>
      <c r="B639" s="30"/>
      <c r="C639" s="30"/>
      <c r="D639" s="30"/>
      <c r="G639" s="30"/>
      <c r="H639" s="30"/>
      <c r="I639" s="30"/>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c r="CA639" s="73"/>
      <c r="CB639" s="73"/>
      <c r="CC639" s="73"/>
      <c r="CD639" s="73"/>
      <c r="CE639" s="73"/>
      <c r="CF639" s="73"/>
      <c r="CG639" s="73"/>
      <c r="CH639" s="73"/>
      <c r="CI639" s="73"/>
      <c r="CJ639" s="73"/>
      <c r="CK639" s="73"/>
      <c r="CL639" s="73"/>
      <c r="CM639" s="73"/>
      <c r="CN639" s="73"/>
      <c r="CO639" s="73"/>
      <c r="CP639" s="73"/>
      <c r="CQ639" s="73"/>
      <c r="CR639" s="73"/>
      <c r="CS639" s="73"/>
      <c r="CT639" s="73"/>
      <c r="CU639" s="73"/>
      <c r="CV639" s="73"/>
      <c r="CW639" s="73"/>
      <c r="CX639" s="73"/>
      <c r="CY639" s="73"/>
      <c r="CZ639" s="73"/>
      <c r="DA639" s="73"/>
      <c r="DB639" s="73"/>
      <c r="DC639" s="73"/>
      <c r="DD639" s="73"/>
      <c r="DE639" s="73"/>
      <c r="DF639" s="73"/>
      <c r="DG639" s="73"/>
      <c r="DH639" s="73"/>
      <c r="DI639" s="73"/>
      <c r="DJ639" s="73"/>
      <c r="DK639" s="73"/>
      <c r="DL639" s="73"/>
      <c r="DM639" s="73"/>
      <c r="DN639" s="73"/>
      <c r="DO639" s="73"/>
      <c r="DP639" s="73"/>
      <c r="DQ639" s="73"/>
      <c r="DR639" s="73"/>
      <c r="DS639" s="73"/>
      <c r="DT639" s="73"/>
      <c r="DU639" s="73"/>
      <c r="DV639" s="73"/>
      <c r="DW639" s="73"/>
      <c r="DX639" s="73"/>
      <c r="DY639" s="73"/>
      <c r="DZ639" s="73"/>
      <c r="EA639" s="73"/>
      <c r="EB639" s="73"/>
      <c r="EC639" s="73"/>
      <c r="ED639" s="73"/>
      <c r="EE639" s="73"/>
      <c r="EF639" s="73"/>
      <c r="FJ639" s="73"/>
      <c r="FK639" s="73"/>
      <c r="FL639" s="73"/>
      <c r="FM639" s="73"/>
      <c r="FN639" s="73"/>
      <c r="FO639" s="73"/>
      <c r="FP639" s="73"/>
      <c r="FQ639" s="73"/>
      <c r="FR639" s="73"/>
      <c r="FS639" s="73"/>
      <c r="FT639" s="73"/>
      <c r="FU639" s="73"/>
      <c r="FV639" s="73"/>
      <c r="FW639" s="73"/>
      <c r="FX639" s="73"/>
      <c r="GO639" s="73"/>
      <c r="GP639" s="73"/>
      <c r="HE639" s="73"/>
      <c r="HU639" s="73"/>
      <c r="HV639" s="182"/>
    </row>
    <row r="640" spans="1:230" x14ac:dyDescent="0.25">
      <c r="A640" s="30"/>
      <c r="B640" s="30"/>
      <c r="C640" s="30"/>
      <c r="D640" s="30"/>
      <c r="G640" s="30"/>
      <c r="H640" s="30"/>
      <c r="I640" s="30"/>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c r="CA640" s="73"/>
      <c r="CB640" s="73"/>
      <c r="CC640" s="73"/>
      <c r="CD640" s="73"/>
      <c r="CE640" s="73"/>
      <c r="CF640" s="73"/>
      <c r="CG640" s="73"/>
      <c r="CH640" s="73"/>
      <c r="CI640" s="73"/>
      <c r="CJ640" s="73"/>
      <c r="CK640" s="73"/>
      <c r="CL640" s="73"/>
      <c r="CM640" s="73"/>
      <c r="CN640" s="73"/>
      <c r="CO640" s="73"/>
      <c r="CP640" s="73"/>
      <c r="CQ640" s="73"/>
      <c r="CR640" s="73"/>
      <c r="CS640" s="73"/>
      <c r="CT640" s="73"/>
      <c r="CU640" s="73"/>
      <c r="CV640" s="73"/>
      <c r="CW640" s="73"/>
      <c r="CX640" s="73"/>
      <c r="CY640" s="73"/>
      <c r="CZ640" s="73"/>
      <c r="DA640" s="73"/>
      <c r="DB640" s="73"/>
      <c r="DC640" s="73"/>
      <c r="DD640" s="73"/>
      <c r="DE640" s="73"/>
      <c r="DF640" s="73"/>
      <c r="DG640" s="73"/>
      <c r="DH640" s="73"/>
      <c r="DI640" s="73"/>
      <c r="DJ640" s="73"/>
      <c r="DK640" s="73"/>
      <c r="DL640" s="73"/>
      <c r="DM640" s="73"/>
      <c r="DN640" s="73"/>
      <c r="DO640" s="73"/>
      <c r="DP640" s="73"/>
      <c r="DQ640" s="73"/>
      <c r="DR640" s="73"/>
      <c r="DS640" s="73"/>
      <c r="DT640" s="73"/>
      <c r="DU640" s="73"/>
      <c r="DV640" s="73"/>
      <c r="DW640" s="73"/>
      <c r="DX640" s="73"/>
      <c r="DY640" s="73"/>
      <c r="DZ640" s="73"/>
      <c r="EA640" s="73"/>
      <c r="EB640" s="73"/>
      <c r="EC640" s="73"/>
      <c r="ED640" s="73"/>
      <c r="EE640" s="73"/>
      <c r="EF640" s="73"/>
      <c r="FJ640" s="73"/>
      <c r="FK640" s="73"/>
      <c r="FL640" s="73"/>
      <c r="FM640" s="73"/>
      <c r="FN640" s="73"/>
      <c r="FO640" s="73"/>
      <c r="FP640" s="73"/>
      <c r="FQ640" s="73"/>
      <c r="FR640" s="73"/>
      <c r="FS640" s="73"/>
      <c r="FT640" s="73"/>
      <c r="FU640" s="73"/>
      <c r="FV640" s="73"/>
      <c r="FW640" s="73"/>
      <c r="FX640" s="73"/>
      <c r="GO640" s="73"/>
      <c r="GP640" s="73"/>
      <c r="HE640" s="73"/>
      <c r="HU640" s="73"/>
      <c r="HV640" s="182"/>
    </row>
    <row r="641" spans="1:230" x14ac:dyDescent="0.25">
      <c r="A641" s="30"/>
      <c r="B641" s="30"/>
      <c r="C641" s="30"/>
      <c r="D641" s="30"/>
      <c r="G641" s="30"/>
      <c r="H641" s="30"/>
      <c r="I641" s="30"/>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c r="CA641" s="73"/>
      <c r="CB641" s="73"/>
      <c r="CC641" s="73"/>
      <c r="CD641" s="73"/>
      <c r="CE641" s="73"/>
      <c r="CF641" s="73"/>
      <c r="CG641" s="73"/>
      <c r="CH641" s="73"/>
      <c r="CI641" s="73"/>
      <c r="CJ641" s="73"/>
      <c r="CK641" s="73"/>
      <c r="CL641" s="73"/>
      <c r="CM641" s="73"/>
      <c r="CN641" s="73"/>
      <c r="CO641" s="73"/>
      <c r="CP641" s="73"/>
      <c r="CQ641" s="73"/>
      <c r="CR641" s="73"/>
      <c r="CS641" s="73"/>
      <c r="CT641" s="73"/>
      <c r="CU641" s="73"/>
      <c r="CV641" s="73"/>
      <c r="CW641" s="73"/>
      <c r="CX641" s="73"/>
      <c r="CY641" s="73"/>
      <c r="CZ641" s="73"/>
      <c r="DA641" s="73"/>
      <c r="DB641" s="73"/>
      <c r="DC641" s="73"/>
      <c r="DD641" s="73"/>
      <c r="DE641" s="73"/>
      <c r="DF641" s="73"/>
      <c r="DG641" s="73"/>
      <c r="DH641" s="73"/>
      <c r="DI641" s="73"/>
      <c r="DJ641" s="73"/>
      <c r="DK641" s="73"/>
      <c r="DL641" s="73"/>
      <c r="DM641" s="73"/>
      <c r="DN641" s="73"/>
      <c r="DO641" s="73"/>
      <c r="DP641" s="73"/>
      <c r="DQ641" s="73"/>
      <c r="DR641" s="73"/>
      <c r="DS641" s="73"/>
      <c r="DT641" s="73"/>
      <c r="DU641" s="73"/>
      <c r="DV641" s="73"/>
      <c r="DW641" s="73"/>
      <c r="DX641" s="73"/>
      <c r="DY641" s="73"/>
      <c r="DZ641" s="73"/>
      <c r="EA641" s="73"/>
      <c r="EB641" s="73"/>
      <c r="EC641" s="73"/>
      <c r="ED641" s="73"/>
      <c r="EE641" s="73"/>
      <c r="EF641" s="73"/>
      <c r="FJ641" s="73"/>
      <c r="FK641" s="73"/>
      <c r="FL641" s="73"/>
      <c r="FM641" s="73"/>
      <c r="FN641" s="73"/>
      <c r="FO641" s="73"/>
      <c r="FP641" s="73"/>
      <c r="FQ641" s="73"/>
      <c r="FR641" s="73"/>
      <c r="FS641" s="73"/>
      <c r="FT641" s="73"/>
      <c r="FU641" s="73"/>
      <c r="FV641" s="73"/>
      <c r="FW641" s="73"/>
      <c r="FX641" s="73"/>
      <c r="GO641" s="73"/>
      <c r="GP641" s="73"/>
      <c r="HE641" s="73"/>
      <c r="HU641" s="73"/>
      <c r="HV641" s="182"/>
    </row>
    <row r="642" spans="1:230" x14ac:dyDescent="0.25">
      <c r="A642" s="30"/>
      <c r="B642" s="30"/>
      <c r="C642" s="30"/>
      <c r="D642" s="30"/>
      <c r="G642" s="30"/>
      <c r="H642" s="30"/>
      <c r="I642" s="30"/>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c r="CA642" s="73"/>
      <c r="CB642" s="73"/>
      <c r="CC642" s="73"/>
      <c r="CD642" s="73"/>
      <c r="CE642" s="73"/>
      <c r="CF642" s="73"/>
      <c r="CG642" s="73"/>
      <c r="CH642" s="73"/>
      <c r="CI642" s="73"/>
      <c r="CJ642" s="73"/>
      <c r="CK642" s="73"/>
      <c r="CL642" s="73"/>
      <c r="CM642" s="73"/>
      <c r="CN642" s="73"/>
      <c r="CO642" s="73"/>
      <c r="CP642" s="73"/>
      <c r="CQ642" s="73"/>
      <c r="CR642" s="73"/>
      <c r="CS642" s="73"/>
      <c r="CT642" s="73"/>
      <c r="CU642" s="73"/>
      <c r="CV642" s="73"/>
      <c r="CW642" s="73"/>
      <c r="CX642" s="73"/>
      <c r="CY642" s="73"/>
      <c r="CZ642" s="73"/>
      <c r="DA642" s="73"/>
      <c r="DB642" s="73"/>
      <c r="DC642" s="73"/>
      <c r="DD642" s="73"/>
      <c r="DE642" s="73"/>
      <c r="DF642" s="73"/>
      <c r="DG642" s="73"/>
      <c r="DH642" s="73"/>
      <c r="DI642" s="73"/>
      <c r="DJ642" s="73"/>
      <c r="DK642" s="73"/>
      <c r="DL642" s="73"/>
      <c r="DM642" s="73"/>
      <c r="DN642" s="73"/>
      <c r="DO642" s="73"/>
      <c r="DP642" s="73"/>
      <c r="DQ642" s="73"/>
      <c r="DR642" s="73"/>
      <c r="DS642" s="73"/>
      <c r="DT642" s="73"/>
      <c r="DU642" s="73"/>
      <c r="DV642" s="73"/>
      <c r="DW642" s="73"/>
      <c r="DX642" s="73"/>
      <c r="DY642" s="73"/>
      <c r="DZ642" s="73"/>
      <c r="EA642" s="73"/>
      <c r="EB642" s="73"/>
      <c r="EC642" s="73"/>
      <c r="ED642" s="73"/>
      <c r="EE642" s="73"/>
      <c r="EF642" s="73"/>
      <c r="FJ642" s="73"/>
      <c r="FK642" s="73"/>
      <c r="FL642" s="73"/>
      <c r="FM642" s="73"/>
      <c r="FN642" s="73"/>
      <c r="FO642" s="73"/>
      <c r="FP642" s="73"/>
      <c r="FQ642" s="73"/>
      <c r="FR642" s="73"/>
      <c r="FS642" s="73"/>
      <c r="FT642" s="73"/>
      <c r="FU642" s="73"/>
      <c r="FV642" s="73"/>
      <c r="FW642" s="73"/>
      <c r="FX642" s="73"/>
      <c r="GO642" s="73"/>
      <c r="GP642" s="73"/>
      <c r="HE642" s="73"/>
      <c r="HU642" s="73"/>
      <c r="HV642" s="182"/>
    </row>
    <row r="643" spans="1:230" x14ac:dyDescent="0.25">
      <c r="A643" s="30"/>
      <c r="B643" s="30"/>
      <c r="C643" s="30"/>
      <c r="D643" s="30"/>
      <c r="G643" s="30"/>
      <c r="H643" s="30"/>
      <c r="I643" s="30"/>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c r="CA643" s="73"/>
      <c r="CB643" s="73"/>
      <c r="CC643" s="73"/>
      <c r="CD643" s="73"/>
      <c r="CE643" s="73"/>
      <c r="CF643" s="73"/>
      <c r="CG643" s="73"/>
      <c r="CH643" s="73"/>
      <c r="CI643" s="73"/>
      <c r="CJ643" s="73"/>
      <c r="CK643" s="73"/>
      <c r="CL643" s="73"/>
      <c r="CM643" s="73"/>
      <c r="CN643" s="73"/>
      <c r="CO643" s="73"/>
      <c r="CP643" s="73"/>
      <c r="CQ643" s="73"/>
      <c r="CR643" s="73"/>
      <c r="CS643" s="73"/>
      <c r="CT643" s="73"/>
      <c r="CU643" s="73"/>
      <c r="CV643" s="73"/>
      <c r="CW643" s="73"/>
      <c r="CX643" s="73"/>
      <c r="CY643" s="73"/>
      <c r="CZ643" s="73"/>
      <c r="DA643" s="73"/>
      <c r="DB643" s="73"/>
      <c r="DC643" s="73"/>
      <c r="DD643" s="73"/>
      <c r="DE643" s="73"/>
      <c r="DF643" s="73"/>
      <c r="DG643" s="73"/>
      <c r="DH643" s="73"/>
      <c r="DI643" s="73"/>
      <c r="DJ643" s="73"/>
      <c r="DK643" s="73"/>
      <c r="DL643" s="73"/>
      <c r="DM643" s="73"/>
      <c r="DN643" s="73"/>
      <c r="DO643" s="73"/>
      <c r="DP643" s="73"/>
      <c r="DQ643" s="73"/>
      <c r="DR643" s="73"/>
      <c r="DS643" s="73"/>
      <c r="DT643" s="73"/>
      <c r="DU643" s="73"/>
      <c r="DV643" s="73"/>
      <c r="DW643" s="73"/>
      <c r="DX643" s="73"/>
      <c r="DY643" s="73"/>
      <c r="DZ643" s="73"/>
      <c r="EA643" s="73"/>
      <c r="EB643" s="73"/>
      <c r="EC643" s="73"/>
      <c r="ED643" s="73"/>
      <c r="EE643" s="73"/>
      <c r="EF643" s="73"/>
      <c r="FJ643" s="73"/>
      <c r="FK643" s="73"/>
      <c r="FL643" s="73"/>
      <c r="FM643" s="73"/>
      <c r="FN643" s="73"/>
      <c r="FO643" s="73"/>
      <c r="FP643" s="73"/>
      <c r="FQ643" s="73"/>
      <c r="FR643" s="73"/>
      <c r="FS643" s="73"/>
      <c r="FT643" s="73"/>
      <c r="FU643" s="73"/>
      <c r="FV643" s="73"/>
      <c r="FW643" s="73"/>
      <c r="FX643" s="73"/>
      <c r="GO643" s="73"/>
      <c r="GP643" s="73"/>
      <c r="HE643" s="73"/>
      <c r="HU643" s="73"/>
      <c r="HV643" s="182"/>
    </row>
    <row r="644" spans="1:230" x14ac:dyDescent="0.25">
      <c r="A644" s="30"/>
      <c r="B644" s="30"/>
      <c r="C644" s="30"/>
      <c r="D644" s="30"/>
      <c r="G644" s="30"/>
      <c r="H644" s="30"/>
      <c r="I644" s="30"/>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c r="CA644" s="73"/>
      <c r="CB644" s="73"/>
      <c r="CC644" s="73"/>
      <c r="CD644" s="73"/>
      <c r="CE644" s="73"/>
      <c r="CF644" s="73"/>
      <c r="CG644" s="73"/>
      <c r="CH644" s="73"/>
      <c r="CI644" s="73"/>
      <c r="CJ644" s="73"/>
      <c r="CK644" s="73"/>
      <c r="CL644" s="73"/>
      <c r="CM644" s="73"/>
      <c r="CN644" s="73"/>
      <c r="CO644" s="73"/>
      <c r="CP644" s="73"/>
      <c r="CQ644" s="73"/>
      <c r="CR644" s="73"/>
      <c r="CS644" s="73"/>
      <c r="CT644" s="73"/>
      <c r="CU644" s="73"/>
      <c r="CV644" s="73"/>
      <c r="CW644" s="73"/>
      <c r="CX644" s="73"/>
      <c r="CY644" s="73"/>
      <c r="CZ644" s="73"/>
      <c r="DA644" s="73"/>
      <c r="DB644" s="73"/>
      <c r="DC644" s="73"/>
      <c r="DD644" s="73"/>
      <c r="DE644" s="73"/>
      <c r="DF644" s="73"/>
      <c r="DG644" s="73"/>
      <c r="DH644" s="73"/>
      <c r="DI644" s="73"/>
      <c r="DJ644" s="73"/>
      <c r="DK644" s="73"/>
      <c r="DL644" s="73"/>
      <c r="DM644" s="73"/>
      <c r="DN644" s="73"/>
      <c r="DO644" s="73"/>
      <c r="DP644" s="73"/>
      <c r="DQ644" s="73"/>
      <c r="DR644" s="73"/>
      <c r="DS644" s="73"/>
      <c r="DT644" s="73"/>
      <c r="DU644" s="73"/>
      <c r="DV644" s="73"/>
      <c r="DW644" s="73"/>
      <c r="DX644" s="73"/>
      <c r="DY644" s="73"/>
      <c r="DZ644" s="73"/>
      <c r="EA644" s="73"/>
      <c r="EB644" s="73"/>
      <c r="EC644" s="73"/>
      <c r="ED644" s="73"/>
      <c r="EE644" s="73"/>
      <c r="EF644" s="73"/>
      <c r="FJ644" s="73"/>
      <c r="FK644" s="73"/>
      <c r="FL644" s="73"/>
      <c r="FM644" s="73"/>
      <c r="FN644" s="73"/>
      <c r="FO644" s="73"/>
      <c r="FP644" s="73"/>
      <c r="FQ644" s="73"/>
      <c r="FR644" s="73"/>
      <c r="FS644" s="73"/>
      <c r="FT644" s="73"/>
      <c r="FU644" s="73"/>
      <c r="FV644" s="73"/>
      <c r="FW644" s="73"/>
      <c r="FX644" s="73"/>
      <c r="GO644" s="73"/>
      <c r="GP644" s="73"/>
      <c r="HE644" s="73"/>
      <c r="HU644" s="73"/>
      <c r="HV644" s="182"/>
    </row>
    <row r="645" spans="1:230" x14ac:dyDescent="0.25">
      <c r="A645" s="30"/>
      <c r="B645" s="30"/>
      <c r="C645" s="30"/>
      <c r="D645" s="30"/>
      <c r="G645" s="30"/>
      <c r="H645" s="30"/>
      <c r="I645" s="30"/>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c r="CA645" s="73"/>
      <c r="CB645" s="73"/>
      <c r="CC645" s="73"/>
      <c r="CD645" s="73"/>
      <c r="CE645" s="73"/>
      <c r="CF645" s="73"/>
      <c r="CG645" s="73"/>
      <c r="CH645" s="73"/>
      <c r="CI645" s="73"/>
      <c r="CJ645" s="73"/>
      <c r="CK645" s="73"/>
      <c r="CL645" s="73"/>
      <c r="CM645" s="73"/>
      <c r="CN645" s="73"/>
      <c r="CO645" s="73"/>
      <c r="CP645" s="73"/>
      <c r="CQ645" s="73"/>
      <c r="CR645" s="73"/>
      <c r="CS645" s="73"/>
      <c r="CT645" s="73"/>
      <c r="CU645" s="73"/>
      <c r="CV645" s="73"/>
      <c r="CW645" s="73"/>
      <c r="CX645" s="73"/>
      <c r="CY645" s="73"/>
      <c r="CZ645" s="73"/>
      <c r="DA645" s="73"/>
      <c r="DB645" s="73"/>
      <c r="DC645" s="73"/>
      <c r="DD645" s="73"/>
      <c r="DE645" s="73"/>
      <c r="DF645" s="73"/>
      <c r="DG645" s="73"/>
      <c r="DH645" s="73"/>
      <c r="DI645" s="73"/>
      <c r="DJ645" s="73"/>
      <c r="DK645" s="73"/>
      <c r="DL645" s="73"/>
      <c r="DM645" s="73"/>
      <c r="DN645" s="73"/>
      <c r="DO645" s="73"/>
      <c r="DP645" s="73"/>
      <c r="DQ645" s="73"/>
      <c r="DR645" s="73"/>
      <c r="DS645" s="73"/>
      <c r="DT645" s="73"/>
      <c r="DU645" s="73"/>
      <c r="DV645" s="73"/>
      <c r="DW645" s="73"/>
      <c r="DX645" s="73"/>
      <c r="DY645" s="73"/>
      <c r="DZ645" s="73"/>
      <c r="EA645" s="73"/>
      <c r="EB645" s="73"/>
      <c r="EC645" s="73"/>
      <c r="ED645" s="73"/>
      <c r="EE645" s="73"/>
      <c r="EF645" s="73"/>
      <c r="FJ645" s="73"/>
      <c r="FK645" s="73"/>
      <c r="FL645" s="73"/>
      <c r="FM645" s="73"/>
      <c r="FN645" s="73"/>
      <c r="FO645" s="73"/>
      <c r="FP645" s="73"/>
      <c r="FQ645" s="73"/>
      <c r="FR645" s="73"/>
      <c r="FS645" s="73"/>
      <c r="FT645" s="73"/>
      <c r="FU645" s="73"/>
      <c r="FV645" s="73"/>
      <c r="FW645" s="73"/>
      <c r="FX645" s="73"/>
      <c r="GO645" s="73"/>
      <c r="GP645" s="73"/>
      <c r="HE645" s="73"/>
      <c r="HU645" s="73"/>
      <c r="HV645" s="182"/>
    </row>
    <row r="646" spans="1:230" x14ac:dyDescent="0.25">
      <c r="A646" s="30"/>
      <c r="B646" s="30"/>
      <c r="C646" s="30"/>
      <c r="D646" s="30"/>
      <c r="G646" s="30"/>
      <c r="H646" s="30"/>
      <c r="I646" s="30"/>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c r="CA646" s="73"/>
      <c r="CB646" s="73"/>
      <c r="CC646" s="73"/>
      <c r="CD646" s="73"/>
      <c r="CE646" s="73"/>
      <c r="CF646" s="73"/>
      <c r="CG646" s="73"/>
      <c r="CH646" s="73"/>
      <c r="CI646" s="73"/>
      <c r="CJ646" s="73"/>
      <c r="CK646" s="73"/>
      <c r="CL646" s="73"/>
      <c r="CM646" s="73"/>
      <c r="CN646" s="73"/>
      <c r="CO646" s="73"/>
      <c r="CP646" s="73"/>
      <c r="CQ646" s="73"/>
      <c r="CR646" s="73"/>
      <c r="CS646" s="73"/>
      <c r="CT646" s="73"/>
      <c r="CU646" s="73"/>
      <c r="CV646" s="73"/>
      <c r="CW646" s="73"/>
      <c r="CX646" s="73"/>
      <c r="CY646" s="73"/>
      <c r="CZ646" s="73"/>
      <c r="DA646" s="73"/>
      <c r="DB646" s="73"/>
      <c r="DC646" s="73"/>
      <c r="DD646" s="73"/>
      <c r="DE646" s="73"/>
      <c r="DF646" s="73"/>
      <c r="DG646" s="73"/>
      <c r="DH646" s="73"/>
      <c r="DI646" s="73"/>
      <c r="DJ646" s="73"/>
      <c r="DK646" s="73"/>
      <c r="DL646" s="73"/>
      <c r="DM646" s="73"/>
      <c r="DN646" s="73"/>
      <c r="DO646" s="73"/>
      <c r="DP646" s="73"/>
      <c r="DQ646" s="73"/>
      <c r="DR646" s="73"/>
      <c r="DS646" s="73"/>
      <c r="DT646" s="73"/>
      <c r="DU646" s="73"/>
      <c r="DV646" s="73"/>
      <c r="DW646" s="73"/>
      <c r="DX646" s="73"/>
      <c r="DY646" s="73"/>
      <c r="DZ646" s="73"/>
      <c r="EA646" s="73"/>
      <c r="EB646" s="73"/>
      <c r="EC646" s="73"/>
      <c r="ED646" s="73"/>
      <c r="EE646" s="73"/>
      <c r="EF646" s="73"/>
      <c r="FJ646" s="73"/>
      <c r="FK646" s="73"/>
      <c r="FL646" s="73"/>
      <c r="FM646" s="73"/>
      <c r="FN646" s="73"/>
      <c r="FO646" s="73"/>
      <c r="FP646" s="73"/>
      <c r="FQ646" s="73"/>
      <c r="FR646" s="73"/>
      <c r="FS646" s="73"/>
      <c r="FT646" s="73"/>
      <c r="FU646" s="73"/>
      <c r="FV646" s="73"/>
      <c r="FW646" s="73"/>
      <c r="FX646" s="73"/>
      <c r="GO646" s="73"/>
      <c r="GP646" s="73"/>
      <c r="HE646" s="73"/>
      <c r="HU646" s="73"/>
      <c r="HV646" s="182"/>
    </row>
    <row r="647" spans="1:230" x14ac:dyDescent="0.25">
      <c r="A647" s="30"/>
      <c r="B647" s="30"/>
      <c r="C647" s="30"/>
      <c r="D647" s="30"/>
      <c r="G647" s="30"/>
      <c r="H647" s="30"/>
      <c r="I647" s="30"/>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c r="CA647" s="73"/>
      <c r="CB647" s="73"/>
      <c r="CC647" s="73"/>
      <c r="CD647" s="73"/>
      <c r="CE647" s="73"/>
      <c r="CF647" s="73"/>
      <c r="CG647" s="73"/>
      <c r="CH647" s="73"/>
      <c r="CI647" s="73"/>
      <c r="CJ647" s="73"/>
      <c r="CK647" s="73"/>
      <c r="CL647" s="73"/>
      <c r="CM647" s="73"/>
      <c r="CN647" s="73"/>
      <c r="CO647" s="73"/>
      <c r="CP647" s="73"/>
      <c r="CQ647" s="73"/>
      <c r="CR647" s="73"/>
      <c r="CS647" s="73"/>
      <c r="CT647" s="73"/>
      <c r="CU647" s="73"/>
      <c r="CV647" s="73"/>
      <c r="CW647" s="73"/>
      <c r="CX647" s="73"/>
      <c r="CY647" s="73"/>
      <c r="CZ647" s="73"/>
      <c r="DA647" s="73"/>
      <c r="DB647" s="73"/>
      <c r="DC647" s="73"/>
      <c r="DD647" s="73"/>
      <c r="DE647" s="73"/>
      <c r="DF647" s="73"/>
      <c r="DG647" s="73"/>
      <c r="DH647" s="73"/>
      <c r="DI647" s="73"/>
      <c r="DJ647" s="73"/>
      <c r="DK647" s="73"/>
      <c r="DL647" s="73"/>
      <c r="DM647" s="73"/>
      <c r="DN647" s="73"/>
      <c r="DO647" s="73"/>
      <c r="DP647" s="73"/>
      <c r="DQ647" s="73"/>
      <c r="DR647" s="73"/>
      <c r="DS647" s="73"/>
      <c r="DT647" s="73"/>
      <c r="DU647" s="73"/>
      <c r="DV647" s="73"/>
      <c r="DW647" s="73"/>
      <c r="DX647" s="73"/>
      <c r="DY647" s="73"/>
      <c r="DZ647" s="73"/>
      <c r="EA647" s="73"/>
      <c r="EB647" s="73"/>
      <c r="EC647" s="73"/>
      <c r="ED647" s="73"/>
      <c r="EE647" s="73"/>
      <c r="EF647" s="73"/>
      <c r="FJ647" s="73"/>
      <c r="FK647" s="73"/>
      <c r="FL647" s="73"/>
      <c r="FM647" s="73"/>
      <c r="FN647" s="73"/>
      <c r="FO647" s="73"/>
      <c r="FP647" s="73"/>
      <c r="FQ647" s="73"/>
      <c r="FR647" s="73"/>
      <c r="FS647" s="73"/>
      <c r="FT647" s="73"/>
      <c r="FU647" s="73"/>
      <c r="FV647" s="73"/>
      <c r="FW647" s="73"/>
      <c r="FX647" s="73"/>
      <c r="GO647" s="73"/>
      <c r="GP647" s="73"/>
      <c r="HE647" s="73"/>
      <c r="HU647" s="73"/>
      <c r="HV647" s="182"/>
    </row>
    <row r="648" spans="1:230" x14ac:dyDescent="0.25">
      <c r="A648" s="30"/>
      <c r="B648" s="30"/>
      <c r="C648" s="30"/>
      <c r="D648" s="30"/>
      <c r="G648" s="30"/>
      <c r="H648" s="30"/>
      <c r="I648" s="30"/>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c r="CA648" s="73"/>
      <c r="CB648" s="73"/>
      <c r="CC648" s="73"/>
      <c r="CD648" s="73"/>
      <c r="CE648" s="73"/>
      <c r="CF648" s="73"/>
      <c r="CG648" s="73"/>
      <c r="CH648" s="73"/>
      <c r="CI648" s="73"/>
      <c r="CJ648" s="73"/>
      <c r="CK648" s="73"/>
      <c r="CL648" s="73"/>
      <c r="CM648" s="73"/>
      <c r="CN648" s="73"/>
      <c r="CO648" s="73"/>
      <c r="CP648" s="73"/>
      <c r="CQ648" s="73"/>
      <c r="CR648" s="73"/>
      <c r="CS648" s="73"/>
      <c r="CT648" s="73"/>
      <c r="CU648" s="73"/>
      <c r="CV648" s="73"/>
      <c r="CW648" s="73"/>
      <c r="CX648" s="73"/>
      <c r="CY648" s="73"/>
      <c r="CZ648" s="73"/>
      <c r="DA648" s="73"/>
      <c r="DB648" s="73"/>
      <c r="DC648" s="73"/>
      <c r="DD648" s="73"/>
      <c r="DE648" s="73"/>
      <c r="DF648" s="73"/>
      <c r="DG648" s="73"/>
      <c r="DH648" s="73"/>
      <c r="DI648" s="73"/>
      <c r="DJ648" s="73"/>
      <c r="DK648" s="73"/>
      <c r="DL648" s="73"/>
      <c r="DM648" s="73"/>
      <c r="DN648" s="73"/>
      <c r="DO648" s="73"/>
      <c r="DP648" s="73"/>
      <c r="DQ648" s="73"/>
      <c r="DR648" s="73"/>
      <c r="DS648" s="73"/>
      <c r="DT648" s="73"/>
      <c r="DU648" s="73"/>
      <c r="DV648" s="73"/>
      <c r="DW648" s="73"/>
      <c r="DX648" s="73"/>
      <c r="DY648" s="73"/>
      <c r="DZ648" s="73"/>
      <c r="EA648" s="73"/>
      <c r="EB648" s="73"/>
      <c r="EC648" s="73"/>
      <c r="ED648" s="73"/>
      <c r="EE648" s="73"/>
      <c r="EF648" s="73"/>
      <c r="FJ648" s="73"/>
      <c r="FK648" s="73"/>
      <c r="FL648" s="73"/>
      <c r="FM648" s="73"/>
      <c r="FN648" s="73"/>
      <c r="FO648" s="73"/>
      <c r="FP648" s="73"/>
      <c r="FQ648" s="73"/>
      <c r="FR648" s="73"/>
      <c r="FS648" s="73"/>
      <c r="FT648" s="73"/>
      <c r="FU648" s="73"/>
      <c r="FV648" s="73"/>
      <c r="FW648" s="73"/>
      <c r="FX648" s="73"/>
      <c r="GO648" s="73"/>
      <c r="GP648" s="73"/>
      <c r="HE648" s="73"/>
      <c r="HU648" s="73"/>
      <c r="HV648" s="182"/>
    </row>
    <row r="649" spans="1:230" x14ac:dyDescent="0.25">
      <c r="A649" s="30"/>
      <c r="B649" s="30"/>
      <c r="C649" s="30"/>
      <c r="D649" s="30"/>
      <c r="G649" s="30"/>
      <c r="H649" s="30"/>
      <c r="I649" s="30"/>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c r="CA649" s="73"/>
      <c r="CB649" s="73"/>
      <c r="CC649" s="73"/>
      <c r="CD649" s="73"/>
      <c r="CE649" s="73"/>
      <c r="CF649" s="73"/>
      <c r="CG649" s="73"/>
      <c r="CH649" s="73"/>
      <c r="CI649" s="73"/>
      <c r="CJ649" s="73"/>
      <c r="CK649" s="73"/>
      <c r="CL649" s="73"/>
      <c r="CM649" s="73"/>
      <c r="CN649" s="73"/>
      <c r="CO649" s="73"/>
      <c r="CP649" s="73"/>
      <c r="CQ649" s="73"/>
      <c r="CR649" s="73"/>
      <c r="CS649" s="73"/>
      <c r="CT649" s="73"/>
      <c r="CU649" s="73"/>
      <c r="CV649" s="73"/>
      <c r="CW649" s="73"/>
      <c r="CX649" s="73"/>
      <c r="CY649" s="73"/>
      <c r="CZ649" s="73"/>
      <c r="DA649" s="73"/>
      <c r="DB649" s="73"/>
      <c r="DC649" s="73"/>
      <c r="DD649" s="73"/>
      <c r="DE649" s="73"/>
      <c r="DF649" s="73"/>
      <c r="DG649" s="73"/>
      <c r="DH649" s="73"/>
      <c r="DI649" s="73"/>
      <c r="DJ649" s="73"/>
      <c r="DK649" s="73"/>
      <c r="DL649" s="73"/>
      <c r="DM649" s="73"/>
      <c r="DN649" s="73"/>
      <c r="DO649" s="73"/>
      <c r="DP649" s="73"/>
      <c r="DQ649" s="73"/>
      <c r="DR649" s="73"/>
      <c r="DS649" s="73"/>
      <c r="DT649" s="73"/>
      <c r="DU649" s="73"/>
      <c r="DV649" s="73"/>
      <c r="DW649" s="73"/>
      <c r="DX649" s="73"/>
      <c r="DY649" s="73"/>
      <c r="DZ649" s="73"/>
      <c r="EA649" s="73"/>
      <c r="EB649" s="73"/>
      <c r="EC649" s="73"/>
      <c r="ED649" s="73"/>
      <c r="EE649" s="73"/>
      <c r="EF649" s="73"/>
      <c r="FJ649" s="73"/>
      <c r="FK649" s="73"/>
      <c r="FL649" s="73"/>
      <c r="FM649" s="73"/>
      <c r="FN649" s="73"/>
      <c r="FO649" s="73"/>
      <c r="FP649" s="73"/>
      <c r="FQ649" s="73"/>
      <c r="FR649" s="73"/>
      <c r="FS649" s="73"/>
      <c r="FT649" s="73"/>
      <c r="FU649" s="73"/>
      <c r="FV649" s="73"/>
      <c r="FW649" s="73"/>
      <c r="FX649" s="73"/>
      <c r="GO649" s="73"/>
      <c r="GP649" s="73"/>
      <c r="HE649" s="73"/>
      <c r="HU649" s="73"/>
      <c r="HV649" s="182"/>
    </row>
    <row r="650" spans="1:230" x14ac:dyDescent="0.25">
      <c r="A650" s="30"/>
      <c r="B650" s="30"/>
      <c r="C650" s="30"/>
      <c r="D650" s="30"/>
      <c r="G650" s="30"/>
      <c r="H650" s="30"/>
      <c r="I650" s="30"/>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c r="CA650" s="73"/>
      <c r="CB650" s="73"/>
      <c r="CC650" s="73"/>
      <c r="CD650" s="73"/>
      <c r="CE650" s="73"/>
      <c r="CF650" s="73"/>
      <c r="CG650" s="73"/>
      <c r="CH650" s="73"/>
      <c r="CI650" s="73"/>
      <c r="CJ650" s="73"/>
      <c r="CK650" s="73"/>
      <c r="CL650" s="73"/>
      <c r="CM650" s="73"/>
      <c r="CN650" s="73"/>
      <c r="CO650" s="73"/>
      <c r="CP650" s="73"/>
      <c r="CQ650" s="73"/>
      <c r="CR650" s="73"/>
      <c r="CS650" s="73"/>
      <c r="CT650" s="73"/>
      <c r="CU650" s="73"/>
      <c r="CV650" s="73"/>
      <c r="CW650" s="73"/>
      <c r="CX650" s="73"/>
      <c r="CY650" s="73"/>
      <c r="CZ650" s="73"/>
      <c r="DA650" s="73"/>
      <c r="DB650" s="73"/>
      <c r="DC650" s="73"/>
      <c r="DD650" s="73"/>
      <c r="DE650" s="73"/>
      <c r="DF650" s="73"/>
      <c r="DG650" s="73"/>
      <c r="DH650" s="73"/>
      <c r="DI650" s="73"/>
      <c r="DJ650" s="73"/>
      <c r="DK650" s="73"/>
      <c r="DL650" s="73"/>
      <c r="DM650" s="73"/>
      <c r="DN650" s="73"/>
      <c r="DO650" s="73"/>
      <c r="DP650" s="73"/>
      <c r="DQ650" s="73"/>
      <c r="DR650" s="73"/>
      <c r="DS650" s="73"/>
      <c r="DT650" s="73"/>
      <c r="DU650" s="73"/>
      <c r="DV650" s="73"/>
      <c r="DW650" s="73"/>
      <c r="DX650" s="73"/>
      <c r="DY650" s="73"/>
      <c r="DZ650" s="73"/>
      <c r="EA650" s="73"/>
      <c r="EB650" s="73"/>
      <c r="EC650" s="73"/>
      <c r="ED650" s="73"/>
      <c r="EE650" s="73"/>
      <c r="EF650" s="73"/>
      <c r="FJ650" s="73"/>
      <c r="FK650" s="73"/>
      <c r="FL650" s="73"/>
      <c r="FM650" s="73"/>
      <c r="FN650" s="73"/>
      <c r="FO650" s="73"/>
      <c r="FP650" s="73"/>
      <c r="FQ650" s="73"/>
      <c r="FR650" s="73"/>
      <c r="FS650" s="73"/>
      <c r="FT650" s="73"/>
      <c r="FU650" s="73"/>
      <c r="FV650" s="73"/>
      <c r="FW650" s="73"/>
      <c r="FX650" s="73"/>
      <c r="GO650" s="73"/>
      <c r="GP650" s="73"/>
      <c r="HE650" s="73"/>
      <c r="HU650" s="73"/>
      <c r="HV650" s="182"/>
    </row>
    <row r="651" spans="1:230" x14ac:dyDescent="0.25">
      <c r="A651" s="30"/>
      <c r="B651" s="30"/>
      <c r="C651" s="30"/>
      <c r="D651" s="30"/>
      <c r="G651" s="30"/>
      <c r="H651" s="30"/>
      <c r="I651" s="30"/>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c r="CA651" s="73"/>
      <c r="CB651" s="73"/>
      <c r="CC651" s="73"/>
      <c r="CD651" s="73"/>
      <c r="CE651" s="73"/>
      <c r="CF651" s="73"/>
      <c r="CG651" s="73"/>
      <c r="CH651" s="73"/>
      <c r="CI651" s="73"/>
      <c r="CJ651" s="73"/>
      <c r="CK651" s="73"/>
      <c r="CL651" s="73"/>
      <c r="CM651" s="73"/>
      <c r="CN651" s="73"/>
      <c r="CO651" s="73"/>
      <c r="CP651" s="73"/>
      <c r="CQ651" s="73"/>
      <c r="CR651" s="73"/>
      <c r="CS651" s="73"/>
      <c r="CT651" s="73"/>
      <c r="CU651" s="73"/>
      <c r="CV651" s="73"/>
      <c r="CW651" s="73"/>
      <c r="CX651" s="73"/>
      <c r="CY651" s="73"/>
      <c r="CZ651" s="73"/>
      <c r="DA651" s="73"/>
      <c r="DB651" s="73"/>
      <c r="DC651" s="73"/>
      <c r="DD651" s="73"/>
      <c r="DE651" s="73"/>
      <c r="DF651" s="73"/>
      <c r="DG651" s="73"/>
      <c r="DH651" s="73"/>
      <c r="DI651" s="73"/>
      <c r="DJ651" s="73"/>
      <c r="DK651" s="73"/>
      <c r="DL651" s="73"/>
      <c r="DM651" s="73"/>
      <c r="DN651" s="73"/>
      <c r="DO651" s="73"/>
      <c r="DP651" s="73"/>
      <c r="DQ651" s="73"/>
      <c r="DR651" s="73"/>
      <c r="DS651" s="73"/>
      <c r="DT651" s="73"/>
      <c r="DU651" s="73"/>
      <c r="DV651" s="73"/>
      <c r="DW651" s="73"/>
      <c r="DX651" s="73"/>
      <c r="DY651" s="73"/>
      <c r="DZ651" s="73"/>
      <c r="EA651" s="73"/>
      <c r="EB651" s="73"/>
      <c r="EC651" s="73"/>
      <c r="ED651" s="73"/>
      <c r="EE651" s="73"/>
      <c r="EF651" s="73"/>
      <c r="FJ651" s="73"/>
      <c r="FK651" s="73"/>
      <c r="FL651" s="73"/>
      <c r="FM651" s="73"/>
      <c r="FN651" s="73"/>
      <c r="FO651" s="73"/>
      <c r="FP651" s="73"/>
      <c r="FQ651" s="73"/>
      <c r="FR651" s="73"/>
      <c r="FS651" s="73"/>
      <c r="FT651" s="73"/>
      <c r="FU651" s="73"/>
      <c r="FV651" s="73"/>
      <c r="FW651" s="73"/>
      <c r="FX651" s="73"/>
      <c r="GO651" s="73"/>
      <c r="GP651" s="73"/>
      <c r="HE651" s="73"/>
      <c r="HU651" s="73"/>
      <c r="HV651" s="182"/>
    </row>
    <row r="652" spans="1:230" x14ac:dyDescent="0.25">
      <c r="A652" s="30"/>
      <c r="B652" s="30"/>
      <c r="C652" s="30"/>
      <c r="D652" s="30"/>
      <c r="G652" s="30"/>
      <c r="H652" s="30"/>
      <c r="I652" s="30"/>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c r="CA652" s="73"/>
      <c r="CB652" s="73"/>
      <c r="CC652" s="73"/>
      <c r="CD652" s="73"/>
      <c r="CE652" s="73"/>
      <c r="CF652" s="73"/>
      <c r="CG652" s="73"/>
      <c r="CH652" s="73"/>
      <c r="CI652" s="73"/>
      <c r="CJ652" s="73"/>
      <c r="CK652" s="73"/>
      <c r="CL652" s="73"/>
      <c r="CM652" s="73"/>
      <c r="CN652" s="73"/>
      <c r="CO652" s="73"/>
      <c r="CP652" s="73"/>
      <c r="CQ652" s="73"/>
      <c r="CR652" s="73"/>
      <c r="CS652" s="73"/>
      <c r="CT652" s="73"/>
      <c r="CU652" s="73"/>
      <c r="CV652" s="73"/>
      <c r="CW652" s="73"/>
      <c r="CX652" s="73"/>
      <c r="CY652" s="73"/>
      <c r="CZ652" s="73"/>
      <c r="DA652" s="73"/>
      <c r="DB652" s="73"/>
      <c r="DC652" s="73"/>
      <c r="DD652" s="73"/>
      <c r="DE652" s="73"/>
      <c r="DF652" s="73"/>
      <c r="DG652" s="73"/>
      <c r="DH652" s="73"/>
      <c r="DI652" s="73"/>
      <c r="DJ652" s="73"/>
      <c r="DK652" s="73"/>
      <c r="DL652" s="73"/>
      <c r="DM652" s="73"/>
      <c r="DN652" s="73"/>
      <c r="DO652" s="73"/>
      <c r="DP652" s="73"/>
      <c r="DQ652" s="73"/>
      <c r="DR652" s="73"/>
      <c r="DS652" s="73"/>
      <c r="DT652" s="73"/>
      <c r="DU652" s="73"/>
      <c r="DV652" s="73"/>
      <c r="DW652" s="73"/>
      <c r="DX652" s="73"/>
      <c r="DY652" s="73"/>
      <c r="DZ652" s="73"/>
      <c r="EA652" s="73"/>
      <c r="EB652" s="73"/>
      <c r="EC652" s="73"/>
      <c r="ED652" s="73"/>
      <c r="EE652" s="73"/>
      <c r="EF652" s="73"/>
      <c r="FJ652" s="73"/>
      <c r="FK652" s="73"/>
      <c r="FL652" s="73"/>
      <c r="FM652" s="73"/>
      <c r="FN652" s="73"/>
      <c r="FO652" s="73"/>
      <c r="FP652" s="73"/>
      <c r="FQ652" s="73"/>
      <c r="FR652" s="73"/>
      <c r="FS652" s="73"/>
      <c r="FT652" s="73"/>
      <c r="FU652" s="73"/>
      <c r="FV652" s="73"/>
      <c r="FW652" s="73"/>
      <c r="FX652" s="73"/>
      <c r="GO652" s="73"/>
      <c r="GP652" s="73"/>
      <c r="HE652" s="73"/>
      <c r="HU652" s="73"/>
      <c r="HV652" s="182"/>
    </row>
    <row r="653" spans="1:230" x14ac:dyDescent="0.25">
      <c r="A653" s="30"/>
      <c r="B653" s="30"/>
      <c r="C653" s="30"/>
      <c r="D653" s="30"/>
      <c r="G653" s="30"/>
      <c r="H653" s="30"/>
      <c r="I653" s="30"/>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c r="CA653" s="73"/>
      <c r="CB653" s="73"/>
      <c r="CC653" s="73"/>
      <c r="CD653" s="73"/>
      <c r="CE653" s="73"/>
      <c r="CF653" s="73"/>
      <c r="CG653" s="73"/>
      <c r="CH653" s="73"/>
      <c r="CI653" s="73"/>
      <c r="CJ653" s="73"/>
      <c r="CK653" s="73"/>
      <c r="CL653" s="73"/>
      <c r="CM653" s="73"/>
      <c r="CN653" s="73"/>
      <c r="CO653" s="73"/>
      <c r="CP653" s="73"/>
      <c r="CQ653" s="73"/>
      <c r="CR653" s="73"/>
      <c r="CS653" s="73"/>
      <c r="CT653" s="73"/>
      <c r="CU653" s="73"/>
      <c r="CV653" s="73"/>
      <c r="CW653" s="73"/>
      <c r="CX653" s="73"/>
      <c r="CY653" s="73"/>
      <c r="CZ653" s="73"/>
      <c r="DA653" s="73"/>
      <c r="DB653" s="73"/>
      <c r="DC653" s="73"/>
      <c r="DD653" s="73"/>
      <c r="DE653" s="73"/>
      <c r="DF653" s="73"/>
      <c r="DG653" s="73"/>
      <c r="DH653" s="73"/>
      <c r="DI653" s="73"/>
      <c r="DJ653" s="73"/>
      <c r="DK653" s="73"/>
      <c r="DL653" s="73"/>
      <c r="DM653" s="73"/>
      <c r="DN653" s="73"/>
      <c r="DO653" s="73"/>
      <c r="DP653" s="73"/>
      <c r="DQ653" s="73"/>
      <c r="DR653" s="73"/>
      <c r="DS653" s="73"/>
      <c r="DT653" s="73"/>
      <c r="DU653" s="73"/>
      <c r="DV653" s="73"/>
      <c r="DW653" s="73"/>
      <c r="DX653" s="73"/>
      <c r="DY653" s="73"/>
      <c r="DZ653" s="73"/>
      <c r="EA653" s="73"/>
      <c r="EB653" s="73"/>
      <c r="EC653" s="73"/>
      <c r="ED653" s="73"/>
      <c r="EE653" s="73"/>
      <c r="EF653" s="73"/>
      <c r="FJ653" s="73"/>
      <c r="FK653" s="73"/>
      <c r="FL653" s="73"/>
      <c r="FM653" s="73"/>
      <c r="FN653" s="73"/>
      <c r="FO653" s="73"/>
      <c r="FP653" s="73"/>
      <c r="FQ653" s="73"/>
      <c r="FR653" s="73"/>
      <c r="FS653" s="73"/>
      <c r="FT653" s="73"/>
      <c r="FU653" s="73"/>
      <c r="FV653" s="73"/>
      <c r="FW653" s="73"/>
      <c r="FX653" s="73"/>
      <c r="GO653" s="73"/>
      <c r="GP653" s="73"/>
      <c r="HE653" s="73"/>
      <c r="HU653" s="73"/>
      <c r="HV653" s="182"/>
    </row>
    <row r="654" spans="1:230" x14ac:dyDescent="0.25">
      <c r="A654" s="30"/>
      <c r="B654" s="30"/>
      <c r="C654" s="30"/>
      <c r="D654" s="30"/>
      <c r="G654" s="30"/>
      <c r="H654" s="30"/>
      <c r="I654" s="30"/>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c r="CA654" s="73"/>
      <c r="CB654" s="73"/>
      <c r="CC654" s="73"/>
      <c r="CD654" s="73"/>
      <c r="CE654" s="73"/>
      <c r="CF654" s="73"/>
      <c r="CG654" s="73"/>
      <c r="CH654" s="73"/>
      <c r="CI654" s="73"/>
      <c r="CJ654" s="73"/>
      <c r="CK654" s="73"/>
      <c r="CL654" s="73"/>
      <c r="CM654" s="73"/>
      <c r="CN654" s="73"/>
      <c r="CO654" s="73"/>
      <c r="CP654" s="73"/>
      <c r="CQ654" s="73"/>
      <c r="CR654" s="73"/>
      <c r="CS654" s="73"/>
      <c r="CT654" s="73"/>
      <c r="CU654" s="73"/>
      <c r="CV654" s="73"/>
      <c r="CW654" s="73"/>
      <c r="CX654" s="73"/>
      <c r="CY654" s="73"/>
      <c r="CZ654" s="73"/>
      <c r="DA654" s="73"/>
      <c r="DB654" s="73"/>
      <c r="DC654" s="73"/>
      <c r="DD654" s="73"/>
      <c r="DE654" s="73"/>
      <c r="DF654" s="73"/>
      <c r="DG654" s="73"/>
      <c r="DH654" s="73"/>
      <c r="DI654" s="73"/>
      <c r="DJ654" s="73"/>
      <c r="DK654" s="73"/>
      <c r="DL654" s="73"/>
      <c r="DM654" s="73"/>
      <c r="DN654" s="73"/>
      <c r="DO654" s="73"/>
      <c r="DP654" s="73"/>
      <c r="DQ654" s="73"/>
      <c r="DR654" s="73"/>
      <c r="DS654" s="73"/>
      <c r="DT654" s="73"/>
      <c r="DU654" s="73"/>
      <c r="DV654" s="73"/>
      <c r="DW654" s="73"/>
      <c r="DX654" s="73"/>
      <c r="DY654" s="73"/>
      <c r="DZ654" s="73"/>
      <c r="EA654" s="73"/>
      <c r="EB654" s="73"/>
      <c r="EC654" s="73"/>
      <c r="ED654" s="73"/>
      <c r="EE654" s="73"/>
      <c r="EF654" s="73"/>
      <c r="FJ654" s="73"/>
      <c r="FK654" s="73"/>
      <c r="FL654" s="73"/>
      <c r="FM654" s="73"/>
      <c r="FN654" s="73"/>
      <c r="FO654" s="73"/>
      <c r="FP654" s="73"/>
      <c r="FQ654" s="73"/>
      <c r="FR654" s="73"/>
      <c r="FS654" s="73"/>
      <c r="FT654" s="73"/>
      <c r="FU654" s="73"/>
      <c r="FV654" s="73"/>
      <c r="FW654" s="73"/>
      <c r="FX654" s="73"/>
      <c r="GO654" s="73"/>
      <c r="GP654" s="73"/>
      <c r="HE654" s="73"/>
      <c r="HU654" s="73"/>
      <c r="HV654" s="182"/>
    </row>
    <row r="655" spans="1:230" x14ac:dyDescent="0.25">
      <c r="A655" s="30"/>
      <c r="B655" s="30"/>
      <c r="C655" s="30"/>
      <c r="D655" s="30"/>
      <c r="G655" s="30"/>
      <c r="H655" s="30"/>
      <c r="I655" s="30"/>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c r="CA655" s="73"/>
      <c r="CB655" s="73"/>
      <c r="CC655" s="73"/>
      <c r="CD655" s="73"/>
      <c r="CE655" s="73"/>
      <c r="CF655" s="73"/>
      <c r="CG655" s="73"/>
      <c r="CH655" s="73"/>
      <c r="CI655" s="73"/>
      <c r="CJ655" s="73"/>
      <c r="CK655" s="73"/>
      <c r="CL655" s="73"/>
      <c r="CM655" s="73"/>
      <c r="CN655" s="73"/>
      <c r="CO655" s="73"/>
      <c r="CP655" s="73"/>
      <c r="CQ655" s="73"/>
      <c r="CR655" s="73"/>
      <c r="CS655" s="73"/>
      <c r="CT655" s="73"/>
      <c r="CU655" s="73"/>
      <c r="CV655" s="73"/>
      <c r="CW655" s="73"/>
      <c r="CX655" s="73"/>
      <c r="CY655" s="73"/>
      <c r="CZ655" s="73"/>
      <c r="DA655" s="73"/>
      <c r="DB655" s="73"/>
      <c r="DC655" s="73"/>
      <c r="DD655" s="73"/>
      <c r="DE655" s="73"/>
      <c r="DF655" s="73"/>
      <c r="DG655" s="73"/>
      <c r="DH655" s="73"/>
      <c r="DI655" s="73"/>
      <c r="DJ655" s="73"/>
      <c r="DK655" s="73"/>
      <c r="DL655" s="73"/>
      <c r="DM655" s="73"/>
      <c r="DN655" s="73"/>
      <c r="DO655" s="73"/>
      <c r="DP655" s="73"/>
      <c r="DQ655" s="73"/>
      <c r="DR655" s="73"/>
      <c r="DS655" s="73"/>
      <c r="DT655" s="73"/>
      <c r="DU655" s="73"/>
      <c r="DV655" s="73"/>
      <c r="DW655" s="73"/>
      <c r="DX655" s="73"/>
      <c r="DY655" s="73"/>
      <c r="DZ655" s="73"/>
      <c r="EA655" s="73"/>
      <c r="EB655" s="73"/>
      <c r="EC655" s="73"/>
      <c r="ED655" s="73"/>
      <c r="EE655" s="73"/>
      <c r="EF655" s="73"/>
      <c r="FJ655" s="73"/>
      <c r="FK655" s="73"/>
      <c r="FL655" s="73"/>
      <c r="FM655" s="73"/>
      <c r="FN655" s="73"/>
      <c r="FO655" s="73"/>
      <c r="FP655" s="73"/>
      <c r="FQ655" s="73"/>
      <c r="FR655" s="73"/>
      <c r="FS655" s="73"/>
      <c r="FT655" s="73"/>
      <c r="FU655" s="73"/>
      <c r="FV655" s="73"/>
      <c r="FW655" s="73"/>
      <c r="FX655" s="73"/>
      <c r="GO655" s="73"/>
      <c r="GP655" s="73"/>
      <c r="HE655" s="73"/>
      <c r="HU655" s="73"/>
      <c r="HV655" s="182"/>
    </row>
    <row r="656" spans="1:230" x14ac:dyDescent="0.25">
      <c r="A656" s="30"/>
      <c r="B656" s="30"/>
      <c r="C656" s="30"/>
      <c r="D656" s="30"/>
      <c r="G656" s="30"/>
      <c r="H656" s="30"/>
      <c r="I656" s="30"/>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c r="CA656" s="73"/>
      <c r="CB656" s="73"/>
      <c r="CC656" s="73"/>
      <c r="CD656" s="73"/>
      <c r="CE656" s="73"/>
      <c r="CF656" s="73"/>
      <c r="CG656" s="73"/>
      <c r="CH656" s="73"/>
      <c r="CI656" s="73"/>
      <c r="CJ656" s="73"/>
      <c r="CK656" s="73"/>
      <c r="CL656" s="73"/>
      <c r="CM656" s="73"/>
      <c r="CN656" s="73"/>
      <c r="CO656" s="73"/>
      <c r="CP656" s="73"/>
      <c r="CQ656" s="73"/>
      <c r="CR656" s="73"/>
      <c r="CS656" s="73"/>
      <c r="CT656" s="73"/>
      <c r="CU656" s="73"/>
      <c r="CV656" s="73"/>
      <c r="CW656" s="73"/>
      <c r="CX656" s="73"/>
      <c r="CY656" s="73"/>
      <c r="CZ656" s="73"/>
      <c r="DA656" s="73"/>
      <c r="DB656" s="73"/>
      <c r="DC656" s="73"/>
      <c r="DD656" s="73"/>
      <c r="DE656" s="73"/>
      <c r="DF656" s="73"/>
      <c r="DG656" s="73"/>
      <c r="DH656" s="73"/>
      <c r="DI656" s="73"/>
      <c r="DJ656" s="73"/>
      <c r="DK656" s="73"/>
      <c r="DL656" s="73"/>
      <c r="DM656" s="73"/>
      <c r="DN656" s="73"/>
      <c r="DO656" s="73"/>
      <c r="DP656" s="73"/>
      <c r="DQ656" s="73"/>
      <c r="DR656" s="73"/>
      <c r="DS656" s="73"/>
      <c r="DT656" s="73"/>
      <c r="DU656" s="73"/>
      <c r="DV656" s="73"/>
      <c r="DW656" s="73"/>
      <c r="DX656" s="73"/>
      <c r="DY656" s="73"/>
      <c r="DZ656" s="73"/>
      <c r="EA656" s="73"/>
      <c r="EB656" s="73"/>
      <c r="EC656" s="73"/>
      <c r="ED656" s="73"/>
      <c r="EE656" s="73"/>
      <c r="EF656" s="73"/>
      <c r="FJ656" s="73"/>
      <c r="FK656" s="73"/>
      <c r="FL656" s="73"/>
      <c r="FM656" s="73"/>
      <c r="FN656" s="73"/>
      <c r="FO656" s="73"/>
      <c r="FP656" s="73"/>
      <c r="FQ656" s="73"/>
      <c r="FR656" s="73"/>
      <c r="FS656" s="73"/>
      <c r="FT656" s="73"/>
      <c r="FU656" s="73"/>
      <c r="FV656" s="73"/>
      <c r="FW656" s="73"/>
      <c r="FX656" s="73"/>
      <c r="GO656" s="73"/>
      <c r="GP656" s="73"/>
      <c r="HE656" s="73"/>
      <c r="HU656" s="73"/>
      <c r="HV656" s="182"/>
    </row>
    <row r="657" spans="1:230" x14ac:dyDescent="0.25">
      <c r="A657" s="30"/>
      <c r="B657" s="30"/>
      <c r="C657" s="30"/>
      <c r="D657" s="30"/>
      <c r="G657" s="30"/>
      <c r="H657" s="30"/>
      <c r="I657" s="30"/>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3"/>
      <c r="DV657" s="73"/>
      <c r="DW657" s="73"/>
      <c r="DX657" s="73"/>
      <c r="DY657" s="73"/>
      <c r="DZ657" s="73"/>
      <c r="EA657" s="73"/>
      <c r="EB657" s="73"/>
      <c r="EC657" s="73"/>
      <c r="ED657" s="73"/>
      <c r="EE657" s="73"/>
      <c r="EF657" s="73"/>
      <c r="FJ657" s="73"/>
      <c r="FK657" s="73"/>
      <c r="FL657" s="73"/>
      <c r="FM657" s="73"/>
      <c r="FN657" s="73"/>
      <c r="FO657" s="73"/>
      <c r="FP657" s="73"/>
      <c r="FQ657" s="73"/>
      <c r="FR657" s="73"/>
      <c r="FS657" s="73"/>
      <c r="FT657" s="73"/>
      <c r="FU657" s="73"/>
      <c r="FV657" s="73"/>
      <c r="FW657" s="73"/>
      <c r="FX657" s="73"/>
      <c r="GO657" s="73"/>
      <c r="GP657" s="73"/>
      <c r="HE657" s="73"/>
      <c r="HU657" s="73"/>
      <c r="HV657" s="182"/>
    </row>
    <row r="658" spans="1:230" x14ac:dyDescent="0.25">
      <c r="A658" s="30"/>
      <c r="B658" s="30"/>
      <c r="C658" s="30"/>
      <c r="D658" s="30"/>
      <c r="G658" s="30"/>
      <c r="H658" s="30"/>
      <c r="I658" s="30"/>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3"/>
      <c r="CK658" s="73"/>
      <c r="CL658" s="73"/>
      <c r="CM658" s="73"/>
      <c r="CN658" s="73"/>
      <c r="CO658" s="73"/>
      <c r="CP658" s="73"/>
      <c r="CQ658" s="73"/>
      <c r="CR658" s="73"/>
      <c r="CS658" s="73"/>
      <c r="CT658" s="73"/>
      <c r="CU658" s="73"/>
      <c r="CV658" s="73"/>
      <c r="CW658" s="73"/>
      <c r="CX658" s="73"/>
      <c r="CY658" s="73"/>
      <c r="CZ658" s="73"/>
      <c r="DA658" s="73"/>
      <c r="DB658" s="73"/>
      <c r="DC658" s="73"/>
      <c r="DD658" s="73"/>
      <c r="DE658" s="73"/>
      <c r="DF658" s="73"/>
      <c r="DG658" s="73"/>
      <c r="DH658" s="73"/>
      <c r="DI658" s="73"/>
      <c r="DJ658" s="73"/>
      <c r="DK658" s="73"/>
      <c r="DL658" s="73"/>
      <c r="DM658" s="73"/>
      <c r="DN658" s="73"/>
      <c r="DO658" s="73"/>
      <c r="DP658" s="73"/>
      <c r="DQ658" s="73"/>
      <c r="DR658" s="73"/>
      <c r="DS658" s="73"/>
      <c r="DT658" s="73"/>
      <c r="DU658" s="73"/>
      <c r="DV658" s="73"/>
      <c r="DW658" s="73"/>
      <c r="DX658" s="73"/>
      <c r="DY658" s="73"/>
      <c r="DZ658" s="73"/>
      <c r="EA658" s="73"/>
      <c r="EB658" s="73"/>
      <c r="EC658" s="73"/>
      <c r="ED658" s="73"/>
      <c r="EE658" s="73"/>
      <c r="EF658" s="73"/>
      <c r="FJ658" s="73"/>
      <c r="FK658" s="73"/>
      <c r="FL658" s="73"/>
      <c r="FM658" s="73"/>
      <c r="FN658" s="73"/>
      <c r="FO658" s="73"/>
      <c r="FP658" s="73"/>
      <c r="FQ658" s="73"/>
      <c r="FR658" s="73"/>
      <c r="FS658" s="73"/>
      <c r="FT658" s="73"/>
      <c r="FU658" s="73"/>
      <c r="FV658" s="73"/>
      <c r="FW658" s="73"/>
      <c r="FX658" s="73"/>
      <c r="GO658" s="73"/>
      <c r="GP658" s="73"/>
      <c r="HE658" s="73"/>
      <c r="HU658" s="73"/>
      <c r="HV658" s="182"/>
    </row>
    <row r="659" spans="1:230" x14ac:dyDescent="0.25">
      <c r="A659" s="30"/>
      <c r="B659" s="30"/>
      <c r="C659" s="30"/>
      <c r="D659" s="30"/>
      <c r="G659" s="30"/>
      <c r="H659" s="30"/>
      <c r="I659" s="30"/>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c r="CA659" s="73"/>
      <c r="CB659" s="73"/>
      <c r="CC659" s="73"/>
      <c r="CD659" s="73"/>
      <c r="CE659" s="73"/>
      <c r="CF659" s="73"/>
      <c r="CG659" s="73"/>
      <c r="CH659" s="73"/>
      <c r="CI659" s="73"/>
      <c r="CJ659" s="73"/>
      <c r="CK659" s="73"/>
      <c r="CL659" s="73"/>
      <c r="CM659" s="73"/>
      <c r="CN659" s="73"/>
      <c r="CO659" s="73"/>
      <c r="CP659" s="73"/>
      <c r="CQ659" s="73"/>
      <c r="CR659" s="73"/>
      <c r="CS659" s="73"/>
      <c r="CT659" s="73"/>
      <c r="CU659" s="73"/>
      <c r="CV659" s="73"/>
      <c r="CW659" s="73"/>
      <c r="CX659" s="73"/>
      <c r="CY659" s="73"/>
      <c r="CZ659" s="73"/>
      <c r="DA659" s="73"/>
      <c r="DB659" s="73"/>
      <c r="DC659" s="73"/>
      <c r="DD659" s="73"/>
      <c r="DE659" s="73"/>
      <c r="DF659" s="73"/>
      <c r="DG659" s="73"/>
      <c r="DH659" s="73"/>
      <c r="DI659" s="73"/>
      <c r="DJ659" s="73"/>
      <c r="DK659" s="73"/>
      <c r="DL659" s="73"/>
      <c r="DM659" s="73"/>
      <c r="DN659" s="73"/>
      <c r="DO659" s="73"/>
      <c r="DP659" s="73"/>
      <c r="DQ659" s="73"/>
      <c r="DR659" s="73"/>
      <c r="DS659" s="73"/>
      <c r="DT659" s="73"/>
      <c r="DU659" s="73"/>
      <c r="DV659" s="73"/>
      <c r="DW659" s="73"/>
      <c r="DX659" s="73"/>
      <c r="DY659" s="73"/>
      <c r="DZ659" s="73"/>
      <c r="EA659" s="73"/>
      <c r="EB659" s="73"/>
      <c r="EC659" s="73"/>
      <c r="ED659" s="73"/>
      <c r="EE659" s="73"/>
      <c r="EF659" s="73"/>
      <c r="FJ659" s="73"/>
      <c r="FK659" s="73"/>
      <c r="FL659" s="73"/>
      <c r="FM659" s="73"/>
      <c r="FN659" s="73"/>
      <c r="FO659" s="73"/>
      <c r="FP659" s="73"/>
      <c r="FQ659" s="73"/>
      <c r="FR659" s="73"/>
      <c r="FS659" s="73"/>
      <c r="FT659" s="73"/>
      <c r="FU659" s="73"/>
      <c r="FV659" s="73"/>
      <c r="FW659" s="73"/>
      <c r="FX659" s="73"/>
      <c r="GO659" s="73"/>
      <c r="GP659" s="73"/>
      <c r="HE659" s="73"/>
      <c r="HU659" s="73"/>
      <c r="HV659" s="182"/>
    </row>
    <row r="660" spans="1:230" x14ac:dyDescent="0.25">
      <c r="A660" s="30"/>
      <c r="B660" s="30"/>
      <c r="C660" s="30"/>
      <c r="D660" s="30"/>
      <c r="G660" s="30"/>
      <c r="H660" s="30"/>
      <c r="I660" s="30"/>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c r="CE660" s="73"/>
      <c r="CF660" s="73"/>
      <c r="CG660" s="73"/>
      <c r="CH660" s="73"/>
      <c r="CI660" s="73"/>
      <c r="CJ660" s="73"/>
      <c r="CK660" s="73"/>
      <c r="CL660" s="73"/>
      <c r="CM660" s="73"/>
      <c r="CN660" s="73"/>
      <c r="CO660" s="73"/>
      <c r="CP660" s="73"/>
      <c r="CQ660" s="73"/>
      <c r="CR660" s="73"/>
      <c r="CS660" s="73"/>
      <c r="CT660" s="73"/>
      <c r="CU660" s="73"/>
      <c r="CV660" s="73"/>
      <c r="CW660" s="73"/>
      <c r="CX660" s="73"/>
      <c r="CY660" s="73"/>
      <c r="CZ660" s="73"/>
      <c r="DA660" s="73"/>
      <c r="DB660" s="73"/>
      <c r="DC660" s="73"/>
      <c r="DD660" s="73"/>
      <c r="DE660" s="73"/>
      <c r="DF660" s="73"/>
      <c r="DG660" s="73"/>
      <c r="DH660" s="73"/>
      <c r="DI660" s="73"/>
      <c r="DJ660" s="73"/>
      <c r="DK660" s="73"/>
      <c r="DL660" s="73"/>
      <c r="DM660" s="73"/>
      <c r="DN660" s="73"/>
      <c r="DO660" s="73"/>
      <c r="DP660" s="73"/>
      <c r="DQ660" s="73"/>
      <c r="DR660" s="73"/>
      <c r="DS660" s="73"/>
      <c r="DT660" s="73"/>
      <c r="DU660" s="73"/>
      <c r="DV660" s="73"/>
      <c r="DW660" s="73"/>
      <c r="DX660" s="73"/>
      <c r="DY660" s="73"/>
      <c r="DZ660" s="73"/>
      <c r="EA660" s="73"/>
      <c r="EB660" s="73"/>
      <c r="EC660" s="73"/>
      <c r="ED660" s="73"/>
      <c r="EE660" s="73"/>
      <c r="EF660" s="73"/>
      <c r="FJ660" s="73"/>
      <c r="FK660" s="73"/>
      <c r="FL660" s="73"/>
      <c r="FM660" s="73"/>
      <c r="FN660" s="73"/>
      <c r="FO660" s="73"/>
      <c r="FP660" s="73"/>
      <c r="FQ660" s="73"/>
      <c r="FR660" s="73"/>
      <c r="FS660" s="73"/>
      <c r="FT660" s="73"/>
      <c r="FU660" s="73"/>
      <c r="FV660" s="73"/>
      <c r="FW660" s="73"/>
      <c r="FX660" s="73"/>
      <c r="GO660" s="73"/>
      <c r="GP660" s="73"/>
      <c r="HE660" s="73"/>
      <c r="HU660" s="73"/>
      <c r="HV660" s="182"/>
    </row>
    <row r="661" spans="1:230" x14ac:dyDescent="0.25">
      <c r="A661" s="30"/>
      <c r="B661" s="30"/>
      <c r="C661" s="30"/>
      <c r="D661" s="30"/>
      <c r="G661" s="30"/>
      <c r="H661" s="30"/>
      <c r="I661" s="30"/>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3"/>
      <c r="CK661" s="73"/>
      <c r="CL661" s="73"/>
      <c r="CM661" s="73"/>
      <c r="CN661" s="73"/>
      <c r="CO661" s="73"/>
      <c r="CP661" s="73"/>
      <c r="CQ661" s="73"/>
      <c r="CR661" s="73"/>
      <c r="CS661" s="73"/>
      <c r="CT661" s="73"/>
      <c r="CU661" s="73"/>
      <c r="CV661" s="73"/>
      <c r="CW661" s="73"/>
      <c r="CX661" s="73"/>
      <c r="CY661" s="73"/>
      <c r="CZ661" s="73"/>
      <c r="DA661" s="73"/>
      <c r="DB661" s="73"/>
      <c r="DC661" s="73"/>
      <c r="DD661" s="73"/>
      <c r="DE661" s="73"/>
      <c r="DF661" s="73"/>
      <c r="DG661" s="73"/>
      <c r="DH661" s="73"/>
      <c r="DI661" s="73"/>
      <c r="DJ661" s="73"/>
      <c r="DK661" s="73"/>
      <c r="DL661" s="73"/>
      <c r="DM661" s="73"/>
      <c r="DN661" s="73"/>
      <c r="DO661" s="73"/>
      <c r="DP661" s="73"/>
      <c r="DQ661" s="73"/>
      <c r="DR661" s="73"/>
      <c r="DS661" s="73"/>
      <c r="DT661" s="73"/>
      <c r="DU661" s="73"/>
      <c r="DV661" s="73"/>
      <c r="DW661" s="73"/>
      <c r="DX661" s="73"/>
      <c r="DY661" s="73"/>
      <c r="DZ661" s="73"/>
      <c r="EA661" s="73"/>
      <c r="EB661" s="73"/>
      <c r="EC661" s="73"/>
      <c r="ED661" s="73"/>
      <c r="EE661" s="73"/>
      <c r="EF661" s="73"/>
      <c r="FJ661" s="73"/>
      <c r="FK661" s="73"/>
      <c r="FL661" s="73"/>
      <c r="FM661" s="73"/>
      <c r="FN661" s="73"/>
      <c r="FO661" s="73"/>
      <c r="FP661" s="73"/>
      <c r="FQ661" s="73"/>
      <c r="FR661" s="73"/>
      <c r="FS661" s="73"/>
      <c r="FT661" s="73"/>
      <c r="FU661" s="73"/>
      <c r="FV661" s="73"/>
      <c r="FW661" s="73"/>
      <c r="FX661" s="73"/>
      <c r="GO661" s="73"/>
      <c r="GP661" s="73"/>
      <c r="HE661" s="73"/>
      <c r="HU661" s="73"/>
      <c r="HV661" s="182"/>
    </row>
    <row r="662" spans="1:230" x14ac:dyDescent="0.25">
      <c r="A662" s="30"/>
      <c r="B662" s="30"/>
      <c r="C662" s="30"/>
      <c r="D662" s="30"/>
      <c r="G662" s="30"/>
      <c r="H662" s="30"/>
      <c r="I662" s="30"/>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c r="CS662" s="73"/>
      <c r="CT662" s="73"/>
      <c r="CU662" s="73"/>
      <c r="CV662" s="73"/>
      <c r="CW662" s="73"/>
      <c r="CX662" s="73"/>
      <c r="CY662" s="73"/>
      <c r="CZ662" s="73"/>
      <c r="DA662" s="73"/>
      <c r="DB662" s="73"/>
      <c r="DC662" s="73"/>
      <c r="DD662" s="73"/>
      <c r="DE662" s="73"/>
      <c r="DF662" s="73"/>
      <c r="DG662" s="73"/>
      <c r="DH662" s="73"/>
      <c r="DI662" s="73"/>
      <c r="DJ662" s="73"/>
      <c r="DK662" s="73"/>
      <c r="DL662" s="73"/>
      <c r="DM662" s="73"/>
      <c r="DN662" s="73"/>
      <c r="DO662" s="73"/>
      <c r="DP662" s="73"/>
      <c r="DQ662" s="73"/>
      <c r="DR662" s="73"/>
      <c r="DS662" s="73"/>
      <c r="DT662" s="73"/>
      <c r="DU662" s="73"/>
      <c r="DV662" s="73"/>
      <c r="DW662" s="73"/>
      <c r="DX662" s="73"/>
      <c r="DY662" s="73"/>
      <c r="DZ662" s="73"/>
      <c r="EA662" s="73"/>
      <c r="EB662" s="73"/>
      <c r="EC662" s="73"/>
      <c r="ED662" s="73"/>
      <c r="EE662" s="73"/>
      <c r="EF662" s="73"/>
      <c r="FJ662" s="73"/>
      <c r="FK662" s="73"/>
      <c r="FL662" s="73"/>
      <c r="FM662" s="73"/>
      <c r="FN662" s="73"/>
      <c r="FO662" s="73"/>
      <c r="FP662" s="73"/>
      <c r="FQ662" s="73"/>
      <c r="FR662" s="73"/>
      <c r="FS662" s="73"/>
      <c r="FT662" s="73"/>
      <c r="FU662" s="73"/>
      <c r="FV662" s="73"/>
      <c r="FW662" s="73"/>
      <c r="FX662" s="73"/>
      <c r="GO662" s="73"/>
      <c r="GP662" s="73"/>
      <c r="HE662" s="73"/>
      <c r="HU662" s="73"/>
      <c r="HV662" s="182"/>
    </row>
    <row r="663" spans="1:230" x14ac:dyDescent="0.25">
      <c r="A663" s="30"/>
      <c r="B663" s="30"/>
      <c r="C663" s="30"/>
      <c r="D663" s="30"/>
      <c r="G663" s="30"/>
      <c r="H663" s="30"/>
      <c r="I663" s="30"/>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3"/>
      <c r="CK663" s="73"/>
      <c r="CL663" s="73"/>
      <c r="CM663" s="73"/>
      <c r="CN663" s="73"/>
      <c r="CO663" s="73"/>
      <c r="CP663" s="73"/>
      <c r="CQ663" s="73"/>
      <c r="CR663" s="73"/>
      <c r="CS663" s="73"/>
      <c r="CT663" s="73"/>
      <c r="CU663" s="73"/>
      <c r="CV663" s="73"/>
      <c r="CW663" s="73"/>
      <c r="CX663" s="73"/>
      <c r="CY663" s="73"/>
      <c r="CZ663" s="73"/>
      <c r="DA663" s="73"/>
      <c r="DB663" s="73"/>
      <c r="DC663" s="73"/>
      <c r="DD663" s="73"/>
      <c r="DE663" s="73"/>
      <c r="DF663" s="73"/>
      <c r="DG663" s="73"/>
      <c r="DH663" s="73"/>
      <c r="DI663" s="73"/>
      <c r="DJ663" s="73"/>
      <c r="DK663" s="73"/>
      <c r="DL663" s="73"/>
      <c r="DM663" s="73"/>
      <c r="DN663" s="73"/>
      <c r="DO663" s="73"/>
      <c r="DP663" s="73"/>
      <c r="DQ663" s="73"/>
      <c r="DR663" s="73"/>
      <c r="DS663" s="73"/>
      <c r="DT663" s="73"/>
      <c r="DU663" s="73"/>
      <c r="DV663" s="73"/>
      <c r="DW663" s="73"/>
      <c r="DX663" s="73"/>
      <c r="DY663" s="73"/>
      <c r="DZ663" s="73"/>
      <c r="EA663" s="73"/>
      <c r="EB663" s="73"/>
      <c r="EC663" s="73"/>
      <c r="ED663" s="73"/>
      <c r="EE663" s="73"/>
      <c r="EF663" s="73"/>
      <c r="FJ663" s="73"/>
      <c r="FK663" s="73"/>
      <c r="FL663" s="73"/>
      <c r="FM663" s="73"/>
      <c r="FN663" s="73"/>
      <c r="FO663" s="73"/>
      <c r="FP663" s="73"/>
      <c r="FQ663" s="73"/>
      <c r="FR663" s="73"/>
      <c r="FS663" s="73"/>
      <c r="FT663" s="73"/>
      <c r="FU663" s="73"/>
      <c r="FV663" s="73"/>
      <c r="FW663" s="73"/>
      <c r="FX663" s="73"/>
      <c r="GO663" s="73"/>
      <c r="GP663" s="73"/>
      <c r="HE663" s="73"/>
      <c r="HU663" s="73"/>
      <c r="HV663" s="182"/>
    </row>
    <row r="664" spans="1:230" x14ac:dyDescent="0.25">
      <c r="A664" s="30"/>
      <c r="B664" s="30"/>
      <c r="C664" s="30"/>
      <c r="D664" s="30"/>
      <c r="G664" s="30"/>
      <c r="H664" s="30"/>
      <c r="I664" s="30"/>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c r="CE664" s="73"/>
      <c r="CF664" s="73"/>
      <c r="CG664" s="73"/>
      <c r="CH664" s="73"/>
      <c r="CI664" s="73"/>
      <c r="CJ664" s="73"/>
      <c r="CK664" s="73"/>
      <c r="CL664" s="73"/>
      <c r="CM664" s="73"/>
      <c r="CN664" s="73"/>
      <c r="CO664" s="73"/>
      <c r="CP664" s="73"/>
      <c r="CQ664" s="73"/>
      <c r="CR664" s="73"/>
      <c r="CS664" s="73"/>
      <c r="CT664" s="73"/>
      <c r="CU664" s="73"/>
      <c r="CV664" s="73"/>
      <c r="CW664" s="73"/>
      <c r="CX664" s="73"/>
      <c r="CY664" s="73"/>
      <c r="CZ664" s="73"/>
      <c r="DA664" s="73"/>
      <c r="DB664" s="73"/>
      <c r="DC664" s="73"/>
      <c r="DD664" s="73"/>
      <c r="DE664" s="73"/>
      <c r="DF664" s="73"/>
      <c r="DG664" s="73"/>
      <c r="DH664" s="73"/>
      <c r="DI664" s="73"/>
      <c r="DJ664" s="73"/>
      <c r="DK664" s="73"/>
      <c r="DL664" s="73"/>
      <c r="DM664" s="73"/>
      <c r="DN664" s="73"/>
      <c r="DO664" s="73"/>
      <c r="DP664" s="73"/>
      <c r="DQ664" s="73"/>
      <c r="DR664" s="73"/>
      <c r="DS664" s="73"/>
      <c r="DT664" s="73"/>
      <c r="DU664" s="73"/>
      <c r="DV664" s="73"/>
      <c r="DW664" s="73"/>
      <c r="DX664" s="73"/>
      <c r="DY664" s="73"/>
      <c r="DZ664" s="73"/>
      <c r="EA664" s="73"/>
      <c r="EB664" s="73"/>
      <c r="EC664" s="73"/>
      <c r="ED664" s="73"/>
      <c r="EE664" s="73"/>
      <c r="EF664" s="73"/>
      <c r="FJ664" s="73"/>
      <c r="FK664" s="73"/>
      <c r="FL664" s="73"/>
      <c r="FM664" s="73"/>
      <c r="FN664" s="73"/>
      <c r="FO664" s="73"/>
      <c r="FP664" s="73"/>
      <c r="FQ664" s="73"/>
      <c r="FR664" s="73"/>
      <c r="FS664" s="73"/>
      <c r="FT664" s="73"/>
      <c r="FU664" s="73"/>
      <c r="FV664" s="73"/>
      <c r="FW664" s="73"/>
      <c r="FX664" s="73"/>
      <c r="GO664" s="73"/>
      <c r="GP664" s="73"/>
      <c r="HE664" s="73"/>
      <c r="HU664" s="73"/>
      <c r="HV664" s="182"/>
    </row>
    <row r="665" spans="1:230" x14ac:dyDescent="0.25">
      <c r="A665" s="30"/>
      <c r="B665" s="30"/>
      <c r="C665" s="30"/>
      <c r="D665" s="30"/>
      <c r="G665" s="30"/>
      <c r="H665" s="30"/>
      <c r="I665" s="30"/>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c r="CA665" s="73"/>
      <c r="CB665" s="73"/>
      <c r="CC665" s="73"/>
      <c r="CD665" s="73"/>
      <c r="CE665" s="73"/>
      <c r="CF665" s="73"/>
      <c r="CG665" s="73"/>
      <c r="CH665" s="73"/>
      <c r="CI665" s="73"/>
      <c r="CJ665" s="73"/>
      <c r="CK665" s="73"/>
      <c r="CL665" s="73"/>
      <c r="CM665" s="73"/>
      <c r="CN665" s="73"/>
      <c r="CO665" s="73"/>
      <c r="CP665" s="73"/>
      <c r="CQ665" s="73"/>
      <c r="CR665" s="73"/>
      <c r="CS665" s="73"/>
      <c r="CT665" s="73"/>
      <c r="CU665" s="73"/>
      <c r="CV665" s="73"/>
      <c r="CW665" s="73"/>
      <c r="CX665" s="73"/>
      <c r="CY665" s="73"/>
      <c r="CZ665" s="73"/>
      <c r="DA665" s="73"/>
      <c r="DB665" s="73"/>
      <c r="DC665" s="73"/>
      <c r="DD665" s="73"/>
      <c r="DE665" s="73"/>
      <c r="DF665" s="73"/>
      <c r="DG665" s="73"/>
      <c r="DH665" s="73"/>
      <c r="DI665" s="73"/>
      <c r="DJ665" s="73"/>
      <c r="DK665" s="73"/>
      <c r="DL665" s="73"/>
      <c r="DM665" s="73"/>
      <c r="DN665" s="73"/>
      <c r="DO665" s="73"/>
      <c r="DP665" s="73"/>
      <c r="DQ665" s="73"/>
      <c r="DR665" s="73"/>
      <c r="DS665" s="73"/>
      <c r="DT665" s="73"/>
      <c r="DU665" s="73"/>
      <c r="DV665" s="73"/>
      <c r="DW665" s="73"/>
      <c r="DX665" s="73"/>
      <c r="DY665" s="73"/>
      <c r="DZ665" s="73"/>
      <c r="EA665" s="73"/>
      <c r="EB665" s="73"/>
      <c r="EC665" s="73"/>
      <c r="ED665" s="73"/>
      <c r="EE665" s="73"/>
      <c r="EF665" s="73"/>
      <c r="FJ665" s="73"/>
      <c r="FK665" s="73"/>
      <c r="FL665" s="73"/>
      <c r="FM665" s="73"/>
      <c r="FN665" s="73"/>
      <c r="FO665" s="73"/>
      <c r="FP665" s="73"/>
      <c r="FQ665" s="73"/>
      <c r="FR665" s="73"/>
      <c r="FS665" s="73"/>
      <c r="FT665" s="73"/>
      <c r="FU665" s="73"/>
      <c r="FV665" s="73"/>
      <c r="FW665" s="73"/>
      <c r="FX665" s="73"/>
      <c r="GO665" s="73"/>
      <c r="GP665" s="73"/>
      <c r="HE665" s="73"/>
      <c r="HU665" s="73"/>
      <c r="HV665" s="182"/>
    </row>
    <row r="666" spans="1:230" x14ac:dyDescent="0.25">
      <c r="A666" s="30"/>
      <c r="B666" s="30"/>
      <c r="C666" s="30"/>
      <c r="D666" s="30"/>
      <c r="G666" s="30"/>
      <c r="H666" s="30"/>
      <c r="I666" s="30"/>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3"/>
      <c r="CK666" s="73"/>
      <c r="CL666" s="73"/>
      <c r="CM666" s="73"/>
      <c r="CN666" s="73"/>
      <c r="CO666" s="73"/>
      <c r="CP666" s="73"/>
      <c r="CQ666" s="73"/>
      <c r="CR666" s="73"/>
      <c r="CS666" s="73"/>
      <c r="CT666" s="73"/>
      <c r="CU666" s="73"/>
      <c r="CV666" s="73"/>
      <c r="CW666" s="73"/>
      <c r="CX666" s="73"/>
      <c r="CY666" s="73"/>
      <c r="CZ666" s="73"/>
      <c r="DA666" s="73"/>
      <c r="DB666" s="73"/>
      <c r="DC666" s="73"/>
      <c r="DD666" s="73"/>
      <c r="DE666" s="73"/>
      <c r="DF666" s="73"/>
      <c r="DG666" s="73"/>
      <c r="DH666" s="73"/>
      <c r="DI666" s="73"/>
      <c r="DJ666" s="73"/>
      <c r="DK666" s="73"/>
      <c r="DL666" s="73"/>
      <c r="DM666" s="73"/>
      <c r="DN666" s="73"/>
      <c r="DO666" s="73"/>
      <c r="DP666" s="73"/>
      <c r="DQ666" s="73"/>
      <c r="DR666" s="73"/>
      <c r="DS666" s="73"/>
      <c r="DT666" s="73"/>
      <c r="DU666" s="73"/>
      <c r="DV666" s="73"/>
      <c r="DW666" s="73"/>
      <c r="DX666" s="73"/>
      <c r="DY666" s="73"/>
      <c r="DZ666" s="73"/>
      <c r="EA666" s="73"/>
      <c r="EB666" s="73"/>
      <c r="EC666" s="73"/>
      <c r="ED666" s="73"/>
      <c r="EE666" s="73"/>
      <c r="EF666" s="73"/>
      <c r="FJ666" s="73"/>
      <c r="FK666" s="73"/>
      <c r="FL666" s="73"/>
      <c r="FM666" s="73"/>
      <c r="FN666" s="73"/>
      <c r="FO666" s="73"/>
      <c r="FP666" s="73"/>
      <c r="FQ666" s="73"/>
      <c r="FR666" s="73"/>
      <c r="FS666" s="73"/>
      <c r="FT666" s="73"/>
      <c r="FU666" s="73"/>
      <c r="FV666" s="73"/>
      <c r="FW666" s="73"/>
      <c r="FX666" s="73"/>
      <c r="GO666" s="73"/>
      <c r="GP666" s="73"/>
      <c r="HE666" s="73"/>
      <c r="HU666" s="73"/>
      <c r="HV666" s="182"/>
    </row>
    <row r="667" spans="1:230" x14ac:dyDescent="0.25">
      <c r="A667" s="30"/>
      <c r="B667" s="30"/>
      <c r="C667" s="30"/>
      <c r="D667" s="30"/>
      <c r="G667" s="30"/>
      <c r="H667" s="30"/>
      <c r="I667" s="30"/>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c r="CA667" s="73"/>
      <c r="CB667" s="73"/>
      <c r="CC667" s="73"/>
      <c r="CD667" s="73"/>
      <c r="CE667" s="73"/>
      <c r="CF667" s="73"/>
      <c r="CG667" s="73"/>
      <c r="CH667" s="73"/>
      <c r="CI667" s="73"/>
      <c r="CJ667" s="73"/>
      <c r="CK667" s="73"/>
      <c r="CL667" s="73"/>
      <c r="CM667" s="73"/>
      <c r="CN667" s="73"/>
      <c r="CO667" s="73"/>
      <c r="CP667" s="73"/>
      <c r="CQ667" s="73"/>
      <c r="CR667" s="73"/>
      <c r="CS667" s="73"/>
      <c r="CT667" s="73"/>
      <c r="CU667" s="73"/>
      <c r="CV667" s="73"/>
      <c r="CW667" s="73"/>
      <c r="CX667" s="73"/>
      <c r="CY667" s="73"/>
      <c r="CZ667" s="73"/>
      <c r="DA667" s="73"/>
      <c r="DB667" s="73"/>
      <c r="DC667" s="73"/>
      <c r="DD667" s="73"/>
      <c r="DE667" s="73"/>
      <c r="DF667" s="73"/>
      <c r="DG667" s="73"/>
      <c r="DH667" s="73"/>
      <c r="DI667" s="73"/>
      <c r="DJ667" s="73"/>
      <c r="DK667" s="73"/>
      <c r="DL667" s="73"/>
      <c r="DM667" s="73"/>
      <c r="DN667" s="73"/>
      <c r="DO667" s="73"/>
      <c r="DP667" s="73"/>
      <c r="DQ667" s="73"/>
      <c r="DR667" s="73"/>
      <c r="DS667" s="73"/>
      <c r="DT667" s="73"/>
      <c r="DU667" s="73"/>
      <c r="DV667" s="73"/>
      <c r="DW667" s="73"/>
      <c r="DX667" s="73"/>
      <c r="DY667" s="73"/>
      <c r="DZ667" s="73"/>
      <c r="EA667" s="73"/>
      <c r="EB667" s="73"/>
      <c r="EC667" s="73"/>
      <c r="ED667" s="73"/>
      <c r="EE667" s="73"/>
      <c r="EF667" s="73"/>
      <c r="FJ667" s="73"/>
      <c r="FK667" s="73"/>
      <c r="FL667" s="73"/>
      <c r="FM667" s="73"/>
      <c r="FN667" s="73"/>
      <c r="FO667" s="73"/>
      <c r="FP667" s="73"/>
      <c r="FQ667" s="73"/>
      <c r="FR667" s="73"/>
      <c r="FS667" s="73"/>
      <c r="FT667" s="73"/>
      <c r="FU667" s="73"/>
      <c r="FV667" s="73"/>
      <c r="FW667" s="73"/>
      <c r="FX667" s="73"/>
      <c r="GO667" s="73"/>
      <c r="GP667" s="73"/>
      <c r="HE667" s="73"/>
      <c r="HU667" s="73"/>
      <c r="HV667" s="182"/>
    </row>
    <row r="668" spans="1:230" x14ac:dyDescent="0.25">
      <c r="A668" s="30"/>
      <c r="B668" s="30"/>
      <c r="C668" s="30"/>
      <c r="D668" s="30"/>
      <c r="G668" s="30"/>
      <c r="H668" s="30"/>
      <c r="I668" s="30"/>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c r="CA668" s="73"/>
      <c r="CB668" s="73"/>
      <c r="CC668" s="73"/>
      <c r="CD668" s="73"/>
      <c r="CE668" s="73"/>
      <c r="CF668" s="73"/>
      <c r="CG668" s="73"/>
      <c r="CH668" s="73"/>
      <c r="CI668" s="73"/>
      <c r="CJ668" s="73"/>
      <c r="CK668" s="73"/>
      <c r="CL668" s="73"/>
      <c r="CM668" s="73"/>
      <c r="CN668" s="73"/>
      <c r="CO668" s="73"/>
      <c r="CP668" s="73"/>
      <c r="CQ668" s="73"/>
      <c r="CR668" s="73"/>
      <c r="CS668" s="73"/>
      <c r="CT668" s="73"/>
      <c r="CU668" s="73"/>
      <c r="CV668" s="73"/>
      <c r="CW668" s="73"/>
      <c r="CX668" s="73"/>
      <c r="CY668" s="73"/>
      <c r="CZ668" s="73"/>
      <c r="DA668" s="73"/>
      <c r="DB668" s="73"/>
      <c r="DC668" s="73"/>
      <c r="DD668" s="73"/>
      <c r="DE668" s="73"/>
      <c r="DF668" s="73"/>
      <c r="DG668" s="73"/>
      <c r="DH668" s="73"/>
      <c r="DI668" s="73"/>
      <c r="DJ668" s="73"/>
      <c r="DK668" s="73"/>
      <c r="DL668" s="73"/>
      <c r="DM668" s="73"/>
      <c r="DN668" s="73"/>
      <c r="DO668" s="73"/>
      <c r="DP668" s="73"/>
      <c r="DQ668" s="73"/>
      <c r="DR668" s="73"/>
      <c r="DS668" s="73"/>
      <c r="DT668" s="73"/>
      <c r="DU668" s="73"/>
      <c r="DV668" s="73"/>
      <c r="DW668" s="73"/>
      <c r="DX668" s="73"/>
      <c r="DY668" s="73"/>
      <c r="DZ668" s="73"/>
      <c r="EA668" s="73"/>
      <c r="EB668" s="73"/>
      <c r="EC668" s="73"/>
      <c r="ED668" s="73"/>
      <c r="EE668" s="73"/>
      <c r="EF668" s="73"/>
      <c r="FJ668" s="73"/>
      <c r="FK668" s="73"/>
      <c r="FL668" s="73"/>
      <c r="FM668" s="73"/>
      <c r="FN668" s="73"/>
      <c r="FO668" s="73"/>
      <c r="FP668" s="73"/>
      <c r="FQ668" s="73"/>
      <c r="FR668" s="73"/>
      <c r="FS668" s="73"/>
      <c r="FT668" s="73"/>
      <c r="FU668" s="73"/>
      <c r="FV668" s="73"/>
      <c r="FW668" s="73"/>
      <c r="FX668" s="73"/>
      <c r="GO668" s="73"/>
      <c r="GP668" s="73"/>
      <c r="HE668" s="73"/>
      <c r="HU668" s="73"/>
      <c r="HV668" s="182"/>
    </row>
    <row r="669" spans="1:230" x14ac:dyDescent="0.25">
      <c r="A669" s="30"/>
      <c r="B669" s="30"/>
      <c r="C669" s="30"/>
      <c r="D669" s="30"/>
      <c r="G669" s="30"/>
      <c r="H669" s="30"/>
      <c r="I669" s="30"/>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c r="CA669" s="73"/>
      <c r="CB669" s="73"/>
      <c r="CC669" s="73"/>
      <c r="CD669" s="73"/>
      <c r="CE669" s="73"/>
      <c r="CF669" s="73"/>
      <c r="CG669" s="73"/>
      <c r="CH669" s="73"/>
      <c r="CI669" s="73"/>
      <c r="CJ669" s="73"/>
      <c r="CK669" s="73"/>
      <c r="CL669" s="73"/>
      <c r="CM669" s="73"/>
      <c r="CN669" s="73"/>
      <c r="CO669" s="73"/>
      <c r="CP669" s="73"/>
      <c r="CQ669" s="73"/>
      <c r="CR669" s="73"/>
      <c r="CS669" s="73"/>
      <c r="CT669" s="73"/>
      <c r="CU669" s="73"/>
      <c r="CV669" s="73"/>
      <c r="CW669" s="73"/>
      <c r="CX669" s="73"/>
      <c r="CY669" s="73"/>
      <c r="CZ669" s="73"/>
      <c r="DA669" s="73"/>
      <c r="DB669" s="73"/>
      <c r="DC669" s="73"/>
      <c r="DD669" s="73"/>
      <c r="DE669" s="73"/>
      <c r="DF669" s="73"/>
      <c r="DG669" s="73"/>
      <c r="DH669" s="73"/>
      <c r="DI669" s="73"/>
      <c r="DJ669" s="73"/>
      <c r="DK669" s="73"/>
      <c r="DL669" s="73"/>
      <c r="DM669" s="73"/>
      <c r="DN669" s="73"/>
      <c r="DO669" s="73"/>
      <c r="DP669" s="73"/>
      <c r="DQ669" s="73"/>
      <c r="DR669" s="73"/>
      <c r="DS669" s="73"/>
      <c r="DT669" s="73"/>
      <c r="DU669" s="73"/>
      <c r="DV669" s="73"/>
      <c r="DW669" s="73"/>
      <c r="DX669" s="73"/>
      <c r="DY669" s="73"/>
      <c r="DZ669" s="73"/>
      <c r="EA669" s="73"/>
      <c r="EB669" s="73"/>
      <c r="EC669" s="73"/>
      <c r="ED669" s="73"/>
      <c r="EE669" s="73"/>
      <c r="EF669" s="73"/>
      <c r="FJ669" s="73"/>
      <c r="FK669" s="73"/>
      <c r="FL669" s="73"/>
      <c r="FM669" s="73"/>
      <c r="FN669" s="73"/>
      <c r="FO669" s="73"/>
      <c r="FP669" s="73"/>
      <c r="FQ669" s="73"/>
      <c r="FR669" s="73"/>
      <c r="FS669" s="73"/>
      <c r="FT669" s="73"/>
      <c r="FU669" s="73"/>
      <c r="FV669" s="73"/>
      <c r="FW669" s="73"/>
      <c r="FX669" s="73"/>
      <c r="GO669" s="73"/>
      <c r="GP669" s="73"/>
      <c r="HE669" s="73"/>
      <c r="HU669" s="73"/>
      <c r="HV669" s="182"/>
    </row>
    <row r="670" spans="1:230" x14ac:dyDescent="0.25">
      <c r="A670" s="30"/>
      <c r="B670" s="30"/>
      <c r="C670" s="30"/>
      <c r="D670" s="30"/>
      <c r="G670" s="30"/>
      <c r="H670" s="30"/>
      <c r="I670" s="30"/>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3"/>
      <c r="CK670" s="73"/>
      <c r="CL670" s="73"/>
      <c r="CM670" s="73"/>
      <c r="CN670" s="73"/>
      <c r="CO670" s="73"/>
      <c r="CP670" s="73"/>
      <c r="CQ670" s="73"/>
      <c r="CR670" s="73"/>
      <c r="CS670" s="73"/>
      <c r="CT670" s="73"/>
      <c r="CU670" s="73"/>
      <c r="CV670" s="73"/>
      <c r="CW670" s="73"/>
      <c r="CX670" s="73"/>
      <c r="CY670" s="73"/>
      <c r="CZ670" s="73"/>
      <c r="DA670" s="73"/>
      <c r="DB670" s="73"/>
      <c r="DC670" s="73"/>
      <c r="DD670" s="73"/>
      <c r="DE670" s="73"/>
      <c r="DF670" s="73"/>
      <c r="DG670" s="73"/>
      <c r="DH670" s="73"/>
      <c r="DI670" s="73"/>
      <c r="DJ670" s="73"/>
      <c r="DK670" s="73"/>
      <c r="DL670" s="73"/>
      <c r="DM670" s="73"/>
      <c r="DN670" s="73"/>
      <c r="DO670" s="73"/>
      <c r="DP670" s="73"/>
      <c r="DQ670" s="73"/>
      <c r="DR670" s="73"/>
      <c r="DS670" s="73"/>
      <c r="DT670" s="73"/>
      <c r="DU670" s="73"/>
      <c r="DV670" s="73"/>
      <c r="DW670" s="73"/>
      <c r="DX670" s="73"/>
      <c r="DY670" s="73"/>
      <c r="DZ670" s="73"/>
      <c r="EA670" s="73"/>
      <c r="EB670" s="73"/>
      <c r="EC670" s="73"/>
      <c r="ED670" s="73"/>
      <c r="EE670" s="73"/>
      <c r="EF670" s="73"/>
      <c r="FJ670" s="73"/>
      <c r="FK670" s="73"/>
      <c r="FL670" s="73"/>
      <c r="FM670" s="73"/>
      <c r="FN670" s="73"/>
      <c r="FO670" s="73"/>
      <c r="FP670" s="73"/>
      <c r="FQ670" s="73"/>
      <c r="FR670" s="73"/>
      <c r="FS670" s="73"/>
      <c r="FT670" s="73"/>
      <c r="FU670" s="73"/>
      <c r="FV670" s="73"/>
      <c r="FW670" s="73"/>
      <c r="FX670" s="73"/>
      <c r="GO670" s="73"/>
      <c r="GP670" s="73"/>
      <c r="HE670" s="73"/>
      <c r="HU670" s="73"/>
      <c r="HV670" s="182"/>
    </row>
    <row r="671" spans="1:230" x14ac:dyDescent="0.25">
      <c r="A671" s="30"/>
      <c r="B671" s="30"/>
      <c r="C671" s="30"/>
      <c r="D671" s="30"/>
      <c r="G671" s="30"/>
      <c r="H671" s="30"/>
      <c r="I671" s="30"/>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c r="CA671" s="73"/>
      <c r="CB671" s="73"/>
      <c r="CC671" s="73"/>
      <c r="CD671" s="73"/>
      <c r="CE671" s="73"/>
      <c r="CF671" s="73"/>
      <c r="CG671" s="73"/>
      <c r="CH671" s="73"/>
      <c r="CI671" s="73"/>
      <c r="CJ671" s="73"/>
      <c r="CK671" s="73"/>
      <c r="CL671" s="73"/>
      <c r="CM671" s="73"/>
      <c r="CN671" s="73"/>
      <c r="CO671" s="73"/>
      <c r="CP671" s="73"/>
      <c r="CQ671" s="73"/>
      <c r="CR671" s="73"/>
      <c r="CS671" s="73"/>
      <c r="CT671" s="73"/>
      <c r="CU671" s="73"/>
      <c r="CV671" s="73"/>
      <c r="CW671" s="73"/>
      <c r="CX671" s="73"/>
      <c r="CY671" s="73"/>
      <c r="CZ671" s="73"/>
      <c r="DA671" s="73"/>
      <c r="DB671" s="73"/>
      <c r="DC671" s="73"/>
      <c r="DD671" s="73"/>
      <c r="DE671" s="73"/>
      <c r="DF671" s="73"/>
      <c r="DG671" s="73"/>
      <c r="DH671" s="73"/>
      <c r="DI671" s="73"/>
      <c r="DJ671" s="73"/>
      <c r="DK671" s="73"/>
      <c r="DL671" s="73"/>
      <c r="DM671" s="73"/>
      <c r="DN671" s="73"/>
      <c r="DO671" s="73"/>
      <c r="DP671" s="73"/>
      <c r="DQ671" s="73"/>
      <c r="DR671" s="73"/>
      <c r="DS671" s="73"/>
      <c r="DT671" s="73"/>
      <c r="DU671" s="73"/>
      <c r="DV671" s="73"/>
      <c r="DW671" s="73"/>
      <c r="DX671" s="73"/>
      <c r="DY671" s="73"/>
      <c r="DZ671" s="73"/>
      <c r="EA671" s="73"/>
      <c r="EB671" s="73"/>
      <c r="EC671" s="73"/>
      <c r="ED671" s="73"/>
      <c r="EE671" s="73"/>
      <c r="EF671" s="73"/>
      <c r="FJ671" s="73"/>
      <c r="FK671" s="73"/>
      <c r="FL671" s="73"/>
      <c r="FM671" s="73"/>
      <c r="FN671" s="73"/>
      <c r="FO671" s="73"/>
      <c r="FP671" s="73"/>
      <c r="FQ671" s="73"/>
      <c r="FR671" s="73"/>
      <c r="FS671" s="73"/>
      <c r="FT671" s="73"/>
      <c r="FU671" s="73"/>
      <c r="FV671" s="73"/>
      <c r="FW671" s="73"/>
      <c r="FX671" s="73"/>
      <c r="GO671" s="73"/>
      <c r="GP671" s="73"/>
      <c r="HE671" s="73"/>
      <c r="HU671" s="73"/>
      <c r="HV671" s="182"/>
    </row>
    <row r="672" spans="1:230" x14ac:dyDescent="0.25">
      <c r="A672" s="30"/>
      <c r="B672" s="30"/>
      <c r="C672" s="30"/>
      <c r="D672" s="30"/>
      <c r="G672" s="30"/>
      <c r="H672" s="30"/>
      <c r="I672" s="30"/>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c r="CA672" s="73"/>
      <c r="CB672" s="73"/>
      <c r="CC672" s="73"/>
      <c r="CD672" s="73"/>
      <c r="CE672" s="73"/>
      <c r="CF672" s="73"/>
      <c r="CG672" s="73"/>
      <c r="CH672" s="73"/>
      <c r="CI672" s="73"/>
      <c r="CJ672" s="73"/>
      <c r="CK672" s="73"/>
      <c r="CL672" s="73"/>
      <c r="CM672" s="73"/>
      <c r="CN672" s="73"/>
      <c r="CO672" s="73"/>
      <c r="CP672" s="73"/>
      <c r="CQ672" s="73"/>
      <c r="CR672" s="73"/>
      <c r="CS672" s="73"/>
      <c r="CT672" s="73"/>
      <c r="CU672" s="73"/>
      <c r="CV672" s="73"/>
      <c r="CW672" s="73"/>
      <c r="CX672" s="73"/>
      <c r="CY672" s="73"/>
      <c r="CZ672" s="73"/>
      <c r="DA672" s="73"/>
      <c r="DB672" s="73"/>
      <c r="DC672" s="73"/>
      <c r="DD672" s="73"/>
      <c r="DE672" s="73"/>
      <c r="DF672" s="73"/>
      <c r="DG672" s="73"/>
      <c r="DH672" s="73"/>
      <c r="DI672" s="73"/>
      <c r="DJ672" s="73"/>
      <c r="DK672" s="73"/>
      <c r="DL672" s="73"/>
      <c r="DM672" s="73"/>
      <c r="DN672" s="73"/>
      <c r="DO672" s="73"/>
      <c r="DP672" s="73"/>
      <c r="DQ672" s="73"/>
      <c r="DR672" s="73"/>
      <c r="DS672" s="73"/>
      <c r="DT672" s="73"/>
      <c r="DU672" s="73"/>
      <c r="DV672" s="73"/>
      <c r="DW672" s="73"/>
      <c r="DX672" s="73"/>
      <c r="DY672" s="73"/>
      <c r="DZ672" s="73"/>
      <c r="EA672" s="73"/>
      <c r="EB672" s="73"/>
      <c r="EC672" s="73"/>
      <c r="ED672" s="73"/>
      <c r="EE672" s="73"/>
      <c r="EF672" s="73"/>
      <c r="FJ672" s="73"/>
      <c r="FK672" s="73"/>
      <c r="FL672" s="73"/>
      <c r="FM672" s="73"/>
      <c r="FN672" s="73"/>
      <c r="FO672" s="73"/>
      <c r="FP672" s="73"/>
      <c r="FQ672" s="73"/>
      <c r="FR672" s="73"/>
      <c r="FS672" s="73"/>
      <c r="FT672" s="73"/>
      <c r="FU672" s="73"/>
      <c r="FV672" s="73"/>
      <c r="FW672" s="73"/>
      <c r="FX672" s="73"/>
      <c r="GO672" s="73"/>
      <c r="GP672" s="73"/>
      <c r="HE672" s="73"/>
      <c r="HU672" s="73"/>
      <c r="HV672" s="182"/>
    </row>
    <row r="673" spans="1:230" x14ac:dyDescent="0.25">
      <c r="A673" s="30"/>
      <c r="B673" s="30"/>
      <c r="C673" s="30"/>
      <c r="D673" s="30"/>
      <c r="G673" s="30"/>
      <c r="H673" s="30"/>
      <c r="I673" s="30"/>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c r="CA673" s="73"/>
      <c r="CB673" s="73"/>
      <c r="CC673" s="73"/>
      <c r="CD673" s="73"/>
      <c r="CE673" s="73"/>
      <c r="CF673" s="73"/>
      <c r="CG673" s="73"/>
      <c r="CH673" s="73"/>
      <c r="CI673" s="73"/>
      <c r="CJ673" s="73"/>
      <c r="CK673" s="73"/>
      <c r="CL673" s="73"/>
      <c r="CM673" s="73"/>
      <c r="CN673" s="73"/>
      <c r="CO673" s="73"/>
      <c r="CP673" s="73"/>
      <c r="CQ673" s="73"/>
      <c r="CR673" s="73"/>
      <c r="CS673" s="73"/>
      <c r="CT673" s="73"/>
      <c r="CU673" s="73"/>
      <c r="CV673" s="73"/>
      <c r="CW673" s="73"/>
      <c r="CX673" s="73"/>
      <c r="CY673" s="73"/>
      <c r="CZ673" s="73"/>
      <c r="DA673" s="73"/>
      <c r="DB673" s="73"/>
      <c r="DC673" s="73"/>
      <c r="DD673" s="73"/>
      <c r="DE673" s="73"/>
      <c r="DF673" s="73"/>
      <c r="DG673" s="73"/>
      <c r="DH673" s="73"/>
      <c r="DI673" s="73"/>
      <c r="DJ673" s="73"/>
      <c r="DK673" s="73"/>
      <c r="DL673" s="73"/>
      <c r="DM673" s="73"/>
      <c r="DN673" s="73"/>
      <c r="DO673" s="73"/>
      <c r="DP673" s="73"/>
      <c r="DQ673" s="73"/>
      <c r="DR673" s="73"/>
      <c r="DS673" s="73"/>
      <c r="DT673" s="73"/>
      <c r="DU673" s="73"/>
      <c r="DV673" s="73"/>
      <c r="DW673" s="73"/>
      <c r="DX673" s="73"/>
      <c r="DY673" s="73"/>
      <c r="DZ673" s="73"/>
      <c r="EA673" s="73"/>
      <c r="EB673" s="73"/>
      <c r="EC673" s="73"/>
      <c r="ED673" s="73"/>
      <c r="EE673" s="73"/>
      <c r="EF673" s="73"/>
      <c r="FJ673" s="73"/>
      <c r="FK673" s="73"/>
      <c r="FL673" s="73"/>
      <c r="FM673" s="73"/>
      <c r="FN673" s="73"/>
      <c r="FO673" s="73"/>
      <c r="FP673" s="73"/>
      <c r="FQ673" s="73"/>
      <c r="FR673" s="73"/>
      <c r="FS673" s="73"/>
      <c r="FT673" s="73"/>
      <c r="FU673" s="73"/>
      <c r="FV673" s="73"/>
      <c r="FW673" s="73"/>
      <c r="FX673" s="73"/>
      <c r="GO673" s="73"/>
      <c r="GP673" s="73"/>
      <c r="HE673" s="73"/>
      <c r="HU673" s="73"/>
      <c r="HV673" s="182"/>
    </row>
    <row r="674" spans="1:230" x14ac:dyDescent="0.25">
      <c r="A674" s="30"/>
      <c r="B674" s="30"/>
      <c r="C674" s="30"/>
      <c r="D674" s="30"/>
      <c r="G674" s="30"/>
      <c r="H674" s="30"/>
      <c r="I674" s="30"/>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c r="CA674" s="73"/>
      <c r="CB674" s="73"/>
      <c r="CC674" s="73"/>
      <c r="CD674" s="73"/>
      <c r="CE674" s="73"/>
      <c r="CF674" s="73"/>
      <c r="CG674" s="73"/>
      <c r="CH674" s="73"/>
      <c r="CI674" s="73"/>
      <c r="CJ674" s="73"/>
      <c r="CK674" s="73"/>
      <c r="CL674" s="73"/>
      <c r="CM674" s="73"/>
      <c r="CN674" s="73"/>
      <c r="CO674" s="73"/>
      <c r="CP674" s="73"/>
      <c r="CQ674" s="73"/>
      <c r="CR674" s="73"/>
      <c r="CS674" s="73"/>
      <c r="CT674" s="73"/>
      <c r="CU674" s="73"/>
      <c r="CV674" s="73"/>
      <c r="CW674" s="73"/>
      <c r="CX674" s="73"/>
      <c r="CY674" s="73"/>
      <c r="CZ674" s="73"/>
      <c r="DA674" s="73"/>
      <c r="DB674" s="73"/>
      <c r="DC674" s="73"/>
      <c r="DD674" s="73"/>
      <c r="DE674" s="73"/>
      <c r="DF674" s="73"/>
      <c r="DG674" s="73"/>
      <c r="DH674" s="73"/>
      <c r="DI674" s="73"/>
      <c r="DJ674" s="73"/>
      <c r="DK674" s="73"/>
      <c r="DL674" s="73"/>
      <c r="DM674" s="73"/>
      <c r="DN674" s="73"/>
      <c r="DO674" s="73"/>
      <c r="DP674" s="73"/>
      <c r="DQ674" s="73"/>
      <c r="DR674" s="73"/>
      <c r="DS674" s="73"/>
      <c r="DT674" s="73"/>
      <c r="DU674" s="73"/>
      <c r="DV674" s="73"/>
      <c r="DW674" s="73"/>
      <c r="DX674" s="73"/>
      <c r="DY674" s="73"/>
      <c r="DZ674" s="73"/>
      <c r="EA674" s="73"/>
      <c r="EB674" s="73"/>
      <c r="EC674" s="73"/>
      <c r="ED674" s="73"/>
      <c r="EE674" s="73"/>
      <c r="EF674" s="73"/>
      <c r="FJ674" s="73"/>
      <c r="FK674" s="73"/>
      <c r="FL674" s="73"/>
      <c r="FM674" s="73"/>
      <c r="FN674" s="73"/>
      <c r="FO674" s="73"/>
      <c r="FP674" s="73"/>
      <c r="FQ674" s="73"/>
      <c r="FR674" s="73"/>
      <c r="FS674" s="73"/>
      <c r="FT674" s="73"/>
      <c r="FU674" s="73"/>
      <c r="FV674" s="73"/>
      <c r="FW674" s="73"/>
      <c r="FX674" s="73"/>
      <c r="GO674" s="73"/>
      <c r="GP674" s="73"/>
      <c r="HE674" s="73"/>
      <c r="HU674" s="73"/>
      <c r="HV674" s="182"/>
    </row>
    <row r="675" spans="1:230" x14ac:dyDescent="0.25">
      <c r="A675" s="30"/>
      <c r="B675" s="30"/>
      <c r="C675" s="30"/>
      <c r="D675" s="30"/>
      <c r="G675" s="30"/>
      <c r="H675" s="30"/>
      <c r="I675" s="30"/>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c r="CA675" s="73"/>
      <c r="CB675" s="73"/>
      <c r="CC675" s="73"/>
      <c r="CD675" s="73"/>
      <c r="CE675" s="73"/>
      <c r="CF675" s="73"/>
      <c r="CG675" s="73"/>
      <c r="CH675" s="73"/>
      <c r="CI675" s="73"/>
      <c r="CJ675" s="73"/>
      <c r="CK675" s="73"/>
      <c r="CL675" s="73"/>
      <c r="CM675" s="73"/>
      <c r="CN675" s="73"/>
      <c r="CO675" s="73"/>
      <c r="CP675" s="73"/>
      <c r="CQ675" s="73"/>
      <c r="CR675" s="73"/>
      <c r="CS675" s="73"/>
      <c r="CT675" s="73"/>
      <c r="CU675" s="73"/>
      <c r="CV675" s="73"/>
      <c r="CW675" s="73"/>
      <c r="CX675" s="73"/>
      <c r="CY675" s="73"/>
      <c r="CZ675" s="73"/>
      <c r="DA675" s="73"/>
      <c r="DB675" s="73"/>
      <c r="DC675" s="73"/>
      <c r="DD675" s="73"/>
      <c r="DE675" s="73"/>
      <c r="DF675" s="73"/>
      <c r="DG675" s="73"/>
      <c r="DH675" s="73"/>
      <c r="DI675" s="73"/>
      <c r="DJ675" s="73"/>
      <c r="DK675" s="73"/>
      <c r="DL675" s="73"/>
      <c r="DM675" s="73"/>
      <c r="DN675" s="73"/>
      <c r="DO675" s="73"/>
      <c r="DP675" s="73"/>
      <c r="DQ675" s="73"/>
      <c r="DR675" s="73"/>
      <c r="DS675" s="73"/>
      <c r="DT675" s="73"/>
      <c r="DU675" s="73"/>
      <c r="DV675" s="73"/>
      <c r="DW675" s="73"/>
      <c r="DX675" s="73"/>
      <c r="DY675" s="73"/>
      <c r="DZ675" s="73"/>
      <c r="EA675" s="73"/>
      <c r="EB675" s="73"/>
      <c r="EC675" s="73"/>
      <c r="ED675" s="73"/>
      <c r="EE675" s="73"/>
      <c r="EF675" s="73"/>
      <c r="FJ675" s="73"/>
      <c r="FK675" s="73"/>
      <c r="FL675" s="73"/>
      <c r="FM675" s="73"/>
      <c r="FN675" s="73"/>
      <c r="FO675" s="73"/>
      <c r="FP675" s="73"/>
      <c r="FQ675" s="73"/>
      <c r="FR675" s="73"/>
      <c r="FS675" s="73"/>
      <c r="FT675" s="73"/>
      <c r="FU675" s="73"/>
      <c r="FV675" s="73"/>
      <c r="FW675" s="73"/>
      <c r="FX675" s="73"/>
      <c r="GO675" s="73"/>
      <c r="GP675" s="73"/>
      <c r="HE675" s="73"/>
      <c r="HU675" s="73"/>
      <c r="HV675" s="182"/>
    </row>
    <row r="676" spans="1:230" x14ac:dyDescent="0.25">
      <c r="A676" s="30"/>
      <c r="B676" s="30"/>
      <c r="C676" s="30"/>
      <c r="D676" s="30"/>
      <c r="G676" s="30"/>
      <c r="H676" s="30"/>
      <c r="I676" s="30"/>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c r="CA676" s="73"/>
      <c r="CB676" s="73"/>
      <c r="CC676" s="73"/>
      <c r="CD676" s="73"/>
      <c r="CE676" s="73"/>
      <c r="CF676" s="73"/>
      <c r="CG676" s="73"/>
      <c r="CH676" s="73"/>
      <c r="CI676" s="73"/>
      <c r="CJ676" s="73"/>
      <c r="CK676" s="73"/>
      <c r="CL676" s="73"/>
      <c r="CM676" s="73"/>
      <c r="CN676" s="73"/>
      <c r="CO676" s="73"/>
      <c r="CP676" s="73"/>
      <c r="CQ676" s="73"/>
      <c r="CR676" s="73"/>
      <c r="CS676" s="73"/>
      <c r="CT676" s="73"/>
      <c r="CU676" s="73"/>
      <c r="CV676" s="73"/>
      <c r="CW676" s="73"/>
      <c r="CX676" s="73"/>
      <c r="CY676" s="73"/>
      <c r="CZ676" s="73"/>
      <c r="DA676" s="73"/>
      <c r="DB676" s="73"/>
      <c r="DC676" s="73"/>
      <c r="DD676" s="73"/>
      <c r="DE676" s="73"/>
      <c r="DF676" s="73"/>
      <c r="DG676" s="73"/>
      <c r="DH676" s="73"/>
      <c r="DI676" s="73"/>
      <c r="DJ676" s="73"/>
      <c r="DK676" s="73"/>
      <c r="DL676" s="73"/>
      <c r="DM676" s="73"/>
      <c r="DN676" s="73"/>
      <c r="DO676" s="73"/>
      <c r="DP676" s="73"/>
      <c r="DQ676" s="73"/>
      <c r="DR676" s="73"/>
      <c r="DS676" s="73"/>
      <c r="DT676" s="73"/>
      <c r="DU676" s="73"/>
      <c r="DV676" s="73"/>
      <c r="DW676" s="73"/>
      <c r="DX676" s="73"/>
      <c r="DY676" s="73"/>
      <c r="DZ676" s="73"/>
      <c r="EA676" s="73"/>
      <c r="EB676" s="73"/>
      <c r="EC676" s="73"/>
      <c r="ED676" s="73"/>
      <c r="EE676" s="73"/>
      <c r="EF676" s="73"/>
      <c r="FJ676" s="73"/>
      <c r="FK676" s="73"/>
      <c r="FL676" s="73"/>
      <c r="FM676" s="73"/>
      <c r="FN676" s="73"/>
      <c r="FO676" s="73"/>
      <c r="FP676" s="73"/>
      <c r="FQ676" s="73"/>
      <c r="FR676" s="73"/>
      <c r="FS676" s="73"/>
      <c r="FT676" s="73"/>
      <c r="FU676" s="73"/>
      <c r="FV676" s="73"/>
      <c r="FW676" s="73"/>
      <c r="FX676" s="73"/>
      <c r="GO676" s="73"/>
      <c r="GP676" s="73"/>
      <c r="HE676" s="73"/>
      <c r="HU676" s="73"/>
      <c r="HV676" s="182"/>
    </row>
    <row r="677" spans="1:230" x14ac:dyDescent="0.25">
      <c r="A677" s="30"/>
      <c r="B677" s="30"/>
      <c r="C677" s="30"/>
      <c r="D677" s="30"/>
      <c r="G677" s="30"/>
      <c r="H677" s="30"/>
      <c r="I677" s="30"/>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c r="CA677" s="73"/>
      <c r="CB677" s="73"/>
      <c r="CC677" s="73"/>
      <c r="CD677" s="73"/>
      <c r="CE677" s="73"/>
      <c r="CF677" s="73"/>
      <c r="CG677" s="73"/>
      <c r="CH677" s="73"/>
      <c r="CI677" s="73"/>
      <c r="CJ677" s="73"/>
      <c r="CK677" s="73"/>
      <c r="CL677" s="73"/>
      <c r="CM677" s="73"/>
      <c r="CN677" s="73"/>
      <c r="CO677" s="73"/>
      <c r="CP677" s="73"/>
      <c r="CQ677" s="73"/>
      <c r="CR677" s="73"/>
      <c r="CS677" s="73"/>
      <c r="CT677" s="73"/>
      <c r="CU677" s="73"/>
      <c r="CV677" s="73"/>
      <c r="CW677" s="73"/>
      <c r="CX677" s="73"/>
      <c r="CY677" s="73"/>
      <c r="CZ677" s="73"/>
      <c r="DA677" s="73"/>
      <c r="DB677" s="73"/>
      <c r="DC677" s="73"/>
      <c r="DD677" s="73"/>
      <c r="DE677" s="73"/>
      <c r="DF677" s="73"/>
      <c r="DG677" s="73"/>
      <c r="DH677" s="73"/>
      <c r="DI677" s="73"/>
      <c r="DJ677" s="73"/>
      <c r="DK677" s="73"/>
      <c r="DL677" s="73"/>
      <c r="DM677" s="73"/>
      <c r="DN677" s="73"/>
      <c r="DO677" s="73"/>
      <c r="DP677" s="73"/>
      <c r="DQ677" s="73"/>
      <c r="DR677" s="73"/>
      <c r="DS677" s="73"/>
      <c r="DT677" s="73"/>
      <c r="DU677" s="73"/>
      <c r="DV677" s="73"/>
      <c r="DW677" s="73"/>
      <c r="DX677" s="73"/>
      <c r="DY677" s="73"/>
      <c r="DZ677" s="73"/>
      <c r="EA677" s="73"/>
      <c r="EB677" s="73"/>
      <c r="EC677" s="73"/>
      <c r="ED677" s="73"/>
      <c r="EE677" s="73"/>
      <c r="EF677" s="73"/>
      <c r="FJ677" s="73"/>
      <c r="FK677" s="73"/>
      <c r="FL677" s="73"/>
      <c r="FM677" s="73"/>
      <c r="FN677" s="73"/>
      <c r="FO677" s="73"/>
      <c r="FP677" s="73"/>
      <c r="FQ677" s="73"/>
      <c r="FR677" s="73"/>
      <c r="FS677" s="73"/>
      <c r="FT677" s="73"/>
      <c r="FU677" s="73"/>
      <c r="FV677" s="73"/>
      <c r="FW677" s="73"/>
      <c r="FX677" s="73"/>
      <c r="GO677" s="73"/>
      <c r="GP677" s="73"/>
      <c r="HE677" s="73"/>
      <c r="HU677" s="73"/>
      <c r="HV677" s="182"/>
    </row>
    <row r="678" spans="1:230" x14ac:dyDescent="0.25">
      <c r="A678" s="30"/>
      <c r="B678" s="30"/>
      <c r="C678" s="30"/>
      <c r="D678" s="30"/>
      <c r="G678" s="30"/>
      <c r="H678" s="30"/>
      <c r="I678" s="30"/>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c r="CA678" s="73"/>
      <c r="CB678" s="73"/>
      <c r="CC678" s="73"/>
      <c r="CD678" s="73"/>
      <c r="CE678" s="73"/>
      <c r="CF678" s="73"/>
      <c r="CG678" s="73"/>
      <c r="CH678" s="73"/>
      <c r="CI678" s="73"/>
      <c r="CJ678" s="73"/>
      <c r="CK678" s="73"/>
      <c r="CL678" s="73"/>
      <c r="CM678" s="73"/>
      <c r="CN678" s="73"/>
      <c r="CO678" s="73"/>
      <c r="CP678" s="73"/>
      <c r="CQ678" s="73"/>
      <c r="CR678" s="73"/>
      <c r="CS678" s="73"/>
      <c r="CT678" s="73"/>
      <c r="CU678" s="73"/>
      <c r="CV678" s="73"/>
      <c r="CW678" s="73"/>
      <c r="CX678" s="73"/>
      <c r="CY678" s="73"/>
      <c r="CZ678" s="73"/>
      <c r="DA678" s="73"/>
      <c r="DB678" s="73"/>
      <c r="DC678" s="73"/>
      <c r="DD678" s="73"/>
      <c r="DE678" s="73"/>
      <c r="DF678" s="73"/>
      <c r="DG678" s="73"/>
      <c r="DH678" s="73"/>
      <c r="DI678" s="73"/>
      <c r="DJ678" s="73"/>
      <c r="DK678" s="73"/>
      <c r="DL678" s="73"/>
      <c r="DM678" s="73"/>
      <c r="DN678" s="73"/>
      <c r="DO678" s="73"/>
      <c r="DP678" s="73"/>
      <c r="DQ678" s="73"/>
      <c r="DR678" s="73"/>
      <c r="DS678" s="73"/>
      <c r="DT678" s="73"/>
      <c r="DU678" s="73"/>
      <c r="DV678" s="73"/>
      <c r="DW678" s="73"/>
      <c r="DX678" s="73"/>
      <c r="DY678" s="73"/>
      <c r="DZ678" s="73"/>
      <c r="EA678" s="73"/>
      <c r="EB678" s="73"/>
      <c r="EC678" s="73"/>
      <c r="ED678" s="73"/>
      <c r="EE678" s="73"/>
      <c r="EF678" s="73"/>
      <c r="FJ678" s="73"/>
      <c r="FK678" s="73"/>
      <c r="FL678" s="73"/>
      <c r="FM678" s="73"/>
      <c r="FN678" s="73"/>
      <c r="FO678" s="73"/>
      <c r="FP678" s="73"/>
      <c r="FQ678" s="73"/>
      <c r="FR678" s="73"/>
      <c r="FS678" s="73"/>
      <c r="FT678" s="73"/>
      <c r="FU678" s="73"/>
      <c r="FV678" s="73"/>
      <c r="FW678" s="73"/>
      <c r="FX678" s="73"/>
      <c r="GO678" s="73"/>
      <c r="GP678" s="73"/>
      <c r="HE678" s="73"/>
      <c r="HU678" s="73"/>
      <c r="HV678" s="182"/>
    </row>
    <row r="679" spans="1:230" x14ac:dyDescent="0.25">
      <c r="A679" s="30"/>
      <c r="B679" s="30"/>
      <c r="C679" s="30"/>
      <c r="D679" s="30"/>
      <c r="G679" s="30"/>
      <c r="H679" s="30"/>
      <c r="I679" s="30"/>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c r="CA679" s="73"/>
      <c r="CB679" s="73"/>
      <c r="CC679" s="73"/>
      <c r="CD679" s="73"/>
      <c r="CE679" s="73"/>
      <c r="CF679" s="73"/>
      <c r="CG679" s="73"/>
      <c r="CH679" s="73"/>
      <c r="CI679" s="73"/>
      <c r="CJ679" s="73"/>
      <c r="CK679" s="73"/>
      <c r="CL679" s="73"/>
      <c r="CM679" s="73"/>
      <c r="CN679" s="73"/>
      <c r="CO679" s="73"/>
      <c r="CP679" s="73"/>
      <c r="CQ679" s="73"/>
      <c r="CR679" s="73"/>
      <c r="CS679" s="73"/>
      <c r="CT679" s="73"/>
      <c r="CU679" s="73"/>
      <c r="CV679" s="73"/>
      <c r="CW679" s="73"/>
      <c r="CX679" s="73"/>
      <c r="CY679" s="73"/>
      <c r="CZ679" s="73"/>
      <c r="DA679" s="73"/>
      <c r="DB679" s="73"/>
      <c r="DC679" s="73"/>
      <c r="DD679" s="73"/>
      <c r="DE679" s="73"/>
      <c r="DF679" s="73"/>
      <c r="DG679" s="73"/>
      <c r="DH679" s="73"/>
      <c r="DI679" s="73"/>
      <c r="DJ679" s="73"/>
      <c r="DK679" s="73"/>
      <c r="DL679" s="73"/>
      <c r="DM679" s="73"/>
      <c r="DN679" s="73"/>
      <c r="DO679" s="73"/>
      <c r="DP679" s="73"/>
      <c r="DQ679" s="73"/>
      <c r="DR679" s="73"/>
      <c r="DS679" s="73"/>
      <c r="DT679" s="73"/>
      <c r="DU679" s="73"/>
      <c r="DV679" s="73"/>
      <c r="DW679" s="73"/>
      <c r="DX679" s="73"/>
      <c r="DY679" s="73"/>
      <c r="DZ679" s="73"/>
      <c r="EA679" s="73"/>
      <c r="EB679" s="73"/>
      <c r="EC679" s="73"/>
      <c r="ED679" s="73"/>
      <c r="EE679" s="73"/>
      <c r="EF679" s="73"/>
      <c r="FJ679" s="73"/>
      <c r="FK679" s="73"/>
      <c r="FL679" s="73"/>
      <c r="FM679" s="73"/>
      <c r="FN679" s="73"/>
      <c r="FO679" s="73"/>
      <c r="FP679" s="73"/>
      <c r="FQ679" s="73"/>
      <c r="FR679" s="73"/>
      <c r="FS679" s="73"/>
      <c r="FT679" s="73"/>
      <c r="FU679" s="73"/>
      <c r="FV679" s="73"/>
      <c r="FW679" s="73"/>
      <c r="FX679" s="73"/>
      <c r="GO679" s="73"/>
      <c r="GP679" s="73"/>
      <c r="HE679" s="73"/>
      <c r="HU679" s="73"/>
      <c r="HV679" s="182"/>
    </row>
    <row r="680" spans="1:230" x14ac:dyDescent="0.25">
      <c r="A680" s="30"/>
      <c r="B680" s="30"/>
      <c r="C680" s="30"/>
      <c r="D680" s="30"/>
      <c r="G680" s="30"/>
      <c r="H680" s="30"/>
      <c r="I680" s="30"/>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c r="CA680" s="73"/>
      <c r="CB680" s="73"/>
      <c r="CC680" s="73"/>
      <c r="CD680" s="73"/>
      <c r="CE680" s="73"/>
      <c r="CF680" s="73"/>
      <c r="CG680" s="73"/>
      <c r="CH680" s="73"/>
      <c r="CI680" s="73"/>
      <c r="CJ680" s="73"/>
      <c r="CK680" s="73"/>
      <c r="CL680" s="73"/>
      <c r="CM680" s="73"/>
      <c r="CN680" s="73"/>
      <c r="CO680" s="73"/>
      <c r="CP680" s="73"/>
      <c r="CQ680" s="73"/>
      <c r="CR680" s="73"/>
      <c r="CS680" s="73"/>
      <c r="CT680" s="73"/>
      <c r="CU680" s="73"/>
      <c r="CV680" s="73"/>
      <c r="CW680" s="73"/>
      <c r="CX680" s="73"/>
      <c r="CY680" s="73"/>
      <c r="CZ680" s="73"/>
      <c r="DA680" s="73"/>
      <c r="DB680" s="73"/>
      <c r="DC680" s="73"/>
      <c r="DD680" s="73"/>
      <c r="DE680" s="73"/>
      <c r="DF680" s="73"/>
      <c r="DG680" s="73"/>
      <c r="DH680" s="73"/>
      <c r="DI680" s="73"/>
      <c r="DJ680" s="73"/>
      <c r="DK680" s="73"/>
      <c r="DL680" s="73"/>
      <c r="DM680" s="73"/>
      <c r="DN680" s="73"/>
      <c r="DO680" s="73"/>
      <c r="DP680" s="73"/>
      <c r="DQ680" s="73"/>
      <c r="DR680" s="73"/>
      <c r="DS680" s="73"/>
      <c r="DT680" s="73"/>
      <c r="DU680" s="73"/>
      <c r="DV680" s="73"/>
      <c r="DW680" s="73"/>
      <c r="DX680" s="73"/>
      <c r="DY680" s="73"/>
      <c r="DZ680" s="73"/>
      <c r="EA680" s="73"/>
      <c r="EB680" s="73"/>
      <c r="EC680" s="73"/>
      <c r="ED680" s="73"/>
      <c r="EE680" s="73"/>
      <c r="EF680" s="73"/>
      <c r="FJ680" s="73"/>
      <c r="FK680" s="73"/>
      <c r="FL680" s="73"/>
      <c r="FM680" s="73"/>
      <c r="FN680" s="73"/>
      <c r="FO680" s="73"/>
      <c r="FP680" s="73"/>
      <c r="FQ680" s="73"/>
      <c r="FR680" s="73"/>
      <c r="FS680" s="73"/>
      <c r="FT680" s="73"/>
      <c r="FU680" s="73"/>
      <c r="FV680" s="73"/>
      <c r="FW680" s="73"/>
      <c r="FX680" s="73"/>
      <c r="GO680" s="73"/>
      <c r="GP680" s="73"/>
      <c r="HE680" s="73"/>
      <c r="HU680" s="73"/>
      <c r="HV680" s="182"/>
    </row>
    <row r="681" spans="1:230" x14ac:dyDescent="0.25">
      <c r="A681" s="30"/>
      <c r="B681" s="30"/>
      <c r="C681" s="30"/>
      <c r="D681" s="30"/>
      <c r="G681" s="30"/>
      <c r="H681" s="30"/>
      <c r="I681" s="30"/>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c r="CA681" s="73"/>
      <c r="CB681" s="73"/>
      <c r="CC681" s="73"/>
      <c r="CD681" s="73"/>
      <c r="CE681" s="73"/>
      <c r="CF681" s="73"/>
      <c r="CG681" s="73"/>
      <c r="CH681" s="73"/>
      <c r="CI681" s="73"/>
      <c r="CJ681" s="73"/>
      <c r="CK681" s="73"/>
      <c r="CL681" s="73"/>
      <c r="CM681" s="73"/>
      <c r="CN681" s="73"/>
      <c r="CO681" s="73"/>
      <c r="CP681" s="73"/>
      <c r="CQ681" s="73"/>
      <c r="CR681" s="73"/>
      <c r="CS681" s="73"/>
      <c r="CT681" s="73"/>
      <c r="CU681" s="73"/>
      <c r="CV681" s="73"/>
      <c r="CW681" s="73"/>
      <c r="CX681" s="73"/>
      <c r="CY681" s="73"/>
      <c r="CZ681" s="73"/>
      <c r="DA681" s="73"/>
      <c r="DB681" s="73"/>
      <c r="DC681" s="73"/>
      <c r="DD681" s="73"/>
      <c r="DE681" s="73"/>
      <c r="DF681" s="73"/>
      <c r="DG681" s="73"/>
      <c r="DH681" s="73"/>
      <c r="DI681" s="73"/>
      <c r="DJ681" s="73"/>
      <c r="DK681" s="73"/>
      <c r="DL681" s="73"/>
      <c r="DM681" s="73"/>
      <c r="DN681" s="73"/>
      <c r="DO681" s="73"/>
      <c r="DP681" s="73"/>
      <c r="DQ681" s="73"/>
      <c r="DR681" s="73"/>
      <c r="DS681" s="73"/>
      <c r="DT681" s="73"/>
      <c r="DU681" s="73"/>
      <c r="DV681" s="73"/>
      <c r="DW681" s="73"/>
      <c r="DX681" s="73"/>
      <c r="DY681" s="73"/>
      <c r="DZ681" s="73"/>
      <c r="EA681" s="73"/>
      <c r="EB681" s="73"/>
      <c r="EC681" s="73"/>
      <c r="ED681" s="73"/>
      <c r="EE681" s="73"/>
      <c r="EF681" s="73"/>
      <c r="FJ681" s="73"/>
      <c r="FK681" s="73"/>
      <c r="FL681" s="73"/>
      <c r="FM681" s="73"/>
      <c r="FN681" s="73"/>
      <c r="FO681" s="73"/>
      <c r="FP681" s="73"/>
      <c r="FQ681" s="73"/>
      <c r="FR681" s="73"/>
      <c r="FS681" s="73"/>
      <c r="FT681" s="73"/>
      <c r="FU681" s="73"/>
      <c r="FV681" s="73"/>
      <c r="FW681" s="73"/>
      <c r="FX681" s="73"/>
      <c r="GO681" s="73"/>
      <c r="GP681" s="73"/>
      <c r="HE681" s="73"/>
      <c r="HU681" s="73"/>
      <c r="HV681" s="182"/>
    </row>
    <row r="682" spans="1:230" x14ac:dyDescent="0.25">
      <c r="A682" s="30"/>
      <c r="B682" s="30"/>
      <c r="C682" s="30"/>
      <c r="D682" s="30"/>
      <c r="G682" s="30"/>
      <c r="H682" s="30"/>
      <c r="I682" s="30"/>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c r="CA682" s="73"/>
      <c r="CB682" s="73"/>
      <c r="CC682" s="73"/>
      <c r="CD682" s="73"/>
      <c r="CE682" s="73"/>
      <c r="CF682" s="73"/>
      <c r="CG682" s="73"/>
      <c r="CH682" s="73"/>
      <c r="CI682" s="73"/>
      <c r="CJ682" s="73"/>
      <c r="CK682" s="73"/>
      <c r="CL682" s="73"/>
      <c r="CM682" s="73"/>
      <c r="CN682" s="73"/>
      <c r="CO682" s="73"/>
      <c r="CP682" s="73"/>
      <c r="CQ682" s="73"/>
      <c r="CR682" s="73"/>
      <c r="CS682" s="73"/>
      <c r="CT682" s="73"/>
      <c r="CU682" s="73"/>
      <c r="CV682" s="73"/>
      <c r="CW682" s="73"/>
      <c r="CX682" s="73"/>
      <c r="CY682" s="73"/>
      <c r="CZ682" s="73"/>
      <c r="DA682" s="73"/>
      <c r="DB682" s="73"/>
      <c r="DC682" s="73"/>
      <c r="DD682" s="73"/>
      <c r="DE682" s="73"/>
      <c r="DF682" s="73"/>
      <c r="DG682" s="73"/>
      <c r="DH682" s="73"/>
      <c r="DI682" s="73"/>
      <c r="DJ682" s="73"/>
      <c r="DK682" s="73"/>
      <c r="DL682" s="73"/>
      <c r="DM682" s="73"/>
      <c r="DN682" s="73"/>
      <c r="DO682" s="73"/>
      <c r="DP682" s="73"/>
      <c r="DQ682" s="73"/>
      <c r="DR682" s="73"/>
      <c r="DS682" s="73"/>
      <c r="DT682" s="73"/>
      <c r="DU682" s="73"/>
      <c r="DV682" s="73"/>
      <c r="DW682" s="73"/>
      <c r="DX682" s="73"/>
      <c r="DY682" s="73"/>
      <c r="DZ682" s="73"/>
      <c r="EA682" s="73"/>
      <c r="EB682" s="73"/>
      <c r="EC682" s="73"/>
      <c r="ED682" s="73"/>
      <c r="EE682" s="73"/>
      <c r="EF682" s="73"/>
      <c r="FJ682" s="73"/>
      <c r="FK682" s="73"/>
      <c r="FL682" s="73"/>
      <c r="FM682" s="73"/>
      <c r="FN682" s="73"/>
      <c r="FO682" s="73"/>
      <c r="FP682" s="73"/>
      <c r="FQ682" s="73"/>
      <c r="FR682" s="73"/>
      <c r="FS682" s="73"/>
      <c r="FT682" s="73"/>
      <c r="FU682" s="73"/>
      <c r="FV682" s="73"/>
      <c r="FW682" s="73"/>
      <c r="FX682" s="73"/>
      <c r="GO682" s="73"/>
      <c r="GP682" s="73"/>
      <c r="HE682" s="73"/>
      <c r="HU682" s="73"/>
      <c r="HV682" s="182"/>
    </row>
    <row r="683" spans="1:230" x14ac:dyDescent="0.25">
      <c r="A683" s="30"/>
      <c r="B683" s="30"/>
      <c r="C683" s="30"/>
      <c r="D683" s="30"/>
      <c r="G683" s="30"/>
      <c r="H683" s="30"/>
      <c r="I683" s="30"/>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c r="CA683" s="73"/>
      <c r="CB683" s="73"/>
      <c r="CC683" s="73"/>
      <c r="CD683" s="73"/>
      <c r="CE683" s="73"/>
      <c r="CF683" s="73"/>
      <c r="CG683" s="73"/>
      <c r="CH683" s="73"/>
      <c r="CI683" s="73"/>
      <c r="CJ683" s="73"/>
      <c r="CK683" s="73"/>
      <c r="CL683" s="73"/>
      <c r="CM683" s="73"/>
      <c r="CN683" s="73"/>
      <c r="CO683" s="73"/>
      <c r="CP683" s="73"/>
      <c r="CQ683" s="73"/>
      <c r="CR683" s="73"/>
      <c r="CS683" s="73"/>
      <c r="CT683" s="73"/>
      <c r="CU683" s="73"/>
      <c r="CV683" s="73"/>
      <c r="CW683" s="73"/>
      <c r="CX683" s="73"/>
      <c r="CY683" s="73"/>
      <c r="CZ683" s="73"/>
      <c r="DA683" s="73"/>
      <c r="DB683" s="73"/>
      <c r="DC683" s="73"/>
      <c r="DD683" s="73"/>
      <c r="DE683" s="73"/>
      <c r="DF683" s="73"/>
      <c r="DG683" s="73"/>
      <c r="DH683" s="73"/>
      <c r="DI683" s="73"/>
      <c r="DJ683" s="73"/>
      <c r="DK683" s="73"/>
      <c r="DL683" s="73"/>
      <c r="DM683" s="73"/>
      <c r="DN683" s="73"/>
      <c r="DO683" s="73"/>
      <c r="DP683" s="73"/>
      <c r="DQ683" s="73"/>
      <c r="DR683" s="73"/>
      <c r="DS683" s="73"/>
      <c r="DT683" s="73"/>
      <c r="DU683" s="73"/>
      <c r="DV683" s="73"/>
      <c r="DW683" s="73"/>
      <c r="DX683" s="73"/>
      <c r="DY683" s="73"/>
      <c r="DZ683" s="73"/>
      <c r="EA683" s="73"/>
      <c r="EB683" s="73"/>
      <c r="EC683" s="73"/>
      <c r="ED683" s="73"/>
      <c r="EE683" s="73"/>
      <c r="EF683" s="73"/>
      <c r="FJ683" s="73"/>
      <c r="FK683" s="73"/>
      <c r="FL683" s="73"/>
      <c r="FM683" s="73"/>
      <c r="FN683" s="73"/>
      <c r="FO683" s="73"/>
      <c r="FP683" s="73"/>
      <c r="FQ683" s="73"/>
      <c r="FR683" s="73"/>
      <c r="FS683" s="73"/>
      <c r="FT683" s="73"/>
      <c r="FU683" s="73"/>
      <c r="FV683" s="73"/>
      <c r="FW683" s="73"/>
      <c r="FX683" s="73"/>
      <c r="GO683" s="73"/>
      <c r="GP683" s="73"/>
      <c r="HE683" s="73"/>
      <c r="HU683" s="73"/>
      <c r="HV683" s="182"/>
    </row>
    <row r="684" spans="1:230" x14ac:dyDescent="0.25">
      <c r="A684" s="30"/>
      <c r="B684" s="30"/>
      <c r="C684" s="30"/>
      <c r="D684" s="30"/>
      <c r="G684" s="30"/>
      <c r="H684" s="30"/>
      <c r="I684" s="30"/>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c r="CA684" s="73"/>
      <c r="CB684" s="73"/>
      <c r="CC684" s="73"/>
      <c r="CD684" s="73"/>
      <c r="CE684" s="73"/>
      <c r="CF684" s="73"/>
      <c r="CG684" s="73"/>
      <c r="CH684" s="73"/>
      <c r="CI684" s="73"/>
      <c r="CJ684" s="73"/>
      <c r="CK684" s="73"/>
      <c r="CL684" s="73"/>
      <c r="CM684" s="73"/>
      <c r="CN684" s="73"/>
      <c r="CO684" s="73"/>
      <c r="CP684" s="73"/>
      <c r="CQ684" s="73"/>
      <c r="CR684" s="73"/>
      <c r="CS684" s="73"/>
      <c r="CT684" s="73"/>
      <c r="CU684" s="73"/>
      <c r="CV684" s="73"/>
      <c r="CW684" s="73"/>
      <c r="CX684" s="73"/>
      <c r="CY684" s="73"/>
      <c r="CZ684" s="73"/>
      <c r="DA684" s="73"/>
      <c r="DB684" s="73"/>
      <c r="DC684" s="73"/>
      <c r="DD684" s="73"/>
      <c r="DE684" s="73"/>
      <c r="DF684" s="73"/>
      <c r="DG684" s="73"/>
      <c r="DH684" s="73"/>
      <c r="DI684" s="73"/>
      <c r="DJ684" s="73"/>
      <c r="DK684" s="73"/>
      <c r="DL684" s="73"/>
      <c r="DM684" s="73"/>
      <c r="DN684" s="73"/>
      <c r="DO684" s="73"/>
      <c r="DP684" s="73"/>
      <c r="DQ684" s="73"/>
      <c r="DR684" s="73"/>
      <c r="DS684" s="73"/>
      <c r="DT684" s="73"/>
      <c r="DU684" s="73"/>
      <c r="DV684" s="73"/>
      <c r="DW684" s="73"/>
      <c r="DX684" s="73"/>
      <c r="DY684" s="73"/>
      <c r="DZ684" s="73"/>
      <c r="EA684" s="73"/>
      <c r="EB684" s="73"/>
      <c r="EC684" s="73"/>
      <c r="ED684" s="73"/>
      <c r="EE684" s="73"/>
      <c r="EF684" s="73"/>
      <c r="FJ684" s="73"/>
      <c r="FK684" s="73"/>
      <c r="FL684" s="73"/>
      <c r="FM684" s="73"/>
      <c r="FN684" s="73"/>
      <c r="FO684" s="73"/>
      <c r="FP684" s="73"/>
      <c r="FQ684" s="73"/>
      <c r="FR684" s="73"/>
      <c r="FS684" s="73"/>
      <c r="FT684" s="73"/>
      <c r="FU684" s="73"/>
      <c r="FV684" s="73"/>
      <c r="FW684" s="73"/>
      <c r="FX684" s="73"/>
      <c r="GO684" s="73"/>
      <c r="GP684" s="73"/>
      <c r="HE684" s="73"/>
      <c r="HU684" s="73"/>
      <c r="HV684" s="182"/>
    </row>
    <row r="685" spans="1:230" x14ac:dyDescent="0.25">
      <c r="A685" s="30"/>
      <c r="B685" s="30"/>
      <c r="C685" s="30"/>
      <c r="D685" s="30"/>
      <c r="G685" s="30"/>
      <c r="H685" s="30"/>
      <c r="I685" s="30"/>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c r="CA685" s="73"/>
      <c r="CB685" s="73"/>
      <c r="CC685" s="73"/>
      <c r="CD685" s="73"/>
      <c r="CE685" s="73"/>
      <c r="CF685" s="73"/>
      <c r="CG685" s="73"/>
      <c r="CH685" s="73"/>
      <c r="CI685" s="73"/>
      <c r="CJ685" s="73"/>
      <c r="CK685" s="73"/>
      <c r="CL685" s="73"/>
      <c r="CM685" s="73"/>
      <c r="CN685" s="73"/>
      <c r="CO685" s="73"/>
      <c r="CP685" s="73"/>
      <c r="CQ685" s="73"/>
      <c r="CR685" s="73"/>
      <c r="CS685" s="73"/>
      <c r="CT685" s="73"/>
      <c r="CU685" s="73"/>
      <c r="CV685" s="73"/>
      <c r="CW685" s="73"/>
      <c r="CX685" s="73"/>
      <c r="CY685" s="73"/>
      <c r="CZ685" s="73"/>
      <c r="DA685" s="73"/>
      <c r="DB685" s="73"/>
      <c r="DC685" s="73"/>
      <c r="DD685" s="73"/>
      <c r="DE685" s="73"/>
      <c r="DF685" s="73"/>
      <c r="DG685" s="73"/>
      <c r="DH685" s="73"/>
      <c r="DI685" s="73"/>
      <c r="DJ685" s="73"/>
      <c r="DK685" s="73"/>
      <c r="DL685" s="73"/>
      <c r="DM685" s="73"/>
      <c r="DN685" s="73"/>
      <c r="DO685" s="73"/>
      <c r="DP685" s="73"/>
      <c r="DQ685" s="73"/>
      <c r="DR685" s="73"/>
      <c r="DS685" s="73"/>
      <c r="DT685" s="73"/>
      <c r="DU685" s="73"/>
      <c r="DV685" s="73"/>
      <c r="DW685" s="73"/>
      <c r="DX685" s="73"/>
      <c r="DY685" s="73"/>
      <c r="DZ685" s="73"/>
      <c r="EA685" s="73"/>
      <c r="EB685" s="73"/>
      <c r="EC685" s="73"/>
      <c r="ED685" s="73"/>
      <c r="EE685" s="73"/>
      <c r="EF685" s="73"/>
      <c r="FJ685" s="73"/>
      <c r="FK685" s="73"/>
      <c r="FL685" s="73"/>
      <c r="FM685" s="73"/>
      <c r="FN685" s="73"/>
      <c r="FO685" s="73"/>
      <c r="FP685" s="73"/>
      <c r="FQ685" s="73"/>
      <c r="FR685" s="73"/>
      <c r="FS685" s="73"/>
      <c r="FT685" s="73"/>
      <c r="FU685" s="73"/>
      <c r="FV685" s="73"/>
      <c r="FW685" s="73"/>
      <c r="FX685" s="73"/>
      <c r="GO685" s="73"/>
      <c r="GP685" s="73"/>
      <c r="HE685" s="73"/>
      <c r="HU685" s="73"/>
      <c r="HV685" s="182"/>
    </row>
    <row r="686" spans="1:230" x14ac:dyDescent="0.25">
      <c r="A686" s="30"/>
      <c r="B686" s="30"/>
      <c r="C686" s="30"/>
      <c r="D686" s="30"/>
      <c r="G686" s="30"/>
      <c r="H686" s="30"/>
      <c r="I686" s="30"/>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c r="CA686" s="73"/>
      <c r="CB686" s="73"/>
      <c r="CC686" s="73"/>
      <c r="CD686" s="73"/>
      <c r="CE686" s="73"/>
      <c r="CF686" s="73"/>
      <c r="CG686" s="73"/>
      <c r="CH686" s="73"/>
      <c r="CI686" s="73"/>
      <c r="CJ686" s="73"/>
      <c r="CK686" s="73"/>
      <c r="CL686" s="73"/>
      <c r="CM686" s="73"/>
      <c r="CN686" s="73"/>
      <c r="CO686" s="73"/>
      <c r="CP686" s="73"/>
      <c r="CQ686" s="73"/>
      <c r="CR686" s="73"/>
      <c r="CS686" s="73"/>
      <c r="CT686" s="73"/>
      <c r="CU686" s="73"/>
      <c r="CV686" s="73"/>
      <c r="CW686" s="73"/>
      <c r="CX686" s="73"/>
      <c r="CY686" s="73"/>
      <c r="CZ686" s="73"/>
      <c r="DA686" s="73"/>
      <c r="DB686" s="73"/>
      <c r="DC686" s="73"/>
      <c r="DD686" s="73"/>
      <c r="DE686" s="73"/>
      <c r="DF686" s="73"/>
      <c r="DG686" s="73"/>
      <c r="DH686" s="73"/>
      <c r="DI686" s="73"/>
      <c r="DJ686" s="73"/>
      <c r="DK686" s="73"/>
      <c r="DL686" s="73"/>
      <c r="DM686" s="73"/>
      <c r="DN686" s="73"/>
      <c r="DO686" s="73"/>
      <c r="DP686" s="73"/>
      <c r="DQ686" s="73"/>
      <c r="DR686" s="73"/>
      <c r="DS686" s="73"/>
      <c r="DT686" s="73"/>
      <c r="DU686" s="73"/>
      <c r="DV686" s="73"/>
      <c r="DW686" s="73"/>
      <c r="DX686" s="73"/>
      <c r="DY686" s="73"/>
      <c r="DZ686" s="73"/>
      <c r="EA686" s="73"/>
      <c r="EB686" s="73"/>
      <c r="EC686" s="73"/>
      <c r="ED686" s="73"/>
      <c r="EE686" s="73"/>
      <c r="EF686" s="73"/>
      <c r="FJ686" s="73"/>
      <c r="FK686" s="73"/>
      <c r="FL686" s="73"/>
      <c r="FM686" s="73"/>
      <c r="FN686" s="73"/>
      <c r="FO686" s="73"/>
      <c r="FP686" s="73"/>
      <c r="FQ686" s="73"/>
      <c r="FR686" s="73"/>
      <c r="FS686" s="73"/>
      <c r="FT686" s="73"/>
      <c r="FU686" s="73"/>
      <c r="FV686" s="73"/>
      <c r="FW686" s="73"/>
      <c r="FX686" s="73"/>
      <c r="GO686" s="73"/>
      <c r="GP686" s="73"/>
      <c r="HE686" s="73"/>
      <c r="HU686" s="73"/>
      <c r="HV686" s="182"/>
    </row>
    <row r="687" spans="1:230" x14ac:dyDescent="0.25">
      <c r="A687" s="30"/>
      <c r="B687" s="30"/>
      <c r="C687" s="30"/>
      <c r="D687" s="30"/>
      <c r="G687" s="30"/>
      <c r="H687" s="30"/>
      <c r="I687" s="30"/>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c r="CA687" s="73"/>
      <c r="CB687" s="73"/>
      <c r="CC687" s="73"/>
      <c r="CD687" s="73"/>
      <c r="CE687" s="73"/>
      <c r="CF687" s="73"/>
      <c r="CG687" s="73"/>
      <c r="CH687" s="73"/>
      <c r="CI687" s="73"/>
      <c r="CJ687" s="73"/>
      <c r="CK687" s="73"/>
      <c r="CL687" s="73"/>
      <c r="CM687" s="73"/>
      <c r="CN687" s="73"/>
      <c r="CO687" s="73"/>
      <c r="CP687" s="73"/>
      <c r="CQ687" s="73"/>
      <c r="CR687" s="73"/>
      <c r="CS687" s="73"/>
      <c r="CT687" s="73"/>
      <c r="CU687" s="73"/>
      <c r="CV687" s="73"/>
      <c r="CW687" s="73"/>
      <c r="CX687" s="73"/>
      <c r="CY687" s="73"/>
      <c r="CZ687" s="73"/>
      <c r="DA687" s="73"/>
      <c r="DB687" s="73"/>
      <c r="DC687" s="73"/>
      <c r="DD687" s="73"/>
      <c r="DE687" s="73"/>
      <c r="DF687" s="73"/>
      <c r="DG687" s="73"/>
      <c r="DH687" s="73"/>
      <c r="DI687" s="73"/>
      <c r="DJ687" s="73"/>
      <c r="DK687" s="73"/>
      <c r="DL687" s="73"/>
      <c r="DM687" s="73"/>
      <c r="DN687" s="73"/>
      <c r="DO687" s="73"/>
      <c r="DP687" s="73"/>
      <c r="DQ687" s="73"/>
      <c r="DR687" s="73"/>
      <c r="DS687" s="73"/>
      <c r="DT687" s="73"/>
      <c r="DU687" s="73"/>
      <c r="DV687" s="73"/>
      <c r="DW687" s="73"/>
      <c r="DX687" s="73"/>
      <c r="DY687" s="73"/>
      <c r="DZ687" s="73"/>
      <c r="EA687" s="73"/>
      <c r="EB687" s="73"/>
      <c r="EC687" s="73"/>
      <c r="ED687" s="73"/>
      <c r="EE687" s="73"/>
      <c r="EF687" s="73"/>
      <c r="FJ687" s="73"/>
      <c r="FK687" s="73"/>
      <c r="FL687" s="73"/>
      <c r="FM687" s="73"/>
      <c r="FN687" s="73"/>
      <c r="FO687" s="73"/>
      <c r="FP687" s="73"/>
      <c r="FQ687" s="73"/>
      <c r="FR687" s="73"/>
      <c r="FS687" s="73"/>
      <c r="FT687" s="73"/>
      <c r="FU687" s="73"/>
      <c r="FV687" s="73"/>
      <c r="FW687" s="73"/>
      <c r="FX687" s="73"/>
      <c r="GO687" s="73"/>
      <c r="GP687" s="73"/>
      <c r="HE687" s="73"/>
      <c r="HU687" s="73"/>
      <c r="HV687" s="182"/>
    </row>
    <row r="688" spans="1:230" x14ac:dyDescent="0.25">
      <c r="A688" s="30"/>
      <c r="B688" s="30"/>
      <c r="C688" s="30"/>
      <c r="D688" s="30"/>
      <c r="G688" s="30"/>
      <c r="H688" s="30"/>
      <c r="I688" s="30"/>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c r="CA688" s="73"/>
      <c r="CB688" s="73"/>
      <c r="CC688" s="73"/>
      <c r="CD688" s="73"/>
      <c r="CE688" s="73"/>
      <c r="CF688" s="73"/>
      <c r="CG688" s="73"/>
      <c r="CH688" s="73"/>
      <c r="CI688" s="73"/>
      <c r="CJ688" s="73"/>
      <c r="CK688" s="73"/>
      <c r="CL688" s="73"/>
      <c r="CM688" s="73"/>
      <c r="CN688" s="73"/>
      <c r="CO688" s="73"/>
      <c r="CP688" s="73"/>
      <c r="CQ688" s="73"/>
      <c r="CR688" s="73"/>
      <c r="CS688" s="73"/>
      <c r="CT688" s="73"/>
      <c r="CU688" s="73"/>
      <c r="CV688" s="73"/>
      <c r="CW688" s="73"/>
      <c r="CX688" s="73"/>
      <c r="CY688" s="73"/>
      <c r="CZ688" s="73"/>
      <c r="DA688" s="73"/>
      <c r="DB688" s="73"/>
      <c r="DC688" s="73"/>
      <c r="DD688" s="73"/>
      <c r="DE688" s="73"/>
      <c r="DF688" s="73"/>
      <c r="DG688" s="73"/>
      <c r="DH688" s="73"/>
      <c r="DI688" s="73"/>
      <c r="DJ688" s="73"/>
      <c r="DK688" s="73"/>
      <c r="DL688" s="73"/>
      <c r="DM688" s="73"/>
      <c r="DN688" s="73"/>
      <c r="DO688" s="73"/>
      <c r="DP688" s="73"/>
      <c r="DQ688" s="73"/>
      <c r="DR688" s="73"/>
      <c r="DS688" s="73"/>
      <c r="DT688" s="73"/>
      <c r="DU688" s="73"/>
      <c r="DV688" s="73"/>
      <c r="DW688" s="73"/>
      <c r="DX688" s="73"/>
      <c r="DY688" s="73"/>
      <c r="DZ688" s="73"/>
      <c r="EA688" s="73"/>
      <c r="EB688" s="73"/>
      <c r="EC688" s="73"/>
      <c r="ED688" s="73"/>
      <c r="EE688" s="73"/>
      <c r="EF688" s="73"/>
      <c r="FJ688" s="73"/>
      <c r="FK688" s="73"/>
      <c r="FL688" s="73"/>
      <c r="FM688" s="73"/>
      <c r="FN688" s="73"/>
      <c r="FO688" s="73"/>
      <c r="FP688" s="73"/>
      <c r="FQ688" s="73"/>
      <c r="FR688" s="73"/>
      <c r="FS688" s="73"/>
      <c r="FT688" s="73"/>
      <c r="FU688" s="73"/>
      <c r="FV688" s="73"/>
      <c r="FW688" s="73"/>
      <c r="FX688" s="73"/>
      <c r="GO688" s="73"/>
      <c r="GP688" s="73"/>
      <c r="HE688" s="73"/>
      <c r="HU688" s="73"/>
      <c r="HV688" s="182"/>
    </row>
    <row r="689" spans="1:230" x14ac:dyDescent="0.25">
      <c r="A689" s="30"/>
      <c r="B689" s="30"/>
      <c r="C689" s="30"/>
      <c r="D689" s="30"/>
      <c r="G689" s="30"/>
      <c r="H689" s="30"/>
      <c r="I689" s="30"/>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c r="CA689" s="73"/>
      <c r="CB689" s="73"/>
      <c r="CC689" s="73"/>
      <c r="CD689" s="73"/>
      <c r="CE689" s="73"/>
      <c r="CF689" s="73"/>
      <c r="CG689" s="73"/>
      <c r="CH689" s="73"/>
      <c r="CI689" s="73"/>
      <c r="CJ689" s="73"/>
      <c r="CK689" s="73"/>
      <c r="CL689" s="73"/>
      <c r="CM689" s="73"/>
      <c r="CN689" s="73"/>
      <c r="CO689" s="73"/>
      <c r="CP689" s="73"/>
      <c r="CQ689" s="73"/>
      <c r="CR689" s="73"/>
      <c r="CS689" s="73"/>
      <c r="CT689" s="73"/>
      <c r="CU689" s="73"/>
      <c r="CV689" s="73"/>
      <c r="CW689" s="73"/>
      <c r="CX689" s="73"/>
      <c r="CY689" s="73"/>
      <c r="CZ689" s="73"/>
      <c r="DA689" s="73"/>
      <c r="DB689" s="73"/>
      <c r="DC689" s="73"/>
      <c r="DD689" s="73"/>
      <c r="DE689" s="73"/>
      <c r="DF689" s="73"/>
      <c r="DG689" s="73"/>
      <c r="DH689" s="73"/>
      <c r="DI689" s="73"/>
      <c r="DJ689" s="73"/>
      <c r="DK689" s="73"/>
      <c r="DL689" s="73"/>
      <c r="DM689" s="73"/>
      <c r="DN689" s="73"/>
      <c r="DO689" s="73"/>
      <c r="DP689" s="73"/>
      <c r="DQ689" s="73"/>
      <c r="DR689" s="73"/>
      <c r="DS689" s="73"/>
      <c r="DT689" s="73"/>
      <c r="DU689" s="73"/>
      <c r="DV689" s="73"/>
      <c r="DW689" s="73"/>
      <c r="DX689" s="73"/>
      <c r="DY689" s="73"/>
      <c r="DZ689" s="73"/>
      <c r="EA689" s="73"/>
      <c r="EB689" s="73"/>
      <c r="EC689" s="73"/>
      <c r="ED689" s="73"/>
      <c r="EE689" s="73"/>
      <c r="EF689" s="73"/>
      <c r="FJ689" s="73"/>
      <c r="FK689" s="73"/>
      <c r="FL689" s="73"/>
      <c r="FM689" s="73"/>
      <c r="FN689" s="73"/>
      <c r="FO689" s="73"/>
      <c r="FP689" s="73"/>
      <c r="FQ689" s="73"/>
      <c r="FR689" s="73"/>
      <c r="FS689" s="73"/>
      <c r="FT689" s="73"/>
      <c r="FU689" s="73"/>
      <c r="FV689" s="73"/>
      <c r="FW689" s="73"/>
      <c r="FX689" s="73"/>
      <c r="GO689" s="73"/>
      <c r="GP689" s="73"/>
      <c r="HE689" s="73"/>
      <c r="HU689" s="73"/>
      <c r="HV689" s="182"/>
    </row>
    <row r="690" spans="1:230" x14ac:dyDescent="0.25">
      <c r="A690" s="30"/>
      <c r="B690" s="30"/>
      <c r="C690" s="30"/>
      <c r="D690" s="30"/>
      <c r="G690" s="30"/>
      <c r="H690" s="30"/>
      <c r="I690" s="30"/>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c r="CA690" s="73"/>
      <c r="CB690" s="73"/>
      <c r="CC690" s="73"/>
      <c r="CD690" s="73"/>
      <c r="CE690" s="73"/>
      <c r="CF690" s="73"/>
      <c r="CG690" s="73"/>
      <c r="CH690" s="73"/>
      <c r="CI690" s="73"/>
      <c r="CJ690" s="73"/>
      <c r="CK690" s="73"/>
      <c r="CL690" s="73"/>
      <c r="CM690" s="73"/>
      <c r="CN690" s="73"/>
      <c r="CO690" s="73"/>
      <c r="CP690" s="73"/>
      <c r="CQ690" s="73"/>
      <c r="CR690" s="73"/>
      <c r="CS690" s="73"/>
      <c r="CT690" s="73"/>
      <c r="CU690" s="73"/>
      <c r="CV690" s="73"/>
      <c r="CW690" s="73"/>
      <c r="CX690" s="73"/>
      <c r="CY690" s="73"/>
      <c r="CZ690" s="73"/>
      <c r="DA690" s="73"/>
      <c r="DB690" s="73"/>
      <c r="DC690" s="73"/>
      <c r="DD690" s="73"/>
      <c r="DE690" s="73"/>
      <c r="DF690" s="73"/>
      <c r="DG690" s="73"/>
      <c r="DH690" s="73"/>
      <c r="DI690" s="73"/>
      <c r="DJ690" s="73"/>
      <c r="DK690" s="73"/>
      <c r="DL690" s="73"/>
      <c r="DM690" s="73"/>
      <c r="DN690" s="73"/>
      <c r="DO690" s="73"/>
      <c r="DP690" s="73"/>
      <c r="DQ690" s="73"/>
      <c r="DR690" s="73"/>
      <c r="DS690" s="73"/>
      <c r="DT690" s="73"/>
      <c r="DU690" s="73"/>
      <c r="DV690" s="73"/>
      <c r="DW690" s="73"/>
      <c r="DX690" s="73"/>
      <c r="DY690" s="73"/>
      <c r="DZ690" s="73"/>
      <c r="EA690" s="73"/>
      <c r="EB690" s="73"/>
      <c r="EC690" s="73"/>
      <c r="ED690" s="73"/>
      <c r="EE690" s="73"/>
      <c r="EF690" s="73"/>
      <c r="FJ690" s="73"/>
      <c r="FK690" s="73"/>
      <c r="FL690" s="73"/>
      <c r="FM690" s="73"/>
      <c r="FN690" s="73"/>
      <c r="FO690" s="73"/>
      <c r="FP690" s="73"/>
      <c r="FQ690" s="73"/>
      <c r="FR690" s="73"/>
      <c r="FS690" s="73"/>
      <c r="FT690" s="73"/>
      <c r="FU690" s="73"/>
      <c r="FV690" s="73"/>
      <c r="FW690" s="73"/>
      <c r="FX690" s="73"/>
      <c r="GO690" s="73"/>
      <c r="GP690" s="73"/>
      <c r="HE690" s="73"/>
      <c r="HU690" s="73"/>
      <c r="HV690" s="182"/>
    </row>
    <row r="691" spans="1:230" x14ac:dyDescent="0.25">
      <c r="A691" s="30"/>
      <c r="B691" s="30"/>
      <c r="C691" s="30"/>
      <c r="D691" s="30"/>
      <c r="G691" s="30"/>
      <c r="H691" s="30"/>
      <c r="I691" s="30"/>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c r="CA691" s="73"/>
      <c r="CB691" s="73"/>
      <c r="CC691" s="73"/>
      <c r="CD691" s="73"/>
      <c r="CE691" s="73"/>
      <c r="CF691" s="73"/>
      <c r="CG691" s="73"/>
      <c r="CH691" s="73"/>
      <c r="CI691" s="73"/>
      <c r="CJ691" s="73"/>
      <c r="CK691" s="73"/>
      <c r="CL691" s="73"/>
      <c r="CM691" s="73"/>
      <c r="CN691" s="73"/>
      <c r="CO691" s="73"/>
      <c r="CP691" s="73"/>
      <c r="CQ691" s="73"/>
      <c r="CR691" s="73"/>
      <c r="CS691" s="73"/>
      <c r="CT691" s="73"/>
      <c r="CU691" s="73"/>
      <c r="CV691" s="73"/>
      <c r="CW691" s="73"/>
      <c r="CX691" s="73"/>
      <c r="CY691" s="73"/>
      <c r="CZ691" s="73"/>
      <c r="DA691" s="73"/>
      <c r="DB691" s="73"/>
      <c r="DC691" s="73"/>
      <c r="DD691" s="73"/>
      <c r="DE691" s="73"/>
      <c r="DF691" s="73"/>
      <c r="DG691" s="73"/>
      <c r="DH691" s="73"/>
      <c r="DI691" s="73"/>
      <c r="DJ691" s="73"/>
      <c r="DK691" s="73"/>
      <c r="DL691" s="73"/>
      <c r="DM691" s="73"/>
      <c r="DN691" s="73"/>
      <c r="DO691" s="73"/>
      <c r="DP691" s="73"/>
      <c r="DQ691" s="73"/>
      <c r="DR691" s="73"/>
      <c r="DS691" s="73"/>
      <c r="DT691" s="73"/>
      <c r="DU691" s="73"/>
      <c r="DV691" s="73"/>
      <c r="DW691" s="73"/>
      <c r="DX691" s="73"/>
      <c r="DY691" s="73"/>
      <c r="DZ691" s="73"/>
      <c r="EA691" s="73"/>
      <c r="EB691" s="73"/>
      <c r="EC691" s="73"/>
      <c r="ED691" s="73"/>
      <c r="EE691" s="73"/>
      <c r="EF691" s="73"/>
      <c r="FJ691" s="73"/>
      <c r="FK691" s="73"/>
      <c r="FL691" s="73"/>
      <c r="FM691" s="73"/>
      <c r="FN691" s="73"/>
      <c r="FO691" s="73"/>
      <c r="FP691" s="73"/>
      <c r="FQ691" s="73"/>
      <c r="FR691" s="73"/>
      <c r="FS691" s="73"/>
      <c r="FT691" s="73"/>
      <c r="FU691" s="73"/>
      <c r="FV691" s="73"/>
      <c r="FW691" s="73"/>
      <c r="FX691" s="73"/>
      <c r="GO691" s="73"/>
      <c r="GP691" s="73"/>
      <c r="HE691" s="73"/>
      <c r="HU691" s="73"/>
      <c r="HV691" s="182"/>
    </row>
    <row r="692" spans="1:230" x14ac:dyDescent="0.25">
      <c r="A692" s="30"/>
      <c r="B692" s="30"/>
      <c r="C692" s="30"/>
      <c r="D692" s="30"/>
      <c r="G692" s="30"/>
      <c r="H692" s="30"/>
      <c r="I692" s="30"/>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c r="CA692" s="73"/>
      <c r="CB692" s="73"/>
      <c r="CC692" s="73"/>
      <c r="CD692" s="73"/>
      <c r="CE692" s="73"/>
      <c r="CF692" s="73"/>
      <c r="CG692" s="73"/>
      <c r="CH692" s="73"/>
      <c r="CI692" s="73"/>
      <c r="CJ692" s="73"/>
      <c r="CK692" s="73"/>
      <c r="CL692" s="73"/>
      <c r="CM692" s="73"/>
      <c r="CN692" s="73"/>
      <c r="CO692" s="73"/>
      <c r="CP692" s="73"/>
      <c r="CQ692" s="73"/>
      <c r="CR692" s="73"/>
      <c r="CS692" s="73"/>
      <c r="CT692" s="73"/>
      <c r="CU692" s="73"/>
      <c r="CV692" s="73"/>
      <c r="CW692" s="73"/>
      <c r="CX692" s="73"/>
      <c r="CY692" s="73"/>
      <c r="CZ692" s="73"/>
      <c r="DA692" s="73"/>
      <c r="DB692" s="73"/>
      <c r="DC692" s="73"/>
      <c r="DD692" s="73"/>
      <c r="DE692" s="73"/>
      <c r="DF692" s="73"/>
      <c r="DG692" s="73"/>
      <c r="DH692" s="73"/>
      <c r="DI692" s="73"/>
      <c r="DJ692" s="73"/>
      <c r="DK692" s="73"/>
      <c r="DL692" s="73"/>
      <c r="DM692" s="73"/>
      <c r="DN692" s="73"/>
      <c r="DO692" s="73"/>
      <c r="DP692" s="73"/>
      <c r="DQ692" s="73"/>
      <c r="DR692" s="73"/>
      <c r="DS692" s="73"/>
      <c r="DT692" s="73"/>
      <c r="DU692" s="73"/>
      <c r="DV692" s="73"/>
      <c r="DW692" s="73"/>
      <c r="DX692" s="73"/>
      <c r="DY692" s="73"/>
      <c r="DZ692" s="73"/>
      <c r="EA692" s="73"/>
      <c r="EB692" s="73"/>
      <c r="EC692" s="73"/>
      <c r="ED692" s="73"/>
      <c r="EE692" s="73"/>
      <c r="EF692" s="73"/>
      <c r="FJ692" s="73"/>
      <c r="FK692" s="73"/>
      <c r="FL692" s="73"/>
      <c r="FM692" s="73"/>
      <c r="FN692" s="73"/>
      <c r="FO692" s="73"/>
      <c r="FP692" s="73"/>
      <c r="FQ692" s="73"/>
      <c r="FR692" s="73"/>
      <c r="FS692" s="73"/>
      <c r="FT692" s="73"/>
      <c r="FU692" s="73"/>
      <c r="FV692" s="73"/>
      <c r="FW692" s="73"/>
      <c r="FX692" s="73"/>
      <c r="GO692" s="73"/>
      <c r="GP692" s="73"/>
      <c r="HE692" s="73"/>
      <c r="HU692" s="73"/>
      <c r="HV692" s="182"/>
    </row>
    <row r="693" spans="1:230" x14ac:dyDescent="0.25">
      <c r="A693" s="30"/>
      <c r="B693" s="30"/>
      <c r="C693" s="30"/>
      <c r="D693" s="30"/>
      <c r="G693" s="30"/>
      <c r="H693" s="30"/>
      <c r="I693" s="30"/>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c r="CA693" s="73"/>
      <c r="CB693" s="73"/>
      <c r="CC693" s="73"/>
      <c r="CD693" s="73"/>
      <c r="CE693" s="73"/>
      <c r="CF693" s="73"/>
      <c r="CG693" s="73"/>
      <c r="CH693" s="73"/>
      <c r="CI693" s="73"/>
      <c r="CJ693" s="73"/>
      <c r="CK693" s="73"/>
      <c r="CL693" s="73"/>
      <c r="CM693" s="73"/>
      <c r="CN693" s="73"/>
      <c r="CO693" s="73"/>
      <c r="CP693" s="73"/>
      <c r="CQ693" s="73"/>
      <c r="CR693" s="73"/>
      <c r="CS693" s="73"/>
      <c r="CT693" s="73"/>
      <c r="CU693" s="73"/>
      <c r="CV693" s="73"/>
      <c r="CW693" s="73"/>
      <c r="CX693" s="73"/>
      <c r="CY693" s="73"/>
      <c r="CZ693" s="73"/>
      <c r="DA693" s="73"/>
      <c r="DB693" s="73"/>
      <c r="DC693" s="73"/>
      <c r="DD693" s="73"/>
      <c r="DE693" s="73"/>
      <c r="DF693" s="73"/>
      <c r="DG693" s="73"/>
      <c r="DH693" s="73"/>
      <c r="DI693" s="73"/>
      <c r="DJ693" s="73"/>
      <c r="DK693" s="73"/>
      <c r="DL693" s="73"/>
      <c r="DM693" s="73"/>
      <c r="DN693" s="73"/>
      <c r="DO693" s="73"/>
      <c r="DP693" s="73"/>
      <c r="DQ693" s="73"/>
      <c r="DR693" s="73"/>
      <c r="DS693" s="73"/>
      <c r="DT693" s="73"/>
      <c r="DU693" s="73"/>
      <c r="DV693" s="73"/>
      <c r="DW693" s="73"/>
      <c r="DX693" s="73"/>
      <c r="DY693" s="73"/>
      <c r="DZ693" s="73"/>
      <c r="EA693" s="73"/>
      <c r="EB693" s="73"/>
      <c r="EC693" s="73"/>
      <c r="ED693" s="73"/>
      <c r="EE693" s="73"/>
      <c r="EF693" s="73"/>
      <c r="FJ693" s="73"/>
      <c r="FK693" s="73"/>
      <c r="FL693" s="73"/>
      <c r="FM693" s="73"/>
      <c r="FN693" s="73"/>
      <c r="FO693" s="73"/>
      <c r="FP693" s="73"/>
      <c r="FQ693" s="73"/>
      <c r="FR693" s="73"/>
      <c r="FS693" s="73"/>
      <c r="FT693" s="73"/>
      <c r="FU693" s="73"/>
      <c r="FV693" s="73"/>
      <c r="FW693" s="73"/>
      <c r="FX693" s="73"/>
      <c r="GO693" s="73"/>
      <c r="GP693" s="73"/>
      <c r="HE693" s="73"/>
      <c r="HU693" s="73"/>
      <c r="HV693" s="182"/>
    </row>
    <row r="694" spans="1:230" x14ac:dyDescent="0.25">
      <c r="A694" s="30"/>
      <c r="B694" s="30"/>
      <c r="C694" s="30"/>
      <c r="D694" s="30"/>
      <c r="G694" s="30"/>
      <c r="H694" s="30"/>
      <c r="I694" s="30"/>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c r="CA694" s="73"/>
      <c r="CB694" s="73"/>
      <c r="CC694" s="73"/>
      <c r="CD694" s="73"/>
      <c r="CE694" s="73"/>
      <c r="CF694" s="73"/>
      <c r="CG694" s="73"/>
      <c r="CH694" s="73"/>
      <c r="CI694" s="73"/>
      <c r="CJ694" s="73"/>
      <c r="CK694" s="73"/>
      <c r="CL694" s="73"/>
      <c r="CM694" s="73"/>
      <c r="CN694" s="73"/>
      <c r="CO694" s="73"/>
      <c r="CP694" s="73"/>
      <c r="CQ694" s="73"/>
      <c r="CR694" s="73"/>
      <c r="CS694" s="73"/>
      <c r="CT694" s="73"/>
      <c r="CU694" s="73"/>
      <c r="CV694" s="73"/>
      <c r="CW694" s="73"/>
      <c r="CX694" s="73"/>
      <c r="CY694" s="73"/>
      <c r="CZ694" s="73"/>
      <c r="DA694" s="73"/>
      <c r="DB694" s="73"/>
      <c r="DC694" s="73"/>
      <c r="DD694" s="73"/>
      <c r="DE694" s="73"/>
      <c r="DF694" s="73"/>
      <c r="DG694" s="73"/>
      <c r="DH694" s="73"/>
      <c r="DI694" s="73"/>
      <c r="DJ694" s="73"/>
      <c r="DK694" s="73"/>
      <c r="DL694" s="73"/>
      <c r="DM694" s="73"/>
      <c r="DN694" s="73"/>
      <c r="DO694" s="73"/>
      <c r="DP694" s="73"/>
      <c r="DQ694" s="73"/>
      <c r="DR694" s="73"/>
      <c r="DS694" s="73"/>
      <c r="DT694" s="73"/>
      <c r="DU694" s="73"/>
      <c r="DV694" s="73"/>
      <c r="DW694" s="73"/>
      <c r="DX694" s="73"/>
      <c r="DY694" s="73"/>
      <c r="DZ694" s="73"/>
      <c r="EA694" s="73"/>
      <c r="EB694" s="73"/>
      <c r="EC694" s="73"/>
      <c r="ED694" s="73"/>
      <c r="EE694" s="73"/>
      <c r="EF694" s="73"/>
      <c r="FJ694" s="73"/>
      <c r="FK694" s="73"/>
      <c r="FL694" s="73"/>
      <c r="FM694" s="73"/>
      <c r="FN694" s="73"/>
      <c r="FO694" s="73"/>
      <c r="FP694" s="73"/>
      <c r="FQ694" s="73"/>
      <c r="FR694" s="73"/>
      <c r="FS694" s="73"/>
      <c r="FT694" s="73"/>
      <c r="FU694" s="73"/>
      <c r="FV694" s="73"/>
      <c r="FW694" s="73"/>
      <c r="FX694" s="73"/>
      <c r="GO694" s="73"/>
      <c r="GP694" s="73"/>
      <c r="HE694" s="73"/>
      <c r="HU694" s="73"/>
      <c r="HV694" s="182"/>
    </row>
    <row r="695" spans="1:230" x14ac:dyDescent="0.25">
      <c r="A695" s="30"/>
      <c r="B695" s="30"/>
      <c r="C695" s="30"/>
      <c r="D695" s="30"/>
      <c r="G695" s="30"/>
      <c r="H695" s="30"/>
      <c r="I695" s="30"/>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c r="CA695" s="73"/>
      <c r="CB695" s="73"/>
      <c r="CC695" s="73"/>
      <c r="CD695" s="73"/>
      <c r="CE695" s="73"/>
      <c r="CF695" s="73"/>
      <c r="CG695" s="73"/>
      <c r="CH695" s="73"/>
      <c r="CI695" s="73"/>
      <c r="CJ695" s="73"/>
      <c r="CK695" s="73"/>
      <c r="CL695" s="73"/>
      <c r="CM695" s="73"/>
      <c r="CN695" s="73"/>
      <c r="CO695" s="73"/>
      <c r="CP695" s="73"/>
      <c r="CQ695" s="73"/>
      <c r="CR695" s="73"/>
      <c r="CS695" s="73"/>
      <c r="CT695" s="73"/>
      <c r="CU695" s="73"/>
      <c r="CV695" s="73"/>
      <c r="CW695" s="73"/>
      <c r="CX695" s="73"/>
      <c r="CY695" s="73"/>
      <c r="CZ695" s="73"/>
      <c r="DA695" s="73"/>
      <c r="DB695" s="73"/>
      <c r="DC695" s="73"/>
      <c r="DD695" s="73"/>
      <c r="DE695" s="73"/>
      <c r="DF695" s="73"/>
      <c r="DG695" s="73"/>
      <c r="DH695" s="73"/>
      <c r="DI695" s="73"/>
      <c r="DJ695" s="73"/>
      <c r="DK695" s="73"/>
      <c r="DL695" s="73"/>
      <c r="DM695" s="73"/>
      <c r="DN695" s="73"/>
      <c r="DO695" s="73"/>
      <c r="DP695" s="73"/>
      <c r="DQ695" s="73"/>
      <c r="DR695" s="73"/>
      <c r="DS695" s="73"/>
      <c r="DT695" s="73"/>
      <c r="DU695" s="73"/>
      <c r="DV695" s="73"/>
      <c r="DW695" s="73"/>
      <c r="DX695" s="73"/>
      <c r="DY695" s="73"/>
      <c r="DZ695" s="73"/>
      <c r="EA695" s="73"/>
      <c r="EB695" s="73"/>
      <c r="EC695" s="73"/>
      <c r="ED695" s="73"/>
      <c r="EE695" s="73"/>
      <c r="EF695" s="73"/>
      <c r="FJ695" s="73"/>
      <c r="FK695" s="73"/>
      <c r="FL695" s="73"/>
      <c r="FM695" s="73"/>
      <c r="FN695" s="73"/>
      <c r="FO695" s="73"/>
      <c r="FP695" s="73"/>
      <c r="FQ695" s="73"/>
      <c r="FR695" s="73"/>
      <c r="FS695" s="73"/>
      <c r="FT695" s="73"/>
      <c r="FU695" s="73"/>
      <c r="FV695" s="73"/>
      <c r="FW695" s="73"/>
      <c r="FX695" s="73"/>
      <c r="GO695" s="73"/>
      <c r="GP695" s="73"/>
      <c r="HE695" s="73"/>
      <c r="HU695" s="73"/>
      <c r="HV695" s="182"/>
    </row>
    <row r="696" spans="1:230" x14ac:dyDescent="0.25">
      <c r="A696" s="30"/>
      <c r="B696" s="30"/>
      <c r="C696" s="30"/>
      <c r="D696" s="30"/>
      <c r="G696" s="30"/>
      <c r="H696" s="30"/>
      <c r="I696" s="30"/>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3"/>
      <c r="DV696" s="73"/>
      <c r="DW696" s="73"/>
      <c r="DX696" s="73"/>
      <c r="DY696" s="73"/>
      <c r="DZ696" s="73"/>
      <c r="EA696" s="73"/>
      <c r="EB696" s="73"/>
      <c r="EC696" s="73"/>
      <c r="ED696" s="73"/>
      <c r="EE696" s="73"/>
      <c r="EF696" s="73"/>
      <c r="FJ696" s="73"/>
      <c r="FK696" s="73"/>
      <c r="FL696" s="73"/>
      <c r="FM696" s="73"/>
      <c r="FN696" s="73"/>
      <c r="FO696" s="73"/>
      <c r="FP696" s="73"/>
      <c r="FQ696" s="73"/>
      <c r="FR696" s="73"/>
      <c r="FS696" s="73"/>
      <c r="FT696" s="73"/>
      <c r="FU696" s="73"/>
      <c r="FV696" s="73"/>
      <c r="FW696" s="73"/>
      <c r="FX696" s="73"/>
      <c r="GO696" s="73"/>
      <c r="GP696" s="73"/>
      <c r="HE696" s="73"/>
      <c r="HU696" s="73"/>
      <c r="HV696" s="182"/>
    </row>
    <row r="697" spans="1:230" x14ac:dyDescent="0.25">
      <c r="A697" s="30"/>
      <c r="B697" s="30"/>
      <c r="C697" s="30"/>
      <c r="D697" s="30"/>
      <c r="G697" s="30"/>
      <c r="H697" s="30"/>
      <c r="I697" s="30"/>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c r="CA697" s="73"/>
      <c r="CB697" s="73"/>
      <c r="CC697" s="73"/>
      <c r="CD697" s="73"/>
      <c r="CE697" s="73"/>
      <c r="CF697" s="73"/>
      <c r="CG697" s="73"/>
      <c r="CH697" s="73"/>
      <c r="CI697" s="73"/>
      <c r="CJ697" s="73"/>
      <c r="CK697" s="73"/>
      <c r="CL697" s="73"/>
      <c r="CM697" s="73"/>
      <c r="CN697" s="73"/>
      <c r="CO697" s="73"/>
      <c r="CP697" s="73"/>
      <c r="CQ697" s="73"/>
      <c r="CR697" s="73"/>
      <c r="CS697" s="73"/>
      <c r="CT697" s="73"/>
      <c r="CU697" s="73"/>
      <c r="CV697" s="73"/>
      <c r="CW697" s="73"/>
      <c r="CX697" s="73"/>
      <c r="CY697" s="73"/>
      <c r="CZ697" s="73"/>
      <c r="DA697" s="73"/>
      <c r="DB697" s="73"/>
      <c r="DC697" s="73"/>
      <c r="DD697" s="73"/>
      <c r="DE697" s="73"/>
      <c r="DF697" s="73"/>
      <c r="DG697" s="73"/>
      <c r="DH697" s="73"/>
      <c r="DI697" s="73"/>
      <c r="DJ697" s="73"/>
      <c r="DK697" s="73"/>
      <c r="DL697" s="73"/>
      <c r="DM697" s="73"/>
      <c r="DN697" s="73"/>
      <c r="DO697" s="73"/>
      <c r="DP697" s="73"/>
      <c r="DQ697" s="73"/>
      <c r="DR697" s="73"/>
      <c r="DS697" s="73"/>
      <c r="DT697" s="73"/>
      <c r="DU697" s="73"/>
      <c r="DV697" s="73"/>
      <c r="DW697" s="73"/>
      <c r="DX697" s="73"/>
      <c r="DY697" s="73"/>
      <c r="DZ697" s="73"/>
      <c r="EA697" s="73"/>
      <c r="EB697" s="73"/>
      <c r="EC697" s="73"/>
      <c r="ED697" s="73"/>
      <c r="EE697" s="73"/>
      <c r="EF697" s="73"/>
      <c r="FJ697" s="73"/>
      <c r="FK697" s="73"/>
      <c r="FL697" s="73"/>
      <c r="FM697" s="73"/>
      <c r="FN697" s="73"/>
      <c r="FO697" s="73"/>
      <c r="FP697" s="73"/>
      <c r="FQ697" s="73"/>
      <c r="FR697" s="73"/>
      <c r="FS697" s="73"/>
      <c r="FT697" s="73"/>
      <c r="FU697" s="73"/>
      <c r="FV697" s="73"/>
      <c r="FW697" s="73"/>
      <c r="FX697" s="73"/>
      <c r="GO697" s="73"/>
      <c r="GP697" s="73"/>
      <c r="HE697" s="73"/>
      <c r="HU697" s="73"/>
      <c r="HV697" s="182"/>
    </row>
    <row r="698" spans="1:230" x14ac:dyDescent="0.25">
      <c r="A698" s="30"/>
      <c r="B698" s="30"/>
      <c r="C698" s="30"/>
      <c r="D698" s="30"/>
      <c r="G698" s="30"/>
      <c r="H698" s="30"/>
      <c r="I698" s="30"/>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c r="CA698" s="73"/>
      <c r="CB698" s="73"/>
      <c r="CC698" s="73"/>
      <c r="CD698" s="73"/>
      <c r="CE698" s="73"/>
      <c r="CF698" s="73"/>
      <c r="CG698" s="73"/>
      <c r="CH698" s="73"/>
      <c r="CI698" s="73"/>
      <c r="CJ698" s="73"/>
      <c r="CK698" s="73"/>
      <c r="CL698" s="73"/>
      <c r="CM698" s="73"/>
      <c r="CN698" s="73"/>
      <c r="CO698" s="73"/>
      <c r="CP698" s="73"/>
      <c r="CQ698" s="73"/>
      <c r="CR698" s="73"/>
      <c r="CS698" s="73"/>
      <c r="CT698" s="73"/>
      <c r="CU698" s="73"/>
      <c r="CV698" s="73"/>
      <c r="CW698" s="73"/>
      <c r="CX698" s="73"/>
      <c r="CY698" s="73"/>
      <c r="CZ698" s="73"/>
      <c r="DA698" s="73"/>
      <c r="DB698" s="73"/>
      <c r="DC698" s="73"/>
      <c r="DD698" s="73"/>
      <c r="DE698" s="73"/>
      <c r="DF698" s="73"/>
      <c r="DG698" s="73"/>
      <c r="DH698" s="73"/>
      <c r="DI698" s="73"/>
      <c r="DJ698" s="73"/>
      <c r="DK698" s="73"/>
      <c r="DL698" s="73"/>
      <c r="DM698" s="73"/>
      <c r="DN698" s="73"/>
      <c r="DO698" s="73"/>
      <c r="DP698" s="73"/>
      <c r="DQ698" s="73"/>
      <c r="DR698" s="73"/>
      <c r="DS698" s="73"/>
      <c r="DT698" s="73"/>
      <c r="DU698" s="73"/>
      <c r="DV698" s="73"/>
      <c r="DW698" s="73"/>
      <c r="DX698" s="73"/>
      <c r="DY698" s="73"/>
      <c r="DZ698" s="73"/>
      <c r="EA698" s="73"/>
      <c r="EB698" s="73"/>
      <c r="EC698" s="73"/>
      <c r="ED698" s="73"/>
      <c r="EE698" s="73"/>
      <c r="EF698" s="73"/>
      <c r="FJ698" s="73"/>
      <c r="FK698" s="73"/>
      <c r="FL698" s="73"/>
      <c r="FM698" s="73"/>
      <c r="FN698" s="73"/>
      <c r="FO698" s="73"/>
      <c r="FP698" s="73"/>
      <c r="FQ698" s="73"/>
      <c r="FR698" s="73"/>
      <c r="FS698" s="73"/>
      <c r="FT698" s="73"/>
      <c r="FU698" s="73"/>
      <c r="FV698" s="73"/>
      <c r="FW698" s="73"/>
      <c r="FX698" s="73"/>
      <c r="GO698" s="73"/>
      <c r="GP698" s="73"/>
      <c r="HE698" s="73"/>
      <c r="HU698" s="73"/>
      <c r="HV698" s="182"/>
    </row>
    <row r="699" spans="1:230" x14ac:dyDescent="0.25">
      <c r="A699" s="30"/>
      <c r="B699" s="30"/>
      <c r="C699" s="30"/>
      <c r="D699" s="30"/>
      <c r="G699" s="30"/>
      <c r="H699" s="30"/>
      <c r="I699" s="30"/>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3"/>
      <c r="CK699" s="73"/>
      <c r="CL699" s="73"/>
      <c r="CM699" s="73"/>
      <c r="CN699" s="73"/>
      <c r="CO699" s="73"/>
      <c r="CP699" s="73"/>
      <c r="CQ699" s="73"/>
      <c r="CR699" s="73"/>
      <c r="CS699" s="73"/>
      <c r="CT699" s="73"/>
      <c r="CU699" s="73"/>
      <c r="CV699" s="73"/>
      <c r="CW699" s="73"/>
      <c r="CX699" s="73"/>
      <c r="CY699" s="73"/>
      <c r="CZ699" s="73"/>
      <c r="DA699" s="73"/>
      <c r="DB699" s="73"/>
      <c r="DC699" s="73"/>
      <c r="DD699" s="73"/>
      <c r="DE699" s="73"/>
      <c r="DF699" s="73"/>
      <c r="DG699" s="73"/>
      <c r="DH699" s="73"/>
      <c r="DI699" s="73"/>
      <c r="DJ699" s="73"/>
      <c r="DK699" s="73"/>
      <c r="DL699" s="73"/>
      <c r="DM699" s="73"/>
      <c r="DN699" s="73"/>
      <c r="DO699" s="73"/>
      <c r="DP699" s="73"/>
      <c r="DQ699" s="73"/>
      <c r="DR699" s="73"/>
      <c r="DS699" s="73"/>
      <c r="DT699" s="73"/>
      <c r="DU699" s="73"/>
      <c r="DV699" s="73"/>
      <c r="DW699" s="73"/>
      <c r="DX699" s="73"/>
      <c r="DY699" s="73"/>
      <c r="DZ699" s="73"/>
      <c r="EA699" s="73"/>
      <c r="EB699" s="73"/>
      <c r="EC699" s="73"/>
      <c r="ED699" s="73"/>
      <c r="EE699" s="73"/>
      <c r="EF699" s="73"/>
      <c r="FJ699" s="73"/>
      <c r="FK699" s="73"/>
      <c r="FL699" s="73"/>
      <c r="FM699" s="73"/>
      <c r="FN699" s="73"/>
      <c r="FO699" s="73"/>
      <c r="FP699" s="73"/>
      <c r="FQ699" s="73"/>
      <c r="FR699" s="73"/>
      <c r="FS699" s="73"/>
      <c r="FT699" s="73"/>
      <c r="FU699" s="73"/>
      <c r="FV699" s="73"/>
      <c r="FW699" s="73"/>
      <c r="FX699" s="73"/>
      <c r="GO699" s="73"/>
      <c r="GP699" s="73"/>
      <c r="HE699" s="73"/>
      <c r="HU699" s="73"/>
      <c r="HV699" s="182"/>
    </row>
    <row r="700" spans="1:230" x14ac:dyDescent="0.25">
      <c r="A700" s="30"/>
      <c r="B700" s="30"/>
      <c r="C700" s="30"/>
      <c r="D700" s="30"/>
      <c r="G700" s="30"/>
      <c r="H700" s="30"/>
      <c r="I700" s="30"/>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3"/>
      <c r="CK700" s="73"/>
      <c r="CL700" s="73"/>
      <c r="CM700" s="73"/>
      <c r="CN700" s="73"/>
      <c r="CO700" s="73"/>
      <c r="CP700" s="73"/>
      <c r="CQ700" s="73"/>
      <c r="CR700" s="73"/>
      <c r="CS700" s="73"/>
      <c r="CT700" s="73"/>
      <c r="CU700" s="73"/>
      <c r="CV700" s="73"/>
      <c r="CW700" s="73"/>
      <c r="CX700" s="73"/>
      <c r="CY700" s="73"/>
      <c r="CZ700" s="73"/>
      <c r="DA700" s="73"/>
      <c r="DB700" s="73"/>
      <c r="DC700" s="73"/>
      <c r="DD700" s="73"/>
      <c r="DE700" s="73"/>
      <c r="DF700" s="73"/>
      <c r="DG700" s="73"/>
      <c r="DH700" s="73"/>
      <c r="DI700" s="73"/>
      <c r="DJ700" s="73"/>
      <c r="DK700" s="73"/>
      <c r="DL700" s="73"/>
      <c r="DM700" s="73"/>
      <c r="DN700" s="73"/>
      <c r="DO700" s="73"/>
      <c r="DP700" s="73"/>
      <c r="DQ700" s="73"/>
      <c r="DR700" s="73"/>
      <c r="DS700" s="73"/>
      <c r="DT700" s="73"/>
      <c r="DU700" s="73"/>
      <c r="DV700" s="73"/>
      <c r="DW700" s="73"/>
      <c r="DX700" s="73"/>
      <c r="DY700" s="73"/>
      <c r="DZ700" s="73"/>
      <c r="EA700" s="73"/>
      <c r="EB700" s="73"/>
      <c r="EC700" s="73"/>
      <c r="ED700" s="73"/>
      <c r="EE700" s="73"/>
      <c r="EF700" s="73"/>
      <c r="FJ700" s="73"/>
      <c r="FK700" s="73"/>
      <c r="FL700" s="73"/>
      <c r="FM700" s="73"/>
      <c r="FN700" s="73"/>
      <c r="FO700" s="73"/>
      <c r="FP700" s="73"/>
      <c r="FQ700" s="73"/>
      <c r="FR700" s="73"/>
      <c r="FS700" s="73"/>
      <c r="FT700" s="73"/>
      <c r="FU700" s="73"/>
      <c r="FV700" s="73"/>
      <c r="FW700" s="73"/>
      <c r="FX700" s="73"/>
      <c r="GO700" s="73"/>
      <c r="GP700" s="73"/>
      <c r="HE700" s="73"/>
      <c r="HU700" s="73"/>
      <c r="HV700" s="182"/>
    </row>
    <row r="701" spans="1:230" x14ac:dyDescent="0.25">
      <c r="A701" s="30"/>
      <c r="B701" s="30"/>
      <c r="C701" s="30"/>
      <c r="D701" s="30"/>
      <c r="G701" s="30"/>
      <c r="H701" s="30"/>
      <c r="I701" s="30"/>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c r="CA701" s="73"/>
      <c r="CB701" s="73"/>
      <c r="CC701" s="73"/>
      <c r="CD701" s="73"/>
      <c r="CE701" s="73"/>
      <c r="CF701" s="73"/>
      <c r="CG701" s="73"/>
      <c r="CH701" s="73"/>
      <c r="CI701" s="73"/>
      <c r="CJ701" s="73"/>
      <c r="CK701" s="73"/>
      <c r="CL701" s="73"/>
      <c r="CM701" s="73"/>
      <c r="CN701" s="73"/>
      <c r="CO701" s="73"/>
      <c r="CP701" s="73"/>
      <c r="CQ701" s="73"/>
      <c r="CR701" s="73"/>
      <c r="CS701" s="73"/>
      <c r="CT701" s="73"/>
      <c r="CU701" s="73"/>
      <c r="CV701" s="73"/>
      <c r="CW701" s="73"/>
      <c r="CX701" s="73"/>
      <c r="CY701" s="73"/>
      <c r="CZ701" s="73"/>
      <c r="DA701" s="73"/>
      <c r="DB701" s="73"/>
      <c r="DC701" s="73"/>
      <c r="DD701" s="73"/>
      <c r="DE701" s="73"/>
      <c r="DF701" s="73"/>
      <c r="DG701" s="73"/>
      <c r="DH701" s="73"/>
      <c r="DI701" s="73"/>
      <c r="DJ701" s="73"/>
      <c r="DK701" s="73"/>
      <c r="DL701" s="73"/>
      <c r="DM701" s="73"/>
      <c r="DN701" s="73"/>
      <c r="DO701" s="73"/>
      <c r="DP701" s="73"/>
      <c r="DQ701" s="73"/>
      <c r="DR701" s="73"/>
      <c r="DS701" s="73"/>
      <c r="DT701" s="73"/>
      <c r="DU701" s="73"/>
      <c r="DV701" s="73"/>
      <c r="DW701" s="73"/>
      <c r="DX701" s="73"/>
      <c r="DY701" s="73"/>
      <c r="DZ701" s="73"/>
      <c r="EA701" s="73"/>
      <c r="EB701" s="73"/>
      <c r="EC701" s="73"/>
      <c r="ED701" s="73"/>
      <c r="EE701" s="73"/>
      <c r="EF701" s="73"/>
      <c r="FJ701" s="73"/>
      <c r="FK701" s="73"/>
      <c r="FL701" s="73"/>
      <c r="FM701" s="73"/>
      <c r="FN701" s="73"/>
      <c r="FO701" s="73"/>
      <c r="FP701" s="73"/>
      <c r="FQ701" s="73"/>
      <c r="FR701" s="73"/>
      <c r="FS701" s="73"/>
      <c r="FT701" s="73"/>
      <c r="FU701" s="73"/>
      <c r="FV701" s="73"/>
      <c r="FW701" s="73"/>
      <c r="FX701" s="73"/>
      <c r="GO701" s="73"/>
      <c r="GP701" s="73"/>
      <c r="HE701" s="73"/>
      <c r="HU701" s="73"/>
      <c r="HV701" s="182"/>
    </row>
    <row r="702" spans="1:230" x14ac:dyDescent="0.25">
      <c r="A702" s="30"/>
      <c r="B702" s="30"/>
      <c r="C702" s="30"/>
      <c r="D702" s="30"/>
      <c r="G702" s="30"/>
      <c r="H702" s="30"/>
      <c r="I702" s="30"/>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c r="CA702" s="73"/>
      <c r="CB702" s="73"/>
      <c r="CC702" s="73"/>
      <c r="CD702" s="73"/>
      <c r="CE702" s="73"/>
      <c r="CF702" s="73"/>
      <c r="CG702" s="73"/>
      <c r="CH702" s="73"/>
      <c r="CI702" s="73"/>
      <c r="CJ702" s="73"/>
      <c r="CK702" s="73"/>
      <c r="CL702" s="73"/>
      <c r="CM702" s="73"/>
      <c r="CN702" s="73"/>
      <c r="CO702" s="73"/>
      <c r="CP702" s="73"/>
      <c r="CQ702" s="73"/>
      <c r="CR702" s="73"/>
      <c r="CS702" s="73"/>
      <c r="CT702" s="73"/>
      <c r="CU702" s="73"/>
      <c r="CV702" s="73"/>
      <c r="CW702" s="73"/>
      <c r="CX702" s="73"/>
      <c r="CY702" s="73"/>
      <c r="CZ702" s="73"/>
      <c r="DA702" s="73"/>
      <c r="DB702" s="73"/>
      <c r="DC702" s="73"/>
      <c r="DD702" s="73"/>
      <c r="DE702" s="73"/>
      <c r="DF702" s="73"/>
      <c r="DG702" s="73"/>
      <c r="DH702" s="73"/>
      <c r="DI702" s="73"/>
      <c r="DJ702" s="73"/>
      <c r="DK702" s="73"/>
      <c r="DL702" s="73"/>
      <c r="DM702" s="73"/>
      <c r="DN702" s="73"/>
      <c r="DO702" s="73"/>
      <c r="DP702" s="73"/>
      <c r="DQ702" s="73"/>
      <c r="DR702" s="73"/>
      <c r="DS702" s="73"/>
      <c r="DT702" s="73"/>
      <c r="DU702" s="73"/>
      <c r="DV702" s="73"/>
      <c r="DW702" s="73"/>
      <c r="DX702" s="73"/>
      <c r="DY702" s="73"/>
      <c r="DZ702" s="73"/>
      <c r="EA702" s="73"/>
      <c r="EB702" s="73"/>
      <c r="EC702" s="73"/>
      <c r="ED702" s="73"/>
      <c r="EE702" s="73"/>
      <c r="EF702" s="73"/>
      <c r="FJ702" s="73"/>
      <c r="FK702" s="73"/>
      <c r="FL702" s="73"/>
      <c r="FM702" s="73"/>
      <c r="FN702" s="73"/>
      <c r="FO702" s="73"/>
      <c r="FP702" s="73"/>
      <c r="FQ702" s="73"/>
      <c r="FR702" s="73"/>
      <c r="FS702" s="73"/>
      <c r="FT702" s="73"/>
      <c r="FU702" s="73"/>
      <c r="FV702" s="73"/>
      <c r="FW702" s="73"/>
      <c r="FX702" s="73"/>
      <c r="GO702" s="73"/>
      <c r="GP702" s="73"/>
      <c r="HE702" s="73"/>
      <c r="HU702" s="73"/>
      <c r="HV702" s="182"/>
    </row>
    <row r="703" spans="1:230" x14ac:dyDescent="0.25">
      <c r="A703" s="30"/>
      <c r="B703" s="30"/>
      <c r="C703" s="30"/>
      <c r="D703" s="30"/>
      <c r="G703" s="30"/>
      <c r="H703" s="30"/>
      <c r="I703" s="30"/>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c r="CA703" s="73"/>
      <c r="CB703" s="73"/>
      <c r="CC703" s="73"/>
      <c r="CD703" s="73"/>
      <c r="CE703" s="73"/>
      <c r="CF703" s="73"/>
      <c r="CG703" s="73"/>
      <c r="CH703" s="73"/>
      <c r="CI703" s="73"/>
      <c r="CJ703" s="73"/>
      <c r="CK703" s="73"/>
      <c r="CL703" s="73"/>
      <c r="CM703" s="73"/>
      <c r="CN703" s="73"/>
      <c r="CO703" s="73"/>
      <c r="CP703" s="73"/>
      <c r="CQ703" s="73"/>
      <c r="CR703" s="73"/>
      <c r="CS703" s="73"/>
      <c r="CT703" s="73"/>
      <c r="CU703" s="73"/>
      <c r="CV703" s="73"/>
      <c r="CW703" s="73"/>
      <c r="CX703" s="73"/>
      <c r="CY703" s="73"/>
      <c r="CZ703" s="73"/>
      <c r="DA703" s="73"/>
      <c r="DB703" s="73"/>
      <c r="DC703" s="73"/>
      <c r="DD703" s="73"/>
      <c r="DE703" s="73"/>
      <c r="DF703" s="73"/>
      <c r="DG703" s="73"/>
      <c r="DH703" s="73"/>
      <c r="DI703" s="73"/>
      <c r="DJ703" s="73"/>
      <c r="DK703" s="73"/>
      <c r="DL703" s="73"/>
      <c r="DM703" s="73"/>
      <c r="DN703" s="73"/>
      <c r="DO703" s="73"/>
      <c r="DP703" s="73"/>
      <c r="DQ703" s="73"/>
      <c r="DR703" s="73"/>
      <c r="DS703" s="73"/>
      <c r="DT703" s="73"/>
      <c r="DU703" s="73"/>
      <c r="DV703" s="73"/>
      <c r="DW703" s="73"/>
      <c r="DX703" s="73"/>
      <c r="DY703" s="73"/>
      <c r="DZ703" s="73"/>
      <c r="EA703" s="73"/>
      <c r="EB703" s="73"/>
      <c r="EC703" s="73"/>
      <c r="ED703" s="73"/>
      <c r="EE703" s="73"/>
      <c r="EF703" s="73"/>
      <c r="FJ703" s="73"/>
      <c r="FK703" s="73"/>
      <c r="FL703" s="73"/>
      <c r="FM703" s="73"/>
      <c r="FN703" s="73"/>
      <c r="FO703" s="73"/>
      <c r="FP703" s="73"/>
      <c r="FQ703" s="73"/>
      <c r="FR703" s="73"/>
      <c r="FS703" s="73"/>
      <c r="FT703" s="73"/>
      <c r="FU703" s="73"/>
      <c r="FV703" s="73"/>
      <c r="FW703" s="73"/>
      <c r="FX703" s="73"/>
      <c r="GO703" s="73"/>
      <c r="GP703" s="73"/>
      <c r="HE703" s="73"/>
      <c r="HU703" s="73"/>
      <c r="HV703" s="182"/>
    </row>
    <row r="704" spans="1:230" x14ac:dyDescent="0.25">
      <c r="A704" s="30"/>
      <c r="B704" s="30"/>
      <c r="C704" s="30"/>
      <c r="D704" s="30"/>
      <c r="G704" s="30"/>
      <c r="H704" s="30"/>
      <c r="I704" s="30"/>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c r="CA704" s="73"/>
      <c r="CB704" s="73"/>
      <c r="CC704" s="73"/>
      <c r="CD704" s="73"/>
      <c r="CE704" s="73"/>
      <c r="CF704" s="73"/>
      <c r="CG704" s="73"/>
      <c r="CH704" s="73"/>
      <c r="CI704" s="73"/>
      <c r="CJ704" s="73"/>
      <c r="CK704" s="73"/>
      <c r="CL704" s="73"/>
      <c r="CM704" s="73"/>
      <c r="CN704" s="73"/>
      <c r="CO704" s="73"/>
      <c r="CP704" s="73"/>
      <c r="CQ704" s="73"/>
      <c r="CR704" s="73"/>
      <c r="CS704" s="73"/>
      <c r="CT704" s="73"/>
      <c r="CU704" s="73"/>
      <c r="CV704" s="73"/>
      <c r="CW704" s="73"/>
      <c r="CX704" s="73"/>
      <c r="CY704" s="73"/>
      <c r="CZ704" s="73"/>
      <c r="DA704" s="73"/>
      <c r="DB704" s="73"/>
      <c r="DC704" s="73"/>
      <c r="DD704" s="73"/>
      <c r="DE704" s="73"/>
      <c r="DF704" s="73"/>
      <c r="DG704" s="73"/>
      <c r="DH704" s="73"/>
      <c r="DI704" s="73"/>
      <c r="DJ704" s="73"/>
      <c r="DK704" s="73"/>
      <c r="DL704" s="73"/>
      <c r="DM704" s="73"/>
      <c r="DN704" s="73"/>
      <c r="DO704" s="73"/>
      <c r="DP704" s="73"/>
      <c r="DQ704" s="73"/>
      <c r="DR704" s="73"/>
      <c r="DS704" s="73"/>
      <c r="DT704" s="73"/>
      <c r="DU704" s="73"/>
      <c r="DV704" s="73"/>
      <c r="DW704" s="73"/>
      <c r="DX704" s="73"/>
      <c r="DY704" s="73"/>
      <c r="DZ704" s="73"/>
      <c r="EA704" s="73"/>
      <c r="EB704" s="73"/>
      <c r="EC704" s="73"/>
      <c r="ED704" s="73"/>
      <c r="EE704" s="73"/>
      <c r="EF704" s="73"/>
      <c r="FJ704" s="73"/>
      <c r="FK704" s="73"/>
      <c r="FL704" s="73"/>
      <c r="FM704" s="73"/>
      <c r="FN704" s="73"/>
      <c r="FO704" s="73"/>
      <c r="FP704" s="73"/>
      <c r="FQ704" s="73"/>
      <c r="FR704" s="73"/>
      <c r="FS704" s="73"/>
      <c r="FT704" s="73"/>
      <c r="FU704" s="73"/>
      <c r="FV704" s="73"/>
      <c r="FW704" s="73"/>
      <c r="FX704" s="73"/>
      <c r="GO704" s="73"/>
      <c r="GP704" s="73"/>
      <c r="HE704" s="73"/>
      <c r="HU704" s="73"/>
      <c r="HV704" s="182"/>
    </row>
    <row r="705" spans="1:230" x14ac:dyDescent="0.25">
      <c r="A705" s="30"/>
      <c r="B705" s="30"/>
      <c r="C705" s="30"/>
      <c r="D705" s="30"/>
      <c r="G705" s="30"/>
      <c r="H705" s="30"/>
      <c r="I705" s="30"/>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c r="CA705" s="73"/>
      <c r="CB705" s="73"/>
      <c r="CC705" s="73"/>
      <c r="CD705" s="73"/>
      <c r="CE705" s="73"/>
      <c r="CF705" s="73"/>
      <c r="CG705" s="73"/>
      <c r="CH705" s="73"/>
      <c r="CI705" s="73"/>
      <c r="CJ705" s="73"/>
      <c r="CK705" s="73"/>
      <c r="CL705" s="73"/>
      <c r="CM705" s="73"/>
      <c r="CN705" s="73"/>
      <c r="CO705" s="73"/>
      <c r="CP705" s="73"/>
      <c r="CQ705" s="73"/>
      <c r="CR705" s="73"/>
      <c r="CS705" s="73"/>
      <c r="CT705" s="73"/>
      <c r="CU705" s="73"/>
      <c r="CV705" s="73"/>
      <c r="CW705" s="73"/>
      <c r="CX705" s="73"/>
      <c r="CY705" s="73"/>
      <c r="CZ705" s="73"/>
      <c r="DA705" s="73"/>
      <c r="DB705" s="73"/>
      <c r="DC705" s="73"/>
      <c r="DD705" s="73"/>
      <c r="DE705" s="73"/>
      <c r="DF705" s="73"/>
      <c r="DG705" s="73"/>
      <c r="DH705" s="73"/>
      <c r="DI705" s="73"/>
      <c r="DJ705" s="73"/>
      <c r="DK705" s="73"/>
      <c r="DL705" s="73"/>
      <c r="DM705" s="73"/>
      <c r="DN705" s="73"/>
      <c r="DO705" s="73"/>
      <c r="DP705" s="73"/>
      <c r="DQ705" s="73"/>
      <c r="DR705" s="73"/>
      <c r="DS705" s="73"/>
      <c r="DT705" s="73"/>
      <c r="DU705" s="73"/>
      <c r="DV705" s="73"/>
      <c r="DW705" s="73"/>
      <c r="DX705" s="73"/>
      <c r="DY705" s="73"/>
      <c r="DZ705" s="73"/>
      <c r="EA705" s="73"/>
      <c r="EB705" s="73"/>
      <c r="EC705" s="73"/>
      <c r="ED705" s="73"/>
      <c r="EE705" s="73"/>
      <c r="EF705" s="73"/>
      <c r="FJ705" s="73"/>
      <c r="FK705" s="73"/>
      <c r="FL705" s="73"/>
      <c r="FM705" s="73"/>
      <c r="FN705" s="73"/>
      <c r="FO705" s="73"/>
      <c r="FP705" s="73"/>
      <c r="FQ705" s="73"/>
      <c r="FR705" s="73"/>
      <c r="FS705" s="73"/>
      <c r="FT705" s="73"/>
      <c r="FU705" s="73"/>
      <c r="FV705" s="73"/>
      <c r="FW705" s="73"/>
      <c r="FX705" s="73"/>
      <c r="GO705" s="73"/>
      <c r="GP705" s="73"/>
      <c r="HE705" s="73"/>
      <c r="HU705" s="73"/>
      <c r="HV705" s="182"/>
    </row>
    <row r="706" spans="1:230" x14ac:dyDescent="0.25">
      <c r="A706" s="30"/>
      <c r="B706" s="30"/>
      <c r="C706" s="30"/>
      <c r="D706" s="30"/>
      <c r="G706" s="30"/>
      <c r="H706" s="30"/>
      <c r="I706" s="30"/>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c r="CA706" s="73"/>
      <c r="CB706" s="73"/>
      <c r="CC706" s="73"/>
      <c r="CD706" s="73"/>
      <c r="CE706" s="73"/>
      <c r="CF706" s="73"/>
      <c r="CG706" s="73"/>
      <c r="CH706" s="73"/>
      <c r="CI706" s="73"/>
      <c r="CJ706" s="73"/>
      <c r="CK706" s="73"/>
      <c r="CL706" s="73"/>
      <c r="CM706" s="73"/>
      <c r="CN706" s="73"/>
      <c r="CO706" s="73"/>
      <c r="CP706" s="73"/>
      <c r="CQ706" s="73"/>
      <c r="CR706" s="73"/>
      <c r="CS706" s="73"/>
      <c r="CT706" s="73"/>
      <c r="CU706" s="73"/>
      <c r="CV706" s="73"/>
      <c r="CW706" s="73"/>
      <c r="CX706" s="73"/>
      <c r="CY706" s="73"/>
      <c r="CZ706" s="73"/>
      <c r="DA706" s="73"/>
      <c r="DB706" s="73"/>
      <c r="DC706" s="73"/>
      <c r="DD706" s="73"/>
      <c r="DE706" s="73"/>
      <c r="DF706" s="73"/>
      <c r="DG706" s="73"/>
      <c r="DH706" s="73"/>
      <c r="DI706" s="73"/>
      <c r="DJ706" s="73"/>
      <c r="DK706" s="73"/>
      <c r="DL706" s="73"/>
      <c r="DM706" s="73"/>
      <c r="DN706" s="73"/>
      <c r="DO706" s="73"/>
      <c r="DP706" s="73"/>
      <c r="DQ706" s="73"/>
      <c r="DR706" s="73"/>
      <c r="DS706" s="73"/>
      <c r="DT706" s="73"/>
      <c r="DU706" s="73"/>
      <c r="DV706" s="73"/>
      <c r="DW706" s="73"/>
      <c r="DX706" s="73"/>
      <c r="DY706" s="73"/>
      <c r="DZ706" s="73"/>
      <c r="EA706" s="73"/>
      <c r="EB706" s="73"/>
      <c r="EC706" s="73"/>
      <c r="ED706" s="73"/>
      <c r="EE706" s="73"/>
      <c r="EF706" s="73"/>
      <c r="FJ706" s="73"/>
      <c r="FK706" s="73"/>
      <c r="FL706" s="73"/>
      <c r="FM706" s="73"/>
      <c r="FN706" s="73"/>
      <c r="FO706" s="73"/>
      <c r="FP706" s="73"/>
      <c r="FQ706" s="73"/>
      <c r="FR706" s="73"/>
      <c r="FS706" s="73"/>
      <c r="FT706" s="73"/>
      <c r="FU706" s="73"/>
      <c r="FV706" s="73"/>
      <c r="FW706" s="73"/>
      <c r="FX706" s="73"/>
      <c r="GO706" s="73"/>
      <c r="GP706" s="73"/>
      <c r="HE706" s="73"/>
      <c r="HU706" s="73"/>
      <c r="HV706" s="182"/>
    </row>
    <row r="707" spans="1:230" x14ac:dyDescent="0.25">
      <c r="A707" s="30"/>
      <c r="B707" s="30"/>
      <c r="C707" s="30"/>
      <c r="D707" s="30"/>
      <c r="G707" s="30"/>
      <c r="H707" s="30"/>
      <c r="I707" s="30"/>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c r="CA707" s="73"/>
      <c r="CB707" s="73"/>
      <c r="CC707" s="73"/>
      <c r="CD707" s="73"/>
      <c r="CE707" s="73"/>
      <c r="CF707" s="73"/>
      <c r="CG707" s="73"/>
      <c r="CH707" s="73"/>
      <c r="CI707" s="73"/>
      <c r="CJ707" s="73"/>
      <c r="CK707" s="73"/>
      <c r="CL707" s="73"/>
      <c r="CM707" s="73"/>
      <c r="CN707" s="73"/>
      <c r="CO707" s="73"/>
      <c r="CP707" s="73"/>
      <c r="CQ707" s="73"/>
      <c r="CR707" s="73"/>
      <c r="CS707" s="73"/>
      <c r="CT707" s="73"/>
      <c r="CU707" s="73"/>
      <c r="CV707" s="73"/>
      <c r="CW707" s="73"/>
      <c r="CX707" s="73"/>
      <c r="CY707" s="73"/>
      <c r="CZ707" s="73"/>
      <c r="DA707" s="73"/>
      <c r="DB707" s="73"/>
      <c r="DC707" s="73"/>
      <c r="DD707" s="73"/>
      <c r="DE707" s="73"/>
      <c r="DF707" s="73"/>
      <c r="DG707" s="73"/>
      <c r="DH707" s="73"/>
      <c r="DI707" s="73"/>
      <c r="DJ707" s="73"/>
      <c r="DK707" s="73"/>
      <c r="DL707" s="73"/>
      <c r="DM707" s="73"/>
      <c r="DN707" s="73"/>
      <c r="DO707" s="73"/>
      <c r="DP707" s="73"/>
      <c r="DQ707" s="73"/>
      <c r="DR707" s="73"/>
      <c r="DS707" s="73"/>
      <c r="DT707" s="73"/>
      <c r="DU707" s="73"/>
      <c r="DV707" s="73"/>
      <c r="DW707" s="73"/>
      <c r="DX707" s="73"/>
      <c r="DY707" s="73"/>
      <c r="DZ707" s="73"/>
      <c r="EA707" s="73"/>
      <c r="EB707" s="73"/>
      <c r="EC707" s="73"/>
      <c r="ED707" s="73"/>
      <c r="EE707" s="73"/>
      <c r="EF707" s="73"/>
      <c r="FJ707" s="73"/>
      <c r="FK707" s="73"/>
      <c r="FL707" s="73"/>
      <c r="FM707" s="73"/>
      <c r="FN707" s="73"/>
      <c r="FO707" s="73"/>
      <c r="FP707" s="73"/>
      <c r="FQ707" s="73"/>
      <c r="FR707" s="73"/>
      <c r="FS707" s="73"/>
      <c r="FT707" s="73"/>
      <c r="FU707" s="73"/>
      <c r="FV707" s="73"/>
      <c r="FW707" s="73"/>
      <c r="FX707" s="73"/>
      <c r="GO707" s="73"/>
      <c r="GP707" s="73"/>
      <c r="HE707" s="73"/>
      <c r="HU707" s="73"/>
      <c r="HV707" s="182"/>
    </row>
    <row r="708" spans="1:230" x14ac:dyDescent="0.25">
      <c r="A708" s="30"/>
      <c r="B708" s="30"/>
      <c r="C708" s="30"/>
      <c r="D708" s="30"/>
      <c r="G708" s="30"/>
      <c r="H708" s="30"/>
      <c r="I708" s="30"/>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c r="CA708" s="73"/>
      <c r="CB708" s="73"/>
      <c r="CC708" s="73"/>
      <c r="CD708" s="73"/>
      <c r="CE708" s="73"/>
      <c r="CF708" s="73"/>
      <c r="CG708" s="73"/>
      <c r="CH708" s="73"/>
      <c r="CI708" s="73"/>
      <c r="CJ708" s="73"/>
      <c r="CK708" s="73"/>
      <c r="CL708" s="73"/>
      <c r="CM708" s="73"/>
      <c r="CN708" s="73"/>
      <c r="CO708" s="73"/>
      <c r="CP708" s="73"/>
      <c r="CQ708" s="73"/>
      <c r="CR708" s="73"/>
      <c r="CS708" s="73"/>
      <c r="CT708" s="73"/>
      <c r="CU708" s="73"/>
      <c r="CV708" s="73"/>
      <c r="CW708" s="73"/>
      <c r="CX708" s="73"/>
      <c r="CY708" s="73"/>
      <c r="CZ708" s="73"/>
      <c r="DA708" s="73"/>
      <c r="DB708" s="73"/>
      <c r="DC708" s="73"/>
      <c r="DD708" s="73"/>
      <c r="DE708" s="73"/>
      <c r="DF708" s="73"/>
      <c r="DG708" s="73"/>
      <c r="DH708" s="73"/>
      <c r="DI708" s="73"/>
      <c r="DJ708" s="73"/>
      <c r="DK708" s="73"/>
      <c r="DL708" s="73"/>
      <c r="DM708" s="73"/>
      <c r="DN708" s="73"/>
      <c r="DO708" s="73"/>
      <c r="DP708" s="73"/>
      <c r="DQ708" s="73"/>
      <c r="DR708" s="73"/>
      <c r="DS708" s="73"/>
      <c r="DT708" s="73"/>
      <c r="DU708" s="73"/>
      <c r="DV708" s="73"/>
      <c r="DW708" s="73"/>
      <c r="DX708" s="73"/>
      <c r="DY708" s="73"/>
      <c r="DZ708" s="73"/>
      <c r="EA708" s="73"/>
      <c r="EB708" s="73"/>
      <c r="EC708" s="73"/>
      <c r="ED708" s="73"/>
      <c r="EE708" s="73"/>
      <c r="EF708" s="73"/>
      <c r="FJ708" s="73"/>
      <c r="FK708" s="73"/>
      <c r="FL708" s="73"/>
      <c r="FM708" s="73"/>
      <c r="FN708" s="73"/>
      <c r="FO708" s="73"/>
      <c r="FP708" s="73"/>
      <c r="FQ708" s="73"/>
      <c r="FR708" s="73"/>
      <c r="FS708" s="73"/>
      <c r="FT708" s="73"/>
      <c r="FU708" s="73"/>
      <c r="FV708" s="73"/>
      <c r="FW708" s="73"/>
      <c r="FX708" s="73"/>
      <c r="GO708" s="73"/>
      <c r="GP708" s="73"/>
      <c r="HE708" s="73"/>
      <c r="HU708" s="73"/>
      <c r="HV708" s="182"/>
    </row>
    <row r="709" spans="1:230" x14ac:dyDescent="0.25">
      <c r="A709" s="30"/>
      <c r="B709" s="30"/>
      <c r="C709" s="30"/>
      <c r="D709" s="30"/>
      <c r="G709" s="30"/>
      <c r="H709" s="30"/>
      <c r="I709" s="30"/>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c r="CA709" s="73"/>
      <c r="CB709" s="73"/>
      <c r="CC709" s="73"/>
      <c r="CD709" s="73"/>
      <c r="CE709" s="73"/>
      <c r="CF709" s="73"/>
      <c r="CG709" s="73"/>
      <c r="CH709" s="73"/>
      <c r="CI709" s="73"/>
      <c r="CJ709" s="73"/>
      <c r="CK709" s="73"/>
      <c r="CL709" s="73"/>
      <c r="CM709" s="73"/>
      <c r="CN709" s="73"/>
      <c r="CO709" s="73"/>
      <c r="CP709" s="73"/>
      <c r="CQ709" s="73"/>
      <c r="CR709" s="73"/>
      <c r="CS709" s="73"/>
      <c r="CT709" s="73"/>
      <c r="CU709" s="73"/>
      <c r="CV709" s="73"/>
      <c r="CW709" s="73"/>
      <c r="CX709" s="73"/>
      <c r="CY709" s="73"/>
      <c r="CZ709" s="73"/>
      <c r="DA709" s="73"/>
      <c r="DB709" s="73"/>
      <c r="DC709" s="73"/>
      <c r="DD709" s="73"/>
      <c r="DE709" s="73"/>
      <c r="DF709" s="73"/>
      <c r="DG709" s="73"/>
      <c r="DH709" s="73"/>
      <c r="DI709" s="73"/>
      <c r="DJ709" s="73"/>
      <c r="DK709" s="73"/>
      <c r="DL709" s="73"/>
      <c r="DM709" s="73"/>
      <c r="DN709" s="73"/>
      <c r="DO709" s="73"/>
      <c r="DP709" s="73"/>
      <c r="DQ709" s="73"/>
      <c r="DR709" s="73"/>
      <c r="DS709" s="73"/>
      <c r="DT709" s="73"/>
      <c r="DU709" s="73"/>
      <c r="DV709" s="73"/>
      <c r="DW709" s="73"/>
      <c r="DX709" s="73"/>
      <c r="DY709" s="73"/>
      <c r="DZ709" s="73"/>
      <c r="EA709" s="73"/>
      <c r="EB709" s="73"/>
      <c r="EC709" s="73"/>
      <c r="ED709" s="73"/>
      <c r="EE709" s="73"/>
      <c r="EF709" s="73"/>
      <c r="FJ709" s="73"/>
      <c r="FK709" s="73"/>
      <c r="FL709" s="73"/>
      <c r="FM709" s="73"/>
      <c r="FN709" s="73"/>
      <c r="FO709" s="73"/>
      <c r="FP709" s="73"/>
      <c r="FQ709" s="73"/>
      <c r="FR709" s="73"/>
      <c r="FS709" s="73"/>
      <c r="FT709" s="73"/>
      <c r="FU709" s="73"/>
      <c r="FV709" s="73"/>
      <c r="FW709" s="73"/>
      <c r="FX709" s="73"/>
      <c r="GO709" s="73"/>
      <c r="GP709" s="73"/>
      <c r="HE709" s="73"/>
      <c r="HU709" s="73"/>
      <c r="HV709" s="182"/>
    </row>
    <row r="710" spans="1:230" x14ac:dyDescent="0.25">
      <c r="A710" s="30"/>
      <c r="B710" s="30"/>
      <c r="C710" s="30"/>
      <c r="D710" s="30"/>
      <c r="G710" s="30"/>
      <c r="H710" s="30"/>
      <c r="I710" s="30"/>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c r="CA710" s="73"/>
      <c r="CB710" s="73"/>
      <c r="CC710" s="73"/>
      <c r="CD710" s="73"/>
      <c r="CE710" s="73"/>
      <c r="CF710" s="73"/>
      <c r="CG710" s="73"/>
      <c r="CH710" s="73"/>
      <c r="CI710" s="73"/>
      <c r="CJ710" s="73"/>
      <c r="CK710" s="73"/>
      <c r="CL710" s="73"/>
      <c r="CM710" s="73"/>
      <c r="CN710" s="73"/>
      <c r="CO710" s="73"/>
      <c r="CP710" s="73"/>
      <c r="CQ710" s="73"/>
      <c r="CR710" s="73"/>
      <c r="CS710" s="73"/>
      <c r="CT710" s="73"/>
      <c r="CU710" s="73"/>
      <c r="CV710" s="73"/>
      <c r="CW710" s="73"/>
      <c r="CX710" s="73"/>
      <c r="CY710" s="73"/>
      <c r="CZ710" s="73"/>
      <c r="DA710" s="73"/>
      <c r="DB710" s="73"/>
      <c r="DC710" s="73"/>
      <c r="DD710" s="73"/>
      <c r="DE710" s="73"/>
      <c r="DF710" s="73"/>
      <c r="DG710" s="73"/>
      <c r="DH710" s="73"/>
      <c r="DI710" s="73"/>
      <c r="DJ710" s="73"/>
      <c r="DK710" s="73"/>
      <c r="DL710" s="73"/>
      <c r="DM710" s="73"/>
      <c r="DN710" s="73"/>
      <c r="DO710" s="73"/>
      <c r="DP710" s="73"/>
      <c r="DQ710" s="73"/>
      <c r="DR710" s="73"/>
      <c r="DS710" s="73"/>
      <c r="DT710" s="73"/>
      <c r="DU710" s="73"/>
      <c r="DV710" s="73"/>
      <c r="DW710" s="73"/>
      <c r="DX710" s="73"/>
      <c r="DY710" s="73"/>
      <c r="DZ710" s="73"/>
      <c r="EA710" s="73"/>
      <c r="EB710" s="73"/>
      <c r="EC710" s="73"/>
      <c r="ED710" s="73"/>
      <c r="EE710" s="73"/>
      <c r="EF710" s="73"/>
      <c r="FJ710" s="73"/>
      <c r="FK710" s="73"/>
      <c r="FL710" s="73"/>
      <c r="FM710" s="73"/>
      <c r="FN710" s="73"/>
      <c r="FO710" s="73"/>
      <c r="FP710" s="73"/>
      <c r="FQ710" s="73"/>
      <c r="FR710" s="73"/>
      <c r="FS710" s="73"/>
      <c r="FT710" s="73"/>
      <c r="FU710" s="73"/>
      <c r="FV710" s="73"/>
      <c r="FW710" s="73"/>
      <c r="FX710" s="73"/>
      <c r="GO710" s="73"/>
      <c r="GP710" s="73"/>
      <c r="HE710" s="73"/>
      <c r="HU710" s="73"/>
      <c r="HV710" s="182"/>
    </row>
    <row r="711" spans="1:230" x14ac:dyDescent="0.25">
      <c r="A711" s="30"/>
      <c r="B711" s="30"/>
      <c r="C711" s="30"/>
      <c r="D711" s="30"/>
      <c r="G711" s="30"/>
      <c r="H711" s="30"/>
      <c r="I711" s="30"/>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c r="CA711" s="73"/>
      <c r="CB711" s="73"/>
      <c r="CC711" s="73"/>
      <c r="CD711" s="73"/>
      <c r="CE711" s="73"/>
      <c r="CF711" s="73"/>
      <c r="CG711" s="73"/>
      <c r="CH711" s="73"/>
      <c r="CI711" s="73"/>
      <c r="CJ711" s="73"/>
      <c r="CK711" s="73"/>
      <c r="CL711" s="73"/>
      <c r="CM711" s="73"/>
      <c r="CN711" s="73"/>
      <c r="CO711" s="73"/>
      <c r="CP711" s="73"/>
      <c r="CQ711" s="73"/>
      <c r="CR711" s="73"/>
      <c r="CS711" s="73"/>
      <c r="CT711" s="73"/>
      <c r="CU711" s="73"/>
      <c r="CV711" s="73"/>
      <c r="CW711" s="73"/>
      <c r="CX711" s="73"/>
      <c r="CY711" s="73"/>
      <c r="CZ711" s="73"/>
      <c r="DA711" s="73"/>
      <c r="DB711" s="73"/>
      <c r="DC711" s="73"/>
      <c r="DD711" s="73"/>
      <c r="DE711" s="73"/>
      <c r="DF711" s="73"/>
      <c r="DG711" s="73"/>
      <c r="DH711" s="73"/>
      <c r="DI711" s="73"/>
      <c r="DJ711" s="73"/>
      <c r="DK711" s="73"/>
      <c r="DL711" s="73"/>
      <c r="DM711" s="73"/>
      <c r="DN711" s="73"/>
      <c r="DO711" s="73"/>
      <c r="DP711" s="73"/>
      <c r="DQ711" s="73"/>
      <c r="DR711" s="73"/>
      <c r="DS711" s="73"/>
      <c r="DT711" s="73"/>
      <c r="DU711" s="73"/>
      <c r="DV711" s="73"/>
      <c r="DW711" s="73"/>
      <c r="DX711" s="73"/>
      <c r="DY711" s="73"/>
      <c r="DZ711" s="73"/>
      <c r="EA711" s="73"/>
      <c r="EB711" s="73"/>
      <c r="EC711" s="73"/>
      <c r="ED711" s="73"/>
      <c r="EE711" s="73"/>
      <c r="EF711" s="73"/>
      <c r="FJ711" s="73"/>
      <c r="FK711" s="73"/>
      <c r="FL711" s="73"/>
      <c r="FM711" s="73"/>
      <c r="FN711" s="73"/>
      <c r="FO711" s="73"/>
      <c r="FP711" s="73"/>
      <c r="FQ711" s="73"/>
      <c r="FR711" s="73"/>
      <c r="FS711" s="73"/>
      <c r="FT711" s="73"/>
      <c r="FU711" s="73"/>
      <c r="FV711" s="73"/>
      <c r="FW711" s="73"/>
      <c r="FX711" s="73"/>
      <c r="GO711" s="73"/>
      <c r="GP711" s="73"/>
      <c r="HE711" s="73"/>
      <c r="HU711" s="73"/>
      <c r="HV711" s="182"/>
    </row>
    <row r="712" spans="1:230" x14ac:dyDescent="0.25">
      <c r="A712" s="30"/>
      <c r="B712" s="30"/>
      <c r="C712" s="30"/>
      <c r="D712" s="30"/>
      <c r="G712" s="30"/>
      <c r="H712" s="30"/>
      <c r="I712" s="30"/>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c r="CA712" s="73"/>
      <c r="CB712" s="73"/>
      <c r="CC712" s="73"/>
      <c r="CD712" s="73"/>
      <c r="CE712" s="73"/>
      <c r="CF712" s="73"/>
      <c r="CG712" s="73"/>
      <c r="CH712" s="73"/>
      <c r="CI712" s="73"/>
      <c r="CJ712" s="73"/>
      <c r="CK712" s="73"/>
      <c r="CL712" s="73"/>
      <c r="CM712" s="73"/>
      <c r="CN712" s="73"/>
      <c r="CO712" s="73"/>
      <c r="CP712" s="73"/>
      <c r="CQ712" s="73"/>
      <c r="CR712" s="73"/>
      <c r="CS712" s="73"/>
      <c r="CT712" s="73"/>
      <c r="CU712" s="73"/>
      <c r="CV712" s="73"/>
      <c r="CW712" s="73"/>
      <c r="CX712" s="73"/>
      <c r="CY712" s="73"/>
      <c r="CZ712" s="73"/>
      <c r="DA712" s="73"/>
      <c r="DB712" s="73"/>
      <c r="DC712" s="73"/>
      <c r="DD712" s="73"/>
      <c r="DE712" s="73"/>
      <c r="DF712" s="73"/>
      <c r="DG712" s="73"/>
      <c r="DH712" s="73"/>
      <c r="DI712" s="73"/>
      <c r="DJ712" s="73"/>
      <c r="DK712" s="73"/>
      <c r="DL712" s="73"/>
      <c r="DM712" s="73"/>
      <c r="DN712" s="73"/>
      <c r="DO712" s="73"/>
      <c r="DP712" s="73"/>
      <c r="DQ712" s="73"/>
      <c r="DR712" s="73"/>
      <c r="DS712" s="73"/>
      <c r="DT712" s="73"/>
      <c r="DU712" s="73"/>
      <c r="DV712" s="73"/>
      <c r="DW712" s="73"/>
      <c r="DX712" s="73"/>
      <c r="DY712" s="73"/>
      <c r="DZ712" s="73"/>
      <c r="EA712" s="73"/>
      <c r="EB712" s="73"/>
      <c r="EC712" s="73"/>
      <c r="ED712" s="73"/>
      <c r="EE712" s="73"/>
      <c r="EF712" s="73"/>
      <c r="FJ712" s="73"/>
      <c r="FK712" s="73"/>
      <c r="FL712" s="73"/>
      <c r="FM712" s="73"/>
      <c r="FN712" s="73"/>
      <c r="FO712" s="73"/>
      <c r="FP712" s="73"/>
      <c r="FQ712" s="73"/>
      <c r="FR712" s="73"/>
      <c r="FS712" s="73"/>
      <c r="FT712" s="73"/>
      <c r="FU712" s="73"/>
      <c r="FV712" s="73"/>
      <c r="FW712" s="73"/>
      <c r="FX712" s="73"/>
      <c r="GO712" s="73"/>
      <c r="GP712" s="73"/>
      <c r="HE712" s="73"/>
      <c r="HU712" s="73"/>
      <c r="HV712" s="182"/>
    </row>
    <row r="713" spans="1:230" x14ac:dyDescent="0.25">
      <c r="A713" s="30"/>
      <c r="B713" s="30"/>
      <c r="C713" s="30"/>
      <c r="D713" s="30"/>
      <c r="G713" s="30"/>
      <c r="H713" s="30"/>
      <c r="I713" s="30"/>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c r="CA713" s="73"/>
      <c r="CB713" s="73"/>
      <c r="CC713" s="73"/>
      <c r="CD713" s="73"/>
      <c r="CE713" s="73"/>
      <c r="CF713" s="73"/>
      <c r="CG713" s="73"/>
      <c r="CH713" s="73"/>
      <c r="CI713" s="73"/>
      <c r="CJ713" s="73"/>
      <c r="CK713" s="73"/>
      <c r="CL713" s="73"/>
      <c r="CM713" s="73"/>
      <c r="CN713" s="73"/>
      <c r="CO713" s="73"/>
      <c r="CP713" s="73"/>
      <c r="CQ713" s="73"/>
      <c r="CR713" s="73"/>
      <c r="CS713" s="73"/>
      <c r="CT713" s="73"/>
      <c r="CU713" s="73"/>
      <c r="CV713" s="73"/>
      <c r="CW713" s="73"/>
      <c r="CX713" s="73"/>
      <c r="CY713" s="73"/>
      <c r="CZ713" s="73"/>
      <c r="DA713" s="73"/>
      <c r="DB713" s="73"/>
      <c r="DC713" s="73"/>
      <c r="DD713" s="73"/>
      <c r="DE713" s="73"/>
      <c r="DF713" s="73"/>
      <c r="DG713" s="73"/>
      <c r="DH713" s="73"/>
      <c r="DI713" s="73"/>
      <c r="DJ713" s="73"/>
      <c r="DK713" s="73"/>
      <c r="DL713" s="73"/>
      <c r="DM713" s="73"/>
      <c r="DN713" s="73"/>
      <c r="DO713" s="73"/>
      <c r="DP713" s="73"/>
      <c r="DQ713" s="73"/>
      <c r="DR713" s="73"/>
      <c r="DS713" s="73"/>
      <c r="DT713" s="73"/>
      <c r="DU713" s="73"/>
      <c r="DV713" s="73"/>
      <c r="DW713" s="73"/>
      <c r="DX713" s="73"/>
      <c r="DY713" s="73"/>
      <c r="DZ713" s="73"/>
      <c r="EA713" s="73"/>
      <c r="EB713" s="73"/>
      <c r="EC713" s="73"/>
      <c r="ED713" s="73"/>
      <c r="EE713" s="73"/>
      <c r="EF713" s="73"/>
      <c r="FJ713" s="73"/>
      <c r="FK713" s="73"/>
      <c r="FL713" s="73"/>
      <c r="FM713" s="73"/>
      <c r="FN713" s="73"/>
      <c r="FO713" s="73"/>
      <c r="FP713" s="73"/>
      <c r="FQ713" s="73"/>
      <c r="FR713" s="73"/>
      <c r="FS713" s="73"/>
      <c r="FT713" s="73"/>
      <c r="FU713" s="73"/>
      <c r="FV713" s="73"/>
      <c r="FW713" s="73"/>
      <c r="FX713" s="73"/>
      <c r="GO713" s="73"/>
      <c r="GP713" s="73"/>
      <c r="HE713" s="73"/>
      <c r="HU713" s="73"/>
      <c r="HV713" s="182"/>
    </row>
    <row r="714" spans="1:230" x14ac:dyDescent="0.25">
      <c r="A714" s="30"/>
      <c r="B714" s="30"/>
      <c r="C714" s="30"/>
      <c r="D714" s="30"/>
      <c r="G714" s="30"/>
      <c r="H714" s="30"/>
      <c r="I714" s="30"/>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c r="CA714" s="73"/>
      <c r="CB714" s="73"/>
      <c r="CC714" s="73"/>
      <c r="CD714" s="73"/>
      <c r="CE714" s="73"/>
      <c r="CF714" s="73"/>
      <c r="CG714" s="73"/>
      <c r="CH714" s="73"/>
      <c r="CI714" s="73"/>
      <c r="CJ714" s="73"/>
      <c r="CK714" s="73"/>
      <c r="CL714" s="73"/>
      <c r="CM714" s="73"/>
      <c r="CN714" s="73"/>
      <c r="CO714" s="73"/>
      <c r="CP714" s="73"/>
      <c r="CQ714" s="73"/>
      <c r="CR714" s="73"/>
      <c r="CS714" s="73"/>
      <c r="CT714" s="73"/>
      <c r="CU714" s="73"/>
      <c r="CV714" s="73"/>
      <c r="CW714" s="73"/>
      <c r="CX714" s="73"/>
      <c r="CY714" s="73"/>
      <c r="CZ714" s="73"/>
      <c r="DA714" s="73"/>
      <c r="DB714" s="73"/>
      <c r="DC714" s="73"/>
      <c r="DD714" s="73"/>
      <c r="DE714" s="73"/>
      <c r="DF714" s="73"/>
      <c r="DG714" s="73"/>
      <c r="DH714" s="73"/>
      <c r="DI714" s="73"/>
      <c r="DJ714" s="73"/>
      <c r="DK714" s="73"/>
      <c r="DL714" s="73"/>
      <c r="DM714" s="73"/>
      <c r="DN714" s="73"/>
      <c r="DO714" s="73"/>
      <c r="DP714" s="73"/>
      <c r="DQ714" s="73"/>
      <c r="DR714" s="73"/>
      <c r="DS714" s="73"/>
      <c r="DT714" s="73"/>
      <c r="DU714" s="73"/>
      <c r="DV714" s="73"/>
      <c r="DW714" s="73"/>
      <c r="DX714" s="73"/>
      <c r="DY714" s="73"/>
      <c r="DZ714" s="73"/>
      <c r="EA714" s="73"/>
      <c r="EB714" s="73"/>
      <c r="EC714" s="73"/>
      <c r="ED714" s="73"/>
      <c r="EE714" s="73"/>
      <c r="EF714" s="73"/>
      <c r="FJ714" s="73"/>
      <c r="FK714" s="73"/>
      <c r="FL714" s="73"/>
      <c r="FM714" s="73"/>
      <c r="FN714" s="73"/>
      <c r="FO714" s="73"/>
      <c r="FP714" s="73"/>
      <c r="FQ714" s="73"/>
      <c r="FR714" s="73"/>
      <c r="FS714" s="73"/>
      <c r="FT714" s="73"/>
      <c r="FU714" s="73"/>
      <c r="FV714" s="73"/>
      <c r="FW714" s="73"/>
      <c r="FX714" s="73"/>
      <c r="GO714" s="73"/>
      <c r="GP714" s="73"/>
      <c r="HE714" s="73"/>
      <c r="HU714" s="73"/>
      <c r="HV714" s="182"/>
    </row>
    <row r="715" spans="1:230" x14ac:dyDescent="0.25">
      <c r="A715" s="30"/>
      <c r="B715" s="30"/>
      <c r="C715" s="30"/>
      <c r="D715" s="30"/>
      <c r="G715" s="30"/>
      <c r="H715" s="30"/>
      <c r="I715" s="30"/>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c r="CA715" s="73"/>
      <c r="CB715" s="73"/>
      <c r="CC715" s="73"/>
      <c r="CD715" s="73"/>
      <c r="CE715" s="73"/>
      <c r="CF715" s="73"/>
      <c r="CG715" s="73"/>
      <c r="CH715" s="73"/>
      <c r="CI715" s="73"/>
      <c r="CJ715" s="73"/>
      <c r="CK715" s="73"/>
      <c r="CL715" s="73"/>
      <c r="CM715" s="73"/>
      <c r="CN715" s="73"/>
      <c r="CO715" s="73"/>
      <c r="CP715" s="73"/>
      <c r="CQ715" s="73"/>
      <c r="CR715" s="73"/>
      <c r="CS715" s="73"/>
      <c r="CT715" s="73"/>
      <c r="CU715" s="73"/>
      <c r="CV715" s="73"/>
      <c r="CW715" s="73"/>
      <c r="CX715" s="73"/>
      <c r="CY715" s="73"/>
      <c r="CZ715" s="73"/>
      <c r="DA715" s="73"/>
      <c r="DB715" s="73"/>
      <c r="DC715" s="73"/>
      <c r="DD715" s="73"/>
      <c r="DE715" s="73"/>
      <c r="DF715" s="73"/>
      <c r="DG715" s="73"/>
      <c r="DH715" s="73"/>
      <c r="DI715" s="73"/>
      <c r="DJ715" s="73"/>
      <c r="DK715" s="73"/>
      <c r="DL715" s="73"/>
      <c r="DM715" s="73"/>
      <c r="DN715" s="73"/>
      <c r="DO715" s="73"/>
      <c r="DP715" s="73"/>
      <c r="DQ715" s="73"/>
      <c r="DR715" s="73"/>
      <c r="DS715" s="73"/>
      <c r="DT715" s="73"/>
      <c r="DU715" s="73"/>
      <c r="DV715" s="73"/>
      <c r="DW715" s="73"/>
      <c r="DX715" s="73"/>
      <c r="DY715" s="73"/>
      <c r="DZ715" s="73"/>
      <c r="EA715" s="73"/>
      <c r="EB715" s="73"/>
      <c r="EC715" s="73"/>
      <c r="ED715" s="73"/>
      <c r="EE715" s="73"/>
      <c r="EF715" s="73"/>
      <c r="FJ715" s="73"/>
      <c r="FK715" s="73"/>
      <c r="FL715" s="73"/>
      <c r="FM715" s="73"/>
      <c r="FN715" s="73"/>
      <c r="FO715" s="73"/>
      <c r="FP715" s="73"/>
      <c r="FQ715" s="73"/>
      <c r="FR715" s="73"/>
      <c r="FS715" s="73"/>
      <c r="FT715" s="73"/>
      <c r="FU715" s="73"/>
      <c r="FV715" s="73"/>
      <c r="FW715" s="73"/>
      <c r="FX715" s="73"/>
      <c r="GO715" s="73"/>
      <c r="GP715" s="73"/>
      <c r="HE715" s="73"/>
      <c r="HU715" s="73"/>
      <c r="HV715" s="182"/>
    </row>
    <row r="716" spans="1:230" x14ac:dyDescent="0.25">
      <c r="A716" s="30"/>
      <c r="B716" s="30"/>
      <c r="C716" s="30"/>
      <c r="D716" s="30"/>
      <c r="G716" s="30"/>
      <c r="H716" s="30"/>
      <c r="I716" s="30"/>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c r="CA716" s="73"/>
      <c r="CB716" s="73"/>
      <c r="CC716" s="73"/>
      <c r="CD716" s="73"/>
      <c r="CE716" s="73"/>
      <c r="CF716" s="73"/>
      <c r="CG716" s="73"/>
      <c r="CH716" s="73"/>
      <c r="CI716" s="73"/>
      <c r="CJ716" s="73"/>
      <c r="CK716" s="73"/>
      <c r="CL716" s="73"/>
      <c r="CM716" s="73"/>
      <c r="CN716" s="73"/>
      <c r="CO716" s="73"/>
      <c r="CP716" s="73"/>
      <c r="CQ716" s="73"/>
      <c r="CR716" s="73"/>
      <c r="CS716" s="73"/>
      <c r="CT716" s="73"/>
      <c r="CU716" s="73"/>
      <c r="CV716" s="73"/>
      <c r="CW716" s="73"/>
      <c r="CX716" s="73"/>
      <c r="CY716" s="73"/>
      <c r="CZ716" s="73"/>
      <c r="DA716" s="73"/>
      <c r="DB716" s="73"/>
      <c r="DC716" s="73"/>
      <c r="DD716" s="73"/>
      <c r="DE716" s="73"/>
      <c r="DF716" s="73"/>
      <c r="DG716" s="73"/>
      <c r="DH716" s="73"/>
      <c r="DI716" s="73"/>
      <c r="DJ716" s="73"/>
      <c r="DK716" s="73"/>
      <c r="DL716" s="73"/>
      <c r="DM716" s="73"/>
      <c r="DN716" s="73"/>
      <c r="DO716" s="73"/>
      <c r="DP716" s="73"/>
      <c r="DQ716" s="73"/>
      <c r="DR716" s="73"/>
      <c r="DS716" s="73"/>
      <c r="DT716" s="73"/>
      <c r="DU716" s="73"/>
      <c r="DV716" s="73"/>
      <c r="DW716" s="73"/>
      <c r="DX716" s="73"/>
      <c r="DY716" s="73"/>
      <c r="DZ716" s="73"/>
      <c r="EA716" s="73"/>
      <c r="EB716" s="73"/>
      <c r="EC716" s="73"/>
      <c r="ED716" s="73"/>
      <c r="EE716" s="73"/>
      <c r="EF716" s="73"/>
      <c r="FJ716" s="73"/>
      <c r="FK716" s="73"/>
      <c r="FL716" s="73"/>
      <c r="FM716" s="73"/>
      <c r="FN716" s="73"/>
      <c r="FO716" s="73"/>
      <c r="FP716" s="73"/>
      <c r="FQ716" s="73"/>
      <c r="FR716" s="73"/>
      <c r="FS716" s="73"/>
      <c r="FT716" s="73"/>
      <c r="FU716" s="73"/>
      <c r="FV716" s="73"/>
      <c r="FW716" s="73"/>
      <c r="FX716" s="73"/>
      <c r="GO716" s="73"/>
      <c r="GP716" s="73"/>
      <c r="HE716" s="73"/>
      <c r="HU716" s="73"/>
      <c r="HV716" s="182"/>
    </row>
    <row r="717" spans="1:230" x14ac:dyDescent="0.25">
      <c r="A717" s="30"/>
      <c r="B717" s="30"/>
      <c r="C717" s="30"/>
      <c r="D717" s="30"/>
      <c r="G717" s="30"/>
      <c r="H717" s="30"/>
      <c r="I717" s="30"/>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c r="CA717" s="73"/>
      <c r="CB717" s="73"/>
      <c r="CC717" s="73"/>
      <c r="CD717" s="73"/>
      <c r="CE717" s="73"/>
      <c r="CF717" s="73"/>
      <c r="CG717" s="73"/>
      <c r="CH717" s="73"/>
      <c r="CI717" s="73"/>
      <c r="CJ717" s="73"/>
      <c r="CK717" s="73"/>
      <c r="CL717" s="73"/>
      <c r="CM717" s="73"/>
      <c r="CN717" s="73"/>
      <c r="CO717" s="73"/>
      <c r="CP717" s="73"/>
      <c r="CQ717" s="73"/>
      <c r="CR717" s="73"/>
      <c r="CS717" s="73"/>
      <c r="CT717" s="73"/>
      <c r="CU717" s="73"/>
      <c r="CV717" s="73"/>
      <c r="CW717" s="73"/>
      <c r="CX717" s="73"/>
      <c r="CY717" s="73"/>
      <c r="CZ717" s="73"/>
      <c r="DA717" s="73"/>
      <c r="DB717" s="73"/>
      <c r="DC717" s="73"/>
      <c r="DD717" s="73"/>
      <c r="DE717" s="73"/>
      <c r="DF717" s="73"/>
      <c r="DG717" s="73"/>
      <c r="DH717" s="73"/>
      <c r="DI717" s="73"/>
      <c r="DJ717" s="73"/>
      <c r="DK717" s="73"/>
      <c r="DL717" s="73"/>
      <c r="DM717" s="73"/>
      <c r="DN717" s="73"/>
      <c r="DO717" s="73"/>
      <c r="DP717" s="73"/>
      <c r="DQ717" s="73"/>
      <c r="DR717" s="73"/>
      <c r="DS717" s="73"/>
      <c r="DT717" s="73"/>
      <c r="DU717" s="73"/>
      <c r="DV717" s="73"/>
      <c r="DW717" s="73"/>
      <c r="DX717" s="73"/>
      <c r="DY717" s="73"/>
      <c r="DZ717" s="73"/>
      <c r="EA717" s="73"/>
      <c r="EB717" s="73"/>
      <c r="EC717" s="73"/>
      <c r="ED717" s="73"/>
      <c r="EE717" s="73"/>
      <c r="EF717" s="73"/>
      <c r="FJ717" s="73"/>
      <c r="FK717" s="73"/>
      <c r="FL717" s="73"/>
      <c r="FM717" s="73"/>
      <c r="FN717" s="73"/>
      <c r="FO717" s="73"/>
      <c r="FP717" s="73"/>
      <c r="FQ717" s="73"/>
      <c r="FR717" s="73"/>
      <c r="FS717" s="73"/>
      <c r="FT717" s="73"/>
      <c r="FU717" s="73"/>
      <c r="FV717" s="73"/>
      <c r="FW717" s="73"/>
      <c r="FX717" s="73"/>
      <c r="GO717" s="73"/>
      <c r="GP717" s="73"/>
      <c r="HE717" s="73"/>
      <c r="HU717" s="73"/>
      <c r="HV717" s="182"/>
    </row>
    <row r="718" spans="1:230" x14ac:dyDescent="0.25">
      <c r="A718" s="30"/>
      <c r="B718" s="30"/>
      <c r="C718" s="30"/>
      <c r="D718" s="30"/>
      <c r="G718" s="30"/>
      <c r="H718" s="30"/>
      <c r="I718" s="30"/>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c r="CA718" s="73"/>
      <c r="CB718" s="73"/>
      <c r="CC718" s="73"/>
      <c r="CD718" s="73"/>
      <c r="CE718" s="73"/>
      <c r="CF718" s="73"/>
      <c r="CG718" s="73"/>
      <c r="CH718" s="73"/>
      <c r="CI718" s="73"/>
      <c r="CJ718" s="73"/>
      <c r="CK718" s="73"/>
      <c r="CL718" s="73"/>
      <c r="CM718" s="73"/>
      <c r="CN718" s="73"/>
      <c r="CO718" s="73"/>
      <c r="CP718" s="73"/>
      <c r="CQ718" s="73"/>
      <c r="CR718" s="73"/>
      <c r="CS718" s="73"/>
      <c r="CT718" s="73"/>
      <c r="CU718" s="73"/>
      <c r="CV718" s="73"/>
      <c r="CW718" s="73"/>
      <c r="CX718" s="73"/>
      <c r="CY718" s="73"/>
      <c r="CZ718" s="73"/>
      <c r="DA718" s="73"/>
      <c r="DB718" s="73"/>
      <c r="DC718" s="73"/>
      <c r="DD718" s="73"/>
      <c r="DE718" s="73"/>
      <c r="DF718" s="73"/>
      <c r="DG718" s="73"/>
      <c r="DH718" s="73"/>
      <c r="DI718" s="73"/>
      <c r="DJ718" s="73"/>
      <c r="DK718" s="73"/>
      <c r="DL718" s="73"/>
      <c r="DM718" s="73"/>
      <c r="DN718" s="73"/>
      <c r="DO718" s="73"/>
      <c r="DP718" s="73"/>
      <c r="DQ718" s="73"/>
      <c r="DR718" s="73"/>
      <c r="DS718" s="73"/>
      <c r="DT718" s="73"/>
      <c r="DU718" s="73"/>
      <c r="DV718" s="73"/>
      <c r="DW718" s="73"/>
      <c r="DX718" s="73"/>
      <c r="DY718" s="73"/>
      <c r="DZ718" s="73"/>
      <c r="EA718" s="73"/>
      <c r="EB718" s="73"/>
      <c r="EC718" s="73"/>
      <c r="ED718" s="73"/>
      <c r="EE718" s="73"/>
      <c r="EF718" s="73"/>
      <c r="FJ718" s="73"/>
      <c r="FK718" s="73"/>
      <c r="FL718" s="73"/>
      <c r="FM718" s="73"/>
      <c r="FN718" s="73"/>
      <c r="FO718" s="73"/>
      <c r="FP718" s="73"/>
      <c r="FQ718" s="73"/>
      <c r="FR718" s="73"/>
      <c r="FS718" s="73"/>
      <c r="FT718" s="73"/>
      <c r="FU718" s="73"/>
      <c r="FV718" s="73"/>
      <c r="FW718" s="73"/>
      <c r="FX718" s="73"/>
      <c r="GO718" s="73"/>
      <c r="GP718" s="73"/>
      <c r="HE718" s="73"/>
      <c r="HU718" s="73"/>
      <c r="HV718" s="182"/>
    </row>
    <row r="719" spans="1:230" x14ac:dyDescent="0.25">
      <c r="A719" s="30"/>
      <c r="B719" s="30"/>
      <c r="C719" s="30"/>
      <c r="D719" s="30"/>
      <c r="G719" s="30"/>
      <c r="H719" s="30"/>
      <c r="I719" s="30"/>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c r="CA719" s="73"/>
      <c r="CB719" s="73"/>
      <c r="CC719" s="73"/>
      <c r="CD719" s="73"/>
      <c r="CE719" s="73"/>
      <c r="CF719" s="73"/>
      <c r="CG719" s="73"/>
      <c r="CH719" s="73"/>
      <c r="CI719" s="73"/>
      <c r="CJ719" s="73"/>
      <c r="CK719" s="73"/>
      <c r="CL719" s="73"/>
      <c r="CM719" s="73"/>
      <c r="CN719" s="73"/>
      <c r="CO719" s="73"/>
      <c r="CP719" s="73"/>
      <c r="CQ719" s="73"/>
      <c r="CR719" s="73"/>
      <c r="CS719" s="73"/>
      <c r="CT719" s="73"/>
      <c r="CU719" s="73"/>
      <c r="CV719" s="73"/>
      <c r="CW719" s="73"/>
      <c r="CX719" s="73"/>
      <c r="CY719" s="73"/>
      <c r="CZ719" s="73"/>
      <c r="DA719" s="73"/>
      <c r="DB719" s="73"/>
      <c r="DC719" s="73"/>
      <c r="DD719" s="73"/>
      <c r="DE719" s="73"/>
      <c r="DF719" s="73"/>
      <c r="DG719" s="73"/>
      <c r="DH719" s="73"/>
      <c r="DI719" s="73"/>
      <c r="DJ719" s="73"/>
      <c r="DK719" s="73"/>
      <c r="DL719" s="73"/>
      <c r="DM719" s="73"/>
      <c r="DN719" s="73"/>
      <c r="DO719" s="73"/>
      <c r="DP719" s="73"/>
      <c r="DQ719" s="73"/>
      <c r="DR719" s="73"/>
      <c r="DS719" s="73"/>
      <c r="DT719" s="73"/>
      <c r="DU719" s="73"/>
      <c r="DV719" s="73"/>
      <c r="DW719" s="73"/>
      <c r="DX719" s="73"/>
      <c r="DY719" s="73"/>
      <c r="DZ719" s="73"/>
      <c r="EA719" s="73"/>
      <c r="EB719" s="73"/>
      <c r="EC719" s="73"/>
      <c r="ED719" s="73"/>
      <c r="EE719" s="73"/>
      <c r="EF719" s="73"/>
      <c r="FJ719" s="73"/>
      <c r="FK719" s="73"/>
      <c r="FL719" s="73"/>
      <c r="FM719" s="73"/>
      <c r="FN719" s="73"/>
      <c r="FO719" s="73"/>
      <c r="FP719" s="73"/>
      <c r="FQ719" s="73"/>
      <c r="FR719" s="73"/>
      <c r="FS719" s="73"/>
      <c r="FT719" s="73"/>
      <c r="FU719" s="73"/>
      <c r="FV719" s="73"/>
      <c r="FW719" s="73"/>
      <c r="FX719" s="73"/>
      <c r="GO719" s="73"/>
      <c r="GP719" s="73"/>
      <c r="HE719" s="73"/>
      <c r="HU719" s="73"/>
      <c r="HV719" s="182"/>
    </row>
    <row r="720" spans="1:230" x14ac:dyDescent="0.25">
      <c r="A720" s="30"/>
      <c r="B720" s="30"/>
      <c r="C720" s="30"/>
      <c r="D720" s="30"/>
      <c r="G720" s="30"/>
      <c r="H720" s="30"/>
      <c r="I720" s="30"/>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c r="CA720" s="73"/>
      <c r="CB720" s="73"/>
      <c r="CC720" s="73"/>
      <c r="CD720" s="73"/>
      <c r="CE720" s="73"/>
      <c r="CF720" s="73"/>
      <c r="CG720" s="73"/>
      <c r="CH720" s="73"/>
      <c r="CI720" s="73"/>
      <c r="CJ720" s="73"/>
      <c r="CK720" s="73"/>
      <c r="CL720" s="73"/>
      <c r="CM720" s="73"/>
      <c r="CN720" s="73"/>
      <c r="CO720" s="73"/>
      <c r="CP720" s="73"/>
      <c r="CQ720" s="73"/>
      <c r="CR720" s="73"/>
      <c r="CS720" s="73"/>
      <c r="CT720" s="73"/>
      <c r="CU720" s="73"/>
      <c r="CV720" s="73"/>
      <c r="CW720" s="73"/>
      <c r="CX720" s="73"/>
      <c r="CY720" s="73"/>
      <c r="CZ720" s="73"/>
      <c r="DA720" s="73"/>
      <c r="DB720" s="73"/>
      <c r="DC720" s="73"/>
      <c r="DD720" s="73"/>
      <c r="DE720" s="73"/>
      <c r="DF720" s="73"/>
      <c r="DG720" s="73"/>
      <c r="DH720" s="73"/>
      <c r="DI720" s="73"/>
      <c r="DJ720" s="73"/>
      <c r="DK720" s="73"/>
      <c r="DL720" s="73"/>
      <c r="DM720" s="73"/>
      <c r="DN720" s="73"/>
      <c r="DO720" s="73"/>
      <c r="DP720" s="73"/>
      <c r="DQ720" s="73"/>
      <c r="DR720" s="73"/>
      <c r="DS720" s="73"/>
      <c r="DT720" s="73"/>
      <c r="DU720" s="73"/>
      <c r="DV720" s="73"/>
      <c r="DW720" s="73"/>
      <c r="DX720" s="73"/>
      <c r="DY720" s="73"/>
      <c r="DZ720" s="73"/>
      <c r="EA720" s="73"/>
      <c r="EB720" s="73"/>
      <c r="EC720" s="73"/>
      <c r="ED720" s="73"/>
      <c r="EE720" s="73"/>
      <c r="EF720" s="73"/>
      <c r="FJ720" s="73"/>
      <c r="FK720" s="73"/>
      <c r="FL720" s="73"/>
      <c r="FM720" s="73"/>
      <c r="FN720" s="73"/>
      <c r="FO720" s="73"/>
      <c r="FP720" s="73"/>
      <c r="FQ720" s="73"/>
      <c r="FR720" s="73"/>
      <c r="FS720" s="73"/>
      <c r="FT720" s="73"/>
      <c r="FU720" s="73"/>
      <c r="FV720" s="73"/>
      <c r="FW720" s="73"/>
      <c r="FX720" s="73"/>
      <c r="GO720" s="73"/>
      <c r="GP720" s="73"/>
      <c r="HE720" s="73"/>
      <c r="HU720" s="73"/>
      <c r="HV720" s="182"/>
    </row>
    <row r="721" spans="1:230" x14ac:dyDescent="0.25">
      <c r="A721" s="30"/>
      <c r="B721" s="30"/>
      <c r="C721" s="30"/>
      <c r="D721" s="30"/>
      <c r="G721" s="30"/>
      <c r="H721" s="30"/>
      <c r="I721" s="30"/>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c r="CA721" s="73"/>
      <c r="CB721" s="73"/>
      <c r="CC721" s="73"/>
      <c r="CD721" s="73"/>
      <c r="CE721" s="73"/>
      <c r="CF721" s="73"/>
      <c r="CG721" s="73"/>
      <c r="CH721" s="73"/>
      <c r="CI721" s="73"/>
      <c r="CJ721" s="73"/>
      <c r="CK721" s="73"/>
      <c r="CL721" s="73"/>
      <c r="CM721" s="73"/>
      <c r="CN721" s="73"/>
      <c r="CO721" s="73"/>
      <c r="CP721" s="73"/>
      <c r="CQ721" s="73"/>
      <c r="CR721" s="73"/>
      <c r="CS721" s="73"/>
      <c r="CT721" s="73"/>
      <c r="CU721" s="73"/>
      <c r="CV721" s="73"/>
      <c r="CW721" s="73"/>
      <c r="CX721" s="73"/>
      <c r="CY721" s="73"/>
      <c r="CZ721" s="73"/>
      <c r="DA721" s="73"/>
      <c r="DB721" s="73"/>
      <c r="DC721" s="73"/>
      <c r="DD721" s="73"/>
      <c r="DE721" s="73"/>
      <c r="DF721" s="73"/>
      <c r="DG721" s="73"/>
      <c r="DH721" s="73"/>
      <c r="DI721" s="73"/>
      <c r="DJ721" s="73"/>
      <c r="DK721" s="73"/>
      <c r="DL721" s="73"/>
      <c r="DM721" s="73"/>
      <c r="DN721" s="73"/>
      <c r="DO721" s="73"/>
      <c r="DP721" s="73"/>
      <c r="DQ721" s="73"/>
      <c r="DR721" s="73"/>
      <c r="DS721" s="73"/>
      <c r="DT721" s="73"/>
      <c r="DU721" s="73"/>
      <c r="DV721" s="73"/>
      <c r="DW721" s="73"/>
      <c r="DX721" s="73"/>
      <c r="DY721" s="73"/>
      <c r="DZ721" s="73"/>
      <c r="EA721" s="73"/>
      <c r="EB721" s="73"/>
      <c r="EC721" s="73"/>
      <c r="ED721" s="73"/>
      <c r="EE721" s="73"/>
      <c r="EF721" s="73"/>
      <c r="FJ721" s="73"/>
      <c r="FK721" s="73"/>
      <c r="FL721" s="73"/>
      <c r="FM721" s="73"/>
      <c r="FN721" s="73"/>
      <c r="FO721" s="73"/>
      <c r="FP721" s="73"/>
      <c r="FQ721" s="73"/>
      <c r="FR721" s="73"/>
      <c r="FS721" s="73"/>
      <c r="FT721" s="73"/>
      <c r="FU721" s="73"/>
      <c r="FV721" s="73"/>
      <c r="FW721" s="73"/>
      <c r="FX721" s="73"/>
      <c r="GO721" s="73"/>
      <c r="GP721" s="73"/>
      <c r="HE721" s="73"/>
      <c r="HU721" s="73"/>
      <c r="HV721" s="182"/>
    </row>
    <row r="722" spans="1:230" x14ac:dyDescent="0.25">
      <c r="A722" s="30"/>
      <c r="B722" s="30"/>
      <c r="C722" s="30"/>
      <c r="D722" s="30"/>
      <c r="G722" s="30"/>
      <c r="H722" s="30"/>
      <c r="I722" s="30"/>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3"/>
      <c r="CK722" s="73"/>
      <c r="CL722" s="73"/>
      <c r="CM722" s="73"/>
      <c r="CN722" s="73"/>
      <c r="CO722" s="73"/>
      <c r="CP722" s="73"/>
      <c r="CQ722" s="73"/>
      <c r="CR722" s="73"/>
      <c r="CS722" s="73"/>
      <c r="CT722" s="73"/>
      <c r="CU722" s="73"/>
      <c r="CV722" s="73"/>
      <c r="CW722" s="73"/>
      <c r="CX722" s="73"/>
      <c r="CY722" s="73"/>
      <c r="CZ722" s="73"/>
      <c r="DA722" s="73"/>
      <c r="DB722" s="73"/>
      <c r="DC722" s="73"/>
      <c r="DD722" s="73"/>
      <c r="DE722" s="73"/>
      <c r="DF722" s="73"/>
      <c r="DG722" s="73"/>
      <c r="DH722" s="73"/>
      <c r="DI722" s="73"/>
      <c r="DJ722" s="73"/>
      <c r="DK722" s="73"/>
      <c r="DL722" s="73"/>
      <c r="DM722" s="73"/>
      <c r="DN722" s="73"/>
      <c r="DO722" s="73"/>
      <c r="DP722" s="73"/>
      <c r="DQ722" s="73"/>
      <c r="DR722" s="73"/>
      <c r="DS722" s="73"/>
      <c r="DT722" s="73"/>
      <c r="DU722" s="73"/>
      <c r="DV722" s="73"/>
      <c r="DW722" s="73"/>
      <c r="DX722" s="73"/>
      <c r="DY722" s="73"/>
      <c r="DZ722" s="73"/>
      <c r="EA722" s="73"/>
      <c r="EB722" s="73"/>
      <c r="EC722" s="73"/>
      <c r="ED722" s="73"/>
      <c r="EE722" s="73"/>
      <c r="EF722" s="73"/>
      <c r="FJ722" s="73"/>
      <c r="FK722" s="73"/>
      <c r="FL722" s="73"/>
      <c r="FM722" s="73"/>
      <c r="FN722" s="73"/>
      <c r="FO722" s="73"/>
      <c r="FP722" s="73"/>
      <c r="FQ722" s="73"/>
      <c r="FR722" s="73"/>
      <c r="FS722" s="73"/>
      <c r="FT722" s="73"/>
      <c r="FU722" s="73"/>
      <c r="FV722" s="73"/>
      <c r="FW722" s="73"/>
      <c r="FX722" s="73"/>
      <c r="GO722" s="73"/>
      <c r="GP722" s="73"/>
      <c r="HE722" s="73"/>
      <c r="HU722" s="73"/>
      <c r="HV722" s="182"/>
    </row>
    <row r="723" spans="1:230" x14ac:dyDescent="0.25">
      <c r="A723" s="30"/>
      <c r="B723" s="30"/>
      <c r="C723" s="30"/>
      <c r="D723" s="30"/>
      <c r="G723" s="30"/>
      <c r="H723" s="30"/>
      <c r="I723" s="30"/>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c r="CA723" s="73"/>
      <c r="CB723" s="73"/>
      <c r="CC723" s="73"/>
      <c r="CD723" s="73"/>
      <c r="CE723" s="73"/>
      <c r="CF723" s="73"/>
      <c r="CG723" s="73"/>
      <c r="CH723" s="73"/>
      <c r="CI723" s="73"/>
      <c r="CJ723" s="73"/>
      <c r="CK723" s="73"/>
      <c r="CL723" s="73"/>
      <c r="CM723" s="73"/>
      <c r="CN723" s="73"/>
      <c r="CO723" s="73"/>
      <c r="CP723" s="73"/>
      <c r="CQ723" s="73"/>
      <c r="CR723" s="73"/>
      <c r="CS723" s="73"/>
      <c r="CT723" s="73"/>
      <c r="CU723" s="73"/>
      <c r="CV723" s="73"/>
      <c r="CW723" s="73"/>
      <c r="CX723" s="73"/>
      <c r="CY723" s="73"/>
      <c r="CZ723" s="73"/>
      <c r="DA723" s="73"/>
      <c r="DB723" s="73"/>
      <c r="DC723" s="73"/>
      <c r="DD723" s="73"/>
      <c r="DE723" s="73"/>
      <c r="DF723" s="73"/>
      <c r="DG723" s="73"/>
      <c r="DH723" s="73"/>
      <c r="DI723" s="73"/>
      <c r="DJ723" s="73"/>
      <c r="DK723" s="73"/>
      <c r="DL723" s="73"/>
      <c r="DM723" s="73"/>
      <c r="DN723" s="73"/>
      <c r="DO723" s="73"/>
      <c r="DP723" s="73"/>
      <c r="DQ723" s="73"/>
      <c r="DR723" s="73"/>
      <c r="DS723" s="73"/>
      <c r="DT723" s="73"/>
      <c r="DU723" s="73"/>
      <c r="DV723" s="73"/>
      <c r="DW723" s="73"/>
      <c r="DX723" s="73"/>
      <c r="DY723" s="73"/>
      <c r="DZ723" s="73"/>
      <c r="EA723" s="73"/>
      <c r="EB723" s="73"/>
      <c r="EC723" s="73"/>
      <c r="ED723" s="73"/>
      <c r="EE723" s="73"/>
      <c r="EF723" s="73"/>
      <c r="FJ723" s="73"/>
      <c r="FK723" s="73"/>
      <c r="FL723" s="73"/>
      <c r="FM723" s="73"/>
      <c r="FN723" s="73"/>
      <c r="FO723" s="73"/>
      <c r="FP723" s="73"/>
      <c r="FQ723" s="73"/>
      <c r="FR723" s="73"/>
      <c r="FS723" s="73"/>
      <c r="FT723" s="73"/>
      <c r="FU723" s="73"/>
      <c r="FV723" s="73"/>
      <c r="FW723" s="73"/>
      <c r="FX723" s="73"/>
      <c r="GO723" s="73"/>
      <c r="GP723" s="73"/>
      <c r="HE723" s="73"/>
      <c r="HU723" s="73"/>
      <c r="HV723" s="182"/>
    </row>
    <row r="724" spans="1:230" x14ac:dyDescent="0.25">
      <c r="A724" s="30"/>
      <c r="B724" s="30"/>
      <c r="C724" s="30"/>
      <c r="D724" s="30"/>
      <c r="G724" s="30"/>
      <c r="H724" s="30"/>
      <c r="I724" s="30"/>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3"/>
      <c r="CK724" s="73"/>
      <c r="CL724" s="73"/>
      <c r="CM724" s="73"/>
      <c r="CN724" s="73"/>
      <c r="CO724" s="73"/>
      <c r="CP724" s="73"/>
      <c r="CQ724" s="73"/>
      <c r="CR724" s="73"/>
      <c r="CS724" s="73"/>
      <c r="CT724" s="73"/>
      <c r="CU724" s="73"/>
      <c r="CV724" s="73"/>
      <c r="CW724" s="73"/>
      <c r="CX724" s="73"/>
      <c r="CY724" s="73"/>
      <c r="CZ724" s="73"/>
      <c r="DA724" s="73"/>
      <c r="DB724" s="73"/>
      <c r="DC724" s="73"/>
      <c r="DD724" s="73"/>
      <c r="DE724" s="73"/>
      <c r="DF724" s="73"/>
      <c r="DG724" s="73"/>
      <c r="DH724" s="73"/>
      <c r="DI724" s="73"/>
      <c r="DJ724" s="73"/>
      <c r="DK724" s="73"/>
      <c r="DL724" s="73"/>
      <c r="DM724" s="73"/>
      <c r="DN724" s="73"/>
      <c r="DO724" s="73"/>
      <c r="DP724" s="73"/>
      <c r="DQ724" s="73"/>
      <c r="DR724" s="73"/>
      <c r="DS724" s="73"/>
      <c r="DT724" s="73"/>
      <c r="DU724" s="73"/>
      <c r="DV724" s="73"/>
      <c r="DW724" s="73"/>
      <c r="DX724" s="73"/>
      <c r="DY724" s="73"/>
      <c r="DZ724" s="73"/>
      <c r="EA724" s="73"/>
      <c r="EB724" s="73"/>
      <c r="EC724" s="73"/>
      <c r="ED724" s="73"/>
      <c r="EE724" s="73"/>
      <c r="EF724" s="73"/>
      <c r="FJ724" s="73"/>
      <c r="FK724" s="73"/>
      <c r="FL724" s="73"/>
      <c r="FM724" s="73"/>
      <c r="FN724" s="73"/>
      <c r="FO724" s="73"/>
      <c r="FP724" s="73"/>
      <c r="FQ724" s="73"/>
      <c r="FR724" s="73"/>
      <c r="FS724" s="73"/>
      <c r="FT724" s="73"/>
      <c r="FU724" s="73"/>
      <c r="FV724" s="73"/>
      <c r="FW724" s="73"/>
      <c r="FX724" s="73"/>
      <c r="GO724" s="73"/>
      <c r="GP724" s="73"/>
      <c r="HE724" s="73"/>
      <c r="HU724" s="73"/>
      <c r="HV724" s="182"/>
    </row>
    <row r="725" spans="1:230" x14ac:dyDescent="0.25">
      <c r="A725" s="30"/>
      <c r="B725" s="30"/>
      <c r="C725" s="30"/>
      <c r="D725" s="30"/>
      <c r="G725" s="30"/>
      <c r="H725" s="30"/>
      <c r="I725" s="30"/>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c r="CA725" s="73"/>
      <c r="CB725" s="73"/>
      <c r="CC725" s="73"/>
      <c r="CD725" s="73"/>
      <c r="CE725" s="73"/>
      <c r="CF725" s="73"/>
      <c r="CG725" s="73"/>
      <c r="CH725" s="73"/>
      <c r="CI725" s="73"/>
      <c r="CJ725" s="73"/>
      <c r="CK725" s="73"/>
      <c r="CL725" s="73"/>
      <c r="CM725" s="73"/>
      <c r="CN725" s="73"/>
      <c r="CO725" s="73"/>
      <c r="CP725" s="73"/>
      <c r="CQ725" s="73"/>
      <c r="CR725" s="73"/>
      <c r="CS725" s="73"/>
      <c r="CT725" s="73"/>
      <c r="CU725" s="73"/>
      <c r="CV725" s="73"/>
      <c r="CW725" s="73"/>
      <c r="CX725" s="73"/>
      <c r="CY725" s="73"/>
      <c r="CZ725" s="73"/>
      <c r="DA725" s="73"/>
      <c r="DB725" s="73"/>
      <c r="DC725" s="73"/>
      <c r="DD725" s="73"/>
      <c r="DE725" s="73"/>
      <c r="DF725" s="73"/>
      <c r="DG725" s="73"/>
      <c r="DH725" s="73"/>
      <c r="DI725" s="73"/>
      <c r="DJ725" s="73"/>
      <c r="DK725" s="73"/>
      <c r="DL725" s="73"/>
      <c r="DM725" s="73"/>
      <c r="DN725" s="73"/>
      <c r="DO725" s="73"/>
      <c r="DP725" s="73"/>
      <c r="DQ725" s="73"/>
      <c r="DR725" s="73"/>
      <c r="DS725" s="73"/>
      <c r="DT725" s="73"/>
      <c r="DU725" s="73"/>
      <c r="DV725" s="73"/>
      <c r="DW725" s="73"/>
      <c r="DX725" s="73"/>
      <c r="DY725" s="73"/>
      <c r="DZ725" s="73"/>
      <c r="EA725" s="73"/>
      <c r="EB725" s="73"/>
      <c r="EC725" s="73"/>
      <c r="ED725" s="73"/>
      <c r="EE725" s="73"/>
      <c r="EF725" s="73"/>
      <c r="FJ725" s="73"/>
      <c r="FK725" s="73"/>
      <c r="FL725" s="73"/>
      <c r="FM725" s="73"/>
      <c r="FN725" s="73"/>
      <c r="FO725" s="73"/>
      <c r="FP725" s="73"/>
      <c r="FQ725" s="73"/>
      <c r="FR725" s="73"/>
      <c r="FS725" s="73"/>
      <c r="FT725" s="73"/>
      <c r="FU725" s="73"/>
      <c r="FV725" s="73"/>
      <c r="FW725" s="73"/>
      <c r="FX725" s="73"/>
      <c r="GO725" s="73"/>
      <c r="GP725" s="73"/>
      <c r="HE725" s="73"/>
      <c r="HU725" s="73"/>
      <c r="HV725" s="182"/>
    </row>
    <row r="726" spans="1:230" x14ac:dyDescent="0.25">
      <c r="A726" s="30"/>
      <c r="B726" s="30"/>
      <c r="C726" s="30"/>
      <c r="D726" s="30"/>
      <c r="G726" s="30"/>
      <c r="H726" s="30"/>
      <c r="I726" s="30"/>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c r="CA726" s="73"/>
      <c r="CB726" s="73"/>
      <c r="CC726" s="73"/>
      <c r="CD726" s="73"/>
      <c r="CE726" s="73"/>
      <c r="CF726" s="73"/>
      <c r="CG726" s="73"/>
      <c r="CH726" s="73"/>
      <c r="CI726" s="73"/>
      <c r="CJ726" s="73"/>
      <c r="CK726" s="73"/>
      <c r="CL726" s="73"/>
      <c r="CM726" s="73"/>
      <c r="CN726" s="73"/>
      <c r="CO726" s="73"/>
      <c r="CP726" s="73"/>
      <c r="CQ726" s="73"/>
      <c r="CR726" s="73"/>
      <c r="CS726" s="73"/>
      <c r="CT726" s="73"/>
      <c r="CU726" s="73"/>
      <c r="CV726" s="73"/>
      <c r="CW726" s="73"/>
      <c r="CX726" s="73"/>
      <c r="CY726" s="73"/>
      <c r="CZ726" s="73"/>
      <c r="DA726" s="73"/>
      <c r="DB726" s="73"/>
      <c r="DC726" s="73"/>
      <c r="DD726" s="73"/>
      <c r="DE726" s="73"/>
      <c r="DF726" s="73"/>
      <c r="DG726" s="73"/>
      <c r="DH726" s="73"/>
      <c r="DI726" s="73"/>
      <c r="DJ726" s="73"/>
      <c r="DK726" s="73"/>
      <c r="DL726" s="73"/>
      <c r="DM726" s="73"/>
      <c r="DN726" s="73"/>
      <c r="DO726" s="73"/>
      <c r="DP726" s="73"/>
      <c r="DQ726" s="73"/>
      <c r="DR726" s="73"/>
      <c r="DS726" s="73"/>
      <c r="DT726" s="73"/>
      <c r="DU726" s="73"/>
      <c r="DV726" s="73"/>
      <c r="DW726" s="73"/>
      <c r="DX726" s="73"/>
      <c r="DY726" s="73"/>
      <c r="DZ726" s="73"/>
      <c r="EA726" s="73"/>
      <c r="EB726" s="73"/>
      <c r="EC726" s="73"/>
      <c r="ED726" s="73"/>
      <c r="EE726" s="73"/>
      <c r="EF726" s="73"/>
      <c r="FJ726" s="73"/>
      <c r="FK726" s="73"/>
      <c r="FL726" s="73"/>
      <c r="FM726" s="73"/>
      <c r="FN726" s="73"/>
      <c r="FO726" s="73"/>
      <c r="FP726" s="73"/>
      <c r="FQ726" s="73"/>
      <c r="FR726" s="73"/>
      <c r="FS726" s="73"/>
      <c r="FT726" s="73"/>
      <c r="FU726" s="73"/>
      <c r="FV726" s="73"/>
      <c r="FW726" s="73"/>
      <c r="FX726" s="73"/>
      <c r="GO726" s="73"/>
      <c r="GP726" s="73"/>
      <c r="HE726" s="73"/>
      <c r="HU726" s="73"/>
      <c r="HV726" s="182"/>
    </row>
    <row r="727" spans="1:230" x14ac:dyDescent="0.25">
      <c r="A727" s="30"/>
      <c r="B727" s="30"/>
      <c r="C727" s="30"/>
      <c r="D727" s="30"/>
      <c r="G727" s="30"/>
      <c r="H727" s="30"/>
      <c r="I727" s="30"/>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c r="CA727" s="73"/>
      <c r="CB727" s="73"/>
      <c r="CC727" s="73"/>
      <c r="CD727" s="73"/>
      <c r="CE727" s="73"/>
      <c r="CF727" s="73"/>
      <c r="CG727" s="73"/>
      <c r="CH727" s="73"/>
      <c r="CI727" s="73"/>
      <c r="CJ727" s="73"/>
      <c r="CK727" s="73"/>
      <c r="CL727" s="73"/>
      <c r="CM727" s="73"/>
      <c r="CN727" s="73"/>
      <c r="CO727" s="73"/>
      <c r="CP727" s="73"/>
      <c r="CQ727" s="73"/>
      <c r="CR727" s="73"/>
      <c r="CS727" s="73"/>
      <c r="CT727" s="73"/>
      <c r="CU727" s="73"/>
      <c r="CV727" s="73"/>
      <c r="CW727" s="73"/>
      <c r="CX727" s="73"/>
      <c r="CY727" s="73"/>
      <c r="CZ727" s="73"/>
      <c r="DA727" s="73"/>
      <c r="DB727" s="73"/>
      <c r="DC727" s="73"/>
      <c r="DD727" s="73"/>
      <c r="DE727" s="73"/>
      <c r="DF727" s="73"/>
      <c r="DG727" s="73"/>
      <c r="DH727" s="73"/>
      <c r="DI727" s="73"/>
      <c r="DJ727" s="73"/>
      <c r="DK727" s="73"/>
      <c r="DL727" s="73"/>
      <c r="DM727" s="73"/>
      <c r="DN727" s="73"/>
      <c r="DO727" s="73"/>
      <c r="DP727" s="73"/>
      <c r="DQ727" s="73"/>
      <c r="DR727" s="73"/>
      <c r="DS727" s="73"/>
      <c r="DT727" s="73"/>
      <c r="DU727" s="73"/>
      <c r="DV727" s="73"/>
      <c r="DW727" s="73"/>
      <c r="DX727" s="73"/>
      <c r="DY727" s="73"/>
      <c r="DZ727" s="73"/>
      <c r="EA727" s="73"/>
      <c r="EB727" s="73"/>
      <c r="EC727" s="73"/>
      <c r="ED727" s="73"/>
      <c r="EE727" s="73"/>
      <c r="EF727" s="73"/>
      <c r="FJ727" s="73"/>
      <c r="FK727" s="73"/>
      <c r="FL727" s="73"/>
      <c r="FM727" s="73"/>
      <c r="FN727" s="73"/>
      <c r="FO727" s="73"/>
      <c r="FP727" s="73"/>
      <c r="FQ727" s="73"/>
      <c r="FR727" s="73"/>
      <c r="FS727" s="73"/>
      <c r="FT727" s="73"/>
      <c r="FU727" s="73"/>
      <c r="FV727" s="73"/>
      <c r="FW727" s="73"/>
      <c r="FX727" s="73"/>
      <c r="GO727" s="73"/>
      <c r="GP727" s="73"/>
      <c r="HE727" s="73"/>
      <c r="HU727" s="73"/>
      <c r="HV727" s="182"/>
    </row>
    <row r="728" spans="1:230" x14ac:dyDescent="0.25">
      <c r="A728" s="30"/>
      <c r="B728" s="30"/>
      <c r="C728" s="30"/>
      <c r="D728" s="30"/>
      <c r="G728" s="30"/>
      <c r="H728" s="30"/>
      <c r="I728" s="30"/>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c r="CA728" s="73"/>
      <c r="CB728" s="73"/>
      <c r="CC728" s="73"/>
      <c r="CD728" s="73"/>
      <c r="CE728" s="73"/>
      <c r="CF728" s="73"/>
      <c r="CG728" s="73"/>
      <c r="CH728" s="73"/>
      <c r="CI728" s="73"/>
      <c r="CJ728" s="73"/>
      <c r="CK728" s="73"/>
      <c r="CL728" s="73"/>
      <c r="CM728" s="73"/>
      <c r="CN728" s="73"/>
      <c r="CO728" s="73"/>
      <c r="CP728" s="73"/>
      <c r="CQ728" s="73"/>
      <c r="CR728" s="73"/>
      <c r="CS728" s="73"/>
      <c r="CT728" s="73"/>
      <c r="CU728" s="73"/>
      <c r="CV728" s="73"/>
      <c r="CW728" s="73"/>
      <c r="CX728" s="73"/>
      <c r="CY728" s="73"/>
      <c r="CZ728" s="73"/>
      <c r="DA728" s="73"/>
      <c r="DB728" s="73"/>
      <c r="DC728" s="73"/>
      <c r="DD728" s="73"/>
      <c r="DE728" s="73"/>
      <c r="DF728" s="73"/>
      <c r="DG728" s="73"/>
      <c r="DH728" s="73"/>
      <c r="DI728" s="73"/>
      <c r="DJ728" s="73"/>
      <c r="DK728" s="73"/>
      <c r="DL728" s="73"/>
      <c r="DM728" s="73"/>
      <c r="DN728" s="73"/>
      <c r="DO728" s="73"/>
      <c r="DP728" s="73"/>
      <c r="DQ728" s="73"/>
      <c r="DR728" s="73"/>
      <c r="DS728" s="73"/>
      <c r="DT728" s="73"/>
      <c r="DU728" s="73"/>
      <c r="DV728" s="73"/>
      <c r="DW728" s="73"/>
      <c r="DX728" s="73"/>
      <c r="DY728" s="73"/>
      <c r="DZ728" s="73"/>
      <c r="EA728" s="73"/>
      <c r="EB728" s="73"/>
      <c r="EC728" s="73"/>
      <c r="ED728" s="73"/>
      <c r="EE728" s="73"/>
      <c r="EF728" s="73"/>
      <c r="FJ728" s="73"/>
      <c r="FK728" s="73"/>
      <c r="FL728" s="73"/>
      <c r="FM728" s="73"/>
      <c r="FN728" s="73"/>
      <c r="FO728" s="73"/>
      <c r="FP728" s="73"/>
      <c r="FQ728" s="73"/>
      <c r="FR728" s="73"/>
      <c r="FS728" s="73"/>
      <c r="FT728" s="73"/>
      <c r="FU728" s="73"/>
      <c r="FV728" s="73"/>
      <c r="FW728" s="73"/>
      <c r="FX728" s="73"/>
      <c r="GO728" s="73"/>
      <c r="GP728" s="73"/>
      <c r="HE728" s="73"/>
      <c r="HU728" s="73"/>
      <c r="HV728" s="182"/>
    </row>
    <row r="729" spans="1:230" x14ac:dyDescent="0.25">
      <c r="A729" s="30"/>
      <c r="B729" s="30"/>
      <c r="C729" s="30"/>
      <c r="D729" s="30"/>
      <c r="G729" s="30"/>
      <c r="H729" s="30"/>
      <c r="I729" s="30"/>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c r="CA729" s="73"/>
      <c r="CB729" s="73"/>
      <c r="CC729" s="73"/>
      <c r="CD729" s="73"/>
      <c r="CE729" s="73"/>
      <c r="CF729" s="73"/>
      <c r="CG729" s="73"/>
      <c r="CH729" s="73"/>
      <c r="CI729" s="73"/>
      <c r="CJ729" s="73"/>
      <c r="CK729" s="73"/>
      <c r="CL729" s="73"/>
      <c r="CM729" s="73"/>
      <c r="CN729" s="73"/>
      <c r="CO729" s="73"/>
      <c r="CP729" s="73"/>
      <c r="CQ729" s="73"/>
      <c r="CR729" s="73"/>
      <c r="CS729" s="73"/>
      <c r="CT729" s="73"/>
      <c r="CU729" s="73"/>
      <c r="CV729" s="73"/>
      <c r="CW729" s="73"/>
      <c r="CX729" s="73"/>
      <c r="CY729" s="73"/>
      <c r="CZ729" s="73"/>
      <c r="DA729" s="73"/>
      <c r="DB729" s="73"/>
      <c r="DC729" s="73"/>
      <c r="DD729" s="73"/>
      <c r="DE729" s="73"/>
      <c r="DF729" s="73"/>
      <c r="DG729" s="73"/>
      <c r="DH729" s="73"/>
      <c r="DI729" s="73"/>
      <c r="DJ729" s="73"/>
      <c r="DK729" s="73"/>
      <c r="DL729" s="73"/>
      <c r="DM729" s="73"/>
      <c r="DN729" s="73"/>
      <c r="DO729" s="73"/>
      <c r="DP729" s="73"/>
      <c r="DQ729" s="73"/>
      <c r="DR729" s="73"/>
      <c r="DS729" s="73"/>
      <c r="DT729" s="73"/>
      <c r="DU729" s="73"/>
      <c r="DV729" s="73"/>
      <c r="DW729" s="73"/>
      <c r="DX729" s="73"/>
      <c r="DY729" s="73"/>
      <c r="DZ729" s="73"/>
      <c r="EA729" s="73"/>
      <c r="EB729" s="73"/>
      <c r="EC729" s="73"/>
      <c r="ED729" s="73"/>
      <c r="EE729" s="73"/>
      <c r="EF729" s="73"/>
      <c r="FJ729" s="73"/>
      <c r="FK729" s="73"/>
      <c r="FL729" s="73"/>
      <c r="FM729" s="73"/>
      <c r="FN729" s="73"/>
      <c r="FO729" s="73"/>
      <c r="FP729" s="73"/>
      <c r="FQ729" s="73"/>
      <c r="FR729" s="73"/>
      <c r="FS729" s="73"/>
      <c r="FT729" s="73"/>
      <c r="FU729" s="73"/>
      <c r="FV729" s="73"/>
      <c r="FW729" s="73"/>
      <c r="FX729" s="73"/>
      <c r="GO729" s="73"/>
      <c r="GP729" s="73"/>
      <c r="HE729" s="73"/>
      <c r="HU729" s="73"/>
      <c r="HV729" s="182"/>
    </row>
    <row r="730" spans="1:230" x14ac:dyDescent="0.25">
      <c r="A730" s="30"/>
      <c r="B730" s="30"/>
      <c r="C730" s="30"/>
      <c r="D730" s="30"/>
      <c r="G730" s="30"/>
      <c r="H730" s="30"/>
      <c r="I730" s="30"/>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c r="CA730" s="73"/>
      <c r="CB730" s="73"/>
      <c r="CC730" s="73"/>
      <c r="CD730" s="73"/>
      <c r="CE730" s="73"/>
      <c r="CF730" s="73"/>
      <c r="CG730" s="73"/>
      <c r="CH730" s="73"/>
      <c r="CI730" s="73"/>
      <c r="CJ730" s="73"/>
      <c r="CK730" s="73"/>
      <c r="CL730" s="73"/>
      <c r="CM730" s="73"/>
      <c r="CN730" s="73"/>
      <c r="CO730" s="73"/>
      <c r="CP730" s="73"/>
      <c r="CQ730" s="73"/>
      <c r="CR730" s="73"/>
      <c r="CS730" s="73"/>
      <c r="CT730" s="73"/>
      <c r="CU730" s="73"/>
      <c r="CV730" s="73"/>
      <c r="CW730" s="73"/>
      <c r="CX730" s="73"/>
      <c r="CY730" s="73"/>
      <c r="CZ730" s="73"/>
      <c r="DA730" s="73"/>
      <c r="DB730" s="73"/>
      <c r="DC730" s="73"/>
      <c r="DD730" s="73"/>
      <c r="DE730" s="73"/>
      <c r="DF730" s="73"/>
      <c r="DG730" s="73"/>
      <c r="DH730" s="73"/>
      <c r="DI730" s="73"/>
      <c r="DJ730" s="73"/>
      <c r="DK730" s="73"/>
      <c r="DL730" s="73"/>
      <c r="DM730" s="73"/>
      <c r="DN730" s="73"/>
      <c r="DO730" s="73"/>
      <c r="DP730" s="73"/>
      <c r="DQ730" s="73"/>
      <c r="DR730" s="73"/>
      <c r="DS730" s="73"/>
      <c r="DT730" s="73"/>
      <c r="DU730" s="73"/>
      <c r="DV730" s="73"/>
      <c r="DW730" s="73"/>
      <c r="DX730" s="73"/>
      <c r="DY730" s="73"/>
      <c r="DZ730" s="73"/>
      <c r="EA730" s="73"/>
      <c r="EB730" s="73"/>
      <c r="EC730" s="73"/>
      <c r="ED730" s="73"/>
      <c r="EE730" s="73"/>
      <c r="EF730" s="73"/>
      <c r="FJ730" s="73"/>
      <c r="FK730" s="73"/>
      <c r="FL730" s="73"/>
      <c r="FM730" s="73"/>
      <c r="FN730" s="73"/>
      <c r="FO730" s="73"/>
      <c r="FP730" s="73"/>
      <c r="FQ730" s="73"/>
      <c r="FR730" s="73"/>
      <c r="FS730" s="73"/>
      <c r="FT730" s="73"/>
      <c r="FU730" s="73"/>
      <c r="FV730" s="73"/>
      <c r="FW730" s="73"/>
      <c r="FX730" s="73"/>
      <c r="GO730" s="73"/>
      <c r="GP730" s="73"/>
      <c r="HE730" s="73"/>
      <c r="HU730" s="73"/>
      <c r="HV730" s="182"/>
    </row>
    <row r="731" spans="1:230" x14ac:dyDescent="0.25">
      <c r="A731" s="30"/>
      <c r="B731" s="30"/>
      <c r="C731" s="30"/>
      <c r="D731" s="30"/>
      <c r="G731" s="30"/>
      <c r="H731" s="30"/>
      <c r="I731" s="30"/>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c r="CA731" s="73"/>
      <c r="CB731" s="73"/>
      <c r="CC731" s="73"/>
      <c r="CD731" s="73"/>
      <c r="CE731" s="73"/>
      <c r="CF731" s="73"/>
      <c r="CG731" s="73"/>
      <c r="CH731" s="73"/>
      <c r="CI731" s="73"/>
      <c r="CJ731" s="73"/>
      <c r="CK731" s="73"/>
      <c r="CL731" s="73"/>
      <c r="CM731" s="73"/>
      <c r="CN731" s="73"/>
      <c r="CO731" s="73"/>
      <c r="CP731" s="73"/>
      <c r="CQ731" s="73"/>
      <c r="CR731" s="73"/>
      <c r="CS731" s="73"/>
      <c r="CT731" s="73"/>
      <c r="CU731" s="73"/>
      <c r="CV731" s="73"/>
      <c r="CW731" s="73"/>
      <c r="CX731" s="73"/>
      <c r="CY731" s="73"/>
      <c r="CZ731" s="73"/>
      <c r="DA731" s="73"/>
      <c r="DB731" s="73"/>
      <c r="DC731" s="73"/>
      <c r="DD731" s="73"/>
      <c r="DE731" s="73"/>
      <c r="DF731" s="73"/>
      <c r="DG731" s="73"/>
      <c r="DH731" s="73"/>
      <c r="DI731" s="73"/>
      <c r="DJ731" s="73"/>
      <c r="DK731" s="73"/>
      <c r="DL731" s="73"/>
      <c r="DM731" s="73"/>
      <c r="DN731" s="73"/>
      <c r="DO731" s="73"/>
      <c r="DP731" s="73"/>
      <c r="DQ731" s="73"/>
      <c r="DR731" s="73"/>
      <c r="DS731" s="73"/>
      <c r="DT731" s="73"/>
      <c r="DU731" s="73"/>
      <c r="DV731" s="73"/>
      <c r="DW731" s="73"/>
      <c r="DX731" s="73"/>
      <c r="DY731" s="73"/>
      <c r="DZ731" s="73"/>
      <c r="EA731" s="73"/>
      <c r="EB731" s="73"/>
      <c r="EC731" s="73"/>
      <c r="ED731" s="73"/>
      <c r="EE731" s="73"/>
      <c r="EF731" s="73"/>
      <c r="FJ731" s="73"/>
      <c r="FK731" s="73"/>
      <c r="FL731" s="73"/>
      <c r="FM731" s="73"/>
      <c r="FN731" s="73"/>
      <c r="FO731" s="73"/>
      <c r="FP731" s="73"/>
      <c r="FQ731" s="73"/>
      <c r="FR731" s="73"/>
      <c r="FS731" s="73"/>
      <c r="FT731" s="73"/>
      <c r="FU731" s="73"/>
      <c r="FV731" s="73"/>
      <c r="FW731" s="73"/>
      <c r="FX731" s="73"/>
      <c r="GO731" s="73"/>
      <c r="GP731" s="73"/>
      <c r="HE731" s="73"/>
      <c r="HU731" s="73"/>
      <c r="HV731" s="182"/>
    </row>
    <row r="732" spans="1:230" x14ac:dyDescent="0.25">
      <c r="A732" s="30"/>
      <c r="B732" s="30"/>
      <c r="C732" s="30"/>
      <c r="D732" s="30"/>
      <c r="G732" s="30"/>
      <c r="H732" s="30"/>
      <c r="I732" s="30"/>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c r="CA732" s="73"/>
      <c r="CB732" s="73"/>
      <c r="CC732" s="73"/>
      <c r="CD732" s="73"/>
      <c r="CE732" s="73"/>
      <c r="CF732" s="73"/>
      <c r="CG732" s="73"/>
      <c r="CH732" s="73"/>
      <c r="CI732" s="73"/>
      <c r="CJ732" s="73"/>
      <c r="CK732" s="73"/>
      <c r="CL732" s="73"/>
      <c r="CM732" s="73"/>
      <c r="CN732" s="73"/>
      <c r="CO732" s="73"/>
      <c r="CP732" s="73"/>
      <c r="CQ732" s="73"/>
      <c r="CR732" s="73"/>
      <c r="CS732" s="73"/>
      <c r="CT732" s="73"/>
      <c r="CU732" s="73"/>
      <c r="CV732" s="73"/>
      <c r="CW732" s="73"/>
      <c r="CX732" s="73"/>
      <c r="CY732" s="73"/>
      <c r="CZ732" s="73"/>
      <c r="DA732" s="73"/>
      <c r="DB732" s="73"/>
      <c r="DC732" s="73"/>
      <c r="DD732" s="73"/>
      <c r="DE732" s="73"/>
      <c r="DF732" s="73"/>
      <c r="DG732" s="73"/>
      <c r="DH732" s="73"/>
      <c r="DI732" s="73"/>
      <c r="DJ732" s="73"/>
      <c r="DK732" s="73"/>
      <c r="DL732" s="73"/>
      <c r="DM732" s="73"/>
      <c r="DN732" s="73"/>
      <c r="DO732" s="73"/>
      <c r="DP732" s="73"/>
      <c r="DQ732" s="73"/>
      <c r="DR732" s="73"/>
      <c r="DS732" s="73"/>
      <c r="DT732" s="73"/>
      <c r="DU732" s="73"/>
      <c r="DV732" s="73"/>
      <c r="DW732" s="73"/>
      <c r="DX732" s="73"/>
      <c r="DY732" s="73"/>
      <c r="DZ732" s="73"/>
      <c r="EA732" s="73"/>
      <c r="EB732" s="73"/>
      <c r="EC732" s="73"/>
      <c r="ED732" s="73"/>
      <c r="EE732" s="73"/>
      <c r="EF732" s="73"/>
      <c r="FJ732" s="73"/>
      <c r="FK732" s="73"/>
      <c r="FL732" s="73"/>
      <c r="FM732" s="73"/>
      <c r="FN732" s="73"/>
      <c r="FO732" s="73"/>
      <c r="FP732" s="73"/>
      <c r="FQ732" s="73"/>
      <c r="FR732" s="73"/>
      <c r="FS732" s="73"/>
      <c r="FT732" s="73"/>
      <c r="FU732" s="73"/>
      <c r="FV732" s="73"/>
      <c r="FW732" s="73"/>
      <c r="FX732" s="73"/>
      <c r="GO732" s="73"/>
      <c r="GP732" s="73"/>
      <c r="HE732" s="73"/>
      <c r="HU732" s="73"/>
      <c r="HV732" s="182"/>
    </row>
    <row r="733" spans="1:230" x14ac:dyDescent="0.25">
      <c r="A733" s="30"/>
      <c r="B733" s="30"/>
      <c r="C733" s="30"/>
      <c r="D733" s="30"/>
      <c r="G733" s="30"/>
      <c r="H733" s="30"/>
      <c r="I733" s="30"/>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c r="CA733" s="73"/>
      <c r="CB733" s="73"/>
      <c r="CC733" s="73"/>
      <c r="CD733" s="73"/>
      <c r="CE733" s="73"/>
      <c r="CF733" s="73"/>
      <c r="CG733" s="73"/>
      <c r="CH733" s="73"/>
      <c r="CI733" s="73"/>
      <c r="CJ733" s="73"/>
      <c r="CK733" s="73"/>
      <c r="CL733" s="73"/>
      <c r="CM733" s="73"/>
      <c r="CN733" s="73"/>
      <c r="CO733" s="73"/>
      <c r="CP733" s="73"/>
      <c r="CQ733" s="73"/>
      <c r="CR733" s="73"/>
      <c r="CS733" s="73"/>
      <c r="CT733" s="73"/>
      <c r="CU733" s="73"/>
      <c r="CV733" s="73"/>
      <c r="CW733" s="73"/>
      <c r="CX733" s="73"/>
      <c r="CY733" s="73"/>
      <c r="CZ733" s="73"/>
      <c r="DA733" s="73"/>
      <c r="DB733" s="73"/>
      <c r="DC733" s="73"/>
      <c r="DD733" s="73"/>
      <c r="DE733" s="73"/>
      <c r="DF733" s="73"/>
      <c r="DG733" s="73"/>
      <c r="DH733" s="73"/>
      <c r="DI733" s="73"/>
      <c r="DJ733" s="73"/>
      <c r="DK733" s="73"/>
      <c r="DL733" s="73"/>
      <c r="DM733" s="73"/>
      <c r="DN733" s="73"/>
      <c r="DO733" s="73"/>
      <c r="DP733" s="73"/>
      <c r="DQ733" s="73"/>
      <c r="DR733" s="73"/>
      <c r="DS733" s="73"/>
      <c r="DT733" s="73"/>
      <c r="DU733" s="73"/>
      <c r="DV733" s="73"/>
      <c r="DW733" s="73"/>
      <c r="DX733" s="73"/>
      <c r="DY733" s="73"/>
      <c r="DZ733" s="73"/>
      <c r="EA733" s="73"/>
      <c r="EB733" s="73"/>
      <c r="EC733" s="73"/>
      <c r="ED733" s="73"/>
      <c r="EE733" s="73"/>
      <c r="EF733" s="73"/>
      <c r="FJ733" s="73"/>
      <c r="FK733" s="73"/>
      <c r="FL733" s="73"/>
      <c r="FM733" s="73"/>
      <c r="FN733" s="73"/>
      <c r="FO733" s="73"/>
      <c r="FP733" s="73"/>
      <c r="FQ733" s="73"/>
      <c r="FR733" s="73"/>
      <c r="FS733" s="73"/>
      <c r="FT733" s="73"/>
      <c r="FU733" s="73"/>
      <c r="FV733" s="73"/>
      <c r="FW733" s="73"/>
      <c r="FX733" s="73"/>
      <c r="GO733" s="73"/>
      <c r="GP733" s="73"/>
      <c r="HE733" s="73"/>
      <c r="HU733" s="73"/>
      <c r="HV733" s="182"/>
    </row>
    <row r="734" spans="1:230" x14ac:dyDescent="0.25">
      <c r="A734" s="30"/>
      <c r="B734" s="30"/>
      <c r="C734" s="30"/>
      <c r="D734" s="30"/>
      <c r="G734" s="30"/>
      <c r="H734" s="30"/>
      <c r="I734" s="30"/>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c r="CA734" s="73"/>
      <c r="CB734" s="73"/>
      <c r="CC734" s="73"/>
      <c r="CD734" s="73"/>
      <c r="CE734" s="73"/>
      <c r="CF734" s="73"/>
      <c r="CG734" s="73"/>
      <c r="CH734" s="73"/>
      <c r="CI734" s="73"/>
      <c r="CJ734" s="73"/>
      <c r="CK734" s="73"/>
      <c r="CL734" s="73"/>
      <c r="CM734" s="73"/>
      <c r="CN734" s="73"/>
      <c r="CO734" s="73"/>
      <c r="CP734" s="73"/>
      <c r="CQ734" s="73"/>
      <c r="CR734" s="73"/>
      <c r="CS734" s="73"/>
      <c r="CT734" s="73"/>
      <c r="CU734" s="73"/>
      <c r="CV734" s="73"/>
      <c r="CW734" s="73"/>
      <c r="CX734" s="73"/>
      <c r="CY734" s="73"/>
      <c r="CZ734" s="73"/>
      <c r="DA734" s="73"/>
      <c r="DB734" s="73"/>
      <c r="DC734" s="73"/>
      <c r="DD734" s="73"/>
      <c r="DE734" s="73"/>
      <c r="DF734" s="73"/>
      <c r="DG734" s="73"/>
      <c r="DH734" s="73"/>
      <c r="DI734" s="73"/>
      <c r="DJ734" s="73"/>
      <c r="DK734" s="73"/>
      <c r="DL734" s="73"/>
      <c r="DM734" s="73"/>
      <c r="DN734" s="73"/>
      <c r="DO734" s="73"/>
      <c r="DP734" s="73"/>
      <c r="DQ734" s="73"/>
      <c r="DR734" s="73"/>
      <c r="DS734" s="73"/>
      <c r="DT734" s="73"/>
      <c r="DU734" s="73"/>
      <c r="DV734" s="73"/>
      <c r="DW734" s="73"/>
      <c r="DX734" s="73"/>
      <c r="DY734" s="73"/>
      <c r="DZ734" s="73"/>
      <c r="EA734" s="73"/>
      <c r="EB734" s="73"/>
      <c r="EC734" s="73"/>
      <c r="ED734" s="73"/>
      <c r="EE734" s="73"/>
      <c r="EF734" s="73"/>
      <c r="FJ734" s="73"/>
      <c r="FK734" s="73"/>
      <c r="FL734" s="73"/>
      <c r="FM734" s="73"/>
      <c r="FN734" s="73"/>
      <c r="FO734" s="73"/>
      <c r="FP734" s="73"/>
      <c r="FQ734" s="73"/>
      <c r="FR734" s="73"/>
      <c r="FS734" s="73"/>
      <c r="FT734" s="73"/>
      <c r="FU734" s="73"/>
      <c r="FV734" s="73"/>
      <c r="FW734" s="73"/>
      <c r="FX734" s="73"/>
      <c r="GO734" s="73"/>
      <c r="GP734" s="73"/>
      <c r="HE734" s="73"/>
      <c r="HU734" s="73"/>
      <c r="HV734" s="182"/>
    </row>
    <row r="735" spans="1:230" x14ac:dyDescent="0.25">
      <c r="A735" s="30"/>
      <c r="B735" s="30"/>
      <c r="C735" s="30"/>
      <c r="D735" s="30"/>
      <c r="G735" s="30"/>
      <c r="H735" s="30"/>
      <c r="I735" s="30"/>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3"/>
      <c r="DV735" s="73"/>
      <c r="DW735" s="73"/>
      <c r="DX735" s="73"/>
      <c r="DY735" s="73"/>
      <c r="DZ735" s="73"/>
      <c r="EA735" s="73"/>
      <c r="EB735" s="73"/>
      <c r="EC735" s="73"/>
      <c r="ED735" s="73"/>
      <c r="EE735" s="73"/>
      <c r="EF735" s="73"/>
      <c r="FJ735" s="73"/>
      <c r="FK735" s="73"/>
      <c r="FL735" s="73"/>
      <c r="FM735" s="73"/>
      <c r="FN735" s="73"/>
      <c r="FO735" s="73"/>
      <c r="FP735" s="73"/>
      <c r="FQ735" s="73"/>
      <c r="FR735" s="73"/>
      <c r="FS735" s="73"/>
      <c r="FT735" s="73"/>
      <c r="FU735" s="73"/>
      <c r="FV735" s="73"/>
      <c r="FW735" s="73"/>
      <c r="FX735" s="73"/>
      <c r="GO735" s="73"/>
      <c r="GP735" s="73"/>
      <c r="HE735" s="73"/>
      <c r="HU735" s="73"/>
      <c r="HV735" s="182"/>
    </row>
    <row r="736" spans="1:230" x14ac:dyDescent="0.25">
      <c r="A736" s="30"/>
      <c r="B736" s="30"/>
      <c r="C736" s="30"/>
      <c r="D736" s="30"/>
      <c r="G736" s="30"/>
      <c r="H736" s="30"/>
      <c r="I736" s="30"/>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3"/>
      <c r="CK736" s="73"/>
      <c r="CL736" s="73"/>
      <c r="CM736" s="73"/>
      <c r="CN736" s="73"/>
      <c r="CO736" s="73"/>
      <c r="CP736" s="73"/>
      <c r="CQ736" s="73"/>
      <c r="CR736" s="73"/>
      <c r="CS736" s="73"/>
      <c r="CT736" s="73"/>
      <c r="CU736" s="73"/>
      <c r="CV736" s="73"/>
      <c r="CW736" s="73"/>
      <c r="CX736" s="73"/>
      <c r="CY736" s="73"/>
      <c r="CZ736" s="73"/>
      <c r="DA736" s="73"/>
      <c r="DB736" s="73"/>
      <c r="DC736" s="73"/>
      <c r="DD736" s="73"/>
      <c r="DE736" s="73"/>
      <c r="DF736" s="73"/>
      <c r="DG736" s="73"/>
      <c r="DH736" s="73"/>
      <c r="DI736" s="73"/>
      <c r="DJ736" s="73"/>
      <c r="DK736" s="73"/>
      <c r="DL736" s="73"/>
      <c r="DM736" s="73"/>
      <c r="DN736" s="73"/>
      <c r="DO736" s="73"/>
      <c r="DP736" s="73"/>
      <c r="DQ736" s="73"/>
      <c r="DR736" s="73"/>
      <c r="DS736" s="73"/>
      <c r="DT736" s="73"/>
      <c r="DU736" s="73"/>
      <c r="DV736" s="73"/>
      <c r="DW736" s="73"/>
      <c r="DX736" s="73"/>
      <c r="DY736" s="73"/>
      <c r="DZ736" s="73"/>
      <c r="EA736" s="73"/>
      <c r="EB736" s="73"/>
      <c r="EC736" s="73"/>
      <c r="ED736" s="73"/>
      <c r="EE736" s="73"/>
      <c r="EF736" s="73"/>
      <c r="FJ736" s="73"/>
      <c r="FK736" s="73"/>
      <c r="FL736" s="73"/>
      <c r="FM736" s="73"/>
      <c r="FN736" s="73"/>
      <c r="FO736" s="73"/>
      <c r="FP736" s="73"/>
      <c r="FQ736" s="73"/>
      <c r="FR736" s="73"/>
      <c r="FS736" s="73"/>
      <c r="FT736" s="73"/>
      <c r="FU736" s="73"/>
      <c r="FV736" s="73"/>
      <c r="FW736" s="73"/>
      <c r="FX736" s="73"/>
      <c r="GO736" s="73"/>
      <c r="GP736" s="73"/>
      <c r="HE736" s="73"/>
      <c r="HU736" s="73"/>
      <c r="HV736" s="182"/>
    </row>
    <row r="737" spans="1:230" x14ac:dyDescent="0.25">
      <c r="A737" s="30"/>
      <c r="B737" s="30"/>
      <c r="C737" s="30"/>
      <c r="D737" s="30"/>
      <c r="G737" s="30"/>
      <c r="H737" s="30"/>
      <c r="I737" s="30"/>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3"/>
      <c r="CK737" s="73"/>
      <c r="CL737" s="73"/>
      <c r="CM737" s="73"/>
      <c r="CN737" s="73"/>
      <c r="CO737" s="73"/>
      <c r="CP737" s="73"/>
      <c r="CQ737" s="73"/>
      <c r="CR737" s="73"/>
      <c r="CS737" s="73"/>
      <c r="CT737" s="73"/>
      <c r="CU737" s="73"/>
      <c r="CV737" s="73"/>
      <c r="CW737" s="73"/>
      <c r="CX737" s="73"/>
      <c r="CY737" s="73"/>
      <c r="CZ737" s="73"/>
      <c r="DA737" s="73"/>
      <c r="DB737" s="73"/>
      <c r="DC737" s="73"/>
      <c r="DD737" s="73"/>
      <c r="DE737" s="73"/>
      <c r="DF737" s="73"/>
      <c r="DG737" s="73"/>
      <c r="DH737" s="73"/>
      <c r="DI737" s="73"/>
      <c r="DJ737" s="73"/>
      <c r="DK737" s="73"/>
      <c r="DL737" s="73"/>
      <c r="DM737" s="73"/>
      <c r="DN737" s="73"/>
      <c r="DO737" s="73"/>
      <c r="DP737" s="73"/>
      <c r="DQ737" s="73"/>
      <c r="DR737" s="73"/>
      <c r="DS737" s="73"/>
      <c r="DT737" s="73"/>
      <c r="DU737" s="73"/>
      <c r="DV737" s="73"/>
      <c r="DW737" s="73"/>
      <c r="DX737" s="73"/>
      <c r="DY737" s="73"/>
      <c r="DZ737" s="73"/>
      <c r="EA737" s="73"/>
      <c r="EB737" s="73"/>
      <c r="EC737" s="73"/>
      <c r="ED737" s="73"/>
      <c r="EE737" s="73"/>
      <c r="EF737" s="73"/>
      <c r="FJ737" s="73"/>
      <c r="FK737" s="73"/>
      <c r="FL737" s="73"/>
      <c r="FM737" s="73"/>
      <c r="FN737" s="73"/>
      <c r="FO737" s="73"/>
      <c r="FP737" s="73"/>
      <c r="FQ737" s="73"/>
      <c r="FR737" s="73"/>
      <c r="FS737" s="73"/>
      <c r="FT737" s="73"/>
      <c r="FU737" s="73"/>
      <c r="FV737" s="73"/>
      <c r="FW737" s="73"/>
      <c r="FX737" s="73"/>
      <c r="GO737" s="73"/>
      <c r="GP737" s="73"/>
      <c r="HE737" s="73"/>
      <c r="HU737" s="73"/>
      <c r="HV737" s="182"/>
    </row>
    <row r="738" spans="1:230" x14ac:dyDescent="0.25">
      <c r="A738" s="30"/>
      <c r="B738" s="30"/>
      <c r="C738" s="30"/>
      <c r="D738" s="30"/>
      <c r="G738" s="30"/>
      <c r="H738" s="30"/>
      <c r="I738" s="30"/>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3"/>
      <c r="CK738" s="73"/>
      <c r="CL738" s="73"/>
      <c r="CM738" s="73"/>
      <c r="CN738" s="73"/>
      <c r="CO738" s="73"/>
      <c r="CP738" s="73"/>
      <c r="CQ738" s="73"/>
      <c r="CR738" s="73"/>
      <c r="CS738" s="73"/>
      <c r="CT738" s="73"/>
      <c r="CU738" s="73"/>
      <c r="CV738" s="73"/>
      <c r="CW738" s="73"/>
      <c r="CX738" s="73"/>
      <c r="CY738" s="73"/>
      <c r="CZ738" s="73"/>
      <c r="DA738" s="73"/>
      <c r="DB738" s="73"/>
      <c r="DC738" s="73"/>
      <c r="DD738" s="73"/>
      <c r="DE738" s="73"/>
      <c r="DF738" s="73"/>
      <c r="DG738" s="73"/>
      <c r="DH738" s="73"/>
      <c r="DI738" s="73"/>
      <c r="DJ738" s="73"/>
      <c r="DK738" s="73"/>
      <c r="DL738" s="73"/>
      <c r="DM738" s="73"/>
      <c r="DN738" s="73"/>
      <c r="DO738" s="73"/>
      <c r="DP738" s="73"/>
      <c r="DQ738" s="73"/>
      <c r="DR738" s="73"/>
      <c r="DS738" s="73"/>
      <c r="DT738" s="73"/>
      <c r="DU738" s="73"/>
      <c r="DV738" s="73"/>
      <c r="DW738" s="73"/>
      <c r="DX738" s="73"/>
      <c r="DY738" s="73"/>
      <c r="DZ738" s="73"/>
      <c r="EA738" s="73"/>
      <c r="EB738" s="73"/>
      <c r="EC738" s="73"/>
      <c r="ED738" s="73"/>
      <c r="EE738" s="73"/>
      <c r="EF738" s="73"/>
      <c r="FJ738" s="73"/>
      <c r="FK738" s="73"/>
      <c r="FL738" s="73"/>
      <c r="FM738" s="73"/>
      <c r="FN738" s="73"/>
      <c r="FO738" s="73"/>
      <c r="FP738" s="73"/>
      <c r="FQ738" s="73"/>
      <c r="FR738" s="73"/>
      <c r="FS738" s="73"/>
      <c r="FT738" s="73"/>
      <c r="FU738" s="73"/>
      <c r="FV738" s="73"/>
      <c r="FW738" s="73"/>
      <c r="FX738" s="73"/>
      <c r="GO738" s="73"/>
      <c r="GP738" s="73"/>
      <c r="HE738" s="73"/>
      <c r="HU738" s="73"/>
      <c r="HV738" s="182"/>
    </row>
    <row r="739" spans="1:230" x14ac:dyDescent="0.25">
      <c r="A739" s="30"/>
      <c r="B739" s="30"/>
      <c r="C739" s="30"/>
      <c r="D739" s="30"/>
      <c r="G739" s="30"/>
      <c r="H739" s="30"/>
      <c r="I739" s="30"/>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c r="CA739" s="73"/>
      <c r="CB739" s="73"/>
      <c r="CC739" s="73"/>
      <c r="CD739" s="73"/>
      <c r="CE739" s="73"/>
      <c r="CF739" s="73"/>
      <c r="CG739" s="73"/>
      <c r="CH739" s="73"/>
      <c r="CI739" s="73"/>
      <c r="CJ739" s="73"/>
      <c r="CK739" s="73"/>
      <c r="CL739" s="73"/>
      <c r="CM739" s="73"/>
      <c r="CN739" s="73"/>
      <c r="CO739" s="73"/>
      <c r="CP739" s="73"/>
      <c r="CQ739" s="73"/>
      <c r="CR739" s="73"/>
      <c r="CS739" s="73"/>
      <c r="CT739" s="73"/>
      <c r="CU739" s="73"/>
      <c r="CV739" s="73"/>
      <c r="CW739" s="73"/>
      <c r="CX739" s="73"/>
      <c r="CY739" s="73"/>
      <c r="CZ739" s="73"/>
      <c r="DA739" s="73"/>
      <c r="DB739" s="73"/>
      <c r="DC739" s="73"/>
      <c r="DD739" s="73"/>
      <c r="DE739" s="73"/>
      <c r="DF739" s="73"/>
      <c r="DG739" s="73"/>
      <c r="DH739" s="73"/>
      <c r="DI739" s="73"/>
      <c r="DJ739" s="73"/>
      <c r="DK739" s="73"/>
      <c r="DL739" s="73"/>
      <c r="DM739" s="73"/>
      <c r="DN739" s="73"/>
      <c r="DO739" s="73"/>
      <c r="DP739" s="73"/>
      <c r="DQ739" s="73"/>
      <c r="DR739" s="73"/>
      <c r="DS739" s="73"/>
      <c r="DT739" s="73"/>
      <c r="DU739" s="73"/>
      <c r="DV739" s="73"/>
      <c r="DW739" s="73"/>
      <c r="DX739" s="73"/>
      <c r="DY739" s="73"/>
      <c r="DZ739" s="73"/>
      <c r="EA739" s="73"/>
      <c r="EB739" s="73"/>
      <c r="EC739" s="73"/>
      <c r="ED739" s="73"/>
      <c r="EE739" s="73"/>
      <c r="EF739" s="73"/>
      <c r="FJ739" s="73"/>
      <c r="FK739" s="73"/>
      <c r="FL739" s="73"/>
      <c r="FM739" s="73"/>
      <c r="FN739" s="73"/>
      <c r="FO739" s="73"/>
      <c r="FP739" s="73"/>
      <c r="FQ739" s="73"/>
      <c r="FR739" s="73"/>
      <c r="FS739" s="73"/>
      <c r="FT739" s="73"/>
      <c r="FU739" s="73"/>
      <c r="FV739" s="73"/>
      <c r="FW739" s="73"/>
      <c r="FX739" s="73"/>
      <c r="GO739" s="73"/>
      <c r="GP739" s="73"/>
      <c r="HE739" s="73"/>
      <c r="HU739" s="73"/>
      <c r="HV739" s="182"/>
    </row>
    <row r="740" spans="1:230" x14ac:dyDescent="0.25">
      <c r="A740" s="30"/>
      <c r="B740" s="30"/>
      <c r="C740" s="30"/>
      <c r="D740" s="30"/>
      <c r="G740" s="30"/>
      <c r="H740" s="30"/>
      <c r="I740" s="30"/>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c r="CA740" s="73"/>
      <c r="CB740" s="73"/>
      <c r="CC740" s="73"/>
      <c r="CD740" s="73"/>
      <c r="CE740" s="73"/>
      <c r="CF740" s="73"/>
      <c r="CG740" s="73"/>
      <c r="CH740" s="73"/>
      <c r="CI740" s="73"/>
      <c r="CJ740" s="73"/>
      <c r="CK740" s="73"/>
      <c r="CL740" s="73"/>
      <c r="CM740" s="73"/>
      <c r="CN740" s="73"/>
      <c r="CO740" s="73"/>
      <c r="CP740" s="73"/>
      <c r="CQ740" s="73"/>
      <c r="CR740" s="73"/>
      <c r="CS740" s="73"/>
      <c r="CT740" s="73"/>
      <c r="CU740" s="73"/>
      <c r="CV740" s="73"/>
      <c r="CW740" s="73"/>
      <c r="CX740" s="73"/>
      <c r="CY740" s="73"/>
      <c r="CZ740" s="73"/>
      <c r="DA740" s="73"/>
      <c r="DB740" s="73"/>
      <c r="DC740" s="73"/>
      <c r="DD740" s="73"/>
      <c r="DE740" s="73"/>
      <c r="DF740" s="73"/>
      <c r="DG740" s="73"/>
      <c r="DH740" s="73"/>
      <c r="DI740" s="73"/>
      <c r="DJ740" s="73"/>
      <c r="DK740" s="73"/>
      <c r="DL740" s="73"/>
      <c r="DM740" s="73"/>
      <c r="DN740" s="73"/>
      <c r="DO740" s="73"/>
      <c r="DP740" s="73"/>
      <c r="DQ740" s="73"/>
      <c r="DR740" s="73"/>
      <c r="DS740" s="73"/>
      <c r="DT740" s="73"/>
      <c r="DU740" s="73"/>
      <c r="DV740" s="73"/>
      <c r="DW740" s="73"/>
      <c r="DX740" s="73"/>
      <c r="DY740" s="73"/>
      <c r="DZ740" s="73"/>
      <c r="EA740" s="73"/>
      <c r="EB740" s="73"/>
      <c r="EC740" s="73"/>
      <c r="ED740" s="73"/>
      <c r="EE740" s="73"/>
      <c r="EF740" s="73"/>
      <c r="FJ740" s="73"/>
      <c r="FK740" s="73"/>
      <c r="FL740" s="73"/>
      <c r="FM740" s="73"/>
      <c r="FN740" s="73"/>
      <c r="FO740" s="73"/>
      <c r="FP740" s="73"/>
      <c r="FQ740" s="73"/>
      <c r="FR740" s="73"/>
      <c r="FS740" s="73"/>
      <c r="FT740" s="73"/>
      <c r="FU740" s="73"/>
      <c r="FV740" s="73"/>
      <c r="FW740" s="73"/>
      <c r="FX740" s="73"/>
      <c r="GO740" s="73"/>
      <c r="GP740" s="73"/>
      <c r="HE740" s="73"/>
      <c r="HU740" s="73"/>
      <c r="HV740" s="182"/>
    </row>
    <row r="741" spans="1:230" x14ac:dyDescent="0.25">
      <c r="A741" s="30"/>
      <c r="B741" s="30"/>
      <c r="C741" s="30"/>
      <c r="D741" s="30"/>
      <c r="G741" s="30"/>
      <c r="H741" s="30"/>
      <c r="I741" s="30"/>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c r="CA741" s="73"/>
      <c r="CB741" s="73"/>
      <c r="CC741" s="73"/>
      <c r="CD741" s="73"/>
      <c r="CE741" s="73"/>
      <c r="CF741" s="73"/>
      <c r="CG741" s="73"/>
      <c r="CH741" s="73"/>
      <c r="CI741" s="73"/>
      <c r="CJ741" s="73"/>
      <c r="CK741" s="73"/>
      <c r="CL741" s="73"/>
      <c r="CM741" s="73"/>
      <c r="CN741" s="73"/>
      <c r="CO741" s="73"/>
      <c r="CP741" s="73"/>
      <c r="CQ741" s="73"/>
      <c r="CR741" s="73"/>
      <c r="CS741" s="73"/>
      <c r="CT741" s="73"/>
      <c r="CU741" s="73"/>
      <c r="CV741" s="73"/>
      <c r="CW741" s="73"/>
      <c r="CX741" s="73"/>
      <c r="CY741" s="73"/>
      <c r="CZ741" s="73"/>
      <c r="DA741" s="73"/>
      <c r="DB741" s="73"/>
      <c r="DC741" s="73"/>
      <c r="DD741" s="73"/>
      <c r="DE741" s="73"/>
      <c r="DF741" s="73"/>
      <c r="DG741" s="73"/>
      <c r="DH741" s="73"/>
      <c r="DI741" s="73"/>
      <c r="DJ741" s="73"/>
      <c r="DK741" s="73"/>
      <c r="DL741" s="73"/>
      <c r="DM741" s="73"/>
      <c r="DN741" s="73"/>
      <c r="DO741" s="73"/>
      <c r="DP741" s="73"/>
      <c r="DQ741" s="73"/>
      <c r="DR741" s="73"/>
      <c r="DS741" s="73"/>
      <c r="DT741" s="73"/>
      <c r="DU741" s="73"/>
      <c r="DV741" s="73"/>
      <c r="DW741" s="73"/>
      <c r="DX741" s="73"/>
      <c r="DY741" s="73"/>
      <c r="DZ741" s="73"/>
      <c r="EA741" s="73"/>
      <c r="EB741" s="73"/>
      <c r="EC741" s="73"/>
      <c r="ED741" s="73"/>
      <c r="EE741" s="73"/>
      <c r="EF741" s="73"/>
      <c r="FJ741" s="73"/>
      <c r="FK741" s="73"/>
      <c r="FL741" s="73"/>
      <c r="FM741" s="73"/>
      <c r="FN741" s="73"/>
      <c r="FO741" s="73"/>
      <c r="FP741" s="73"/>
      <c r="FQ741" s="73"/>
      <c r="FR741" s="73"/>
      <c r="FS741" s="73"/>
      <c r="FT741" s="73"/>
      <c r="FU741" s="73"/>
      <c r="FV741" s="73"/>
      <c r="FW741" s="73"/>
      <c r="FX741" s="73"/>
      <c r="GO741" s="73"/>
      <c r="GP741" s="73"/>
      <c r="HE741" s="73"/>
      <c r="HU741" s="73"/>
      <c r="HV741" s="182"/>
    </row>
    <row r="742" spans="1:230" x14ac:dyDescent="0.25">
      <c r="A742" s="30"/>
      <c r="B742" s="30"/>
      <c r="C742" s="30"/>
      <c r="D742" s="30"/>
      <c r="G742" s="30"/>
      <c r="H742" s="30"/>
      <c r="I742" s="30"/>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c r="CA742" s="73"/>
      <c r="CB742" s="73"/>
      <c r="CC742" s="73"/>
      <c r="CD742" s="73"/>
      <c r="CE742" s="73"/>
      <c r="CF742" s="73"/>
      <c r="CG742" s="73"/>
      <c r="CH742" s="73"/>
      <c r="CI742" s="73"/>
      <c r="CJ742" s="73"/>
      <c r="CK742" s="73"/>
      <c r="CL742" s="73"/>
      <c r="CM742" s="73"/>
      <c r="CN742" s="73"/>
      <c r="CO742" s="73"/>
      <c r="CP742" s="73"/>
      <c r="CQ742" s="73"/>
      <c r="CR742" s="73"/>
      <c r="CS742" s="73"/>
      <c r="CT742" s="73"/>
      <c r="CU742" s="73"/>
      <c r="CV742" s="73"/>
      <c r="CW742" s="73"/>
      <c r="CX742" s="73"/>
      <c r="CY742" s="73"/>
      <c r="CZ742" s="73"/>
      <c r="DA742" s="73"/>
      <c r="DB742" s="73"/>
      <c r="DC742" s="73"/>
      <c r="DD742" s="73"/>
      <c r="DE742" s="73"/>
      <c r="DF742" s="73"/>
      <c r="DG742" s="73"/>
      <c r="DH742" s="73"/>
      <c r="DI742" s="73"/>
      <c r="DJ742" s="73"/>
      <c r="DK742" s="73"/>
      <c r="DL742" s="73"/>
      <c r="DM742" s="73"/>
      <c r="DN742" s="73"/>
      <c r="DO742" s="73"/>
      <c r="DP742" s="73"/>
      <c r="DQ742" s="73"/>
      <c r="DR742" s="73"/>
      <c r="DS742" s="73"/>
      <c r="DT742" s="73"/>
      <c r="DU742" s="73"/>
      <c r="DV742" s="73"/>
      <c r="DW742" s="73"/>
      <c r="DX742" s="73"/>
      <c r="DY742" s="73"/>
      <c r="DZ742" s="73"/>
      <c r="EA742" s="73"/>
      <c r="EB742" s="73"/>
      <c r="EC742" s="73"/>
      <c r="ED742" s="73"/>
      <c r="EE742" s="73"/>
      <c r="EF742" s="73"/>
      <c r="FJ742" s="73"/>
      <c r="FK742" s="73"/>
      <c r="FL742" s="73"/>
      <c r="FM742" s="73"/>
      <c r="FN742" s="73"/>
      <c r="FO742" s="73"/>
      <c r="FP742" s="73"/>
      <c r="FQ742" s="73"/>
      <c r="FR742" s="73"/>
      <c r="FS742" s="73"/>
      <c r="FT742" s="73"/>
      <c r="FU742" s="73"/>
      <c r="FV742" s="73"/>
      <c r="FW742" s="73"/>
      <c r="FX742" s="73"/>
      <c r="GO742" s="73"/>
      <c r="GP742" s="73"/>
      <c r="HE742" s="73"/>
      <c r="HU742" s="73"/>
      <c r="HV742" s="182"/>
    </row>
    <row r="743" spans="1:230" x14ac:dyDescent="0.25">
      <c r="A743" s="30"/>
      <c r="B743" s="30"/>
      <c r="C743" s="30"/>
      <c r="D743" s="30"/>
      <c r="G743" s="30"/>
      <c r="H743" s="30"/>
      <c r="I743" s="30"/>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c r="CA743" s="73"/>
      <c r="CB743" s="73"/>
      <c r="CC743" s="73"/>
      <c r="CD743" s="73"/>
      <c r="CE743" s="73"/>
      <c r="CF743" s="73"/>
      <c r="CG743" s="73"/>
      <c r="CH743" s="73"/>
      <c r="CI743" s="73"/>
      <c r="CJ743" s="73"/>
      <c r="CK743" s="73"/>
      <c r="CL743" s="73"/>
      <c r="CM743" s="73"/>
      <c r="CN743" s="73"/>
      <c r="CO743" s="73"/>
      <c r="CP743" s="73"/>
      <c r="CQ743" s="73"/>
      <c r="CR743" s="73"/>
      <c r="CS743" s="73"/>
      <c r="CT743" s="73"/>
      <c r="CU743" s="73"/>
      <c r="CV743" s="73"/>
      <c r="CW743" s="73"/>
      <c r="CX743" s="73"/>
      <c r="CY743" s="73"/>
      <c r="CZ743" s="73"/>
      <c r="DA743" s="73"/>
      <c r="DB743" s="73"/>
      <c r="DC743" s="73"/>
      <c r="DD743" s="73"/>
      <c r="DE743" s="73"/>
      <c r="DF743" s="73"/>
      <c r="DG743" s="73"/>
      <c r="DH743" s="73"/>
      <c r="DI743" s="73"/>
      <c r="DJ743" s="73"/>
      <c r="DK743" s="73"/>
      <c r="DL743" s="73"/>
      <c r="DM743" s="73"/>
      <c r="DN743" s="73"/>
      <c r="DO743" s="73"/>
      <c r="DP743" s="73"/>
      <c r="DQ743" s="73"/>
      <c r="DR743" s="73"/>
      <c r="DS743" s="73"/>
      <c r="DT743" s="73"/>
      <c r="DU743" s="73"/>
      <c r="DV743" s="73"/>
      <c r="DW743" s="73"/>
      <c r="DX743" s="73"/>
      <c r="DY743" s="73"/>
      <c r="DZ743" s="73"/>
      <c r="EA743" s="73"/>
      <c r="EB743" s="73"/>
      <c r="EC743" s="73"/>
      <c r="ED743" s="73"/>
      <c r="EE743" s="73"/>
      <c r="EF743" s="73"/>
      <c r="FJ743" s="73"/>
      <c r="FK743" s="73"/>
      <c r="FL743" s="73"/>
      <c r="FM743" s="73"/>
      <c r="FN743" s="73"/>
      <c r="FO743" s="73"/>
      <c r="FP743" s="73"/>
      <c r="FQ743" s="73"/>
      <c r="FR743" s="73"/>
      <c r="FS743" s="73"/>
      <c r="FT743" s="73"/>
      <c r="FU743" s="73"/>
      <c r="FV743" s="73"/>
      <c r="FW743" s="73"/>
      <c r="FX743" s="73"/>
      <c r="GO743" s="73"/>
      <c r="GP743" s="73"/>
      <c r="HE743" s="73"/>
      <c r="HU743" s="73"/>
      <c r="HV743" s="182"/>
    </row>
    <row r="744" spans="1:230" x14ac:dyDescent="0.25">
      <c r="A744" s="30"/>
      <c r="B744" s="30"/>
      <c r="C744" s="30"/>
      <c r="D744" s="30"/>
      <c r="G744" s="30"/>
      <c r="H744" s="30"/>
      <c r="I744" s="30"/>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c r="CA744" s="73"/>
      <c r="CB744" s="73"/>
      <c r="CC744" s="73"/>
      <c r="CD744" s="73"/>
      <c r="CE744" s="73"/>
      <c r="CF744" s="73"/>
      <c r="CG744" s="73"/>
      <c r="CH744" s="73"/>
      <c r="CI744" s="73"/>
      <c r="CJ744" s="73"/>
      <c r="CK744" s="73"/>
      <c r="CL744" s="73"/>
      <c r="CM744" s="73"/>
      <c r="CN744" s="73"/>
      <c r="CO744" s="73"/>
      <c r="CP744" s="73"/>
      <c r="CQ744" s="73"/>
      <c r="CR744" s="73"/>
      <c r="CS744" s="73"/>
      <c r="CT744" s="73"/>
      <c r="CU744" s="73"/>
      <c r="CV744" s="73"/>
      <c r="CW744" s="73"/>
      <c r="CX744" s="73"/>
      <c r="CY744" s="73"/>
      <c r="CZ744" s="73"/>
      <c r="DA744" s="73"/>
      <c r="DB744" s="73"/>
      <c r="DC744" s="73"/>
      <c r="DD744" s="73"/>
      <c r="DE744" s="73"/>
      <c r="DF744" s="73"/>
      <c r="DG744" s="73"/>
      <c r="DH744" s="73"/>
      <c r="DI744" s="73"/>
      <c r="DJ744" s="73"/>
      <c r="DK744" s="73"/>
      <c r="DL744" s="73"/>
      <c r="DM744" s="73"/>
      <c r="DN744" s="73"/>
      <c r="DO744" s="73"/>
      <c r="DP744" s="73"/>
      <c r="DQ744" s="73"/>
      <c r="DR744" s="73"/>
      <c r="DS744" s="73"/>
      <c r="DT744" s="73"/>
      <c r="DU744" s="73"/>
      <c r="DV744" s="73"/>
      <c r="DW744" s="73"/>
      <c r="DX744" s="73"/>
      <c r="DY744" s="73"/>
      <c r="DZ744" s="73"/>
      <c r="EA744" s="73"/>
      <c r="EB744" s="73"/>
      <c r="EC744" s="73"/>
      <c r="ED744" s="73"/>
      <c r="EE744" s="73"/>
      <c r="EF744" s="73"/>
      <c r="FJ744" s="73"/>
      <c r="FK744" s="73"/>
      <c r="FL744" s="73"/>
      <c r="FM744" s="73"/>
      <c r="FN744" s="73"/>
      <c r="FO744" s="73"/>
      <c r="FP744" s="73"/>
      <c r="FQ744" s="73"/>
      <c r="FR744" s="73"/>
      <c r="FS744" s="73"/>
      <c r="FT744" s="73"/>
      <c r="FU744" s="73"/>
      <c r="FV744" s="73"/>
      <c r="FW744" s="73"/>
      <c r="FX744" s="73"/>
      <c r="GO744" s="73"/>
      <c r="GP744" s="73"/>
      <c r="HE744" s="73"/>
      <c r="HU744" s="73"/>
      <c r="HV744" s="182"/>
    </row>
    <row r="745" spans="1:230" x14ac:dyDescent="0.25">
      <c r="A745" s="30"/>
      <c r="B745" s="30"/>
      <c r="C745" s="30"/>
      <c r="D745" s="30"/>
      <c r="G745" s="30"/>
      <c r="H745" s="30"/>
      <c r="I745" s="30"/>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c r="CA745" s="73"/>
      <c r="CB745" s="73"/>
      <c r="CC745" s="73"/>
      <c r="CD745" s="73"/>
      <c r="CE745" s="73"/>
      <c r="CF745" s="73"/>
      <c r="CG745" s="73"/>
      <c r="CH745" s="73"/>
      <c r="CI745" s="73"/>
      <c r="CJ745" s="73"/>
      <c r="CK745" s="73"/>
      <c r="CL745" s="73"/>
      <c r="CM745" s="73"/>
      <c r="CN745" s="73"/>
      <c r="CO745" s="73"/>
      <c r="CP745" s="73"/>
      <c r="CQ745" s="73"/>
      <c r="CR745" s="73"/>
      <c r="CS745" s="73"/>
      <c r="CT745" s="73"/>
      <c r="CU745" s="73"/>
      <c r="CV745" s="73"/>
      <c r="CW745" s="73"/>
      <c r="CX745" s="73"/>
      <c r="CY745" s="73"/>
      <c r="CZ745" s="73"/>
      <c r="DA745" s="73"/>
      <c r="DB745" s="73"/>
      <c r="DC745" s="73"/>
      <c r="DD745" s="73"/>
      <c r="DE745" s="73"/>
      <c r="DF745" s="73"/>
      <c r="DG745" s="73"/>
      <c r="DH745" s="73"/>
      <c r="DI745" s="73"/>
      <c r="DJ745" s="73"/>
      <c r="DK745" s="73"/>
      <c r="DL745" s="73"/>
      <c r="DM745" s="73"/>
      <c r="DN745" s="73"/>
      <c r="DO745" s="73"/>
      <c r="DP745" s="73"/>
      <c r="DQ745" s="73"/>
      <c r="DR745" s="73"/>
      <c r="DS745" s="73"/>
      <c r="DT745" s="73"/>
      <c r="DU745" s="73"/>
      <c r="DV745" s="73"/>
      <c r="DW745" s="73"/>
      <c r="DX745" s="73"/>
      <c r="DY745" s="73"/>
      <c r="DZ745" s="73"/>
      <c r="EA745" s="73"/>
      <c r="EB745" s="73"/>
      <c r="EC745" s="73"/>
      <c r="ED745" s="73"/>
      <c r="EE745" s="73"/>
      <c r="EF745" s="73"/>
      <c r="FJ745" s="73"/>
      <c r="FK745" s="73"/>
      <c r="FL745" s="73"/>
      <c r="FM745" s="73"/>
      <c r="FN745" s="73"/>
      <c r="FO745" s="73"/>
      <c r="FP745" s="73"/>
      <c r="FQ745" s="73"/>
      <c r="FR745" s="73"/>
      <c r="FS745" s="73"/>
      <c r="FT745" s="73"/>
      <c r="FU745" s="73"/>
      <c r="FV745" s="73"/>
      <c r="FW745" s="73"/>
      <c r="FX745" s="73"/>
      <c r="GO745" s="73"/>
      <c r="GP745" s="73"/>
      <c r="HE745" s="73"/>
      <c r="HU745" s="73"/>
      <c r="HV745" s="182"/>
    </row>
    <row r="746" spans="1:230" x14ac:dyDescent="0.25">
      <c r="A746" s="30"/>
      <c r="B746" s="30"/>
      <c r="C746" s="30"/>
      <c r="D746" s="30"/>
      <c r="G746" s="30"/>
      <c r="H746" s="30"/>
      <c r="I746" s="30"/>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c r="CA746" s="73"/>
      <c r="CB746" s="73"/>
      <c r="CC746" s="73"/>
      <c r="CD746" s="73"/>
      <c r="CE746" s="73"/>
      <c r="CF746" s="73"/>
      <c r="CG746" s="73"/>
      <c r="CH746" s="73"/>
      <c r="CI746" s="73"/>
      <c r="CJ746" s="73"/>
      <c r="CK746" s="73"/>
      <c r="CL746" s="73"/>
      <c r="CM746" s="73"/>
      <c r="CN746" s="73"/>
      <c r="CO746" s="73"/>
      <c r="CP746" s="73"/>
      <c r="CQ746" s="73"/>
      <c r="CR746" s="73"/>
      <c r="CS746" s="73"/>
      <c r="CT746" s="73"/>
      <c r="CU746" s="73"/>
      <c r="CV746" s="73"/>
      <c r="CW746" s="73"/>
      <c r="CX746" s="73"/>
      <c r="CY746" s="73"/>
      <c r="CZ746" s="73"/>
      <c r="DA746" s="73"/>
      <c r="DB746" s="73"/>
      <c r="DC746" s="73"/>
      <c r="DD746" s="73"/>
      <c r="DE746" s="73"/>
      <c r="DF746" s="73"/>
      <c r="DG746" s="73"/>
      <c r="DH746" s="73"/>
      <c r="DI746" s="73"/>
      <c r="DJ746" s="73"/>
      <c r="DK746" s="73"/>
      <c r="DL746" s="73"/>
      <c r="DM746" s="73"/>
      <c r="DN746" s="73"/>
      <c r="DO746" s="73"/>
      <c r="DP746" s="73"/>
      <c r="DQ746" s="73"/>
      <c r="DR746" s="73"/>
      <c r="DS746" s="73"/>
      <c r="DT746" s="73"/>
      <c r="DU746" s="73"/>
      <c r="DV746" s="73"/>
      <c r="DW746" s="73"/>
      <c r="DX746" s="73"/>
      <c r="DY746" s="73"/>
      <c r="DZ746" s="73"/>
      <c r="EA746" s="73"/>
      <c r="EB746" s="73"/>
      <c r="EC746" s="73"/>
      <c r="ED746" s="73"/>
      <c r="EE746" s="73"/>
      <c r="EF746" s="73"/>
      <c r="FJ746" s="73"/>
      <c r="FK746" s="73"/>
      <c r="FL746" s="73"/>
      <c r="FM746" s="73"/>
      <c r="FN746" s="73"/>
      <c r="FO746" s="73"/>
      <c r="FP746" s="73"/>
      <c r="FQ746" s="73"/>
      <c r="FR746" s="73"/>
      <c r="FS746" s="73"/>
      <c r="FT746" s="73"/>
      <c r="FU746" s="73"/>
      <c r="FV746" s="73"/>
      <c r="FW746" s="73"/>
      <c r="FX746" s="73"/>
      <c r="GO746" s="73"/>
      <c r="GP746" s="73"/>
      <c r="HE746" s="73"/>
      <c r="HU746" s="73"/>
      <c r="HV746" s="182"/>
    </row>
    <row r="747" spans="1:230" x14ac:dyDescent="0.25">
      <c r="A747" s="30"/>
      <c r="B747" s="30"/>
      <c r="C747" s="30"/>
      <c r="D747" s="30"/>
      <c r="G747" s="30"/>
      <c r="H747" s="30"/>
      <c r="I747" s="30"/>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c r="CA747" s="73"/>
      <c r="CB747" s="73"/>
      <c r="CC747" s="73"/>
      <c r="CD747" s="73"/>
      <c r="CE747" s="73"/>
      <c r="CF747" s="73"/>
      <c r="CG747" s="73"/>
      <c r="CH747" s="73"/>
      <c r="CI747" s="73"/>
      <c r="CJ747" s="73"/>
      <c r="CK747" s="73"/>
      <c r="CL747" s="73"/>
      <c r="CM747" s="73"/>
      <c r="CN747" s="73"/>
      <c r="CO747" s="73"/>
      <c r="CP747" s="73"/>
      <c r="CQ747" s="73"/>
      <c r="CR747" s="73"/>
      <c r="CS747" s="73"/>
      <c r="CT747" s="73"/>
      <c r="CU747" s="73"/>
      <c r="CV747" s="73"/>
      <c r="CW747" s="73"/>
      <c r="CX747" s="73"/>
      <c r="CY747" s="73"/>
      <c r="CZ747" s="73"/>
      <c r="DA747" s="73"/>
      <c r="DB747" s="73"/>
      <c r="DC747" s="73"/>
      <c r="DD747" s="73"/>
      <c r="DE747" s="73"/>
      <c r="DF747" s="73"/>
      <c r="DG747" s="73"/>
      <c r="DH747" s="73"/>
      <c r="DI747" s="73"/>
      <c r="DJ747" s="73"/>
      <c r="DK747" s="73"/>
      <c r="DL747" s="73"/>
      <c r="DM747" s="73"/>
      <c r="DN747" s="73"/>
      <c r="DO747" s="73"/>
      <c r="DP747" s="73"/>
      <c r="DQ747" s="73"/>
      <c r="DR747" s="73"/>
      <c r="DS747" s="73"/>
      <c r="DT747" s="73"/>
      <c r="DU747" s="73"/>
      <c r="DV747" s="73"/>
      <c r="DW747" s="73"/>
      <c r="DX747" s="73"/>
      <c r="DY747" s="73"/>
      <c r="DZ747" s="73"/>
      <c r="EA747" s="73"/>
      <c r="EB747" s="73"/>
      <c r="EC747" s="73"/>
      <c r="ED747" s="73"/>
      <c r="EE747" s="73"/>
      <c r="EF747" s="73"/>
      <c r="FJ747" s="73"/>
      <c r="FK747" s="73"/>
      <c r="FL747" s="73"/>
      <c r="FM747" s="73"/>
      <c r="FN747" s="73"/>
      <c r="FO747" s="73"/>
      <c r="FP747" s="73"/>
      <c r="FQ747" s="73"/>
      <c r="FR747" s="73"/>
      <c r="FS747" s="73"/>
      <c r="FT747" s="73"/>
      <c r="FU747" s="73"/>
      <c r="FV747" s="73"/>
      <c r="FW747" s="73"/>
      <c r="FX747" s="73"/>
      <c r="GO747" s="73"/>
      <c r="GP747" s="73"/>
      <c r="HE747" s="73"/>
      <c r="HU747" s="73"/>
      <c r="HV747" s="182"/>
    </row>
    <row r="748" spans="1:230" x14ac:dyDescent="0.25">
      <c r="A748" s="30"/>
      <c r="B748" s="30"/>
      <c r="C748" s="30"/>
      <c r="D748" s="30"/>
      <c r="G748" s="30"/>
      <c r="H748" s="30"/>
      <c r="I748" s="30"/>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c r="CA748" s="73"/>
      <c r="CB748" s="73"/>
      <c r="CC748" s="73"/>
      <c r="CD748" s="73"/>
      <c r="CE748" s="73"/>
      <c r="CF748" s="73"/>
      <c r="CG748" s="73"/>
      <c r="CH748" s="73"/>
      <c r="CI748" s="73"/>
      <c r="CJ748" s="73"/>
      <c r="CK748" s="73"/>
      <c r="CL748" s="73"/>
      <c r="CM748" s="73"/>
      <c r="CN748" s="73"/>
      <c r="CO748" s="73"/>
      <c r="CP748" s="73"/>
      <c r="CQ748" s="73"/>
      <c r="CR748" s="73"/>
      <c r="CS748" s="73"/>
      <c r="CT748" s="73"/>
      <c r="CU748" s="73"/>
      <c r="CV748" s="73"/>
      <c r="CW748" s="73"/>
      <c r="CX748" s="73"/>
      <c r="CY748" s="73"/>
      <c r="CZ748" s="73"/>
      <c r="DA748" s="73"/>
      <c r="DB748" s="73"/>
      <c r="DC748" s="73"/>
      <c r="DD748" s="73"/>
      <c r="DE748" s="73"/>
      <c r="DF748" s="73"/>
      <c r="DG748" s="73"/>
      <c r="DH748" s="73"/>
      <c r="DI748" s="73"/>
      <c r="DJ748" s="73"/>
      <c r="DK748" s="73"/>
      <c r="DL748" s="73"/>
      <c r="DM748" s="73"/>
      <c r="DN748" s="73"/>
      <c r="DO748" s="73"/>
      <c r="DP748" s="73"/>
      <c r="DQ748" s="73"/>
      <c r="DR748" s="73"/>
      <c r="DS748" s="73"/>
      <c r="DT748" s="73"/>
      <c r="DU748" s="73"/>
      <c r="DV748" s="73"/>
      <c r="DW748" s="73"/>
      <c r="DX748" s="73"/>
      <c r="DY748" s="73"/>
      <c r="DZ748" s="73"/>
      <c r="EA748" s="73"/>
      <c r="EB748" s="73"/>
      <c r="EC748" s="73"/>
      <c r="ED748" s="73"/>
      <c r="EE748" s="73"/>
      <c r="EF748" s="73"/>
      <c r="FJ748" s="73"/>
      <c r="FK748" s="73"/>
      <c r="FL748" s="73"/>
      <c r="FM748" s="73"/>
      <c r="FN748" s="73"/>
      <c r="FO748" s="73"/>
      <c r="FP748" s="73"/>
      <c r="FQ748" s="73"/>
      <c r="FR748" s="73"/>
      <c r="FS748" s="73"/>
      <c r="FT748" s="73"/>
      <c r="FU748" s="73"/>
      <c r="FV748" s="73"/>
      <c r="FW748" s="73"/>
      <c r="FX748" s="73"/>
      <c r="GO748" s="73"/>
      <c r="GP748" s="73"/>
      <c r="HE748" s="73"/>
      <c r="HU748" s="73"/>
      <c r="HV748" s="182"/>
    </row>
    <row r="749" spans="1:230" x14ac:dyDescent="0.25">
      <c r="A749" s="30"/>
      <c r="B749" s="30"/>
      <c r="C749" s="30"/>
      <c r="D749" s="30"/>
      <c r="G749" s="30"/>
      <c r="H749" s="30"/>
      <c r="I749" s="30"/>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c r="CA749" s="73"/>
      <c r="CB749" s="73"/>
      <c r="CC749" s="73"/>
      <c r="CD749" s="73"/>
      <c r="CE749" s="73"/>
      <c r="CF749" s="73"/>
      <c r="CG749" s="73"/>
      <c r="CH749" s="73"/>
      <c r="CI749" s="73"/>
      <c r="CJ749" s="73"/>
      <c r="CK749" s="73"/>
      <c r="CL749" s="73"/>
      <c r="CM749" s="73"/>
      <c r="CN749" s="73"/>
      <c r="CO749" s="73"/>
      <c r="CP749" s="73"/>
      <c r="CQ749" s="73"/>
      <c r="CR749" s="73"/>
      <c r="CS749" s="73"/>
      <c r="CT749" s="73"/>
      <c r="CU749" s="73"/>
      <c r="CV749" s="73"/>
      <c r="CW749" s="73"/>
      <c r="CX749" s="73"/>
      <c r="CY749" s="73"/>
      <c r="CZ749" s="73"/>
      <c r="DA749" s="73"/>
      <c r="DB749" s="73"/>
      <c r="DC749" s="73"/>
      <c r="DD749" s="73"/>
      <c r="DE749" s="73"/>
      <c r="DF749" s="73"/>
      <c r="DG749" s="73"/>
      <c r="DH749" s="73"/>
      <c r="DI749" s="73"/>
      <c r="DJ749" s="73"/>
      <c r="DK749" s="73"/>
      <c r="DL749" s="73"/>
      <c r="DM749" s="73"/>
      <c r="DN749" s="73"/>
      <c r="DO749" s="73"/>
      <c r="DP749" s="73"/>
      <c r="DQ749" s="73"/>
      <c r="DR749" s="73"/>
      <c r="DS749" s="73"/>
      <c r="DT749" s="73"/>
      <c r="DU749" s="73"/>
      <c r="DV749" s="73"/>
      <c r="DW749" s="73"/>
      <c r="DX749" s="73"/>
      <c r="DY749" s="73"/>
      <c r="DZ749" s="73"/>
      <c r="EA749" s="73"/>
      <c r="EB749" s="73"/>
      <c r="EC749" s="73"/>
      <c r="ED749" s="73"/>
      <c r="EE749" s="73"/>
      <c r="EF749" s="73"/>
      <c r="FJ749" s="73"/>
      <c r="FK749" s="73"/>
      <c r="FL749" s="73"/>
      <c r="FM749" s="73"/>
      <c r="FN749" s="73"/>
      <c r="FO749" s="73"/>
      <c r="FP749" s="73"/>
      <c r="FQ749" s="73"/>
      <c r="FR749" s="73"/>
      <c r="FS749" s="73"/>
      <c r="FT749" s="73"/>
      <c r="FU749" s="73"/>
      <c r="FV749" s="73"/>
      <c r="FW749" s="73"/>
      <c r="FX749" s="73"/>
      <c r="GO749" s="73"/>
      <c r="GP749" s="73"/>
      <c r="HE749" s="73"/>
      <c r="HU749" s="73"/>
      <c r="HV749" s="182"/>
    </row>
    <row r="750" spans="1:230" x14ac:dyDescent="0.25">
      <c r="A750" s="30"/>
      <c r="B750" s="30"/>
      <c r="C750" s="30"/>
      <c r="D750" s="30"/>
      <c r="G750" s="30"/>
      <c r="H750" s="30"/>
      <c r="I750" s="30"/>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c r="CA750" s="73"/>
      <c r="CB750" s="73"/>
      <c r="CC750" s="73"/>
      <c r="CD750" s="73"/>
      <c r="CE750" s="73"/>
      <c r="CF750" s="73"/>
      <c r="CG750" s="73"/>
      <c r="CH750" s="73"/>
      <c r="CI750" s="73"/>
      <c r="CJ750" s="73"/>
      <c r="CK750" s="73"/>
      <c r="CL750" s="73"/>
      <c r="CM750" s="73"/>
      <c r="CN750" s="73"/>
      <c r="CO750" s="73"/>
      <c r="CP750" s="73"/>
      <c r="CQ750" s="73"/>
      <c r="CR750" s="73"/>
      <c r="CS750" s="73"/>
      <c r="CT750" s="73"/>
      <c r="CU750" s="73"/>
      <c r="CV750" s="73"/>
      <c r="CW750" s="73"/>
      <c r="CX750" s="73"/>
      <c r="CY750" s="73"/>
      <c r="CZ750" s="73"/>
      <c r="DA750" s="73"/>
      <c r="DB750" s="73"/>
      <c r="DC750" s="73"/>
      <c r="DD750" s="73"/>
      <c r="DE750" s="73"/>
      <c r="DF750" s="73"/>
      <c r="DG750" s="73"/>
      <c r="DH750" s="73"/>
      <c r="DI750" s="73"/>
      <c r="DJ750" s="73"/>
      <c r="DK750" s="73"/>
      <c r="DL750" s="73"/>
      <c r="DM750" s="73"/>
      <c r="DN750" s="73"/>
      <c r="DO750" s="73"/>
      <c r="DP750" s="73"/>
      <c r="DQ750" s="73"/>
      <c r="DR750" s="73"/>
      <c r="DS750" s="73"/>
      <c r="DT750" s="73"/>
      <c r="DU750" s="73"/>
      <c r="DV750" s="73"/>
      <c r="DW750" s="73"/>
      <c r="DX750" s="73"/>
      <c r="DY750" s="73"/>
      <c r="DZ750" s="73"/>
      <c r="EA750" s="73"/>
      <c r="EB750" s="73"/>
      <c r="EC750" s="73"/>
      <c r="ED750" s="73"/>
      <c r="EE750" s="73"/>
      <c r="EF750" s="73"/>
      <c r="FJ750" s="73"/>
      <c r="FK750" s="73"/>
      <c r="FL750" s="73"/>
      <c r="FM750" s="73"/>
      <c r="FN750" s="73"/>
      <c r="FO750" s="73"/>
      <c r="FP750" s="73"/>
      <c r="FQ750" s="73"/>
      <c r="FR750" s="73"/>
      <c r="FS750" s="73"/>
      <c r="FT750" s="73"/>
      <c r="FU750" s="73"/>
      <c r="FV750" s="73"/>
      <c r="FW750" s="73"/>
      <c r="FX750" s="73"/>
      <c r="GO750" s="73"/>
      <c r="GP750" s="73"/>
      <c r="HE750" s="73"/>
      <c r="HU750" s="73"/>
      <c r="HV750" s="182"/>
    </row>
    <row r="751" spans="1:230" x14ac:dyDescent="0.25">
      <c r="A751" s="30"/>
      <c r="B751" s="30"/>
      <c r="C751" s="30"/>
      <c r="D751" s="30"/>
      <c r="G751" s="30"/>
      <c r="H751" s="30"/>
      <c r="I751" s="30"/>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c r="CA751" s="73"/>
      <c r="CB751" s="73"/>
      <c r="CC751" s="73"/>
      <c r="CD751" s="73"/>
      <c r="CE751" s="73"/>
      <c r="CF751" s="73"/>
      <c r="CG751" s="73"/>
      <c r="CH751" s="73"/>
      <c r="CI751" s="73"/>
      <c r="CJ751" s="73"/>
      <c r="CK751" s="73"/>
      <c r="CL751" s="73"/>
      <c r="CM751" s="73"/>
      <c r="CN751" s="73"/>
      <c r="CO751" s="73"/>
      <c r="CP751" s="73"/>
      <c r="CQ751" s="73"/>
      <c r="CR751" s="73"/>
      <c r="CS751" s="73"/>
      <c r="CT751" s="73"/>
      <c r="CU751" s="73"/>
      <c r="CV751" s="73"/>
      <c r="CW751" s="73"/>
      <c r="CX751" s="73"/>
      <c r="CY751" s="73"/>
      <c r="CZ751" s="73"/>
      <c r="DA751" s="73"/>
      <c r="DB751" s="73"/>
      <c r="DC751" s="73"/>
      <c r="DD751" s="73"/>
      <c r="DE751" s="73"/>
      <c r="DF751" s="73"/>
      <c r="DG751" s="73"/>
      <c r="DH751" s="73"/>
      <c r="DI751" s="73"/>
      <c r="DJ751" s="73"/>
      <c r="DK751" s="73"/>
      <c r="DL751" s="73"/>
      <c r="DM751" s="73"/>
      <c r="DN751" s="73"/>
      <c r="DO751" s="73"/>
      <c r="DP751" s="73"/>
      <c r="DQ751" s="73"/>
      <c r="DR751" s="73"/>
      <c r="DS751" s="73"/>
      <c r="DT751" s="73"/>
      <c r="DU751" s="73"/>
      <c r="DV751" s="73"/>
      <c r="DW751" s="73"/>
      <c r="DX751" s="73"/>
      <c r="DY751" s="73"/>
      <c r="DZ751" s="73"/>
      <c r="EA751" s="73"/>
      <c r="EB751" s="73"/>
      <c r="EC751" s="73"/>
      <c r="ED751" s="73"/>
      <c r="EE751" s="73"/>
      <c r="EF751" s="73"/>
      <c r="FJ751" s="73"/>
      <c r="FK751" s="73"/>
      <c r="FL751" s="73"/>
      <c r="FM751" s="73"/>
      <c r="FN751" s="73"/>
      <c r="FO751" s="73"/>
      <c r="FP751" s="73"/>
      <c r="FQ751" s="73"/>
      <c r="FR751" s="73"/>
      <c r="FS751" s="73"/>
      <c r="FT751" s="73"/>
      <c r="FU751" s="73"/>
      <c r="FV751" s="73"/>
      <c r="FW751" s="73"/>
      <c r="FX751" s="73"/>
      <c r="GO751" s="73"/>
      <c r="GP751" s="73"/>
      <c r="HE751" s="73"/>
      <c r="HU751" s="73"/>
      <c r="HV751" s="182"/>
    </row>
    <row r="752" spans="1:230" x14ac:dyDescent="0.25">
      <c r="A752" s="30"/>
      <c r="B752" s="30"/>
      <c r="C752" s="30"/>
      <c r="D752" s="30"/>
      <c r="G752" s="30"/>
      <c r="H752" s="30"/>
      <c r="I752" s="30"/>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c r="CA752" s="73"/>
      <c r="CB752" s="73"/>
      <c r="CC752" s="73"/>
      <c r="CD752" s="73"/>
      <c r="CE752" s="73"/>
      <c r="CF752" s="73"/>
      <c r="CG752" s="73"/>
      <c r="CH752" s="73"/>
      <c r="CI752" s="73"/>
      <c r="CJ752" s="73"/>
      <c r="CK752" s="73"/>
      <c r="CL752" s="73"/>
      <c r="CM752" s="73"/>
      <c r="CN752" s="73"/>
      <c r="CO752" s="73"/>
      <c r="CP752" s="73"/>
      <c r="CQ752" s="73"/>
      <c r="CR752" s="73"/>
      <c r="CS752" s="73"/>
      <c r="CT752" s="73"/>
      <c r="CU752" s="73"/>
      <c r="CV752" s="73"/>
      <c r="CW752" s="73"/>
      <c r="CX752" s="73"/>
      <c r="CY752" s="73"/>
      <c r="CZ752" s="73"/>
      <c r="DA752" s="73"/>
      <c r="DB752" s="73"/>
      <c r="DC752" s="73"/>
      <c r="DD752" s="73"/>
      <c r="DE752" s="73"/>
      <c r="DF752" s="73"/>
      <c r="DG752" s="73"/>
      <c r="DH752" s="73"/>
      <c r="DI752" s="73"/>
      <c r="DJ752" s="73"/>
      <c r="DK752" s="73"/>
      <c r="DL752" s="73"/>
      <c r="DM752" s="73"/>
      <c r="DN752" s="73"/>
      <c r="DO752" s="73"/>
      <c r="DP752" s="73"/>
      <c r="DQ752" s="73"/>
      <c r="DR752" s="73"/>
      <c r="DS752" s="73"/>
      <c r="DT752" s="73"/>
      <c r="DU752" s="73"/>
      <c r="DV752" s="73"/>
      <c r="DW752" s="73"/>
      <c r="DX752" s="73"/>
      <c r="DY752" s="73"/>
      <c r="DZ752" s="73"/>
      <c r="EA752" s="73"/>
      <c r="EB752" s="73"/>
      <c r="EC752" s="73"/>
      <c r="ED752" s="73"/>
      <c r="EE752" s="73"/>
      <c r="EF752" s="73"/>
      <c r="FJ752" s="73"/>
      <c r="FK752" s="73"/>
      <c r="FL752" s="73"/>
      <c r="FM752" s="73"/>
      <c r="FN752" s="73"/>
      <c r="FO752" s="73"/>
      <c r="FP752" s="73"/>
      <c r="FQ752" s="73"/>
      <c r="FR752" s="73"/>
      <c r="FS752" s="73"/>
      <c r="FT752" s="73"/>
      <c r="FU752" s="73"/>
      <c r="FV752" s="73"/>
      <c r="FW752" s="73"/>
      <c r="FX752" s="73"/>
      <c r="GO752" s="73"/>
      <c r="GP752" s="73"/>
      <c r="HE752" s="73"/>
      <c r="HU752" s="73"/>
      <c r="HV752" s="182"/>
    </row>
    <row r="753" spans="1:230" x14ac:dyDescent="0.25">
      <c r="A753" s="30"/>
      <c r="B753" s="30"/>
      <c r="C753" s="30"/>
      <c r="D753" s="30"/>
      <c r="G753" s="30"/>
      <c r="H753" s="30"/>
      <c r="I753" s="30"/>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c r="CA753" s="73"/>
      <c r="CB753" s="73"/>
      <c r="CC753" s="73"/>
      <c r="CD753" s="73"/>
      <c r="CE753" s="73"/>
      <c r="CF753" s="73"/>
      <c r="CG753" s="73"/>
      <c r="CH753" s="73"/>
      <c r="CI753" s="73"/>
      <c r="CJ753" s="73"/>
      <c r="CK753" s="73"/>
      <c r="CL753" s="73"/>
      <c r="CM753" s="73"/>
      <c r="CN753" s="73"/>
      <c r="CO753" s="73"/>
      <c r="CP753" s="73"/>
      <c r="CQ753" s="73"/>
      <c r="CR753" s="73"/>
      <c r="CS753" s="73"/>
      <c r="CT753" s="73"/>
      <c r="CU753" s="73"/>
      <c r="CV753" s="73"/>
      <c r="CW753" s="73"/>
      <c r="CX753" s="73"/>
      <c r="CY753" s="73"/>
      <c r="CZ753" s="73"/>
      <c r="DA753" s="73"/>
      <c r="DB753" s="73"/>
      <c r="DC753" s="73"/>
      <c r="DD753" s="73"/>
      <c r="DE753" s="73"/>
      <c r="DF753" s="73"/>
      <c r="DG753" s="73"/>
      <c r="DH753" s="73"/>
      <c r="DI753" s="73"/>
      <c r="DJ753" s="73"/>
      <c r="DK753" s="73"/>
      <c r="DL753" s="73"/>
      <c r="DM753" s="73"/>
      <c r="DN753" s="73"/>
      <c r="DO753" s="73"/>
      <c r="DP753" s="73"/>
      <c r="DQ753" s="73"/>
      <c r="DR753" s="73"/>
      <c r="DS753" s="73"/>
      <c r="DT753" s="73"/>
      <c r="DU753" s="73"/>
      <c r="DV753" s="73"/>
      <c r="DW753" s="73"/>
      <c r="DX753" s="73"/>
      <c r="DY753" s="73"/>
      <c r="DZ753" s="73"/>
      <c r="EA753" s="73"/>
      <c r="EB753" s="73"/>
      <c r="EC753" s="73"/>
      <c r="ED753" s="73"/>
      <c r="EE753" s="73"/>
      <c r="EF753" s="73"/>
      <c r="FJ753" s="73"/>
      <c r="FK753" s="73"/>
      <c r="FL753" s="73"/>
      <c r="FM753" s="73"/>
      <c r="FN753" s="73"/>
      <c r="FO753" s="73"/>
      <c r="FP753" s="73"/>
      <c r="FQ753" s="73"/>
      <c r="FR753" s="73"/>
      <c r="FS753" s="73"/>
      <c r="FT753" s="73"/>
      <c r="FU753" s="73"/>
      <c r="FV753" s="73"/>
      <c r="FW753" s="73"/>
      <c r="FX753" s="73"/>
      <c r="GO753" s="73"/>
      <c r="GP753" s="73"/>
      <c r="HE753" s="73"/>
      <c r="HU753" s="73"/>
      <c r="HV753" s="182"/>
    </row>
    <row r="754" spans="1:230" x14ac:dyDescent="0.25">
      <c r="A754" s="30"/>
      <c r="B754" s="30"/>
      <c r="C754" s="30"/>
      <c r="D754" s="30"/>
      <c r="G754" s="30"/>
      <c r="H754" s="30"/>
      <c r="I754" s="30"/>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c r="CA754" s="73"/>
      <c r="CB754" s="73"/>
      <c r="CC754" s="73"/>
      <c r="CD754" s="73"/>
      <c r="CE754" s="73"/>
      <c r="CF754" s="73"/>
      <c r="CG754" s="73"/>
      <c r="CH754" s="73"/>
      <c r="CI754" s="73"/>
      <c r="CJ754" s="73"/>
      <c r="CK754" s="73"/>
      <c r="CL754" s="73"/>
      <c r="CM754" s="73"/>
      <c r="CN754" s="73"/>
      <c r="CO754" s="73"/>
      <c r="CP754" s="73"/>
      <c r="CQ754" s="73"/>
      <c r="CR754" s="73"/>
      <c r="CS754" s="73"/>
      <c r="CT754" s="73"/>
      <c r="CU754" s="73"/>
      <c r="CV754" s="73"/>
      <c r="CW754" s="73"/>
      <c r="CX754" s="73"/>
      <c r="CY754" s="73"/>
      <c r="CZ754" s="73"/>
      <c r="DA754" s="73"/>
      <c r="DB754" s="73"/>
      <c r="DC754" s="73"/>
      <c r="DD754" s="73"/>
      <c r="DE754" s="73"/>
      <c r="DF754" s="73"/>
      <c r="DG754" s="73"/>
      <c r="DH754" s="73"/>
      <c r="DI754" s="73"/>
      <c r="DJ754" s="73"/>
      <c r="DK754" s="73"/>
      <c r="DL754" s="73"/>
      <c r="DM754" s="73"/>
      <c r="DN754" s="73"/>
      <c r="DO754" s="73"/>
      <c r="DP754" s="73"/>
      <c r="DQ754" s="73"/>
      <c r="DR754" s="73"/>
      <c r="DS754" s="73"/>
      <c r="DT754" s="73"/>
      <c r="DU754" s="73"/>
      <c r="DV754" s="73"/>
      <c r="DW754" s="73"/>
      <c r="DX754" s="73"/>
      <c r="DY754" s="73"/>
      <c r="DZ754" s="73"/>
      <c r="EA754" s="73"/>
      <c r="EB754" s="73"/>
      <c r="EC754" s="73"/>
      <c r="ED754" s="73"/>
      <c r="EE754" s="73"/>
      <c r="EF754" s="73"/>
      <c r="FJ754" s="73"/>
      <c r="FK754" s="73"/>
      <c r="FL754" s="73"/>
      <c r="FM754" s="73"/>
      <c r="FN754" s="73"/>
      <c r="FO754" s="73"/>
      <c r="FP754" s="73"/>
      <c r="FQ754" s="73"/>
      <c r="FR754" s="73"/>
      <c r="FS754" s="73"/>
      <c r="FT754" s="73"/>
      <c r="FU754" s="73"/>
      <c r="FV754" s="73"/>
      <c r="FW754" s="73"/>
      <c r="FX754" s="73"/>
      <c r="GO754" s="73"/>
      <c r="GP754" s="73"/>
      <c r="HE754" s="73"/>
      <c r="HU754" s="73"/>
      <c r="HV754" s="182"/>
    </row>
    <row r="755" spans="1:230" x14ac:dyDescent="0.25">
      <c r="A755" s="30"/>
      <c r="B755" s="30"/>
      <c r="C755" s="30"/>
      <c r="D755" s="30"/>
      <c r="G755" s="30"/>
      <c r="H755" s="30"/>
      <c r="I755" s="30"/>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c r="CA755" s="73"/>
      <c r="CB755" s="73"/>
      <c r="CC755" s="73"/>
      <c r="CD755" s="73"/>
      <c r="CE755" s="73"/>
      <c r="CF755" s="73"/>
      <c r="CG755" s="73"/>
      <c r="CH755" s="73"/>
      <c r="CI755" s="73"/>
      <c r="CJ755" s="73"/>
      <c r="CK755" s="73"/>
      <c r="CL755" s="73"/>
      <c r="CM755" s="73"/>
      <c r="CN755" s="73"/>
      <c r="CO755" s="73"/>
      <c r="CP755" s="73"/>
      <c r="CQ755" s="73"/>
      <c r="CR755" s="73"/>
      <c r="CS755" s="73"/>
      <c r="CT755" s="73"/>
      <c r="CU755" s="73"/>
      <c r="CV755" s="73"/>
      <c r="CW755" s="73"/>
      <c r="CX755" s="73"/>
      <c r="CY755" s="73"/>
      <c r="CZ755" s="73"/>
      <c r="DA755" s="73"/>
      <c r="DB755" s="73"/>
      <c r="DC755" s="73"/>
      <c r="DD755" s="73"/>
      <c r="DE755" s="73"/>
      <c r="DF755" s="73"/>
      <c r="DG755" s="73"/>
      <c r="DH755" s="73"/>
      <c r="DI755" s="73"/>
      <c r="DJ755" s="73"/>
      <c r="DK755" s="73"/>
      <c r="DL755" s="73"/>
      <c r="DM755" s="73"/>
      <c r="DN755" s="73"/>
      <c r="DO755" s="73"/>
      <c r="DP755" s="73"/>
      <c r="DQ755" s="73"/>
      <c r="DR755" s="73"/>
      <c r="DS755" s="73"/>
      <c r="DT755" s="73"/>
      <c r="DU755" s="73"/>
      <c r="DV755" s="73"/>
      <c r="DW755" s="73"/>
      <c r="DX755" s="73"/>
      <c r="DY755" s="73"/>
      <c r="DZ755" s="73"/>
      <c r="EA755" s="73"/>
      <c r="EB755" s="73"/>
      <c r="EC755" s="73"/>
      <c r="ED755" s="73"/>
      <c r="EE755" s="73"/>
      <c r="EF755" s="73"/>
      <c r="FJ755" s="73"/>
      <c r="FK755" s="73"/>
      <c r="FL755" s="73"/>
      <c r="FM755" s="73"/>
      <c r="FN755" s="73"/>
      <c r="FO755" s="73"/>
      <c r="FP755" s="73"/>
      <c r="FQ755" s="73"/>
      <c r="FR755" s="73"/>
      <c r="FS755" s="73"/>
      <c r="FT755" s="73"/>
      <c r="FU755" s="73"/>
      <c r="FV755" s="73"/>
      <c r="FW755" s="73"/>
      <c r="FX755" s="73"/>
      <c r="GO755" s="73"/>
      <c r="GP755" s="73"/>
      <c r="HE755" s="73"/>
      <c r="HU755" s="73"/>
      <c r="HV755" s="182"/>
    </row>
    <row r="756" spans="1:230" x14ac:dyDescent="0.25">
      <c r="A756" s="30"/>
      <c r="B756" s="30"/>
      <c r="C756" s="30"/>
      <c r="D756" s="30"/>
      <c r="G756" s="30"/>
      <c r="H756" s="30"/>
      <c r="I756" s="30"/>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c r="CA756" s="73"/>
      <c r="CB756" s="73"/>
      <c r="CC756" s="73"/>
      <c r="CD756" s="73"/>
      <c r="CE756" s="73"/>
      <c r="CF756" s="73"/>
      <c r="CG756" s="73"/>
      <c r="CH756" s="73"/>
      <c r="CI756" s="73"/>
      <c r="CJ756" s="73"/>
      <c r="CK756" s="73"/>
      <c r="CL756" s="73"/>
      <c r="CM756" s="73"/>
      <c r="CN756" s="73"/>
      <c r="CO756" s="73"/>
      <c r="CP756" s="73"/>
      <c r="CQ756" s="73"/>
      <c r="CR756" s="73"/>
      <c r="CS756" s="73"/>
      <c r="CT756" s="73"/>
      <c r="CU756" s="73"/>
      <c r="CV756" s="73"/>
      <c r="CW756" s="73"/>
      <c r="CX756" s="73"/>
      <c r="CY756" s="73"/>
      <c r="CZ756" s="73"/>
      <c r="DA756" s="73"/>
      <c r="DB756" s="73"/>
      <c r="DC756" s="73"/>
      <c r="DD756" s="73"/>
      <c r="DE756" s="73"/>
      <c r="DF756" s="73"/>
      <c r="DG756" s="73"/>
      <c r="DH756" s="73"/>
      <c r="DI756" s="73"/>
      <c r="DJ756" s="73"/>
      <c r="DK756" s="73"/>
      <c r="DL756" s="73"/>
      <c r="DM756" s="73"/>
      <c r="DN756" s="73"/>
      <c r="DO756" s="73"/>
      <c r="DP756" s="73"/>
      <c r="DQ756" s="73"/>
      <c r="DR756" s="73"/>
      <c r="DS756" s="73"/>
      <c r="DT756" s="73"/>
      <c r="DU756" s="73"/>
      <c r="DV756" s="73"/>
      <c r="DW756" s="73"/>
      <c r="DX756" s="73"/>
      <c r="DY756" s="73"/>
      <c r="DZ756" s="73"/>
      <c r="EA756" s="73"/>
      <c r="EB756" s="73"/>
      <c r="EC756" s="73"/>
      <c r="ED756" s="73"/>
      <c r="EE756" s="73"/>
      <c r="EF756" s="73"/>
      <c r="FJ756" s="73"/>
      <c r="FK756" s="73"/>
      <c r="FL756" s="73"/>
      <c r="FM756" s="73"/>
      <c r="FN756" s="73"/>
      <c r="FO756" s="73"/>
      <c r="FP756" s="73"/>
      <c r="FQ756" s="73"/>
      <c r="FR756" s="73"/>
      <c r="FS756" s="73"/>
      <c r="FT756" s="73"/>
      <c r="FU756" s="73"/>
      <c r="FV756" s="73"/>
      <c r="FW756" s="73"/>
      <c r="FX756" s="73"/>
      <c r="GO756" s="73"/>
      <c r="GP756" s="73"/>
      <c r="HE756" s="73"/>
      <c r="HU756" s="73"/>
      <c r="HV756" s="182"/>
    </row>
    <row r="757" spans="1:230" x14ac:dyDescent="0.25">
      <c r="A757" s="30"/>
      <c r="B757" s="30"/>
      <c r="C757" s="30"/>
      <c r="D757" s="30"/>
      <c r="G757" s="30"/>
      <c r="H757" s="30"/>
      <c r="I757" s="30"/>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c r="CA757" s="73"/>
      <c r="CB757" s="73"/>
      <c r="CC757" s="73"/>
      <c r="CD757" s="73"/>
      <c r="CE757" s="73"/>
      <c r="CF757" s="73"/>
      <c r="CG757" s="73"/>
      <c r="CH757" s="73"/>
      <c r="CI757" s="73"/>
      <c r="CJ757" s="73"/>
      <c r="CK757" s="73"/>
      <c r="CL757" s="73"/>
      <c r="CM757" s="73"/>
      <c r="CN757" s="73"/>
      <c r="CO757" s="73"/>
      <c r="CP757" s="73"/>
      <c r="CQ757" s="73"/>
      <c r="CR757" s="73"/>
      <c r="CS757" s="73"/>
      <c r="CT757" s="73"/>
      <c r="CU757" s="73"/>
      <c r="CV757" s="73"/>
      <c r="CW757" s="73"/>
      <c r="CX757" s="73"/>
      <c r="CY757" s="73"/>
      <c r="CZ757" s="73"/>
      <c r="DA757" s="73"/>
      <c r="DB757" s="73"/>
      <c r="DC757" s="73"/>
      <c r="DD757" s="73"/>
      <c r="DE757" s="73"/>
      <c r="DF757" s="73"/>
      <c r="DG757" s="73"/>
      <c r="DH757" s="73"/>
      <c r="DI757" s="73"/>
      <c r="DJ757" s="73"/>
      <c r="DK757" s="73"/>
      <c r="DL757" s="73"/>
      <c r="DM757" s="73"/>
      <c r="DN757" s="73"/>
      <c r="DO757" s="73"/>
      <c r="DP757" s="73"/>
      <c r="DQ757" s="73"/>
      <c r="DR757" s="73"/>
      <c r="DS757" s="73"/>
      <c r="DT757" s="73"/>
      <c r="DU757" s="73"/>
      <c r="DV757" s="73"/>
      <c r="DW757" s="73"/>
      <c r="DX757" s="73"/>
      <c r="DY757" s="73"/>
      <c r="DZ757" s="73"/>
      <c r="EA757" s="73"/>
      <c r="EB757" s="73"/>
      <c r="EC757" s="73"/>
      <c r="ED757" s="73"/>
      <c r="EE757" s="73"/>
      <c r="EF757" s="73"/>
      <c r="FJ757" s="73"/>
      <c r="FK757" s="73"/>
      <c r="FL757" s="73"/>
      <c r="FM757" s="73"/>
      <c r="FN757" s="73"/>
      <c r="FO757" s="73"/>
      <c r="FP757" s="73"/>
      <c r="FQ757" s="73"/>
      <c r="FR757" s="73"/>
      <c r="FS757" s="73"/>
      <c r="FT757" s="73"/>
      <c r="FU757" s="73"/>
      <c r="FV757" s="73"/>
      <c r="FW757" s="73"/>
      <c r="FX757" s="73"/>
      <c r="GO757" s="73"/>
      <c r="GP757" s="73"/>
      <c r="HE757" s="73"/>
      <c r="HU757" s="73"/>
      <c r="HV757" s="182"/>
    </row>
    <row r="758" spans="1:230" x14ac:dyDescent="0.25">
      <c r="A758" s="30"/>
      <c r="B758" s="30"/>
      <c r="C758" s="30"/>
      <c r="D758" s="30"/>
      <c r="G758" s="30"/>
      <c r="H758" s="30"/>
      <c r="I758" s="30"/>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c r="CA758" s="73"/>
      <c r="CB758" s="73"/>
      <c r="CC758" s="73"/>
      <c r="CD758" s="73"/>
      <c r="CE758" s="73"/>
      <c r="CF758" s="73"/>
      <c r="CG758" s="73"/>
      <c r="CH758" s="73"/>
      <c r="CI758" s="73"/>
      <c r="CJ758" s="73"/>
      <c r="CK758" s="73"/>
      <c r="CL758" s="73"/>
      <c r="CM758" s="73"/>
      <c r="CN758" s="73"/>
      <c r="CO758" s="73"/>
      <c r="CP758" s="73"/>
      <c r="CQ758" s="73"/>
      <c r="CR758" s="73"/>
      <c r="CS758" s="73"/>
      <c r="CT758" s="73"/>
      <c r="CU758" s="73"/>
      <c r="CV758" s="73"/>
      <c r="CW758" s="73"/>
      <c r="CX758" s="73"/>
      <c r="CY758" s="73"/>
      <c r="CZ758" s="73"/>
      <c r="DA758" s="73"/>
      <c r="DB758" s="73"/>
      <c r="DC758" s="73"/>
      <c r="DD758" s="73"/>
      <c r="DE758" s="73"/>
      <c r="DF758" s="73"/>
      <c r="DG758" s="73"/>
      <c r="DH758" s="73"/>
      <c r="DI758" s="73"/>
      <c r="DJ758" s="73"/>
      <c r="DK758" s="73"/>
      <c r="DL758" s="73"/>
      <c r="DM758" s="73"/>
      <c r="DN758" s="73"/>
      <c r="DO758" s="73"/>
      <c r="DP758" s="73"/>
      <c r="DQ758" s="73"/>
      <c r="DR758" s="73"/>
      <c r="DS758" s="73"/>
      <c r="DT758" s="73"/>
      <c r="DU758" s="73"/>
      <c r="DV758" s="73"/>
      <c r="DW758" s="73"/>
      <c r="DX758" s="73"/>
      <c r="DY758" s="73"/>
      <c r="DZ758" s="73"/>
      <c r="EA758" s="73"/>
      <c r="EB758" s="73"/>
      <c r="EC758" s="73"/>
      <c r="ED758" s="73"/>
      <c r="EE758" s="73"/>
      <c r="EF758" s="73"/>
      <c r="FJ758" s="73"/>
      <c r="FK758" s="73"/>
      <c r="FL758" s="73"/>
      <c r="FM758" s="73"/>
      <c r="FN758" s="73"/>
      <c r="FO758" s="73"/>
      <c r="FP758" s="73"/>
      <c r="FQ758" s="73"/>
      <c r="FR758" s="73"/>
      <c r="FS758" s="73"/>
      <c r="FT758" s="73"/>
      <c r="FU758" s="73"/>
      <c r="FV758" s="73"/>
      <c r="FW758" s="73"/>
      <c r="FX758" s="73"/>
      <c r="GO758" s="73"/>
      <c r="GP758" s="73"/>
      <c r="HE758" s="73"/>
      <c r="HU758" s="73"/>
      <c r="HV758" s="182"/>
    </row>
    <row r="759" spans="1:230" x14ac:dyDescent="0.25">
      <c r="A759" s="30"/>
      <c r="B759" s="30"/>
      <c r="C759" s="30"/>
      <c r="D759" s="30"/>
      <c r="G759" s="30"/>
      <c r="H759" s="30"/>
      <c r="I759" s="30"/>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c r="CA759" s="73"/>
      <c r="CB759" s="73"/>
      <c r="CC759" s="73"/>
      <c r="CD759" s="73"/>
      <c r="CE759" s="73"/>
      <c r="CF759" s="73"/>
      <c r="CG759" s="73"/>
      <c r="CH759" s="73"/>
      <c r="CI759" s="73"/>
      <c r="CJ759" s="73"/>
      <c r="CK759" s="73"/>
      <c r="CL759" s="73"/>
      <c r="CM759" s="73"/>
      <c r="CN759" s="73"/>
      <c r="CO759" s="73"/>
      <c r="CP759" s="73"/>
      <c r="CQ759" s="73"/>
      <c r="CR759" s="73"/>
      <c r="CS759" s="73"/>
      <c r="CT759" s="73"/>
      <c r="CU759" s="73"/>
      <c r="CV759" s="73"/>
      <c r="CW759" s="73"/>
      <c r="CX759" s="73"/>
      <c r="CY759" s="73"/>
      <c r="CZ759" s="73"/>
      <c r="DA759" s="73"/>
      <c r="DB759" s="73"/>
      <c r="DC759" s="73"/>
      <c r="DD759" s="73"/>
      <c r="DE759" s="73"/>
      <c r="DF759" s="73"/>
      <c r="DG759" s="73"/>
      <c r="DH759" s="73"/>
      <c r="DI759" s="73"/>
      <c r="DJ759" s="73"/>
      <c r="DK759" s="73"/>
      <c r="DL759" s="73"/>
      <c r="DM759" s="73"/>
      <c r="DN759" s="73"/>
      <c r="DO759" s="73"/>
      <c r="DP759" s="73"/>
      <c r="DQ759" s="73"/>
      <c r="DR759" s="73"/>
      <c r="DS759" s="73"/>
      <c r="DT759" s="73"/>
      <c r="DU759" s="73"/>
      <c r="DV759" s="73"/>
      <c r="DW759" s="73"/>
      <c r="DX759" s="73"/>
      <c r="DY759" s="73"/>
      <c r="DZ759" s="73"/>
      <c r="EA759" s="73"/>
      <c r="EB759" s="73"/>
      <c r="EC759" s="73"/>
      <c r="ED759" s="73"/>
      <c r="EE759" s="73"/>
      <c r="EF759" s="73"/>
      <c r="FJ759" s="73"/>
      <c r="FK759" s="73"/>
      <c r="FL759" s="73"/>
      <c r="FM759" s="73"/>
      <c r="FN759" s="73"/>
      <c r="FO759" s="73"/>
      <c r="FP759" s="73"/>
      <c r="FQ759" s="73"/>
      <c r="FR759" s="73"/>
      <c r="FS759" s="73"/>
      <c r="FT759" s="73"/>
      <c r="FU759" s="73"/>
      <c r="FV759" s="73"/>
      <c r="FW759" s="73"/>
      <c r="FX759" s="73"/>
      <c r="GO759" s="73"/>
      <c r="GP759" s="73"/>
      <c r="HE759" s="73"/>
      <c r="HU759" s="73"/>
      <c r="HV759" s="182"/>
    </row>
    <row r="760" spans="1:230" x14ac:dyDescent="0.25">
      <c r="A760" s="30"/>
      <c r="B760" s="30"/>
      <c r="C760" s="30"/>
      <c r="D760" s="30"/>
      <c r="G760" s="30"/>
      <c r="H760" s="30"/>
      <c r="I760" s="30"/>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c r="CA760" s="73"/>
      <c r="CB760" s="73"/>
      <c r="CC760" s="73"/>
      <c r="CD760" s="73"/>
      <c r="CE760" s="73"/>
      <c r="CF760" s="73"/>
      <c r="CG760" s="73"/>
      <c r="CH760" s="73"/>
      <c r="CI760" s="73"/>
      <c r="CJ760" s="73"/>
      <c r="CK760" s="73"/>
      <c r="CL760" s="73"/>
      <c r="CM760" s="73"/>
      <c r="CN760" s="73"/>
      <c r="CO760" s="73"/>
      <c r="CP760" s="73"/>
      <c r="CQ760" s="73"/>
      <c r="CR760" s="73"/>
      <c r="CS760" s="73"/>
      <c r="CT760" s="73"/>
      <c r="CU760" s="73"/>
      <c r="CV760" s="73"/>
      <c r="CW760" s="73"/>
      <c r="CX760" s="73"/>
      <c r="CY760" s="73"/>
      <c r="CZ760" s="73"/>
      <c r="DA760" s="73"/>
      <c r="DB760" s="73"/>
      <c r="DC760" s="73"/>
      <c r="DD760" s="73"/>
      <c r="DE760" s="73"/>
      <c r="DF760" s="73"/>
      <c r="DG760" s="73"/>
      <c r="DH760" s="73"/>
      <c r="DI760" s="73"/>
      <c r="DJ760" s="73"/>
      <c r="DK760" s="73"/>
      <c r="DL760" s="73"/>
      <c r="DM760" s="73"/>
      <c r="DN760" s="73"/>
      <c r="DO760" s="73"/>
      <c r="DP760" s="73"/>
      <c r="DQ760" s="73"/>
      <c r="DR760" s="73"/>
      <c r="DS760" s="73"/>
      <c r="DT760" s="73"/>
      <c r="DU760" s="73"/>
      <c r="DV760" s="73"/>
      <c r="DW760" s="73"/>
      <c r="DX760" s="73"/>
      <c r="DY760" s="73"/>
      <c r="DZ760" s="73"/>
      <c r="EA760" s="73"/>
      <c r="EB760" s="73"/>
      <c r="EC760" s="73"/>
      <c r="ED760" s="73"/>
      <c r="EE760" s="73"/>
      <c r="EF760" s="73"/>
      <c r="FJ760" s="73"/>
      <c r="FK760" s="73"/>
      <c r="FL760" s="73"/>
      <c r="FM760" s="73"/>
      <c r="FN760" s="73"/>
      <c r="FO760" s="73"/>
      <c r="FP760" s="73"/>
      <c r="FQ760" s="73"/>
      <c r="FR760" s="73"/>
      <c r="FS760" s="73"/>
      <c r="FT760" s="73"/>
      <c r="FU760" s="73"/>
      <c r="FV760" s="73"/>
      <c r="FW760" s="73"/>
      <c r="FX760" s="73"/>
      <c r="GO760" s="73"/>
      <c r="GP760" s="73"/>
      <c r="HE760" s="73"/>
      <c r="HU760" s="73"/>
      <c r="HV760" s="182"/>
    </row>
    <row r="761" spans="1:230" x14ac:dyDescent="0.25">
      <c r="A761" s="30"/>
      <c r="B761" s="30"/>
      <c r="C761" s="30"/>
      <c r="D761" s="30"/>
      <c r="G761" s="30"/>
      <c r="H761" s="30"/>
      <c r="I761" s="30"/>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c r="CA761" s="73"/>
      <c r="CB761" s="73"/>
      <c r="CC761" s="73"/>
      <c r="CD761" s="73"/>
      <c r="CE761" s="73"/>
      <c r="CF761" s="73"/>
      <c r="CG761" s="73"/>
      <c r="CH761" s="73"/>
      <c r="CI761" s="73"/>
      <c r="CJ761" s="73"/>
      <c r="CK761" s="73"/>
      <c r="CL761" s="73"/>
      <c r="CM761" s="73"/>
      <c r="CN761" s="73"/>
      <c r="CO761" s="73"/>
      <c r="CP761" s="73"/>
      <c r="CQ761" s="73"/>
      <c r="CR761" s="73"/>
      <c r="CS761" s="73"/>
      <c r="CT761" s="73"/>
      <c r="CU761" s="73"/>
      <c r="CV761" s="73"/>
      <c r="CW761" s="73"/>
      <c r="CX761" s="73"/>
      <c r="CY761" s="73"/>
      <c r="CZ761" s="73"/>
      <c r="DA761" s="73"/>
      <c r="DB761" s="73"/>
      <c r="DC761" s="73"/>
      <c r="DD761" s="73"/>
      <c r="DE761" s="73"/>
      <c r="DF761" s="73"/>
      <c r="DG761" s="73"/>
      <c r="DH761" s="73"/>
      <c r="DI761" s="73"/>
      <c r="DJ761" s="73"/>
      <c r="DK761" s="73"/>
      <c r="DL761" s="73"/>
      <c r="DM761" s="73"/>
      <c r="DN761" s="73"/>
      <c r="DO761" s="73"/>
      <c r="DP761" s="73"/>
      <c r="DQ761" s="73"/>
      <c r="DR761" s="73"/>
      <c r="DS761" s="73"/>
      <c r="DT761" s="73"/>
      <c r="DU761" s="73"/>
      <c r="DV761" s="73"/>
      <c r="DW761" s="73"/>
      <c r="DX761" s="73"/>
      <c r="DY761" s="73"/>
      <c r="DZ761" s="73"/>
      <c r="EA761" s="73"/>
      <c r="EB761" s="73"/>
      <c r="EC761" s="73"/>
      <c r="ED761" s="73"/>
      <c r="EE761" s="73"/>
      <c r="EF761" s="73"/>
      <c r="FJ761" s="73"/>
      <c r="FK761" s="73"/>
      <c r="FL761" s="73"/>
      <c r="FM761" s="73"/>
      <c r="FN761" s="73"/>
      <c r="FO761" s="73"/>
      <c r="FP761" s="73"/>
      <c r="FQ761" s="73"/>
      <c r="FR761" s="73"/>
      <c r="FS761" s="73"/>
      <c r="FT761" s="73"/>
      <c r="FU761" s="73"/>
      <c r="FV761" s="73"/>
      <c r="FW761" s="73"/>
      <c r="FX761" s="73"/>
      <c r="GO761" s="73"/>
      <c r="GP761" s="73"/>
      <c r="HE761" s="73"/>
      <c r="HU761" s="73"/>
      <c r="HV761" s="182"/>
    </row>
    <row r="762" spans="1:230" x14ac:dyDescent="0.25">
      <c r="A762" s="30"/>
      <c r="B762" s="30"/>
      <c r="C762" s="30"/>
      <c r="D762" s="30"/>
      <c r="G762" s="30"/>
      <c r="H762" s="30"/>
      <c r="I762" s="30"/>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c r="CA762" s="73"/>
      <c r="CB762" s="73"/>
      <c r="CC762" s="73"/>
      <c r="CD762" s="73"/>
      <c r="CE762" s="73"/>
      <c r="CF762" s="73"/>
      <c r="CG762" s="73"/>
      <c r="CH762" s="73"/>
      <c r="CI762" s="73"/>
      <c r="CJ762" s="73"/>
      <c r="CK762" s="73"/>
      <c r="CL762" s="73"/>
      <c r="CM762" s="73"/>
      <c r="CN762" s="73"/>
      <c r="CO762" s="73"/>
      <c r="CP762" s="73"/>
      <c r="CQ762" s="73"/>
      <c r="CR762" s="73"/>
      <c r="CS762" s="73"/>
      <c r="CT762" s="73"/>
      <c r="CU762" s="73"/>
      <c r="CV762" s="73"/>
      <c r="CW762" s="73"/>
      <c r="CX762" s="73"/>
      <c r="CY762" s="73"/>
      <c r="CZ762" s="73"/>
      <c r="DA762" s="73"/>
      <c r="DB762" s="73"/>
      <c r="DC762" s="73"/>
      <c r="DD762" s="73"/>
      <c r="DE762" s="73"/>
      <c r="DF762" s="73"/>
      <c r="DG762" s="73"/>
      <c r="DH762" s="73"/>
      <c r="DI762" s="73"/>
      <c r="DJ762" s="73"/>
      <c r="DK762" s="73"/>
      <c r="DL762" s="73"/>
      <c r="DM762" s="73"/>
      <c r="DN762" s="73"/>
      <c r="DO762" s="73"/>
      <c r="DP762" s="73"/>
      <c r="DQ762" s="73"/>
      <c r="DR762" s="73"/>
      <c r="DS762" s="73"/>
      <c r="DT762" s="73"/>
      <c r="DU762" s="73"/>
      <c r="DV762" s="73"/>
      <c r="DW762" s="73"/>
      <c r="DX762" s="73"/>
      <c r="DY762" s="73"/>
      <c r="DZ762" s="73"/>
      <c r="EA762" s="73"/>
      <c r="EB762" s="73"/>
      <c r="EC762" s="73"/>
      <c r="ED762" s="73"/>
      <c r="EE762" s="73"/>
      <c r="EF762" s="73"/>
      <c r="FJ762" s="73"/>
      <c r="FK762" s="73"/>
      <c r="FL762" s="73"/>
      <c r="FM762" s="73"/>
      <c r="FN762" s="73"/>
      <c r="FO762" s="73"/>
      <c r="FP762" s="73"/>
      <c r="FQ762" s="73"/>
      <c r="FR762" s="73"/>
      <c r="FS762" s="73"/>
      <c r="FT762" s="73"/>
      <c r="FU762" s="73"/>
      <c r="FV762" s="73"/>
      <c r="FW762" s="73"/>
      <c r="FX762" s="73"/>
      <c r="GO762" s="73"/>
      <c r="GP762" s="73"/>
      <c r="HE762" s="73"/>
      <c r="HU762" s="73"/>
      <c r="HV762" s="182"/>
    </row>
    <row r="763" spans="1:230" x14ac:dyDescent="0.25">
      <c r="A763" s="30"/>
      <c r="B763" s="30"/>
      <c r="C763" s="30"/>
      <c r="D763" s="30"/>
      <c r="G763" s="30"/>
      <c r="H763" s="30"/>
      <c r="I763" s="30"/>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c r="CA763" s="73"/>
      <c r="CB763" s="73"/>
      <c r="CC763" s="73"/>
      <c r="CD763" s="73"/>
      <c r="CE763" s="73"/>
      <c r="CF763" s="73"/>
      <c r="CG763" s="73"/>
      <c r="CH763" s="73"/>
      <c r="CI763" s="73"/>
      <c r="CJ763" s="73"/>
      <c r="CK763" s="73"/>
      <c r="CL763" s="73"/>
      <c r="CM763" s="73"/>
      <c r="CN763" s="73"/>
      <c r="CO763" s="73"/>
      <c r="CP763" s="73"/>
      <c r="CQ763" s="73"/>
      <c r="CR763" s="73"/>
      <c r="CS763" s="73"/>
      <c r="CT763" s="73"/>
      <c r="CU763" s="73"/>
      <c r="CV763" s="73"/>
      <c r="CW763" s="73"/>
      <c r="CX763" s="73"/>
      <c r="CY763" s="73"/>
      <c r="CZ763" s="73"/>
      <c r="DA763" s="73"/>
      <c r="DB763" s="73"/>
      <c r="DC763" s="73"/>
      <c r="DD763" s="73"/>
      <c r="DE763" s="73"/>
      <c r="DF763" s="73"/>
      <c r="DG763" s="73"/>
      <c r="DH763" s="73"/>
      <c r="DI763" s="73"/>
      <c r="DJ763" s="73"/>
      <c r="DK763" s="73"/>
      <c r="DL763" s="73"/>
      <c r="DM763" s="73"/>
      <c r="DN763" s="73"/>
      <c r="DO763" s="73"/>
      <c r="DP763" s="73"/>
      <c r="DQ763" s="73"/>
      <c r="DR763" s="73"/>
      <c r="DS763" s="73"/>
      <c r="DT763" s="73"/>
      <c r="DU763" s="73"/>
      <c r="DV763" s="73"/>
      <c r="DW763" s="73"/>
      <c r="DX763" s="73"/>
      <c r="DY763" s="73"/>
      <c r="DZ763" s="73"/>
      <c r="EA763" s="73"/>
      <c r="EB763" s="73"/>
      <c r="EC763" s="73"/>
      <c r="ED763" s="73"/>
      <c r="EE763" s="73"/>
      <c r="EF763" s="73"/>
      <c r="FJ763" s="73"/>
      <c r="FK763" s="73"/>
      <c r="FL763" s="73"/>
      <c r="FM763" s="73"/>
      <c r="FN763" s="73"/>
      <c r="FO763" s="73"/>
      <c r="FP763" s="73"/>
      <c r="FQ763" s="73"/>
      <c r="FR763" s="73"/>
      <c r="FS763" s="73"/>
      <c r="FT763" s="73"/>
      <c r="FU763" s="73"/>
      <c r="FV763" s="73"/>
      <c r="FW763" s="73"/>
      <c r="FX763" s="73"/>
      <c r="GO763" s="73"/>
      <c r="GP763" s="73"/>
      <c r="HE763" s="73"/>
      <c r="HU763" s="73"/>
      <c r="HV763" s="182"/>
    </row>
    <row r="764" spans="1:230" x14ac:dyDescent="0.25">
      <c r="A764" s="30"/>
      <c r="B764" s="30"/>
      <c r="C764" s="30"/>
      <c r="D764" s="30"/>
      <c r="G764" s="30"/>
      <c r="H764" s="30"/>
      <c r="I764" s="30"/>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c r="CA764" s="73"/>
      <c r="CB764" s="73"/>
      <c r="CC764" s="73"/>
      <c r="CD764" s="73"/>
      <c r="CE764" s="73"/>
      <c r="CF764" s="73"/>
      <c r="CG764" s="73"/>
      <c r="CH764" s="73"/>
      <c r="CI764" s="73"/>
      <c r="CJ764" s="73"/>
      <c r="CK764" s="73"/>
      <c r="CL764" s="73"/>
      <c r="CM764" s="73"/>
      <c r="CN764" s="73"/>
      <c r="CO764" s="73"/>
      <c r="CP764" s="73"/>
      <c r="CQ764" s="73"/>
      <c r="CR764" s="73"/>
      <c r="CS764" s="73"/>
      <c r="CT764" s="73"/>
      <c r="CU764" s="73"/>
      <c r="CV764" s="73"/>
      <c r="CW764" s="73"/>
      <c r="CX764" s="73"/>
      <c r="CY764" s="73"/>
      <c r="CZ764" s="73"/>
      <c r="DA764" s="73"/>
      <c r="DB764" s="73"/>
      <c r="DC764" s="73"/>
      <c r="DD764" s="73"/>
      <c r="DE764" s="73"/>
      <c r="DF764" s="73"/>
      <c r="DG764" s="73"/>
      <c r="DH764" s="73"/>
      <c r="DI764" s="73"/>
      <c r="DJ764" s="73"/>
      <c r="DK764" s="73"/>
      <c r="DL764" s="73"/>
      <c r="DM764" s="73"/>
      <c r="DN764" s="73"/>
      <c r="DO764" s="73"/>
      <c r="DP764" s="73"/>
      <c r="DQ764" s="73"/>
      <c r="DR764" s="73"/>
      <c r="DS764" s="73"/>
      <c r="DT764" s="73"/>
      <c r="DU764" s="73"/>
      <c r="DV764" s="73"/>
      <c r="DW764" s="73"/>
      <c r="DX764" s="73"/>
      <c r="DY764" s="73"/>
      <c r="DZ764" s="73"/>
      <c r="EA764" s="73"/>
      <c r="EB764" s="73"/>
      <c r="EC764" s="73"/>
      <c r="ED764" s="73"/>
      <c r="EE764" s="73"/>
      <c r="EF764" s="73"/>
      <c r="FJ764" s="73"/>
      <c r="FK764" s="73"/>
      <c r="FL764" s="73"/>
      <c r="FM764" s="73"/>
      <c r="FN764" s="73"/>
      <c r="FO764" s="73"/>
      <c r="FP764" s="73"/>
      <c r="FQ764" s="73"/>
      <c r="FR764" s="73"/>
      <c r="FS764" s="73"/>
      <c r="FT764" s="73"/>
      <c r="FU764" s="73"/>
      <c r="FV764" s="73"/>
      <c r="FW764" s="73"/>
      <c r="FX764" s="73"/>
      <c r="GO764" s="73"/>
      <c r="GP764" s="73"/>
      <c r="HE764" s="73"/>
      <c r="HU764" s="73"/>
      <c r="HV764" s="182"/>
    </row>
    <row r="765" spans="1:230" x14ac:dyDescent="0.25">
      <c r="A765" s="30"/>
      <c r="B765" s="30"/>
      <c r="C765" s="30"/>
      <c r="D765" s="30"/>
      <c r="G765" s="30"/>
      <c r="H765" s="30"/>
      <c r="I765" s="30"/>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c r="CA765" s="73"/>
      <c r="CB765" s="73"/>
      <c r="CC765" s="73"/>
      <c r="CD765" s="73"/>
      <c r="CE765" s="73"/>
      <c r="CF765" s="73"/>
      <c r="CG765" s="73"/>
      <c r="CH765" s="73"/>
      <c r="CI765" s="73"/>
      <c r="CJ765" s="73"/>
      <c r="CK765" s="73"/>
      <c r="CL765" s="73"/>
      <c r="CM765" s="73"/>
      <c r="CN765" s="73"/>
      <c r="CO765" s="73"/>
      <c r="CP765" s="73"/>
      <c r="CQ765" s="73"/>
      <c r="CR765" s="73"/>
      <c r="CS765" s="73"/>
      <c r="CT765" s="73"/>
      <c r="CU765" s="73"/>
      <c r="CV765" s="73"/>
      <c r="CW765" s="73"/>
      <c r="CX765" s="73"/>
      <c r="CY765" s="73"/>
      <c r="CZ765" s="73"/>
      <c r="DA765" s="73"/>
      <c r="DB765" s="73"/>
      <c r="DC765" s="73"/>
      <c r="DD765" s="73"/>
      <c r="DE765" s="73"/>
      <c r="DF765" s="73"/>
      <c r="DG765" s="73"/>
      <c r="DH765" s="73"/>
      <c r="DI765" s="73"/>
      <c r="DJ765" s="73"/>
      <c r="DK765" s="73"/>
      <c r="DL765" s="73"/>
      <c r="DM765" s="73"/>
      <c r="DN765" s="73"/>
      <c r="DO765" s="73"/>
      <c r="DP765" s="73"/>
      <c r="DQ765" s="73"/>
      <c r="DR765" s="73"/>
      <c r="DS765" s="73"/>
      <c r="DT765" s="73"/>
      <c r="DU765" s="73"/>
      <c r="DV765" s="73"/>
      <c r="DW765" s="73"/>
      <c r="DX765" s="73"/>
      <c r="DY765" s="73"/>
      <c r="DZ765" s="73"/>
      <c r="EA765" s="73"/>
      <c r="EB765" s="73"/>
      <c r="EC765" s="73"/>
      <c r="ED765" s="73"/>
      <c r="EE765" s="73"/>
      <c r="EF765" s="73"/>
      <c r="FJ765" s="73"/>
      <c r="FK765" s="73"/>
      <c r="FL765" s="73"/>
      <c r="FM765" s="73"/>
      <c r="FN765" s="73"/>
      <c r="FO765" s="73"/>
      <c r="FP765" s="73"/>
      <c r="FQ765" s="73"/>
      <c r="FR765" s="73"/>
      <c r="FS765" s="73"/>
      <c r="FT765" s="73"/>
      <c r="FU765" s="73"/>
      <c r="FV765" s="73"/>
      <c r="FW765" s="73"/>
      <c r="FX765" s="73"/>
      <c r="GO765" s="73"/>
      <c r="GP765" s="73"/>
      <c r="HE765" s="73"/>
      <c r="HU765" s="73"/>
      <c r="HV765" s="182"/>
    </row>
    <row r="766" spans="1:230" x14ac:dyDescent="0.25">
      <c r="A766" s="30"/>
      <c r="B766" s="30"/>
      <c r="C766" s="30"/>
      <c r="D766" s="30"/>
      <c r="G766" s="30"/>
      <c r="H766" s="30"/>
      <c r="I766" s="30"/>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c r="CA766" s="73"/>
      <c r="CB766" s="73"/>
      <c r="CC766" s="73"/>
      <c r="CD766" s="73"/>
      <c r="CE766" s="73"/>
      <c r="CF766" s="73"/>
      <c r="CG766" s="73"/>
      <c r="CH766" s="73"/>
      <c r="CI766" s="73"/>
      <c r="CJ766" s="73"/>
      <c r="CK766" s="73"/>
      <c r="CL766" s="73"/>
      <c r="CM766" s="73"/>
      <c r="CN766" s="73"/>
      <c r="CO766" s="73"/>
      <c r="CP766" s="73"/>
      <c r="CQ766" s="73"/>
      <c r="CR766" s="73"/>
      <c r="CS766" s="73"/>
      <c r="CT766" s="73"/>
      <c r="CU766" s="73"/>
      <c r="CV766" s="73"/>
      <c r="CW766" s="73"/>
      <c r="CX766" s="73"/>
      <c r="CY766" s="73"/>
      <c r="CZ766" s="73"/>
      <c r="DA766" s="73"/>
      <c r="DB766" s="73"/>
      <c r="DC766" s="73"/>
      <c r="DD766" s="73"/>
      <c r="DE766" s="73"/>
      <c r="DF766" s="73"/>
      <c r="DG766" s="73"/>
      <c r="DH766" s="73"/>
      <c r="DI766" s="73"/>
      <c r="DJ766" s="73"/>
      <c r="DK766" s="73"/>
      <c r="DL766" s="73"/>
      <c r="DM766" s="73"/>
      <c r="DN766" s="73"/>
      <c r="DO766" s="73"/>
      <c r="DP766" s="73"/>
      <c r="DQ766" s="73"/>
      <c r="DR766" s="73"/>
      <c r="DS766" s="73"/>
      <c r="DT766" s="73"/>
      <c r="DU766" s="73"/>
      <c r="DV766" s="73"/>
      <c r="DW766" s="73"/>
      <c r="DX766" s="73"/>
      <c r="DY766" s="73"/>
      <c r="DZ766" s="73"/>
      <c r="EA766" s="73"/>
      <c r="EB766" s="73"/>
      <c r="EC766" s="73"/>
      <c r="ED766" s="73"/>
      <c r="EE766" s="73"/>
      <c r="EF766" s="73"/>
      <c r="FJ766" s="73"/>
      <c r="FK766" s="73"/>
      <c r="FL766" s="73"/>
      <c r="FM766" s="73"/>
      <c r="FN766" s="73"/>
      <c r="FO766" s="73"/>
      <c r="FP766" s="73"/>
      <c r="FQ766" s="73"/>
      <c r="FR766" s="73"/>
      <c r="FS766" s="73"/>
      <c r="FT766" s="73"/>
      <c r="FU766" s="73"/>
      <c r="FV766" s="73"/>
      <c r="FW766" s="73"/>
      <c r="FX766" s="73"/>
      <c r="GO766" s="73"/>
      <c r="GP766" s="73"/>
      <c r="HE766" s="73"/>
      <c r="HU766" s="73"/>
      <c r="HV766" s="182"/>
    </row>
    <row r="767" spans="1:230" x14ac:dyDescent="0.25">
      <c r="A767" s="30"/>
      <c r="B767" s="30"/>
      <c r="C767" s="30"/>
      <c r="D767" s="30"/>
      <c r="G767" s="30"/>
      <c r="H767" s="30"/>
      <c r="I767" s="30"/>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c r="CA767" s="73"/>
      <c r="CB767" s="73"/>
      <c r="CC767" s="73"/>
      <c r="CD767" s="73"/>
      <c r="CE767" s="73"/>
      <c r="CF767" s="73"/>
      <c r="CG767" s="73"/>
      <c r="CH767" s="73"/>
      <c r="CI767" s="73"/>
      <c r="CJ767" s="73"/>
      <c r="CK767" s="73"/>
      <c r="CL767" s="73"/>
      <c r="CM767" s="73"/>
      <c r="CN767" s="73"/>
      <c r="CO767" s="73"/>
      <c r="CP767" s="73"/>
      <c r="CQ767" s="73"/>
      <c r="CR767" s="73"/>
      <c r="CS767" s="73"/>
      <c r="CT767" s="73"/>
      <c r="CU767" s="73"/>
      <c r="CV767" s="73"/>
      <c r="CW767" s="73"/>
      <c r="CX767" s="73"/>
      <c r="CY767" s="73"/>
      <c r="CZ767" s="73"/>
      <c r="DA767" s="73"/>
      <c r="DB767" s="73"/>
      <c r="DC767" s="73"/>
      <c r="DD767" s="73"/>
      <c r="DE767" s="73"/>
      <c r="DF767" s="73"/>
      <c r="DG767" s="73"/>
      <c r="DH767" s="73"/>
      <c r="DI767" s="73"/>
      <c r="DJ767" s="73"/>
      <c r="DK767" s="73"/>
      <c r="DL767" s="73"/>
      <c r="DM767" s="73"/>
      <c r="DN767" s="73"/>
      <c r="DO767" s="73"/>
      <c r="DP767" s="73"/>
      <c r="DQ767" s="73"/>
      <c r="DR767" s="73"/>
      <c r="DS767" s="73"/>
      <c r="DT767" s="73"/>
      <c r="DU767" s="73"/>
      <c r="DV767" s="73"/>
      <c r="DW767" s="73"/>
      <c r="DX767" s="73"/>
      <c r="DY767" s="73"/>
      <c r="DZ767" s="73"/>
      <c r="EA767" s="73"/>
      <c r="EB767" s="73"/>
      <c r="EC767" s="73"/>
      <c r="ED767" s="73"/>
      <c r="EE767" s="73"/>
      <c r="EF767" s="73"/>
      <c r="FJ767" s="73"/>
      <c r="FK767" s="73"/>
      <c r="FL767" s="73"/>
      <c r="FM767" s="73"/>
      <c r="FN767" s="73"/>
      <c r="FO767" s="73"/>
      <c r="FP767" s="73"/>
      <c r="FQ767" s="73"/>
      <c r="FR767" s="73"/>
      <c r="FS767" s="73"/>
      <c r="FT767" s="73"/>
      <c r="FU767" s="73"/>
      <c r="FV767" s="73"/>
      <c r="FW767" s="73"/>
      <c r="FX767" s="73"/>
      <c r="GO767" s="73"/>
      <c r="GP767" s="73"/>
      <c r="HE767" s="73"/>
      <c r="HU767" s="73"/>
      <c r="HV767" s="182"/>
    </row>
    <row r="768" spans="1:230" x14ac:dyDescent="0.25">
      <c r="A768" s="30"/>
      <c r="B768" s="30"/>
      <c r="C768" s="30"/>
      <c r="D768" s="30"/>
      <c r="G768" s="30"/>
      <c r="H768" s="30"/>
      <c r="I768" s="30"/>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c r="CA768" s="73"/>
      <c r="CB768" s="73"/>
      <c r="CC768" s="73"/>
      <c r="CD768" s="73"/>
      <c r="CE768" s="73"/>
      <c r="CF768" s="73"/>
      <c r="CG768" s="73"/>
      <c r="CH768" s="73"/>
      <c r="CI768" s="73"/>
      <c r="CJ768" s="73"/>
      <c r="CK768" s="73"/>
      <c r="CL768" s="73"/>
      <c r="CM768" s="73"/>
      <c r="CN768" s="73"/>
      <c r="CO768" s="73"/>
      <c r="CP768" s="73"/>
      <c r="CQ768" s="73"/>
      <c r="CR768" s="73"/>
      <c r="CS768" s="73"/>
      <c r="CT768" s="73"/>
      <c r="CU768" s="73"/>
      <c r="CV768" s="73"/>
      <c r="CW768" s="73"/>
      <c r="CX768" s="73"/>
      <c r="CY768" s="73"/>
      <c r="CZ768" s="73"/>
      <c r="DA768" s="73"/>
      <c r="DB768" s="73"/>
      <c r="DC768" s="73"/>
      <c r="DD768" s="73"/>
      <c r="DE768" s="73"/>
      <c r="DF768" s="73"/>
      <c r="DG768" s="73"/>
      <c r="DH768" s="73"/>
      <c r="DI768" s="73"/>
      <c r="DJ768" s="73"/>
      <c r="DK768" s="73"/>
      <c r="DL768" s="73"/>
      <c r="DM768" s="73"/>
      <c r="DN768" s="73"/>
      <c r="DO768" s="73"/>
      <c r="DP768" s="73"/>
      <c r="DQ768" s="73"/>
      <c r="DR768" s="73"/>
      <c r="DS768" s="73"/>
      <c r="DT768" s="73"/>
      <c r="DU768" s="73"/>
      <c r="DV768" s="73"/>
      <c r="DW768" s="73"/>
      <c r="DX768" s="73"/>
      <c r="DY768" s="73"/>
      <c r="DZ768" s="73"/>
      <c r="EA768" s="73"/>
      <c r="EB768" s="73"/>
      <c r="EC768" s="73"/>
      <c r="ED768" s="73"/>
      <c r="EE768" s="73"/>
      <c r="EF768" s="73"/>
      <c r="FJ768" s="73"/>
      <c r="FK768" s="73"/>
      <c r="FL768" s="73"/>
      <c r="FM768" s="73"/>
      <c r="FN768" s="73"/>
      <c r="FO768" s="73"/>
      <c r="FP768" s="73"/>
      <c r="FQ768" s="73"/>
      <c r="FR768" s="73"/>
      <c r="FS768" s="73"/>
      <c r="FT768" s="73"/>
      <c r="FU768" s="73"/>
      <c r="FV768" s="73"/>
      <c r="FW768" s="73"/>
      <c r="FX768" s="73"/>
      <c r="GO768" s="73"/>
      <c r="GP768" s="73"/>
      <c r="HE768" s="73"/>
      <c r="HU768" s="73"/>
      <c r="HV768" s="182"/>
    </row>
    <row r="769" spans="1:230" x14ac:dyDescent="0.25">
      <c r="A769" s="30"/>
      <c r="B769" s="30"/>
      <c r="C769" s="30"/>
      <c r="D769" s="30"/>
      <c r="G769" s="30"/>
      <c r="H769" s="30"/>
      <c r="I769" s="30"/>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c r="CE769" s="73"/>
      <c r="CF769" s="73"/>
      <c r="CG769" s="73"/>
      <c r="CH769" s="73"/>
      <c r="CI769" s="73"/>
      <c r="CJ769" s="73"/>
      <c r="CK769" s="73"/>
      <c r="CL769" s="73"/>
      <c r="CM769" s="73"/>
      <c r="CN769" s="73"/>
      <c r="CO769" s="73"/>
      <c r="CP769" s="73"/>
      <c r="CQ769" s="73"/>
      <c r="CR769" s="73"/>
      <c r="CS769" s="73"/>
      <c r="CT769" s="73"/>
      <c r="CU769" s="73"/>
      <c r="CV769" s="73"/>
      <c r="CW769" s="73"/>
      <c r="CX769" s="73"/>
      <c r="CY769" s="73"/>
      <c r="CZ769" s="73"/>
      <c r="DA769" s="73"/>
      <c r="DB769" s="73"/>
      <c r="DC769" s="73"/>
      <c r="DD769" s="73"/>
      <c r="DE769" s="73"/>
      <c r="DF769" s="73"/>
      <c r="DG769" s="73"/>
      <c r="DH769" s="73"/>
      <c r="DI769" s="73"/>
      <c r="DJ769" s="73"/>
      <c r="DK769" s="73"/>
      <c r="DL769" s="73"/>
      <c r="DM769" s="73"/>
      <c r="DN769" s="73"/>
      <c r="DO769" s="73"/>
      <c r="DP769" s="73"/>
      <c r="DQ769" s="73"/>
      <c r="DR769" s="73"/>
      <c r="DS769" s="73"/>
      <c r="DT769" s="73"/>
      <c r="DU769" s="73"/>
      <c r="DV769" s="73"/>
      <c r="DW769" s="73"/>
      <c r="DX769" s="73"/>
      <c r="DY769" s="73"/>
      <c r="DZ769" s="73"/>
      <c r="EA769" s="73"/>
      <c r="EB769" s="73"/>
      <c r="EC769" s="73"/>
      <c r="ED769" s="73"/>
      <c r="EE769" s="73"/>
      <c r="EF769" s="73"/>
      <c r="FJ769" s="73"/>
      <c r="FK769" s="73"/>
      <c r="FL769" s="73"/>
      <c r="FM769" s="73"/>
      <c r="FN769" s="73"/>
      <c r="FO769" s="73"/>
      <c r="FP769" s="73"/>
      <c r="FQ769" s="73"/>
      <c r="FR769" s="73"/>
      <c r="FS769" s="73"/>
      <c r="FT769" s="73"/>
      <c r="FU769" s="73"/>
      <c r="FV769" s="73"/>
      <c r="FW769" s="73"/>
      <c r="FX769" s="73"/>
      <c r="GO769" s="73"/>
      <c r="GP769" s="73"/>
      <c r="HE769" s="73"/>
      <c r="HU769" s="73"/>
      <c r="HV769" s="182"/>
    </row>
    <row r="770" spans="1:230" x14ac:dyDescent="0.25">
      <c r="A770" s="30"/>
      <c r="B770" s="30"/>
      <c r="C770" s="30"/>
      <c r="D770" s="30"/>
      <c r="G770" s="30"/>
      <c r="H770" s="30"/>
      <c r="I770" s="30"/>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c r="CA770" s="73"/>
      <c r="CB770" s="73"/>
      <c r="CC770" s="73"/>
      <c r="CD770" s="73"/>
      <c r="CE770" s="73"/>
      <c r="CF770" s="73"/>
      <c r="CG770" s="73"/>
      <c r="CH770" s="73"/>
      <c r="CI770" s="73"/>
      <c r="CJ770" s="73"/>
      <c r="CK770" s="73"/>
      <c r="CL770" s="73"/>
      <c r="CM770" s="73"/>
      <c r="CN770" s="73"/>
      <c r="CO770" s="73"/>
      <c r="CP770" s="73"/>
      <c r="CQ770" s="73"/>
      <c r="CR770" s="73"/>
      <c r="CS770" s="73"/>
      <c r="CT770" s="73"/>
      <c r="CU770" s="73"/>
      <c r="CV770" s="73"/>
      <c r="CW770" s="73"/>
      <c r="CX770" s="73"/>
      <c r="CY770" s="73"/>
      <c r="CZ770" s="73"/>
      <c r="DA770" s="73"/>
      <c r="DB770" s="73"/>
      <c r="DC770" s="73"/>
      <c r="DD770" s="73"/>
      <c r="DE770" s="73"/>
      <c r="DF770" s="73"/>
      <c r="DG770" s="73"/>
      <c r="DH770" s="73"/>
      <c r="DI770" s="73"/>
      <c r="DJ770" s="73"/>
      <c r="DK770" s="73"/>
      <c r="DL770" s="73"/>
      <c r="DM770" s="73"/>
      <c r="DN770" s="73"/>
      <c r="DO770" s="73"/>
      <c r="DP770" s="73"/>
      <c r="DQ770" s="73"/>
      <c r="DR770" s="73"/>
      <c r="DS770" s="73"/>
      <c r="DT770" s="73"/>
      <c r="DU770" s="73"/>
      <c r="DV770" s="73"/>
      <c r="DW770" s="73"/>
      <c r="DX770" s="73"/>
      <c r="DY770" s="73"/>
      <c r="DZ770" s="73"/>
      <c r="EA770" s="73"/>
      <c r="EB770" s="73"/>
      <c r="EC770" s="73"/>
      <c r="ED770" s="73"/>
      <c r="EE770" s="73"/>
      <c r="EF770" s="73"/>
      <c r="FJ770" s="73"/>
      <c r="FK770" s="73"/>
      <c r="FL770" s="73"/>
      <c r="FM770" s="73"/>
      <c r="FN770" s="73"/>
      <c r="FO770" s="73"/>
      <c r="FP770" s="73"/>
      <c r="FQ770" s="73"/>
      <c r="FR770" s="73"/>
      <c r="FS770" s="73"/>
      <c r="FT770" s="73"/>
      <c r="FU770" s="73"/>
      <c r="FV770" s="73"/>
      <c r="FW770" s="73"/>
      <c r="FX770" s="73"/>
      <c r="GO770" s="73"/>
      <c r="GP770" s="73"/>
      <c r="HE770" s="73"/>
      <c r="HU770" s="73"/>
      <c r="HV770" s="182"/>
    </row>
    <row r="771" spans="1:230" x14ac:dyDescent="0.25">
      <c r="A771" s="30"/>
      <c r="B771" s="30"/>
      <c r="C771" s="30"/>
      <c r="D771" s="30"/>
      <c r="G771" s="30"/>
      <c r="H771" s="30"/>
      <c r="I771" s="30"/>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3"/>
      <c r="CK771" s="73"/>
      <c r="CL771" s="73"/>
      <c r="CM771" s="73"/>
      <c r="CN771" s="73"/>
      <c r="CO771" s="73"/>
      <c r="CP771" s="73"/>
      <c r="CQ771" s="73"/>
      <c r="CR771" s="73"/>
      <c r="CS771" s="73"/>
      <c r="CT771" s="73"/>
      <c r="CU771" s="73"/>
      <c r="CV771" s="73"/>
      <c r="CW771" s="73"/>
      <c r="CX771" s="73"/>
      <c r="CY771" s="73"/>
      <c r="CZ771" s="73"/>
      <c r="DA771" s="73"/>
      <c r="DB771" s="73"/>
      <c r="DC771" s="73"/>
      <c r="DD771" s="73"/>
      <c r="DE771" s="73"/>
      <c r="DF771" s="73"/>
      <c r="DG771" s="73"/>
      <c r="DH771" s="73"/>
      <c r="DI771" s="73"/>
      <c r="DJ771" s="73"/>
      <c r="DK771" s="73"/>
      <c r="DL771" s="73"/>
      <c r="DM771" s="73"/>
      <c r="DN771" s="73"/>
      <c r="DO771" s="73"/>
      <c r="DP771" s="73"/>
      <c r="DQ771" s="73"/>
      <c r="DR771" s="73"/>
      <c r="DS771" s="73"/>
      <c r="DT771" s="73"/>
      <c r="DU771" s="73"/>
      <c r="DV771" s="73"/>
      <c r="DW771" s="73"/>
      <c r="DX771" s="73"/>
      <c r="DY771" s="73"/>
      <c r="DZ771" s="73"/>
      <c r="EA771" s="73"/>
      <c r="EB771" s="73"/>
      <c r="EC771" s="73"/>
      <c r="ED771" s="73"/>
      <c r="EE771" s="73"/>
      <c r="EF771" s="73"/>
      <c r="FJ771" s="73"/>
      <c r="FK771" s="73"/>
      <c r="FL771" s="73"/>
      <c r="FM771" s="73"/>
      <c r="FN771" s="73"/>
      <c r="FO771" s="73"/>
      <c r="FP771" s="73"/>
      <c r="FQ771" s="73"/>
      <c r="FR771" s="73"/>
      <c r="FS771" s="73"/>
      <c r="FT771" s="73"/>
      <c r="FU771" s="73"/>
      <c r="FV771" s="73"/>
      <c r="FW771" s="73"/>
      <c r="FX771" s="73"/>
      <c r="GO771" s="73"/>
      <c r="GP771" s="73"/>
      <c r="HE771" s="73"/>
      <c r="HU771" s="73"/>
      <c r="HV771" s="182"/>
    </row>
    <row r="772" spans="1:230" x14ac:dyDescent="0.25">
      <c r="A772" s="30"/>
      <c r="B772" s="30"/>
      <c r="C772" s="30"/>
      <c r="D772" s="30"/>
      <c r="G772" s="30"/>
      <c r="H772" s="30"/>
      <c r="I772" s="30"/>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3"/>
      <c r="CK772" s="73"/>
      <c r="CL772" s="73"/>
      <c r="CM772" s="73"/>
      <c r="CN772" s="73"/>
      <c r="CO772" s="73"/>
      <c r="CP772" s="73"/>
      <c r="CQ772" s="73"/>
      <c r="CR772" s="73"/>
      <c r="CS772" s="73"/>
      <c r="CT772" s="73"/>
      <c r="CU772" s="73"/>
      <c r="CV772" s="73"/>
      <c r="CW772" s="73"/>
      <c r="CX772" s="73"/>
      <c r="CY772" s="73"/>
      <c r="CZ772" s="73"/>
      <c r="DA772" s="73"/>
      <c r="DB772" s="73"/>
      <c r="DC772" s="73"/>
      <c r="DD772" s="73"/>
      <c r="DE772" s="73"/>
      <c r="DF772" s="73"/>
      <c r="DG772" s="73"/>
      <c r="DH772" s="73"/>
      <c r="DI772" s="73"/>
      <c r="DJ772" s="73"/>
      <c r="DK772" s="73"/>
      <c r="DL772" s="73"/>
      <c r="DM772" s="73"/>
      <c r="DN772" s="73"/>
      <c r="DO772" s="73"/>
      <c r="DP772" s="73"/>
      <c r="DQ772" s="73"/>
      <c r="DR772" s="73"/>
      <c r="DS772" s="73"/>
      <c r="DT772" s="73"/>
      <c r="DU772" s="73"/>
      <c r="DV772" s="73"/>
      <c r="DW772" s="73"/>
      <c r="DX772" s="73"/>
      <c r="DY772" s="73"/>
      <c r="DZ772" s="73"/>
      <c r="EA772" s="73"/>
      <c r="EB772" s="73"/>
      <c r="EC772" s="73"/>
      <c r="ED772" s="73"/>
      <c r="EE772" s="73"/>
      <c r="EF772" s="73"/>
      <c r="FJ772" s="73"/>
      <c r="FK772" s="73"/>
      <c r="FL772" s="73"/>
      <c r="FM772" s="73"/>
      <c r="FN772" s="73"/>
      <c r="FO772" s="73"/>
      <c r="FP772" s="73"/>
      <c r="FQ772" s="73"/>
      <c r="FR772" s="73"/>
      <c r="FS772" s="73"/>
      <c r="FT772" s="73"/>
      <c r="FU772" s="73"/>
      <c r="FV772" s="73"/>
      <c r="FW772" s="73"/>
      <c r="FX772" s="73"/>
      <c r="GO772" s="73"/>
      <c r="GP772" s="73"/>
      <c r="HE772" s="73"/>
      <c r="HU772" s="73"/>
      <c r="HV772" s="182"/>
    </row>
    <row r="773" spans="1:230" x14ac:dyDescent="0.25">
      <c r="A773" s="30"/>
      <c r="B773" s="30"/>
      <c r="C773" s="30"/>
      <c r="D773" s="30"/>
      <c r="G773" s="30"/>
      <c r="H773" s="30"/>
      <c r="I773" s="30"/>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3"/>
      <c r="CK773" s="73"/>
      <c r="CL773" s="73"/>
      <c r="CM773" s="73"/>
      <c r="CN773" s="73"/>
      <c r="CO773" s="73"/>
      <c r="CP773" s="73"/>
      <c r="CQ773" s="73"/>
      <c r="CR773" s="73"/>
      <c r="CS773" s="73"/>
      <c r="CT773" s="73"/>
      <c r="CU773" s="73"/>
      <c r="CV773" s="73"/>
      <c r="CW773" s="73"/>
      <c r="CX773" s="73"/>
      <c r="CY773" s="73"/>
      <c r="CZ773" s="73"/>
      <c r="DA773" s="73"/>
      <c r="DB773" s="73"/>
      <c r="DC773" s="73"/>
      <c r="DD773" s="73"/>
      <c r="DE773" s="73"/>
      <c r="DF773" s="73"/>
      <c r="DG773" s="73"/>
      <c r="DH773" s="73"/>
      <c r="DI773" s="73"/>
      <c r="DJ773" s="73"/>
      <c r="DK773" s="73"/>
      <c r="DL773" s="73"/>
      <c r="DM773" s="73"/>
      <c r="DN773" s="73"/>
      <c r="DO773" s="73"/>
      <c r="DP773" s="73"/>
      <c r="DQ773" s="73"/>
      <c r="DR773" s="73"/>
      <c r="DS773" s="73"/>
      <c r="DT773" s="73"/>
      <c r="DU773" s="73"/>
      <c r="DV773" s="73"/>
      <c r="DW773" s="73"/>
      <c r="DX773" s="73"/>
      <c r="DY773" s="73"/>
      <c r="DZ773" s="73"/>
      <c r="EA773" s="73"/>
      <c r="EB773" s="73"/>
      <c r="EC773" s="73"/>
      <c r="ED773" s="73"/>
      <c r="EE773" s="73"/>
      <c r="EF773" s="73"/>
      <c r="FJ773" s="73"/>
      <c r="FK773" s="73"/>
      <c r="FL773" s="73"/>
      <c r="FM773" s="73"/>
      <c r="FN773" s="73"/>
      <c r="FO773" s="73"/>
      <c r="FP773" s="73"/>
      <c r="FQ773" s="73"/>
      <c r="FR773" s="73"/>
      <c r="FS773" s="73"/>
      <c r="FT773" s="73"/>
      <c r="FU773" s="73"/>
      <c r="FV773" s="73"/>
      <c r="FW773" s="73"/>
      <c r="FX773" s="73"/>
      <c r="GO773" s="73"/>
      <c r="GP773" s="73"/>
      <c r="HE773" s="73"/>
      <c r="HU773" s="73"/>
      <c r="HV773" s="182"/>
    </row>
    <row r="774" spans="1:230" x14ac:dyDescent="0.25">
      <c r="A774" s="30"/>
      <c r="B774" s="30"/>
      <c r="C774" s="30"/>
      <c r="D774" s="30"/>
      <c r="G774" s="30"/>
      <c r="H774" s="30"/>
      <c r="I774" s="30"/>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3"/>
      <c r="DV774" s="73"/>
      <c r="DW774" s="73"/>
      <c r="DX774" s="73"/>
      <c r="DY774" s="73"/>
      <c r="DZ774" s="73"/>
      <c r="EA774" s="73"/>
      <c r="EB774" s="73"/>
      <c r="EC774" s="73"/>
      <c r="ED774" s="73"/>
      <c r="EE774" s="73"/>
      <c r="EF774" s="73"/>
      <c r="FJ774" s="73"/>
      <c r="FK774" s="73"/>
      <c r="FL774" s="73"/>
      <c r="FM774" s="73"/>
      <c r="FN774" s="73"/>
      <c r="FO774" s="73"/>
      <c r="FP774" s="73"/>
      <c r="FQ774" s="73"/>
      <c r="FR774" s="73"/>
      <c r="FS774" s="73"/>
      <c r="FT774" s="73"/>
      <c r="FU774" s="73"/>
      <c r="FV774" s="73"/>
      <c r="FW774" s="73"/>
      <c r="FX774" s="73"/>
      <c r="GO774" s="73"/>
      <c r="GP774" s="73"/>
      <c r="HE774" s="73"/>
      <c r="HU774" s="73"/>
      <c r="HV774" s="182"/>
    </row>
    <row r="775" spans="1:230" x14ac:dyDescent="0.25">
      <c r="A775" s="30"/>
      <c r="B775" s="30"/>
      <c r="C775" s="30"/>
      <c r="D775" s="30"/>
      <c r="G775" s="30"/>
      <c r="H775" s="30"/>
      <c r="I775" s="30"/>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3"/>
      <c r="CK775" s="73"/>
      <c r="CL775" s="73"/>
      <c r="CM775" s="73"/>
      <c r="CN775" s="73"/>
      <c r="CO775" s="73"/>
      <c r="CP775" s="73"/>
      <c r="CQ775" s="73"/>
      <c r="CR775" s="73"/>
      <c r="CS775" s="73"/>
      <c r="CT775" s="73"/>
      <c r="CU775" s="73"/>
      <c r="CV775" s="73"/>
      <c r="CW775" s="73"/>
      <c r="CX775" s="73"/>
      <c r="CY775" s="73"/>
      <c r="CZ775" s="73"/>
      <c r="DA775" s="73"/>
      <c r="DB775" s="73"/>
      <c r="DC775" s="73"/>
      <c r="DD775" s="73"/>
      <c r="DE775" s="73"/>
      <c r="DF775" s="73"/>
      <c r="DG775" s="73"/>
      <c r="DH775" s="73"/>
      <c r="DI775" s="73"/>
      <c r="DJ775" s="73"/>
      <c r="DK775" s="73"/>
      <c r="DL775" s="73"/>
      <c r="DM775" s="73"/>
      <c r="DN775" s="73"/>
      <c r="DO775" s="73"/>
      <c r="DP775" s="73"/>
      <c r="DQ775" s="73"/>
      <c r="DR775" s="73"/>
      <c r="DS775" s="73"/>
      <c r="DT775" s="73"/>
      <c r="DU775" s="73"/>
      <c r="DV775" s="73"/>
      <c r="DW775" s="73"/>
      <c r="DX775" s="73"/>
      <c r="DY775" s="73"/>
      <c r="DZ775" s="73"/>
      <c r="EA775" s="73"/>
      <c r="EB775" s="73"/>
      <c r="EC775" s="73"/>
      <c r="ED775" s="73"/>
      <c r="EE775" s="73"/>
      <c r="EF775" s="73"/>
      <c r="FJ775" s="73"/>
      <c r="FK775" s="73"/>
      <c r="FL775" s="73"/>
      <c r="FM775" s="73"/>
      <c r="FN775" s="73"/>
      <c r="FO775" s="73"/>
      <c r="FP775" s="73"/>
      <c r="FQ775" s="73"/>
      <c r="FR775" s="73"/>
      <c r="FS775" s="73"/>
      <c r="FT775" s="73"/>
      <c r="FU775" s="73"/>
      <c r="FV775" s="73"/>
      <c r="FW775" s="73"/>
      <c r="FX775" s="73"/>
      <c r="GO775" s="73"/>
      <c r="GP775" s="73"/>
      <c r="HE775" s="73"/>
      <c r="HU775" s="73"/>
      <c r="HV775" s="182"/>
    </row>
    <row r="776" spans="1:230" x14ac:dyDescent="0.25">
      <c r="A776" s="30"/>
      <c r="B776" s="30"/>
      <c r="C776" s="30"/>
      <c r="D776" s="30"/>
      <c r="G776" s="30"/>
      <c r="H776" s="30"/>
      <c r="I776" s="30"/>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c r="CA776" s="73"/>
      <c r="CB776" s="73"/>
      <c r="CC776" s="73"/>
      <c r="CD776" s="73"/>
      <c r="CE776" s="73"/>
      <c r="CF776" s="73"/>
      <c r="CG776" s="73"/>
      <c r="CH776" s="73"/>
      <c r="CI776" s="73"/>
      <c r="CJ776" s="73"/>
      <c r="CK776" s="73"/>
      <c r="CL776" s="73"/>
      <c r="CM776" s="73"/>
      <c r="CN776" s="73"/>
      <c r="CO776" s="73"/>
      <c r="CP776" s="73"/>
      <c r="CQ776" s="73"/>
      <c r="CR776" s="73"/>
      <c r="CS776" s="73"/>
      <c r="CT776" s="73"/>
      <c r="CU776" s="73"/>
      <c r="CV776" s="73"/>
      <c r="CW776" s="73"/>
      <c r="CX776" s="73"/>
      <c r="CY776" s="73"/>
      <c r="CZ776" s="73"/>
      <c r="DA776" s="73"/>
      <c r="DB776" s="73"/>
      <c r="DC776" s="73"/>
      <c r="DD776" s="73"/>
      <c r="DE776" s="73"/>
      <c r="DF776" s="73"/>
      <c r="DG776" s="73"/>
      <c r="DH776" s="73"/>
      <c r="DI776" s="73"/>
      <c r="DJ776" s="73"/>
      <c r="DK776" s="73"/>
      <c r="DL776" s="73"/>
      <c r="DM776" s="73"/>
      <c r="DN776" s="73"/>
      <c r="DO776" s="73"/>
      <c r="DP776" s="73"/>
      <c r="DQ776" s="73"/>
      <c r="DR776" s="73"/>
      <c r="DS776" s="73"/>
      <c r="DT776" s="73"/>
      <c r="DU776" s="73"/>
      <c r="DV776" s="73"/>
      <c r="DW776" s="73"/>
      <c r="DX776" s="73"/>
      <c r="DY776" s="73"/>
      <c r="DZ776" s="73"/>
      <c r="EA776" s="73"/>
      <c r="EB776" s="73"/>
      <c r="EC776" s="73"/>
      <c r="ED776" s="73"/>
      <c r="EE776" s="73"/>
      <c r="EF776" s="73"/>
      <c r="FJ776" s="73"/>
      <c r="FK776" s="73"/>
      <c r="FL776" s="73"/>
      <c r="FM776" s="73"/>
      <c r="FN776" s="73"/>
      <c r="FO776" s="73"/>
      <c r="FP776" s="73"/>
      <c r="FQ776" s="73"/>
      <c r="FR776" s="73"/>
      <c r="FS776" s="73"/>
      <c r="FT776" s="73"/>
      <c r="FU776" s="73"/>
      <c r="FV776" s="73"/>
      <c r="FW776" s="73"/>
      <c r="FX776" s="73"/>
      <c r="GO776" s="73"/>
      <c r="GP776" s="73"/>
      <c r="HE776" s="73"/>
      <c r="HU776" s="73"/>
      <c r="HV776" s="182"/>
    </row>
    <row r="777" spans="1:230" x14ac:dyDescent="0.25">
      <c r="A777" s="30"/>
      <c r="B777" s="30"/>
      <c r="C777" s="30"/>
      <c r="D777" s="30"/>
      <c r="G777" s="30"/>
      <c r="H777" s="30"/>
      <c r="I777" s="30"/>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c r="CA777" s="73"/>
      <c r="CB777" s="73"/>
      <c r="CC777" s="73"/>
      <c r="CD777" s="73"/>
      <c r="CE777" s="73"/>
      <c r="CF777" s="73"/>
      <c r="CG777" s="73"/>
      <c r="CH777" s="73"/>
      <c r="CI777" s="73"/>
      <c r="CJ777" s="73"/>
      <c r="CK777" s="73"/>
      <c r="CL777" s="73"/>
      <c r="CM777" s="73"/>
      <c r="CN777" s="73"/>
      <c r="CO777" s="73"/>
      <c r="CP777" s="73"/>
      <c r="CQ777" s="73"/>
      <c r="CR777" s="73"/>
      <c r="CS777" s="73"/>
      <c r="CT777" s="73"/>
      <c r="CU777" s="73"/>
      <c r="CV777" s="73"/>
      <c r="CW777" s="73"/>
      <c r="CX777" s="73"/>
      <c r="CY777" s="73"/>
      <c r="CZ777" s="73"/>
      <c r="DA777" s="73"/>
      <c r="DB777" s="73"/>
      <c r="DC777" s="73"/>
      <c r="DD777" s="73"/>
      <c r="DE777" s="73"/>
      <c r="DF777" s="73"/>
      <c r="DG777" s="73"/>
      <c r="DH777" s="73"/>
      <c r="DI777" s="73"/>
      <c r="DJ777" s="73"/>
      <c r="DK777" s="73"/>
      <c r="DL777" s="73"/>
      <c r="DM777" s="73"/>
      <c r="DN777" s="73"/>
      <c r="DO777" s="73"/>
      <c r="DP777" s="73"/>
      <c r="DQ777" s="73"/>
      <c r="DR777" s="73"/>
      <c r="DS777" s="73"/>
      <c r="DT777" s="73"/>
      <c r="DU777" s="73"/>
      <c r="DV777" s="73"/>
      <c r="DW777" s="73"/>
      <c r="DX777" s="73"/>
      <c r="DY777" s="73"/>
      <c r="DZ777" s="73"/>
      <c r="EA777" s="73"/>
      <c r="EB777" s="73"/>
      <c r="EC777" s="73"/>
      <c r="ED777" s="73"/>
      <c r="EE777" s="73"/>
      <c r="EF777" s="73"/>
      <c r="FJ777" s="73"/>
      <c r="FK777" s="73"/>
      <c r="FL777" s="73"/>
      <c r="FM777" s="73"/>
      <c r="FN777" s="73"/>
      <c r="FO777" s="73"/>
      <c r="FP777" s="73"/>
      <c r="FQ777" s="73"/>
      <c r="FR777" s="73"/>
      <c r="FS777" s="73"/>
      <c r="FT777" s="73"/>
      <c r="FU777" s="73"/>
      <c r="FV777" s="73"/>
      <c r="FW777" s="73"/>
      <c r="FX777" s="73"/>
      <c r="GO777" s="73"/>
      <c r="GP777" s="73"/>
      <c r="HE777" s="73"/>
      <c r="HU777" s="73"/>
      <c r="HV777" s="182"/>
    </row>
    <row r="778" spans="1:230" x14ac:dyDescent="0.25">
      <c r="A778" s="30"/>
      <c r="B778" s="30"/>
      <c r="C778" s="30"/>
      <c r="D778" s="30"/>
      <c r="G778" s="30"/>
      <c r="H778" s="30"/>
      <c r="I778" s="30"/>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c r="CA778" s="73"/>
      <c r="CB778" s="73"/>
      <c r="CC778" s="73"/>
      <c r="CD778" s="73"/>
      <c r="CE778" s="73"/>
      <c r="CF778" s="73"/>
      <c r="CG778" s="73"/>
      <c r="CH778" s="73"/>
      <c r="CI778" s="73"/>
      <c r="CJ778" s="73"/>
      <c r="CK778" s="73"/>
      <c r="CL778" s="73"/>
      <c r="CM778" s="73"/>
      <c r="CN778" s="73"/>
      <c r="CO778" s="73"/>
      <c r="CP778" s="73"/>
      <c r="CQ778" s="73"/>
      <c r="CR778" s="73"/>
      <c r="CS778" s="73"/>
      <c r="CT778" s="73"/>
      <c r="CU778" s="73"/>
      <c r="CV778" s="73"/>
      <c r="CW778" s="73"/>
      <c r="CX778" s="73"/>
      <c r="CY778" s="73"/>
      <c r="CZ778" s="73"/>
      <c r="DA778" s="73"/>
      <c r="DB778" s="73"/>
      <c r="DC778" s="73"/>
      <c r="DD778" s="73"/>
      <c r="DE778" s="73"/>
      <c r="DF778" s="73"/>
      <c r="DG778" s="73"/>
      <c r="DH778" s="73"/>
      <c r="DI778" s="73"/>
      <c r="DJ778" s="73"/>
      <c r="DK778" s="73"/>
      <c r="DL778" s="73"/>
      <c r="DM778" s="73"/>
      <c r="DN778" s="73"/>
      <c r="DO778" s="73"/>
      <c r="DP778" s="73"/>
      <c r="DQ778" s="73"/>
      <c r="DR778" s="73"/>
      <c r="DS778" s="73"/>
      <c r="DT778" s="73"/>
      <c r="DU778" s="73"/>
      <c r="DV778" s="73"/>
      <c r="DW778" s="73"/>
      <c r="DX778" s="73"/>
      <c r="DY778" s="73"/>
      <c r="DZ778" s="73"/>
      <c r="EA778" s="73"/>
      <c r="EB778" s="73"/>
      <c r="EC778" s="73"/>
      <c r="ED778" s="73"/>
      <c r="EE778" s="73"/>
      <c r="EF778" s="73"/>
      <c r="FJ778" s="73"/>
      <c r="FK778" s="73"/>
      <c r="FL778" s="73"/>
      <c r="FM778" s="73"/>
      <c r="FN778" s="73"/>
      <c r="FO778" s="73"/>
      <c r="FP778" s="73"/>
      <c r="FQ778" s="73"/>
      <c r="FR778" s="73"/>
      <c r="FS778" s="73"/>
      <c r="FT778" s="73"/>
      <c r="FU778" s="73"/>
      <c r="FV778" s="73"/>
      <c r="FW778" s="73"/>
      <c r="FX778" s="73"/>
      <c r="GO778" s="73"/>
      <c r="GP778" s="73"/>
      <c r="HE778" s="73"/>
      <c r="HU778" s="73"/>
      <c r="HV778" s="182"/>
    </row>
    <row r="779" spans="1:230" x14ac:dyDescent="0.25">
      <c r="A779" s="30"/>
      <c r="B779" s="30"/>
      <c r="C779" s="30"/>
      <c r="D779" s="30"/>
      <c r="G779" s="30"/>
      <c r="H779" s="30"/>
      <c r="I779" s="30"/>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c r="CA779" s="73"/>
      <c r="CB779" s="73"/>
      <c r="CC779" s="73"/>
      <c r="CD779" s="73"/>
      <c r="CE779" s="73"/>
      <c r="CF779" s="73"/>
      <c r="CG779" s="73"/>
      <c r="CH779" s="73"/>
      <c r="CI779" s="73"/>
      <c r="CJ779" s="73"/>
      <c r="CK779" s="73"/>
      <c r="CL779" s="73"/>
      <c r="CM779" s="73"/>
      <c r="CN779" s="73"/>
      <c r="CO779" s="73"/>
      <c r="CP779" s="73"/>
      <c r="CQ779" s="73"/>
      <c r="CR779" s="73"/>
      <c r="CS779" s="73"/>
      <c r="CT779" s="73"/>
      <c r="CU779" s="73"/>
      <c r="CV779" s="73"/>
      <c r="CW779" s="73"/>
      <c r="CX779" s="73"/>
      <c r="CY779" s="73"/>
      <c r="CZ779" s="73"/>
      <c r="DA779" s="73"/>
      <c r="DB779" s="73"/>
      <c r="DC779" s="73"/>
      <c r="DD779" s="73"/>
      <c r="DE779" s="73"/>
      <c r="DF779" s="73"/>
      <c r="DG779" s="73"/>
      <c r="DH779" s="73"/>
      <c r="DI779" s="73"/>
      <c r="DJ779" s="73"/>
      <c r="DK779" s="73"/>
      <c r="DL779" s="73"/>
      <c r="DM779" s="73"/>
      <c r="DN779" s="73"/>
      <c r="DO779" s="73"/>
      <c r="DP779" s="73"/>
      <c r="DQ779" s="73"/>
      <c r="DR779" s="73"/>
      <c r="DS779" s="73"/>
      <c r="DT779" s="73"/>
      <c r="DU779" s="73"/>
      <c r="DV779" s="73"/>
      <c r="DW779" s="73"/>
      <c r="DX779" s="73"/>
      <c r="DY779" s="73"/>
      <c r="DZ779" s="73"/>
      <c r="EA779" s="73"/>
      <c r="EB779" s="73"/>
      <c r="EC779" s="73"/>
      <c r="ED779" s="73"/>
      <c r="EE779" s="73"/>
      <c r="EF779" s="73"/>
      <c r="FJ779" s="73"/>
      <c r="FK779" s="73"/>
      <c r="FL779" s="73"/>
      <c r="FM779" s="73"/>
      <c r="FN779" s="73"/>
      <c r="FO779" s="73"/>
      <c r="FP779" s="73"/>
      <c r="FQ779" s="73"/>
      <c r="FR779" s="73"/>
      <c r="FS779" s="73"/>
      <c r="FT779" s="73"/>
      <c r="FU779" s="73"/>
      <c r="FV779" s="73"/>
      <c r="FW779" s="73"/>
      <c r="FX779" s="73"/>
      <c r="GO779" s="73"/>
      <c r="GP779" s="73"/>
      <c r="HE779" s="73"/>
      <c r="HU779" s="73"/>
      <c r="HV779" s="182"/>
    </row>
    <row r="780" spans="1:230" x14ac:dyDescent="0.25">
      <c r="A780" s="30"/>
      <c r="B780" s="30"/>
      <c r="C780" s="30"/>
      <c r="D780" s="30"/>
      <c r="G780" s="30"/>
      <c r="H780" s="30"/>
      <c r="I780" s="30"/>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c r="CA780" s="73"/>
      <c r="CB780" s="73"/>
      <c r="CC780" s="73"/>
      <c r="CD780" s="73"/>
      <c r="CE780" s="73"/>
      <c r="CF780" s="73"/>
      <c r="CG780" s="73"/>
      <c r="CH780" s="73"/>
      <c r="CI780" s="73"/>
      <c r="CJ780" s="73"/>
      <c r="CK780" s="73"/>
      <c r="CL780" s="73"/>
      <c r="CM780" s="73"/>
      <c r="CN780" s="73"/>
      <c r="CO780" s="73"/>
      <c r="CP780" s="73"/>
      <c r="CQ780" s="73"/>
      <c r="CR780" s="73"/>
      <c r="CS780" s="73"/>
      <c r="CT780" s="73"/>
      <c r="CU780" s="73"/>
      <c r="CV780" s="73"/>
      <c r="CW780" s="73"/>
      <c r="CX780" s="73"/>
      <c r="CY780" s="73"/>
      <c r="CZ780" s="73"/>
      <c r="DA780" s="73"/>
      <c r="DB780" s="73"/>
      <c r="DC780" s="73"/>
      <c r="DD780" s="73"/>
      <c r="DE780" s="73"/>
      <c r="DF780" s="73"/>
      <c r="DG780" s="73"/>
      <c r="DH780" s="73"/>
      <c r="DI780" s="73"/>
      <c r="DJ780" s="73"/>
      <c r="DK780" s="73"/>
      <c r="DL780" s="73"/>
      <c r="DM780" s="73"/>
      <c r="DN780" s="73"/>
      <c r="DO780" s="73"/>
      <c r="DP780" s="73"/>
      <c r="DQ780" s="73"/>
      <c r="DR780" s="73"/>
      <c r="DS780" s="73"/>
      <c r="DT780" s="73"/>
      <c r="DU780" s="73"/>
      <c r="DV780" s="73"/>
      <c r="DW780" s="73"/>
      <c r="DX780" s="73"/>
      <c r="DY780" s="73"/>
      <c r="DZ780" s="73"/>
      <c r="EA780" s="73"/>
      <c r="EB780" s="73"/>
      <c r="EC780" s="73"/>
      <c r="ED780" s="73"/>
      <c r="EE780" s="73"/>
      <c r="EF780" s="73"/>
      <c r="FJ780" s="73"/>
      <c r="FK780" s="73"/>
      <c r="FL780" s="73"/>
      <c r="FM780" s="73"/>
      <c r="FN780" s="73"/>
      <c r="FO780" s="73"/>
      <c r="FP780" s="73"/>
      <c r="FQ780" s="73"/>
      <c r="FR780" s="73"/>
      <c r="FS780" s="73"/>
      <c r="FT780" s="73"/>
      <c r="FU780" s="73"/>
      <c r="FV780" s="73"/>
      <c r="FW780" s="73"/>
      <c r="FX780" s="73"/>
      <c r="GO780" s="73"/>
      <c r="GP780" s="73"/>
      <c r="HE780" s="73"/>
      <c r="HU780" s="73"/>
      <c r="HV780" s="182"/>
    </row>
    <row r="781" spans="1:230" x14ac:dyDescent="0.25">
      <c r="A781" s="30"/>
      <c r="B781" s="30"/>
      <c r="C781" s="30"/>
      <c r="D781" s="30"/>
      <c r="G781" s="30"/>
      <c r="H781" s="30"/>
      <c r="I781" s="30"/>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c r="CA781" s="73"/>
      <c r="CB781" s="73"/>
      <c r="CC781" s="73"/>
      <c r="CD781" s="73"/>
      <c r="CE781" s="73"/>
      <c r="CF781" s="73"/>
      <c r="CG781" s="73"/>
      <c r="CH781" s="73"/>
      <c r="CI781" s="73"/>
      <c r="CJ781" s="73"/>
      <c r="CK781" s="73"/>
      <c r="CL781" s="73"/>
      <c r="CM781" s="73"/>
      <c r="CN781" s="73"/>
      <c r="CO781" s="73"/>
      <c r="CP781" s="73"/>
      <c r="CQ781" s="73"/>
      <c r="CR781" s="73"/>
      <c r="CS781" s="73"/>
      <c r="CT781" s="73"/>
      <c r="CU781" s="73"/>
      <c r="CV781" s="73"/>
      <c r="CW781" s="73"/>
      <c r="CX781" s="73"/>
      <c r="CY781" s="73"/>
      <c r="CZ781" s="73"/>
      <c r="DA781" s="73"/>
      <c r="DB781" s="73"/>
      <c r="DC781" s="73"/>
      <c r="DD781" s="73"/>
      <c r="DE781" s="73"/>
      <c r="DF781" s="73"/>
      <c r="DG781" s="73"/>
      <c r="DH781" s="73"/>
      <c r="DI781" s="73"/>
      <c r="DJ781" s="73"/>
      <c r="DK781" s="73"/>
      <c r="DL781" s="73"/>
      <c r="DM781" s="73"/>
      <c r="DN781" s="73"/>
      <c r="DO781" s="73"/>
      <c r="DP781" s="73"/>
      <c r="DQ781" s="73"/>
      <c r="DR781" s="73"/>
      <c r="DS781" s="73"/>
      <c r="DT781" s="73"/>
      <c r="DU781" s="73"/>
      <c r="DV781" s="73"/>
      <c r="DW781" s="73"/>
      <c r="DX781" s="73"/>
      <c r="DY781" s="73"/>
      <c r="DZ781" s="73"/>
      <c r="EA781" s="73"/>
      <c r="EB781" s="73"/>
      <c r="EC781" s="73"/>
      <c r="ED781" s="73"/>
      <c r="EE781" s="73"/>
      <c r="EF781" s="73"/>
      <c r="FJ781" s="73"/>
      <c r="FK781" s="73"/>
      <c r="FL781" s="73"/>
      <c r="FM781" s="73"/>
      <c r="FN781" s="73"/>
      <c r="FO781" s="73"/>
      <c r="FP781" s="73"/>
      <c r="FQ781" s="73"/>
      <c r="FR781" s="73"/>
      <c r="FS781" s="73"/>
      <c r="FT781" s="73"/>
      <c r="FU781" s="73"/>
      <c r="FV781" s="73"/>
      <c r="FW781" s="73"/>
      <c r="FX781" s="73"/>
      <c r="GO781" s="73"/>
      <c r="GP781" s="73"/>
      <c r="HE781" s="73"/>
      <c r="HU781" s="73"/>
      <c r="HV781" s="182"/>
    </row>
    <row r="782" spans="1:230" x14ac:dyDescent="0.25">
      <c r="A782" s="30"/>
      <c r="B782" s="30"/>
      <c r="C782" s="30"/>
      <c r="D782" s="30"/>
      <c r="G782" s="30"/>
      <c r="H782" s="30"/>
      <c r="I782" s="30"/>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c r="CA782" s="73"/>
      <c r="CB782" s="73"/>
      <c r="CC782" s="73"/>
      <c r="CD782" s="73"/>
      <c r="CE782" s="73"/>
      <c r="CF782" s="73"/>
      <c r="CG782" s="73"/>
      <c r="CH782" s="73"/>
      <c r="CI782" s="73"/>
      <c r="CJ782" s="73"/>
      <c r="CK782" s="73"/>
      <c r="CL782" s="73"/>
      <c r="CM782" s="73"/>
      <c r="CN782" s="73"/>
      <c r="CO782" s="73"/>
      <c r="CP782" s="73"/>
      <c r="CQ782" s="73"/>
      <c r="CR782" s="73"/>
      <c r="CS782" s="73"/>
      <c r="CT782" s="73"/>
      <c r="CU782" s="73"/>
      <c r="CV782" s="73"/>
      <c r="CW782" s="73"/>
      <c r="CX782" s="73"/>
      <c r="CY782" s="73"/>
      <c r="CZ782" s="73"/>
      <c r="DA782" s="73"/>
      <c r="DB782" s="73"/>
      <c r="DC782" s="73"/>
      <c r="DD782" s="73"/>
      <c r="DE782" s="73"/>
      <c r="DF782" s="73"/>
      <c r="DG782" s="73"/>
      <c r="DH782" s="73"/>
      <c r="DI782" s="73"/>
      <c r="DJ782" s="73"/>
      <c r="DK782" s="73"/>
      <c r="DL782" s="73"/>
      <c r="DM782" s="73"/>
      <c r="DN782" s="73"/>
      <c r="DO782" s="73"/>
      <c r="DP782" s="73"/>
      <c r="DQ782" s="73"/>
      <c r="DR782" s="73"/>
      <c r="DS782" s="73"/>
      <c r="DT782" s="73"/>
      <c r="DU782" s="73"/>
      <c r="DV782" s="73"/>
      <c r="DW782" s="73"/>
      <c r="DX782" s="73"/>
      <c r="DY782" s="73"/>
      <c r="DZ782" s="73"/>
      <c r="EA782" s="73"/>
      <c r="EB782" s="73"/>
      <c r="EC782" s="73"/>
      <c r="ED782" s="73"/>
      <c r="EE782" s="73"/>
      <c r="EF782" s="73"/>
      <c r="FJ782" s="73"/>
      <c r="FK782" s="73"/>
      <c r="FL782" s="73"/>
      <c r="FM782" s="73"/>
      <c r="FN782" s="73"/>
      <c r="FO782" s="73"/>
      <c r="FP782" s="73"/>
      <c r="FQ782" s="73"/>
      <c r="FR782" s="73"/>
      <c r="FS782" s="73"/>
      <c r="FT782" s="73"/>
      <c r="FU782" s="73"/>
      <c r="FV782" s="73"/>
      <c r="FW782" s="73"/>
      <c r="FX782" s="73"/>
      <c r="GO782" s="73"/>
      <c r="GP782" s="73"/>
      <c r="HE782" s="73"/>
      <c r="HU782" s="73"/>
      <c r="HV782" s="182"/>
    </row>
    <row r="783" spans="1:230" x14ac:dyDescent="0.25">
      <c r="A783" s="30"/>
      <c r="B783" s="30"/>
      <c r="C783" s="30"/>
      <c r="D783" s="30"/>
      <c r="G783" s="30"/>
      <c r="H783" s="30"/>
      <c r="I783" s="30"/>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c r="CA783" s="73"/>
      <c r="CB783" s="73"/>
      <c r="CC783" s="73"/>
      <c r="CD783" s="73"/>
      <c r="CE783" s="73"/>
      <c r="CF783" s="73"/>
      <c r="CG783" s="73"/>
      <c r="CH783" s="73"/>
      <c r="CI783" s="73"/>
      <c r="CJ783" s="73"/>
      <c r="CK783" s="73"/>
      <c r="CL783" s="73"/>
      <c r="CM783" s="73"/>
      <c r="CN783" s="73"/>
      <c r="CO783" s="73"/>
      <c r="CP783" s="73"/>
      <c r="CQ783" s="73"/>
      <c r="CR783" s="73"/>
      <c r="CS783" s="73"/>
      <c r="CT783" s="73"/>
      <c r="CU783" s="73"/>
      <c r="CV783" s="73"/>
      <c r="CW783" s="73"/>
      <c r="CX783" s="73"/>
      <c r="CY783" s="73"/>
      <c r="CZ783" s="73"/>
      <c r="DA783" s="73"/>
      <c r="DB783" s="73"/>
      <c r="DC783" s="73"/>
      <c r="DD783" s="73"/>
      <c r="DE783" s="73"/>
      <c r="DF783" s="73"/>
      <c r="DG783" s="73"/>
      <c r="DH783" s="73"/>
      <c r="DI783" s="73"/>
      <c r="DJ783" s="73"/>
      <c r="DK783" s="73"/>
      <c r="DL783" s="73"/>
      <c r="DM783" s="73"/>
      <c r="DN783" s="73"/>
      <c r="DO783" s="73"/>
      <c r="DP783" s="73"/>
      <c r="DQ783" s="73"/>
      <c r="DR783" s="73"/>
      <c r="DS783" s="73"/>
      <c r="DT783" s="73"/>
      <c r="DU783" s="73"/>
      <c r="DV783" s="73"/>
      <c r="DW783" s="73"/>
      <c r="DX783" s="73"/>
      <c r="DY783" s="73"/>
      <c r="DZ783" s="73"/>
      <c r="EA783" s="73"/>
      <c r="EB783" s="73"/>
      <c r="EC783" s="73"/>
      <c r="ED783" s="73"/>
      <c r="EE783" s="73"/>
      <c r="EF783" s="73"/>
      <c r="FJ783" s="73"/>
      <c r="FK783" s="73"/>
      <c r="FL783" s="73"/>
      <c r="FM783" s="73"/>
      <c r="FN783" s="73"/>
      <c r="FO783" s="73"/>
      <c r="FP783" s="73"/>
      <c r="FQ783" s="73"/>
      <c r="FR783" s="73"/>
      <c r="FS783" s="73"/>
      <c r="FT783" s="73"/>
      <c r="FU783" s="73"/>
      <c r="FV783" s="73"/>
      <c r="FW783" s="73"/>
      <c r="FX783" s="73"/>
      <c r="GO783" s="73"/>
      <c r="GP783" s="73"/>
      <c r="HE783" s="73"/>
      <c r="HU783" s="73"/>
      <c r="HV783" s="182"/>
    </row>
    <row r="784" spans="1:230" x14ac:dyDescent="0.25">
      <c r="A784" s="30"/>
      <c r="B784" s="30"/>
      <c r="C784" s="30"/>
      <c r="D784" s="30"/>
      <c r="G784" s="30"/>
      <c r="H784" s="30"/>
      <c r="I784" s="30"/>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c r="CA784" s="73"/>
      <c r="CB784" s="73"/>
      <c r="CC784" s="73"/>
      <c r="CD784" s="73"/>
      <c r="CE784" s="73"/>
      <c r="CF784" s="73"/>
      <c r="CG784" s="73"/>
      <c r="CH784" s="73"/>
      <c r="CI784" s="73"/>
      <c r="CJ784" s="73"/>
      <c r="CK784" s="73"/>
      <c r="CL784" s="73"/>
      <c r="CM784" s="73"/>
      <c r="CN784" s="73"/>
      <c r="CO784" s="73"/>
      <c r="CP784" s="73"/>
      <c r="CQ784" s="73"/>
      <c r="CR784" s="73"/>
      <c r="CS784" s="73"/>
      <c r="CT784" s="73"/>
      <c r="CU784" s="73"/>
      <c r="CV784" s="73"/>
      <c r="CW784" s="73"/>
      <c r="CX784" s="73"/>
      <c r="CY784" s="73"/>
      <c r="CZ784" s="73"/>
      <c r="DA784" s="73"/>
      <c r="DB784" s="73"/>
      <c r="DC784" s="73"/>
      <c r="DD784" s="73"/>
      <c r="DE784" s="73"/>
      <c r="DF784" s="73"/>
      <c r="DG784" s="73"/>
      <c r="DH784" s="73"/>
      <c r="DI784" s="73"/>
      <c r="DJ784" s="73"/>
      <c r="DK784" s="73"/>
      <c r="DL784" s="73"/>
      <c r="DM784" s="73"/>
      <c r="DN784" s="73"/>
      <c r="DO784" s="73"/>
      <c r="DP784" s="73"/>
      <c r="DQ784" s="73"/>
      <c r="DR784" s="73"/>
      <c r="DS784" s="73"/>
      <c r="DT784" s="73"/>
      <c r="DU784" s="73"/>
      <c r="DV784" s="73"/>
      <c r="DW784" s="73"/>
      <c r="DX784" s="73"/>
      <c r="DY784" s="73"/>
      <c r="DZ784" s="73"/>
      <c r="EA784" s="73"/>
      <c r="EB784" s="73"/>
      <c r="EC784" s="73"/>
      <c r="ED784" s="73"/>
      <c r="EE784" s="73"/>
      <c r="EF784" s="73"/>
      <c r="FJ784" s="73"/>
      <c r="FK784" s="73"/>
      <c r="FL784" s="73"/>
      <c r="FM784" s="73"/>
      <c r="FN784" s="73"/>
      <c r="FO784" s="73"/>
      <c r="FP784" s="73"/>
      <c r="FQ784" s="73"/>
      <c r="FR784" s="73"/>
      <c r="FS784" s="73"/>
      <c r="FT784" s="73"/>
      <c r="FU784" s="73"/>
      <c r="FV784" s="73"/>
      <c r="FW784" s="73"/>
      <c r="FX784" s="73"/>
      <c r="GO784" s="73"/>
      <c r="GP784" s="73"/>
      <c r="HE784" s="73"/>
      <c r="HU784" s="73"/>
      <c r="HV784" s="182"/>
    </row>
    <row r="785" spans="1:230" x14ac:dyDescent="0.25">
      <c r="A785" s="30"/>
      <c r="B785" s="30"/>
      <c r="C785" s="30"/>
      <c r="D785" s="30"/>
      <c r="G785" s="30"/>
      <c r="H785" s="30"/>
      <c r="I785" s="30"/>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c r="CA785" s="73"/>
      <c r="CB785" s="73"/>
      <c r="CC785" s="73"/>
      <c r="CD785" s="73"/>
      <c r="CE785" s="73"/>
      <c r="CF785" s="73"/>
      <c r="CG785" s="73"/>
      <c r="CH785" s="73"/>
      <c r="CI785" s="73"/>
      <c r="CJ785" s="73"/>
      <c r="CK785" s="73"/>
      <c r="CL785" s="73"/>
      <c r="CM785" s="73"/>
      <c r="CN785" s="73"/>
      <c r="CO785" s="73"/>
      <c r="CP785" s="73"/>
      <c r="CQ785" s="73"/>
      <c r="CR785" s="73"/>
      <c r="CS785" s="73"/>
      <c r="CT785" s="73"/>
      <c r="CU785" s="73"/>
      <c r="CV785" s="73"/>
      <c r="CW785" s="73"/>
      <c r="CX785" s="73"/>
      <c r="CY785" s="73"/>
      <c r="CZ785" s="73"/>
      <c r="DA785" s="73"/>
      <c r="DB785" s="73"/>
      <c r="DC785" s="73"/>
      <c r="DD785" s="73"/>
      <c r="DE785" s="73"/>
      <c r="DF785" s="73"/>
      <c r="DG785" s="73"/>
      <c r="DH785" s="73"/>
      <c r="DI785" s="73"/>
      <c r="DJ785" s="73"/>
      <c r="DK785" s="73"/>
      <c r="DL785" s="73"/>
      <c r="DM785" s="73"/>
      <c r="DN785" s="73"/>
      <c r="DO785" s="73"/>
      <c r="DP785" s="73"/>
      <c r="DQ785" s="73"/>
      <c r="DR785" s="73"/>
      <c r="DS785" s="73"/>
      <c r="DT785" s="73"/>
      <c r="DU785" s="73"/>
      <c r="DV785" s="73"/>
      <c r="DW785" s="73"/>
      <c r="DX785" s="73"/>
      <c r="DY785" s="73"/>
      <c r="DZ785" s="73"/>
      <c r="EA785" s="73"/>
      <c r="EB785" s="73"/>
      <c r="EC785" s="73"/>
      <c r="ED785" s="73"/>
      <c r="EE785" s="73"/>
      <c r="EF785" s="73"/>
      <c r="FJ785" s="73"/>
      <c r="FK785" s="73"/>
      <c r="FL785" s="73"/>
      <c r="FM785" s="73"/>
      <c r="FN785" s="73"/>
      <c r="FO785" s="73"/>
      <c r="FP785" s="73"/>
      <c r="FQ785" s="73"/>
      <c r="FR785" s="73"/>
      <c r="FS785" s="73"/>
      <c r="FT785" s="73"/>
      <c r="FU785" s="73"/>
      <c r="FV785" s="73"/>
      <c r="FW785" s="73"/>
      <c r="FX785" s="73"/>
      <c r="GO785" s="73"/>
      <c r="GP785" s="73"/>
      <c r="HE785" s="73"/>
      <c r="HU785" s="73"/>
      <c r="HV785" s="182"/>
    </row>
    <row r="786" spans="1:230" x14ac:dyDescent="0.25">
      <c r="A786" s="30"/>
      <c r="B786" s="30"/>
      <c r="C786" s="30"/>
      <c r="D786" s="30"/>
      <c r="G786" s="30"/>
      <c r="H786" s="30"/>
      <c r="I786" s="30"/>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c r="CA786" s="73"/>
      <c r="CB786" s="73"/>
      <c r="CC786" s="73"/>
      <c r="CD786" s="73"/>
      <c r="CE786" s="73"/>
      <c r="CF786" s="73"/>
      <c r="CG786" s="73"/>
      <c r="CH786" s="73"/>
      <c r="CI786" s="73"/>
      <c r="CJ786" s="73"/>
      <c r="CK786" s="73"/>
      <c r="CL786" s="73"/>
      <c r="CM786" s="73"/>
      <c r="CN786" s="73"/>
      <c r="CO786" s="73"/>
      <c r="CP786" s="73"/>
      <c r="CQ786" s="73"/>
      <c r="CR786" s="73"/>
      <c r="CS786" s="73"/>
      <c r="CT786" s="73"/>
      <c r="CU786" s="73"/>
      <c r="CV786" s="73"/>
      <c r="CW786" s="73"/>
      <c r="CX786" s="73"/>
      <c r="CY786" s="73"/>
      <c r="CZ786" s="73"/>
      <c r="DA786" s="73"/>
      <c r="DB786" s="73"/>
      <c r="DC786" s="73"/>
      <c r="DD786" s="73"/>
      <c r="DE786" s="73"/>
      <c r="DF786" s="73"/>
      <c r="DG786" s="73"/>
      <c r="DH786" s="73"/>
      <c r="DI786" s="73"/>
      <c r="DJ786" s="73"/>
      <c r="DK786" s="73"/>
      <c r="DL786" s="73"/>
      <c r="DM786" s="73"/>
      <c r="DN786" s="73"/>
      <c r="DO786" s="73"/>
      <c r="DP786" s="73"/>
      <c r="DQ786" s="73"/>
      <c r="DR786" s="73"/>
      <c r="DS786" s="73"/>
      <c r="DT786" s="73"/>
      <c r="DU786" s="73"/>
      <c r="DV786" s="73"/>
      <c r="DW786" s="73"/>
      <c r="DX786" s="73"/>
      <c r="DY786" s="73"/>
      <c r="DZ786" s="73"/>
      <c r="EA786" s="73"/>
      <c r="EB786" s="73"/>
      <c r="EC786" s="73"/>
      <c r="ED786" s="73"/>
      <c r="EE786" s="73"/>
      <c r="EF786" s="73"/>
      <c r="FJ786" s="73"/>
      <c r="FK786" s="73"/>
      <c r="FL786" s="73"/>
      <c r="FM786" s="73"/>
      <c r="FN786" s="73"/>
      <c r="FO786" s="73"/>
      <c r="FP786" s="73"/>
      <c r="FQ786" s="73"/>
      <c r="FR786" s="73"/>
      <c r="FS786" s="73"/>
      <c r="FT786" s="73"/>
      <c r="FU786" s="73"/>
      <c r="FV786" s="73"/>
      <c r="FW786" s="73"/>
      <c r="FX786" s="73"/>
      <c r="GO786" s="73"/>
      <c r="GP786" s="73"/>
      <c r="HE786" s="73"/>
      <c r="HU786" s="73"/>
      <c r="HV786" s="182"/>
    </row>
    <row r="787" spans="1:230" x14ac:dyDescent="0.25">
      <c r="A787" s="30"/>
      <c r="B787" s="30"/>
      <c r="C787" s="30"/>
      <c r="D787" s="30"/>
      <c r="G787" s="30"/>
      <c r="H787" s="30"/>
      <c r="I787" s="30"/>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c r="CA787" s="73"/>
      <c r="CB787" s="73"/>
      <c r="CC787" s="73"/>
      <c r="CD787" s="73"/>
      <c r="CE787" s="73"/>
      <c r="CF787" s="73"/>
      <c r="CG787" s="73"/>
      <c r="CH787" s="73"/>
      <c r="CI787" s="73"/>
      <c r="CJ787" s="73"/>
      <c r="CK787" s="73"/>
      <c r="CL787" s="73"/>
      <c r="CM787" s="73"/>
      <c r="CN787" s="73"/>
      <c r="CO787" s="73"/>
      <c r="CP787" s="73"/>
      <c r="CQ787" s="73"/>
      <c r="CR787" s="73"/>
      <c r="CS787" s="73"/>
      <c r="CT787" s="73"/>
      <c r="CU787" s="73"/>
      <c r="CV787" s="73"/>
      <c r="CW787" s="73"/>
      <c r="CX787" s="73"/>
      <c r="CY787" s="73"/>
      <c r="CZ787" s="73"/>
      <c r="DA787" s="73"/>
      <c r="DB787" s="73"/>
      <c r="DC787" s="73"/>
      <c r="DD787" s="73"/>
      <c r="DE787" s="73"/>
      <c r="DF787" s="73"/>
      <c r="DG787" s="73"/>
      <c r="DH787" s="73"/>
      <c r="DI787" s="73"/>
      <c r="DJ787" s="73"/>
      <c r="DK787" s="73"/>
      <c r="DL787" s="73"/>
      <c r="DM787" s="73"/>
      <c r="DN787" s="73"/>
      <c r="DO787" s="73"/>
      <c r="DP787" s="73"/>
      <c r="DQ787" s="73"/>
      <c r="DR787" s="73"/>
      <c r="DS787" s="73"/>
      <c r="DT787" s="73"/>
      <c r="DU787" s="73"/>
      <c r="DV787" s="73"/>
      <c r="DW787" s="73"/>
      <c r="DX787" s="73"/>
      <c r="DY787" s="73"/>
      <c r="DZ787" s="73"/>
      <c r="EA787" s="73"/>
      <c r="EB787" s="73"/>
      <c r="EC787" s="73"/>
      <c r="ED787" s="73"/>
      <c r="EE787" s="73"/>
      <c r="EF787" s="73"/>
      <c r="FJ787" s="73"/>
      <c r="FK787" s="73"/>
      <c r="FL787" s="73"/>
      <c r="FM787" s="73"/>
      <c r="FN787" s="73"/>
      <c r="FO787" s="73"/>
      <c r="FP787" s="73"/>
      <c r="FQ787" s="73"/>
      <c r="FR787" s="73"/>
      <c r="FS787" s="73"/>
      <c r="FT787" s="73"/>
      <c r="FU787" s="73"/>
      <c r="FV787" s="73"/>
      <c r="FW787" s="73"/>
      <c r="FX787" s="73"/>
      <c r="GO787" s="73"/>
      <c r="GP787" s="73"/>
      <c r="HE787" s="73"/>
      <c r="HU787" s="73"/>
      <c r="HV787" s="182"/>
    </row>
    <row r="788" spans="1:230" x14ac:dyDescent="0.25">
      <c r="A788" s="30"/>
      <c r="B788" s="30"/>
      <c r="C788" s="30"/>
      <c r="D788" s="30"/>
      <c r="G788" s="30"/>
      <c r="H788" s="30"/>
      <c r="I788" s="30"/>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c r="CA788" s="73"/>
      <c r="CB788" s="73"/>
      <c r="CC788" s="73"/>
      <c r="CD788" s="73"/>
      <c r="CE788" s="73"/>
      <c r="CF788" s="73"/>
      <c r="CG788" s="73"/>
      <c r="CH788" s="73"/>
      <c r="CI788" s="73"/>
      <c r="CJ788" s="73"/>
      <c r="CK788" s="73"/>
      <c r="CL788" s="73"/>
      <c r="CM788" s="73"/>
      <c r="CN788" s="73"/>
      <c r="CO788" s="73"/>
      <c r="CP788" s="73"/>
      <c r="CQ788" s="73"/>
      <c r="CR788" s="73"/>
      <c r="CS788" s="73"/>
      <c r="CT788" s="73"/>
      <c r="CU788" s="73"/>
      <c r="CV788" s="73"/>
      <c r="CW788" s="73"/>
      <c r="CX788" s="73"/>
      <c r="CY788" s="73"/>
      <c r="CZ788" s="73"/>
      <c r="DA788" s="73"/>
      <c r="DB788" s="73"/>
      <c r="DC788" s="73"/>
      <c r="DD788" s="73"/>
      <c r="DE788" s="73"/>
      <c r="DF788" s="73"/>
      <c r="DG788" s="73"/>
      <c r="DH788" s="73"/>
      <c r="DI788" s="73"/>
      <c r="DJ788" s="73"/>
      <c r="DK788" s="73"/>
      <c r="DL788" s="73"/>
      <c r="DM788" s="73"/>
      <c r="DN788" s="73"/>
      <c r="DO788" s="73"/>
      <c r="DP788" s="73"/>
      <c r="DQ788" s="73"/>
      <c r="DR788" s="73"/>
      <c r="DS788" s="73"/>
      <c r="DT788" s="73"/>
      <c r="DU788" s="73"/>
      <c r="DV788" s="73"/>
      <c r="DW788" s="73"/>
      <c r="DX788" s="73"/>
      <c r="DY788" s="73"/>
      <c r="DZ788" s="73"/>
      <c r="EA788" s="73"/>
      <c r="EB788" s="73"/>
      <c r="EC788" s="73"/>
      <c r="ED788" s="73"/>
      <c r="EE788" s="73"/>
      <c r="EF788" s="73"/>
      <c r="FJ788" s="73"/>
      <c r="FK788" s="73"/>
      <c r="FL788" s="73"/>
      <c r="FM788" s="73"/>
      <c r="FN788" s="73"/>
      <c r="FO788" s="73"/>
      <c r="FP788" s="73"/>
      <c r="FQ788" s="73"/>
      <c r="FR788" s="73"/>
      <c r="FS788" s="73"/>
      <c r="FT788" s="73"/>
      <c r="FU788" s="73"/>
      <c r="FV788" s="73"/>
      <c r="FW788" s="73"/>
      <c r="FX788" s="73"/>
      <c r="GO788" s="73"/>
      <c r="GP788" s="73"/>
      <c r="HE788" s="73"/>
      <c r="HU788" s="73"/>
      <c r="HV788" s="182"/>
    </row>
    <row r="789" spans="1:230" x14ac:dyDescent="0.25">
      <c r="A789" s="30"/>
      <c r="B789" s="30"/>
      <c r="C789" s="30"/>
      <c r="D789" s="30"/>
      <c r="G789" s="30"/>
      <c r="H789" s="30"/>
      <c r="I789" s="30"/>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c r="CA789" s="73"/>
      <c r="CB789" s="73"/>
      <c r="CC789" s="73"/>
      <c r="CD789" s="73"/>
      <c r="CE789" s="73"/>
      <c r="CF789" s="73"/>
      <c r="CG789" s="73"/>
      <c r="CH789" s="73"/>
      <c r="CI789" s="73"/>
      <c r="CJ789" s="73"/>
      <c r="CK789" s="73"/>
      <c r="CL789" s="73"/>
      <c r="CM789" s="73"/>
      <c r="CN789" s="73"/>
      <c r="CO789" s="73"/>
      <c r="CP789" s="73"/>
      <c r="CQ789" s="73"/>
      <c r="CR789" s="73"/>
      <c r="CS789" s="73"/>
      <c r="CT789" s="73"/>
      <c r="CU789" s="73"/>
      <c r="CV789" s="73"/>
      <c r="CW789" s="73"/>
      <c r="CX789" s="73"/>
      <c r="CY789" s="73"/>
      <c r="CZ789" s="73"/>
      <c r="DA789" s="73"/>
      <c r="DB789" s="73"/>
      <c r="DC789" s="73"/>
      <c r="DD789" s="73"/>
      <c r="DE789" s="73"/>
      <c r="DF789" s="73"/>
      <c r="DG789" s="73"/>
      <c r="DH789" s="73"/>
      <c r="DI789" s="73"/>
      <c r="DJ789" s="73"/>
      <c r="DK789" s="73"/>
      <c r="DL789" s="73"/>
      <c r="DM789" s="73"/>
      <c r="DN789" s="73"/>
      <c r="DO789" s="73"/>
      <c r="DP789" s="73"/>
      <c r="DQ789" s="73"/>
      <c r="DR789" s="73"/>
      <c r="DS789" s="73"/>
      <c r="DT789" s="73"/>
      <c r="DU789" s="73"/>
      <c r="DV789" s="73"/>
      <c r="DW789" s="73"/>
      <c r="DX789" s="73"/>
      <c r="DY789" s="73"/>
      <c r="DZ789" s="73"/>
      <c r="EA789" s="73"/>
      <c r="EB789" s="73"/>
      <c r="EC789" s="73"/>
      <c r="ED789" s="73"/>
      <c r="EE789" s="73"/>
      <c r="EF789" s="73"/>
      <c r="FJ789" s="73"/>
      <c r="FK789" s="73"/>
      <c r="FL789" s="73"/>
      <c r="FM789" s="73"/>
      <c r="FN789" s="73"/>
      <c r="FO789" s="73"/>
      <c r="FP789" s="73"/>
      <c r="FQ789" s="73"/>
      <c r="FR789" s="73"/>
      <c r="FS789" s="73"/>
      <c r="FT789" s="73"/>
      <c r="FU789" s="73"/>
      <c r="FV789" s="73"/>
      <c r="FW789" s="73"/>
      <c r="FX789" s="73"/>
      <c r="GO789" s="73"/>
      <c r="GP789" s="73"/>
      <c r="HE789" s="73"/>
      <c r="HU789" s="73"/>
      <c r="HV789" s="182"/>
    </row>
    <row r="790" spans="1:230" x14ac:dyDescent="0.25">
      <c r="A790" s="30"/>
      <c r="B790" s="30"/>
      <c r="C790" s="30"/>
      <c r="D790" s="30"/>
      <c r="G790" s="30"/>
      <c r="H790" s="30"/>
      <c r="I790" s="30"/>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c r="CA790" s="73"/>
      <c r="CB790" s="73"/>
      <c r="CC790" s="73"/>
      <c r="CD790" s="73"/>
      <c r="CE790" s="73"/>
      <c r="CF790" s="73"/>
      <c r="CG790" s="73"/>
      <c r="CH790" s="73"/>
      <c r="CI790" s="73"/>
      <c r="CJ790" s="73"/>
      <c r="CK790" s="73"/>
      <c r="CL790" s="73"/>
      <c r="CM790" s="73"/>
      <c r="CN790" s="73"/>
      <c r="CO790" s="73"/>
      <c r="CP790" s="73"/>
      <c r="CQ790" s="73"/>
      <c r="CR790" s="73"/>
      <c r="CS790" s="73"/>
      <c r="CT790" s="73"/>
      <c r="CU790" s="73"/>
      <c r="CV790" s="73"/>
      <c r="CW790" s="73"/>
      <c r="CX790" s="73"/>
      <c r="CY790" s="73"/>
      <c r="CZ790" s="73"/>
      <c r="DA790" s="73"/>
      <c r="DB790" s="73"/>
      <c r="DC790" s="73"/>
      <c r="DD790" s="73"/>
      <c r="DE790" s="73"/>
      <c r="DF790" s="73"/>
      <c r="DG790" s="73"/>
      <c r="DH790" s="73"/>
      <c r="DI790" s="73"/>
      <c r="DJ790" s="73"/>
      <c r="DK790" s="73"/>
      <c r="DL790" s="73"/>
      <c r="DM790" s="73"/>
      <c r="DN790" s="73"/>
      <c r="DO790" s="73"/>
      <c r="DP790" s="73"/>
      <c r="DQ790" s="73"/>
      <c r="DR790" s="73"/>
      <c r="DS790" s="73"/>
      <c r="DT790" s="73"/>
      <c r="DU790" s="73"/>
      <c r="DV790" s="73"/>
      <c r="DW790" s="73"/>
      <c r="DX790" s="73"/>
      <c r="DY790" s="73"/>
      <c r="DZ790" s="73"/>
      <c r="EA790" s="73"/>
      <c r="EB790" s="73"/>
      <c r="EC790" s="73"/>
      <c r="ED790" s="73"/>
      <c r="EE790" s="73"/>
      <c r="EF790" s="73"/>
      <c r="FJ790" s="73"/>
      <c r="FK790" s="73"/>
      <c r="FL790" s="73"/>
      <c r="FM790" s="73"/>
      <c r="FN790" s="73"/>
      <c r="FO790" s="73"/>
      <c r="FP790" s="73"/>
      <c r="FQ790" s="73"/>
      <c r="FR790" s="73"/>
      <c r="FS790" s="73"/>
      <c r="FT790" s="73"/>
      <c r="FU790" s="73"/>
      <c r="FV790" s="73"/>
      <c r="FW790" s="73"/>
      <c r="FX790" s="73"/>
      <c r="GO790" s="73"/>
      <c r="GP790" s="73"/>
      <c r="HE790" s="73"/>
      <c r="HU790" s="73"/>
      <c r="HV790" s="182"/>
    </row>
    <row r="791" spans="1:230" x14ac:dyDescent="0.25">
      <c r="A791" s="30"/>
      <c r="B791" s="30"/>
      <c r="C791" s="30"/>
      <c r="D791" s="30"/>
      <c r="G791" s="30"/>
      <c r="H791" s="30"/>
      <c r="I791" s="30"/>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c r="CA791" s="73"/>
      <c r="CB791" s="73"/>
      <c r="CC791" s="73"/>
      <c r="CD791" s="73"/>
      <c r="CE791" s="73"/>
      <c r="CF791" s="73"/>
      <c r="CG791" s="73"/>
      <c r="CH791" s="73"/>
      <c r="CI791" s="73"/>
      <c r="CJ791" s="73"/>
      <c r="CK791" s="73"/>
      <c r="CL791" s="73"/>
      <c r="CM791" s="73"/>
      <c r="CN791" s="73"/>
      <c r="CO791" s="73"/>
      <c r="CP791" s="73"/>
      <c r="CQ791" s="73"/>
      <c r="CR791" s="73"/>
      <c r="CS791" s="73"/>
      <c r="CT791" s="73"/>
      <c r="CU791" s="73"/>
      <c r="CV791" s="73"/>
      <c r="CW791" s="73"/>
      <c r="CX791" s="73"/>
      <c r="CY791" s="73"/>
      <c r="CZ791" s="73"/>
      <c r="DA791" s="73"/>
      <c r="DB791" s="73"/>
      <c r="DC791" s="73"/>
      <c r="DD791" s="73"/>
      <c r="DE791" s="73"/>
      <c r="DF791" s="73"/>
      <c r="DG791" s="73"/>
      <c r="DH791" s="73"/>
      <c r="DI791" s="73"/>
      <c r="DJ791" s="73"/>
      <c r="DK791" s="73"/>
      <c r="DL791" s="73"/>
      <c r="DM791" s="73"/>
      <c r="DN791" s="73"/>
      <c r="DO791" s="73"/>
      <c r="DP791" s="73"/>
      <c r="DQ791" s="73"/>
      <c r="DR791" s="73"/>
      <c r="DS791" s="73"/>
      <c r="DT791" s="73"/>
      <c r="DU791" s="73"/>
      <c r="DV791" s="73"/>
      <c r="DW791" s="73"/>
      <c r="DX791" s="73"/>
      <c r="DY791" s="73"/>
      <c r="DZ791" s="73"/>
      <c r="EA791" s="73"/>
      <c r="EB791" s="73"/>
      <c r="EC791" s="73"/>
      <c r="ED791" s="73"/>
      <c r="EE791" s="73"/>
      <c r="EF791" s="73"/>
      <c r="FJ791" s="73"/>
      <c r="FK791" s="73"/>
      <c r="FL791" s="73"/>
      <c r="FM791" s="73"/>
      <c r="FN791" s="73"/>
      <c r="FO791" s="73"/>
      <c r="FP791" s="73"/>
      <c r="FQ791" s="73"/>
      <c r="FR791" s="73"/>
      <c r="FS791" s="73"/>
      <c r="FT791" s="73"/>
      <c r="FU791" s="73"/>
      <c r="FV791" s="73"/>
      <c r="FW791" s="73"/>
      <c r="FX791" s="73"/>
      <c r="GO791" s="73"/>
      <c r="GP791" s="73"/>
      <c r="HE791" s="73"/>
      <c r="HU791" s="73"/>
      <c r="HV791" s="182"/>
    </row>
    <row r="792" spans="1:230" x14ac:dyDescent="0.25">
      <c r="A792" s="30"/>
      <c r="B792" s="30"/>
      <c r="C792" s="30"/>
      <c r="D792" s="30"/>
      <c r="G792" s="30"/>
      <c r="H792" s="30"/>
      <c r="I792" s="30"/>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c r="CA792" s="73"/>
      <c r="CB792" s="73"/>
      <c r="CC792" s="73"/>
      <c r="CD792" s="73"/>
      <c r="CE792" s="73"/>
      <c r="CF792" s="73"/>
      <c r="CG792" s="73"/>
      <c r="CH792" s="73"/>
      <c r="CI792" s="73"/>
      <c r="CJ792" s="73"/>
      <c r="CK792" s="73"/>
      <c r="CL792" s="73"/>
      <c r="CM792" s="73"/>
      <c r="CN792" s="73"/>
      <c r="CO792" s="73"/>
      <c r="CP792" s="73"/>
      <c r="CQ792" s="73"/>
      <c r="CR792" s="73"/>
      <c r="CS792" s="73"/>
      <c r="CT792" s="73"/>
      <c r="CU792" s="73"/>
      <c r="CV792" s="73"/>
      <c r="CW792" s="73"/>
      <c r="CX792" s="73"/>
      <c r="CY792" s="73"/>
      <c r="CZ792" s="73"/>
      <c r="DA792" s="73"/>
      <c r="DB792" s="73"/>
      <c r="DC792" s="73"/>
      <c r="DD792" s="73"/>
      <c r="DE792" s="73"/>
      <c r="DF792" s="73"/>
      <c r="DG792" s="73"/>
      <c r="DH792" s="73"/>
      <c r="DI792" s="73"/>
      <c r="DJ792" s="73"/>
      <c r="DK792" s="73"/>
      <c r="DL792" s="73"/>
      <c r="DM792" s="73"/>
      <c r="DN792" s="73"/>
      <c r="DO792" s="73"/>
      <c r="DP792" s="73"/>
      <c r="DQ792" s="73"/>
      <c r="DR792" s="73"/>
      <c r="DS792" s="73"/>
      <c r="DT792" s="73"/>
      <c r="DU792" s="73"/>
      <c r="DV792" s="73"/>
      <c r="DW792" s="73"/>
      <c r="DX792" s="73"/>
      <c r="DY792" s="73"/>
      <c r="DZ792" s="73"/>
      <c r="EA792" s="73"/>
      <c r="EB792" s="73"/>
      <c r="EC792" s="73"/>
      <c r="ED792" s="73"/>
      <c r="EE792" s="73"/>
      <c r="EF792" s="73"/>
      <c r="FJ792" s="73"/>
      <c r="FK792" s="73"/>
      <c r="FL792" s="73"/>
      <c r="FM792" s="73"/>
      <c r="FN792" s="73"/>
      <c r="FO792" s="73"/>
      <c r="FP792" s="73"/>
      <c r="FQ792" s="73"/>
      <c r="FR792" s="73"/>
      <c r="FS792" s="73"/>
      <c r="FT792" s="73"/>
      <c r="FU792" s="73"/>
      <c r="FV792" s="73"/>
      <c r="FW792" s="73"/>
      <c r="FX792" s="73"/>
      <c r="GO792" s="73"/>
      <c r="GP792" s="73"/>
      <c r="HE792" s="73"/>
      <c r="HU792" s="73"/>
      <c r="HV792" s="182"/>
    </row>
    <row r="793" spans="1:230" x14ac:dyDescent="0.25">
      <c r="A793" s="30"/>
      <c r="B793" s="30"/>
      <c r="C793" s="30"/>
      <c r="D793" s="30"/>
      <c r="G793" s="30"/>
      <c r="H793" s="30"/>
      <c r="I793" s="30"/>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c r="CA793" s="73"/>
      <c r="CB793" s="73"/>
      <c r="CC793" s="73"/>
      <c r="CD793" s="73"/>
      <c r="CE793" s="73"/>
      <c r="CF793" s="73"/>
      <c r="CG793" s="73"/>
      <c r="CH793" s="73"/>
      <c r="CI793" s="73"/>
      <c r="CJ793" s="73"/>
      <c r="CK793" s="73"/>
      <c r="CL793" s="73"/>
      <c r="CM793" s="73"/>
      <c r="CN793" s="73"/>
      <c r="CO793" s="73"/>
      <c r="CP793" s="73"/>
      <c r="CQ793" s="73"/>
      <c r="CR793" s="73"/>
      <c r="CS793" s="73"/>
      <c r="CT793" s="73"/>
      <c r="CU793" s="73"/>
      <c r="CV793" s="73"/>
      <c r="CW793" s="73"/>
      <c r="CX793" s="73"/>
      <c r="CY793" s="73"/>
      <c r="CZ793" s="73"/>
      <c r="DA793" s="73"/>
      <c r="DB793" s="73"/>
      <c r="DC793" s="73"/>
      <c r="DD793" s="73"/>
      <c r="DE793" s="73"/>
      <c r="DF793" s="73"/>
      <c r="DG793" s="73"/>
      <c r="DH793" s="73"/>
      <c r="DI793" s="73"/>
      <c r="DJ793" s="73"/>
      <c r="DK793" s="73"/>
      <c r="DL793" s="73"/>
      <c r="DM793" s="73"/>
      <c r="DN793" s="73"/>
      <c r="DO793" s="73"/>
      <c r="DP793" s="73"/>
      <c r="DQ793" s="73"/>
      <c r="DR793" s="73"/>
      <c r="DS793" s="73"/>
      <c r="DT793" s="73"/>
      <c r="DU793" s="73"/>
      <c r="DV793" s="73"/>
      <c r="DW793" s="73"/>
      <c r="DX793" s="73"/>
      <c r="DY793" s="73"/>
      <c r="DZ793" s="73"/>
      <c r="EA793" s="73"/>
      <c r="EB793" s="73"/>
      <c r="EC793" s="73"/>
      <c r="ED793" s="73"/>
      <c r="EE793" s="73"/>
      <c r="EF793" s="73"/>
      <c r="FJ793" s="73"/>
      <c r="FK793" s="73"/>
      <c r="FL793" s="73"/>
      <c r="FM793" s="73"/>
      <c r="FN793" s="73"/>
      <c r="FO793" s="73"/>
      <c r="FP793" s="73"/>
      <c r="FQ793" s="73"/>
      <c r="FR793" s="73"/>
      <c r="FS793" s="73"/>
      <c r="FT793" s="73"/>
      <c r="FU793" s="73"/>
      <c r="FV793" s="73"/>
      <c r="FW793" s="73"/>
      <c r="FX793" s="73"/>
      <c r="GO793" s="73"/>
      <c r="GP793" s="73"/>
      <c r="HE793" s="73"/>
      <c r="HU793" s="73"/>
      <c r="HV793" s="182"/>
    </row>
    <row r="794" spans="1:230" x14ac:dyDescent="0.25">
      <c r="A794" s="30"/>
      <c r="B794" s="30"/>
      <c r="C794" s="30"/>
      <c r="D794" s="30"/>
      <c r="G794" s="30"/>
      <c r="H794" s="30"/>
      <c r="I794" s="30"/>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c r="CA794" s="73"/>
      <c r="CB794" s="73"/>
      <c r="CC794" s="73"/>
      <c r="CD794" s="73"/>
      <c r="CE794" s="73"/>
      <c r="CF794" s="73"/>
      <c r="CG794" s="73"/>
      <c r="CH794" s="73"/>
      <c r="CI794" s="73"/>
      <c r="CJ794" s="73"/>
      <c r="CK794" s="73"/>
      <c r="CL794" s="73"/>
      <c r="CM794" s="73"/>
      <c r="CN794" s="73"/>
      <c r="CO794" s="73"/>
      <c r="CP794" s="73"/>
      <c r="CQ794" s="73"/>
      <c r="CR794" s="73"/>
      <c r="CS794" s="73"/>
      <c r="CT794" s="73"/>
      <c r="CU794" s="73"/>
      <c r="CV794" s="73"/>
      <c r="CW794" s="73"/>
      <c r="CX794" s="73"/>
      <c r="CY794" s="73"/>
      <c r="CZ794" s="73"/>
      <c r="DA794" s="73"/>
      <c r="DB794" s="73"/>
      <c r="DC794" s="73"/>
      <c r="DD794" s="73"/>
      <c r="DE794" s="73"/>
      <c r="DF794" s="73"/>
      <c r="DG794" s="73"/>
      <c r="DH794" s="73"/>
      <c r="DI794" s="73"/>
      <c r="DJ794" s="73"/>
      <c r="DK794" s="73"/>
      <c r="DL794" s="73"/>
      <c r="DM794" s="73"/>
      <c r="DN794" s="73"/>
      <c r="DO794" s="73"/>
      <c r="DP794" s="73"/>
      <c r="DQ794" s="73"/>
      <c r="DR794" s="73"/>
      <c r="DS794" s="73"/>
      <c r="DT794" s="73"/>
      <c r="DU794" s="73"/>
      <c r="DV794" s="73"/>
      <c r="DW794" s="73"/>
      <c r="DX794" s="73"/>
      <c r="DY794" s="73"/>
      <c r="DZ794" s="73"/>
      <c r="EA794" s="73"/>
      <c r="EB794" s="73"/>
      <c r="EC794" s="73"/>
      <c r="ED794" s="73"/>
      <c r="EE794" s="73"/>
      <c r="EF794" s="73"/>
      <c r="FJ794" s="73"/>
      <c r="FK794" s="73"/>
      <c r="FL794" s="73"/>
      <c r="FM794" s="73"/>
      <c r="FN794" s="73"/>
      <c r="FO794" s="73"/>
      <c r="FP794" s="73"/>
      <c r="FQ794" s="73"/>
      <c r="FR794" s="73"/>
      <c r="FS794" s="73"/>
      <c r="FT794" s="73"/>
      <c r="FU794" s="73"/>
      <c r="FV794" s="73"/>
      <c r="FW794" s="73"/>
      <c r="FX794" s="73"/>
      <c r="GO794" s="73"/>
      <c r="GP794" s="73"/>
      <c r="HE794" s="73"/>
      <c r="HU794" s="73"/>
      <c r="HV794" s="182"/>
    </row>
    <row r="795" spans="1:230" x14ac:dyDescent="0.25">
      <c r="A795" s="30"/>
      <c r="B795" s="30"/>
      <c r="C795" s="30"/>
      <c r="D795" s="30"/>
      <c r="G795" s="30"/>
      <c r="H795" s="30"/>
      <c r="I795" s="30"/>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c r="CA795" s="73"/>
      <c r="CB795" s="73"/>
      <c r="CC795" s="73"/>
      <c r="CD795" s="73"/>
      <c r="CE795" s="73"/>
      <c r="CF795" s="73"/>
      <c r="CG795" s="73"/>
      <c r="CH795" s="73"/>
      <c r="CI795" s="73"/>
      <c r="CJ795" s="73"/>
      <c r="CK795" s="73"/>
      <c r="CL795" s="73"/>
      <c r="CM795" s="73"/>
      <c r="CN795" s="73"/>
      <c r="CO795" s="73"/>
      <c r="CP795" s="73"/>
      <c r="CQ795" s="73"/>
      <c r="CR795" s="73"/>
      <c r="CS795" s="73"/>
      <c r="CT795" s="73"/>
      <c r="CU795" s="73"/>
      <c r="CV795" s="73"/>
      <c r="CW795" s="73"/>
      <c r="CX795" s="73"/>
      <c r="CY795" s="73"/>
      <c r="CZ795" s="73"/>
      <c r="DA795" s="73"/>
      <c r="DB795" s="73"/>
      <c r="DC795" s="73"/>
      <c r="DD795" s="73"/>
      <c r="DE795" s="73"/>
      <c r="DF795" s="73"/>
      <c r="DG795" s="73"/>
      <c r="DH795" s="73"/>
      <c r="DI795" s="73"/>
      <c r="DJ795" s="73"/>
      <c r="DK795" s="73"/>
      <c r="DL795" s="73"/>
      <c r="DM795" s="73"/>
      <c r="DN795" s="73"/>
      <c r="DO795" s="73"/>
      <c r="DP795" s="73"/>
      <c r="DQ795" s="73"/>
      <c r="DR795" s="73"/>
      <c r="DS795" s="73"/>
      <c r="DT795" s="73"/>
      <c r="DU795" s="73"/>
      <c r="DV795" s="73"/>
      <c r="DW795" s="73"/>
      <c r="DX795" s="73"/>
      <c r="DY795" s="73"/>
      <c r="DZ795" s="73"/>
      <c r="EA795" s="73"/>
      <c r="EB795" s="73"/>
      <c r="EC795" s="73"/>
      <c r="ED795" s="73"/>
      <c r="EE795" s="73"/>
      <c r="EF795" s="73"/>
      <c r="FJ795" s="73"/>
      <c r="FK795" s="73"/>
      <c r="FL795" s="73"/>
      <c r="FM795" s="73"/>
      <c r="FN795" s="73"/>
      <c r="FO795" s="73"/>
      <c r="FP795" s="73"/>
      <c r="FQ795" s="73"/>
      <c r="FR795" s="73"/>
      <c r="FS795" s="73"/>
      <c r="FT795" s="73"/>
      <c r="FU795" s="73"/>
      <c r="FV795" s="73"/>
      <c r="FW795" s="73"/>
      <c r="FX795" s="73"/>
      <c r="GO795" s="73"/>
      <c r="GP795" s="73"/>
      <c r="HE795" s="73"/>
      <c r="HU795" s="73"/>
      <c r="HV795" s="182"/>
    </row>
    <row r="796" spans="1:230" x14ac:dyDescent="0.25">
      <c r="A796" s="30"/>
      <c r="B796" s="30"/>
      <c r="C796" s="30"/>
      <c r="D796" s="30"/>
      <c r="G796" s="30"/>
      <c r="H796" s="30"/>
      <c r="I796" s="30"/>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c r="CA796" s="73"/>
      <c r="CB796" s="73"/>
      <c r="CC796" s="73"/>
      <c r="CD796" s="73"/>
      <c r="CE796" s="73"/>
      <c r="CF796" s="73"/>
      <c r="CG796" s="73"/>
      <c r="CH796" s="73"/>
      <c r="CI796" s="73"/>
      <c r="CJ796" s="73"/>
      <c r="CK796" s="73"/>
      <c r="CL796" s="73"/>
      <c r="CM796" s="73"/>
      <c r="CN796" s="73"/>
      <c r="CO796" s="73"/>
      <c r="CP796" s="73"/>
      <c r="CQ796" s="73"/>
      <c r="CR796" s="73"/>
      <c r="CS796" s="73"/>
      <c r="CT796" s="73"/>
      <c r="CU796" s="73"/>
      <c r="CV796" s="73"/>
      <c r="CW796" s="73"/>
      <c r="CX796" s="73"/>
      <c r="CY796" s="73"/>
      <c r="CZ796" s="73"/>
      <c r="DA796" s="73"/>
      <c r="DB796" s="73"/>
      <c r="DC796" s="73"/>
      <c r="DD796" s="73"/>
      <c r="DE796" s="73"/>
      <c r="DF796" s="73"/>
      <c r="DG796" s="73"/>
      <c r="DH796" s="73"/>
      <c r="DI796" s="73"/>
      <c r="DJ796" s="73"/>
      <c r="DK796" s="73"/>
      <c r="DL796" s="73"/>
      <c r="DM796" s="73"/>
      <c r="DN796" s="73"/>
      <c r="DO796" s="73"/>
      <c r="DP796" s="73"/>
      <c r="DQ796" s="73"/>
      <c r="DR796" s="73"/>
      <c r="DS796" s="73"/>
      <c r="DT796" s="73"/>
      <c r="DU796" s="73"/>
      <c r="DV796" s="73"/>
      <c r="DW796" s="73"/>
      <c r="DX796" s="73"/>
      <c r="DY796" s="73"/>
      <c r="DZ796" s="73"/>
      <c r="EA796" s="73"/>
      <c r="EB796" s="73"/>
      <c r="EC796" s="73"/>
      <c r="ED796" s="73"/>
      <c r="EE796" s="73"/>
      <c r="EF796" s="73"/>
      <c r="FJ796" s="73"/>
      <c r="FK796" s="73"/>
      <c r="FL796" s="73"/>
      <c r="FM796" s="73"/>
      <c r="FN796" s="73"/>
      <c r="FO796" s="73"/>
      <c r="FP796" s="73"/>
      <c r="FQ796" s="73"/>
      <c r="FR796" s="73"/>
      <c r="FS796" s="73"/>
      <c r="FT796" s="73"/>
      <c r="FU796" s="73"/>
      <c r="FV796" s="73"/>
      <c r="FW796" s="73"/>
      <c r="FX796" s="73"/>
      <c r="GO796" s="73"/>
      <c r="GP796" s="73"/>
      <c r="HE796" s="73"/>
      <c r="HU796" s="73"/>
      <c r="HV796" s="182"/>
    </row>
    <row r="797" spans="1:230" x14ac:dyDescent="0.25">
      <c r="A797" s="30"/>
      <c r="B797" s="30"/>
      <c r="C797" s="30"/>
      <c r="D797" s="30"/>
      <c r="G797" s="30"/>
      <c r="H797" s="30"/>
      <c r="I797" s="30"/>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c r="CA797" s="73"/>
      <c r="CB797" s="73"/>
      <c r="CC797" s="73"/>
      <c r="CD797" s="73"/>
      <c r="CE797" s="73"/>
      <c r="CF797" s="73"/>
      <c r="CG797" s="73"/>
      <c r="CH797" s="73"/>
      <c r="CI797" s="73"/>
      <c r="CJ797" s="73"/>
      <c r="CK797" s="73"/>
      <c r="CL797" s="73"/>
      <c r="CM797" s="73"/>
      <c r="CN797" s="73"/>
      <c r="CO797" s="73"/>
      <c r="CP797" s="73"/>
      <c r="CQ797" s="73"/>
      <c r="CR797" s="73"/>
      <c r="CS797" s="73"/>
      <c r="CT797" s="73"/>
      <c r="CU797" s="73"/>
      <c r="CV797" s="73"/>
      <c r="CW797" s="73"/>
      <c r="CX797" s="73"/>
      <c r="CY797" s="73"/>
      <c r="CZ797" s="73"/>
      <c r="DA797" s="73"/>
      <c r="DB797" s="73"/>
      <c r="DC797" s="73"/>
      <c r="DD797" s="73"/>
      <c r="DE797" s="73"/>
      <c r="DF797" s="73"/>
      <c r="DG797" s="73"/>
      <c r="DH797" s="73"/>
      <c r="DI797" s="73"/>
      <c r="DJ797" s="73"/>
      <c r="DK797" s="73"/>
      <c r="DL797" s="73"/>
      <c r="DM797" s="73"/>
      <c r="DN797" s="73"/>
      <c r="DO797" s="73"/>
      <c r="DP797" s="73"/>
      <c r="DQ797" s="73"/>
      <c r="DR797" s="73"/>
      <c r="DS797" s="73"/>
      <c r="DT797" s="73"/>
      <c r="DU797" s="73"/>
      <c r="DV797" s="73"/>
      <c r="DW797" s="73"/>
      <c r="DX797" s="73"/>
      <c r="DY797" s="73"/>
      <c r="DZ797" s="73"/>
      <c r="EA797" s="73"/>
      <c r="EB797" s="73"/>
      <c r="EC797" s="73"/>
      <c r="ED797" s="73"/>
      <c r="EE797" s="73"/>
      <c r="EF797" s="73"/>
      <c r="FJ797" s="73"/>
      <c r="FK797" s="73"/>
      <c r="FL797" s="73"/>
      <c r="FM797" s="73"/>
      <c r="FN797" s="73"/>
      <c r="FO797" s="73"/>
      <c r="FP797" s="73"/>
      <c r="FQ797" s="73"/>
      <c r="FR797" s="73"/>
      <c r="FS797" s="73"/>
      <c r="FT797" s="73"/>
      <c r="FU797" s="73"/>
      <c r="FV797" s="73"/>
      <c r="FW797" s="73"/>
      <c r="FX797" s="73"/>
      <c r="GO797" s="73"/>
      <c r="GP797" s="73"/>
      <c r="HE797" s="73"/>
      <c r="HU797" s="73"/>
      <c r="HV797" s="182"/>
    </row>
    <row r="798" spans="1:230" x14ac:dyDescent="0.25">
      <c r="A798" s="30"/>
      <c r="B798" s="30"/>
      <c r="C798" s="30"/>
      <c r="D798" s="30"/>
      <c r="G798" s="30"/>
      <c r="H798" s="30"/>
      <c r="I798" s="30"/>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c r="CA798" s="73"/>
      <c r="CB798" s="73"/>
      <c r="CC798" s="73"/>
      <c r="CD798" s="73"/>
      <c r="CE798" s="73"/>
      <c r="CF798" s="73"/>
      <c r="CG798" s="73"/>
      <c r="CH798" s="73"/>
      <c r="CI798" s="73"/>
      <c r="CJ798" s="73"/>
      <c r="CK798" s="73"/>
      <c r="CL798" s="73"/>
      <c r="CM798" s="73"/>
      <c r="CN798" s="73"/>
      <c r="CO798" s="73"/>
      <c r="CP798" s="73"/>
      <c r="CQ798" s="73"/>
      <c r="CR798" s="73"/>
      <c r="CS798" s="73"/>
      <c r="CT798" s="73"/>
      <c r="CU798" s="73"/>
      <c r="CV798" s="73"/>
      <c r="CW798" s="73"/>
      <c r="CX798" s="73"/>
      <c r="CY798" s="73"/>
      <c r="CZ798" s="73"/>
      <c r="DA798" s="73"/>
      <c r="DB798" s="73"/>
      <c r="DC798" s="73"/>
      <c r="DD798" s="73"/>
      <c r="DE798" s="73"/>
      <c r="DF798" s="73"/>
      <c r="DG798" s="73"/>
      <c r="DH798" s="73"/>
      <c r="DI798" s="73"/>
      <c r="DJ798" s="73"/>
      <c r="DK798" s="73"/>
      <c r="DL798" s="73"/>
      <c r="DM798" s="73"/>
      <c r="DN798" s="73"/>
      <c r="DO798" s="73"/>
      <c r="DP798" s="73"/>
      <c r="DQ798" s="73"/>
      <c r="DR798" s="73"/>
      <c r="DS798" s="73"/>
      <c r="DT798" s="73"/>
      <c r="DU798" s="73"/>
      <c r="DV798" s="73"/>
      <c r="DW798" s="73"/>
      <c r="DX798" s="73"/>
      <c r="DY798" s="73"/>
      <c r="DZ798" s="73"/>
      <c r="EA798" s="73"/>
      <c r="EB798" s="73"/>
      <c r="EC798" s="73"/>
      <c r="ED798" s="73"/>
      <c r="EE798" s="73"/>
      <c r="EF798" s="73"/>
      <c r="FJ798" s="73"/>
      <c r="FK798" s="73"/>
      <c r="FL798" s="73"/>
      <c r="FM798" s="73"/>
      <c r="FN798" s="73"/>
      <c r="FO798" s="73"/>
      <c r="FP798" s="73"/>
      <c r="FQ798" s="73"/>
      <c r="FR798" s="73"/>
      <c r="FS798" s="73"/>
      <c r="FT798" s="73"/>
      <c r="FU798" s="73"/>
      <c r="FV798" s="73"/>
      <c r="FW798" s="73"/>
      <c r="FX798" s="73"/>
      <c r="GO798" s="73"/>
      <c r="GP798" s="73"/>
      <c r="HE798" s="73"/>
      <c r="HU798" s="73"/>
      <c r="HV798" s="182"/>
    </row>
    <row r="799" spans="1:230" x14ac:dyDescent="0.25">
      <c r="A799" s="30"/>
      <c r="B799" s="30"/>
      <c r="C799" s="30"/>
      <c r="D799" s="30"/>
      <c r="G799" s="30"/>
      <c r="H799" s="30"/>
      <c r="I799" s="30"/>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c r="CA799" s="73"/>
      <c r="CB799" s="73"/>
      <c r="CC799" s="73"/>
      <c r="CD799" s="73"/>
      <c r="CE799" s="73"/>
      <c r="CF799" s="73"/>
      <c r="CG799" s="73"/>
      <c r="CH799" s="73"/>
      <c r="CI799" s="73"/>
      <c r="CJ799" s="73"/>
      <c r="CK799" s="73"/>
      <c r="CL799" s="73"/>
      <c r="CM799" s="73"/>
      <c r="CN799" s="73"/>
      <c r="CO799" s="73"/>
      <c r="CP799" s="73"/>
      <c r="CQ799" s="73"/>
      <c r="CR799" s="73"/>
      <c r="CS799" s="73"/>
      <c r="CT799" s="73"/>
      <c r="CU799" s="73"/>
      <c r="CV799" s="73"/>
      <c r="CW799" s="73"/>
      <c r="CX799" s="73"/>
      <c r="CY799" s="73"/>
      <c r="CZ799" s="73"/>
      <c r="DA799" s="73"/>
      <c r="DB799" s="73"/>
      <c r="DC799" s="73"/>
      <c r="DD799" s="73"/>
      <c r="DE799" s="73"/>
      <c r="DF799" s="73"/>
      <c r="DG799" s="73"/>
      <c r="DH799" s="73"/>
      <c r="DI799" s="73"/>
      <c r="DJ799" s="73"/>
      <c r="DK799" s="73"/>
      <c r="DL799" s="73"/>
      <c r="DM799" s="73"/>
      <c r="DN799" s="73"/>
      <c r="DO799" s="73"/>
      <c r="DP799" s="73"/>
      <c r="DQ799" s="73"/>
      <c r="DR799" s="73"/>
      <c r="DS799" s="73"/>
      <c r="DT799" s="73"/>
      <c r="DU799" s="73"/>
      <c r="DV799" s="73"/>
      <c r="DW799" s="73"/>
      <c r="DX799" s="73"/>
      <c r="DY799" s="73"/>
      <c r="DZ799" s="73"/>
      <c r="EA799" s="73"/>
      <c r="EB799" s="73"/>
      <c r="EC799" s="73"/>
      <c r="ED799" s="73"/>
      <c r="EE799" s="73"/>
      <c r="EF799" s="73"/>
      <c r="FJ799" s="73"/>
      <c r="FK799" s="73"/>
      <c r="FL799" s="73"/>
      <c r="FM799" s="73"/>
      <c r="FN799" s="73"/>
      <c r="FO799" s="73"/>
      <c r="FP799" s="73"/>
      <c r="FQ799" s="73"/>
      <c r="FR799" s="73"/>
      <c r="FS799" s="73"/>
      <c r="FT799" s="73"/>
      <c r="FU799" s="73"/>
      <c r="FV799" s="73"/>
      <c r="FW799" s="73"/>
      <c r="FX799" s="73"/>
      <c r="GO799" s="73"/>
      <c r="GP799" s="73"/>
      <c r="HE799" s="73"/>
      <c r="HU799" s="73"/>
      <c r="HV799" s="182"/>
    </row>
    <row r="800" spans="1:230" x14ac:dyDescent="0.25">
      <c r="A800" s="30"/>
      <c r="B800" s="30"/>
      <c r="C800" s="30"/>
      <c r="D800" s="30"/>
      <c r="G800" s="30"/>
      <c r="H800" s="30"/>
      <c r="I800" s="30"/>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c r="CA800" s="73"/>
      <c r="CB800" s="73"/>
      <c r="CC800" s="73"/>
      <c r="CD800" s="73"/>
      <c r="CE800" s="73"/>
      <c r="CF800" s="73"/>
      <c r="CG800" s="73"/>
      <c r="CH800" s="73"/>
      <c r="CI800" s="73"/>
      <c r="CJ800" s="73"/>
      <c r="CK800" s="73"/>
      <c r="CL800" s="73"/>
      <c r="CM800" s="73"/>
      <c r="CN800" s="73"/>
      <c r="CO800" s="73"/>
      <c r="CP800" s="73"/>
      <c r="CQ800" s="73"/>
      <c r="CR800" s="73"/>
      <c r="CS800" s="73"/>
      <c r="CT800" s="73"/>
      <c r="CU800" s="73"/>
      <c r="CV800" s="73"/>
      <c r="CW800" s="73"/>
      <c r="CX800" s="73"/>
      <c r="CY800" s="73"/>
      <c r="CZ800" s="73"/>
      <c r="DA800" s="73"/>
      <c r="DB800" s="73"/>
      <c r="DC800" s="73"/>
      <c r="DD800" s="73"/>
      <c r="DE800" s="73"/>
      <c r="DF800" s="73"/>
      <c r="DG800" s="73"/>
      <c r="DH800" s="73"/>
      <c r="DI800" s="73"/>
      <c r="DJ800" s="73"/>
      <c r="DK800" s="73"/>
      <c r="DL800" s="73"/>
      <c r="DM800" s="73"/>
      <c r="DN800" s="73"/>
      <c r="DO800" s="73"/>
      <c r="DP800" s="73"/>
      <c r="DQ800" s="73"/>
      <c r="DR800" s="73"/>
      <c r="DS800" s="73"/>
      <c r="DT800" s="73"/>
      <c r="DU800" s="73"/>
      <c r="DV800" s="73"/>
      <c r="DW800" s="73"/>
      <c r="DX800" s="73"/>
      <c r="DY800" s="73"/>
      <c r="DZ800" s="73"/>
      <c r="EA800" s="73"/>
      <c r="EB800" s="73"/>
      <c r="EC800" s="73"/>
      <c r="ED800" s="73"/>
      <c r="EE800" s="73"/>
      <c r="EF800" s="73"/>
      <c r="FJ800" s="73"/>
      <c r="FK800" s="73"/>
      <c r="FL800" s="73"/>
      <c r="FM800" s="73"/>
      <c r="FN800" s="73"/>
      <c r="FO800" s="73"/>
      <c r="FP800" s="73"/>
      <c r="FQ800" s="73"/>
      <c r="FR800" s="73"/>
      <c r="FS800" s="73"/>
      <c r="FT800" s="73"/>
      <c r="FU800" s="73"/>
      <c r="FV800" s="73"/>
      <c r="FW800" s="73"/>
      <c r="FX800" s="73"/>
      <c r="GO800" s="73"/>
      <c r="GP800" s="73"/>
      <c r="HE800" s="73"/>
      <c r="HU800" s="73"/>
      <c r="HV800" s="182"/>
    </row>
    <row r="801" spans="1:230" x14ac:dyDescent="0.25">
      <c r="A801" s="30"/>
      <c r="B801" s="30"/>
      <c r="C801" s="30"/>
      <c r="D801" s="30"/>
      <c r="G801" s="30"/>
      <c r="H801" s="30"/>
      <c r="I801" s="30"/>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c r="CA801" s="73"/>
      <c r="CB801" s="73"/>
      <c r="CC801" s="73"/>
      <c r="CD801" s="73"/>
      <c r="CE801" s="73"/>
      <c r="CF801" s="73"/>
      <c r="CG801" s="73"/>
      <c r="CH801" s="73"/>
      <c r="CI801" s="73"/>
      <c r="CJ801" s="73"/>
      <c r="CK801" s="73"/>
      <c r="CL801" s="73"/>
      <c r="CM801" s="73"/>
      <c r="CN801" s="73"/>
      <c r="CO801" s="73"/>
      <c r="CP801" s="73"/>
      <c r="CQ801" s="73"/>
      <c r="CR801" s="73"/>
      <c r="CS801" s="73"/>
      <c r="CT801" s="73"/>
      <c r="CU801" s="73"/>
      <c r="CV801" s="73"/>
      <c r="CW801" s="73"/>
      <c r="CX801" s="73"/>
      <c r="CY801" s="73"/>
      <c r="CZ801" s="73"/>
      <c r="DA801" s="73"/>
      <c r="DB801" s="73"/>
      <c r="DC801" s="73"/>
      <c r="DD801" s="73"/>
      <c r="DE801" s="73"/>
      <c r="DF801" s="73"/>
      <c r="DG801" s="73"/>
      <c r="DH801" s="73"/>
      <c r="DI801" s="73"/>
      <c r="DJ801" s="73"/>
      <c r="DK801" s="73"/>
      <c r="DL801" s="73"/>
      <c r="DM801" s="73"/>
      <c r="DN801" s="73"/>
      <c r="DO801" s="73"/>
      <c r="DP801" s="73"/>
      <c r="DQ801" s="73"/>
      <c r="DR801" s="73"/>
      <c r="DS801" s="73"/>
      <c r="DT801" s="73"/>
      <c r="DU801" s="73"/>
      <c r="DV801" s="73"/>
      <c r="DW801" s="73"/>
      <c r="DX801" s="73"/>
      <c r="DY801" s="73"/>
      <c r="DZ801" s="73"/>
      <c r="EA801" s="73"/>
      <c r="EB801" s="73"/>
      <c r="EC801" s="73"/>
      <c r="ED801" s="73"/>
      <c r="EE801" s="73"/>
      <c r="EF801" s="73"/>
      <c r="FJ801" s="73"/>
      <c r="FK801" s="73"/>
      <c r="FL801" s="73"/>
      <c r="FM801" s="73"/>
      <c r="FN801" s="73"/>
      <c r="FO801" s="73"/>
      <c r="FP801" s="73"/>
      <c r="FQ801" s="73"/>
      <c r="FR801" s="73"/>
      <c r="FS801" s="73"/>
      <c r="FT801" s="73"/>
      <c r="FU801" s="73"/>
      <c r="FV801" s="73"/>
      <c r="FW801" s="73"/>
      <c r="FX801" s="73"/>
      <c r="GO801" s="73"/>
      <c r="GP801" s="73"/>
      <c r="HE801" s="73"/>
      <c r="HU801" s="73"/>
      <c r="HV801" s="182"/>
    </row>
    <row r="802" spans="1:230" x14ac:dyDescent="0.25">
      <c r="A802" s="30"/>
      <c r="B802" s="30"/>
      <c r="C802" s="30"/>
      <c r="D802" s="30"/>
      <c r="G802" s="30"/>
      <c r="H802" s="30"/>
      <c r="I802" s="30"/>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c r="CA802" s="73"/>
      <c r="CB802" s="73"/>
      <c r="CC802" s="73"/>
      <c r="CD802" s="73"/>
      <c r="CE802" s="73"/>
      <c r="CF802" s="73"/>
      <c r="CG802" s="73"/>
      <c r="CH802" s="73"/>
      <c r="CI802" s="73"/>
      <c r="CJ802" s="73"/>
      <c r="CK802" s="73"/>
      <c r="CL802" s="73"/>
      <c r="CM802" s="73"/>
      <c r="CN802" s="73"/>
      <c r="CO802" s="73"/>
      <c r="CP802" s="73"/>
      <c r="CQ802" s="73"/>
      <c r="CR802" s="73"/>
      <c r="CS802" s="73"/>
      <c r="CT802" s="73"/>
      <c r="CU802" s="73"/>
      <c r="CV802" s="73"/>
      <c r="CW802" s="73"/>
      <c r="CX802" s="73"/>
      <c r="CY802" s="73"/>
      <c r="CZ802" s="73"/>
      <c r="DA802" s="73"/>
      <c r="DB802" s="73"/>
      <c r="DC802" s="73"/>
      <c r="DD802" s="73"/>
      <c r="DE802" s="73"/>
      <c r="DF802" s="73"/>
      <c r="DG802" s="73"/>
      <c r="DH802" s="73"/>
      <c r="DI802" s="73"/>
      <c r="DJ802" s="73"/>
      <c r="DK802" s="73"/>
      <c r="DL802" s="73"/>
      <c r="DM802" s="73"/>
      <c r="DN802" s="73"/>
      <c r="DO802" s="73"/>
      <c r="DP802" s="73"/>
      <c r="DQ802" s="73"/>
      <c r="DR802" s="73"/>
      <c r="DS802" s="73"/>
      <c r="DT802" s="73"/>
      <c r="DU802" s="73"/>
      <c r="DV802" s="73"/>
      <c r="DW802" s="73"/>
      <c r="DX802" s="73"/>
      <c r="DY802" s="73"/>
      <c r="DZ802" s="73"/>
      <c r="EA802" s="73"/>
      <c r="EB802" s="73"/>
      <c r="EC802" s="73"/>
      <c r="ED802" s="73"/>
      <c r="EE802" s="73"/>
      <c r="EF802" s="73"/>
      <c r="FJ802" s="73"/>
      <c r="FK802" s="73"/>
      <c r="FL802" s="73"/>
      <c r="FM802" s="73"/>
      <c r="FN802" s="73"/>
      <c r="FO802" s="73"/>
      <c r="FP802" s="73"/>
      <c r="FQ802" s="73"/>
      <c r="FR802" s="73"/>
      <c r="FS802" s="73"/>
      <c r="FT802" s="73"/>
      <c r="FU802" s="73"/>
      <c r="FV802" s="73"/>
      <c r="FW802" s="73"/>
      <c r="FX802" s="73"/>
      <c r="GO802" s="73"/>
      <c r="GP802" s="73"/>
      <c r="HE802" s="73"/>
      <c r="HU802" s="73"/>
      <c r="HV802" s="182"/>
    </row>
    <row r="803" spans="1:230" x14ac:dyDescent="0.25">
      <c r="A803" s="30"/>
      <c r="B803" s="30"/>
      <c r="C803" s="30"/>
      <c r="D803" s="30"/>
      <c r="G803" s="30"/>
      <c r="H803" s="30"/>
      <c r="I803" s="30"/>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c r="CA803" s="73"/>
      <c r="CB803" s="73"/>
      <c r="CC803" s="73"/>
      <c r="CD803" s="73"/>
      <c r="CE803" s="73"/>
      <c r="CF803" s="73"/>
      <c r="CG803" s="73"/>
      <c r="CH803" s="73"/>
      <c r="CI803" s="73"/>
      <c r="CJ803" s="73"/>
      <c r="CK803" s="73"/>
      <c r="CL803" s="73"/>
      <c r="CM803" s="73"/>
      <c r="CN803" s="73"/>
      <c r="CO803" s="73"/>
      <c r="CP803" s="73"/>
      <c r="CQ803" s="73"/>
      <c r="CR803" s="73"/>
      <c r="CS803" s="73"/>
      <c r="CT803" s="73"/>
      <c r="CU803" s="73"/>
      <c r="CV803" s="73"/>
      <c r="CW803" s="73"/>
      <c r="CX803" s="73"/>
      <c r="CY803" s="73"/>
      <c r="CZ803" s="73"/>
      <c r="DA803" s="73"/>
      <c r="DB803" s="73"/>
      <c r="DC803" s="73"/>
      <c r="DD803" s="73"/>
      <c r="DE803" s="73"/>
      <c r="DF803" s="73"/>
      <c r="DG803" s="73"/>
      <c r="DH803" s="73"/>
      <c r="DI803" s="73"/>
      <c r="DJ803" s="73"/>
      <c r="DK803" s="73"/>
      <c r="DL803" s="73"/>
      <c r="DM803" s="73"/>
      <c r="DN803" s="73"/>
      <c r="DO803" s="73"/>
      <c r="DP803" s="73"/>
      <c r="DQ803" s="73"/>
      <c r="DR803" s="73"/>
      <c r="DS803" s="73"/>
      <c r="DT803" s="73"/>
      <c r="DU803" s="73"/>
      <c r="DV803" s="73"/>
      <c r="DW803" s="73"/>
      <c r="DX803" s="73"/>
      <c r="DY803" s="73"/>
      <c r="DZ803" s="73"/>
      <c r="EA803" s="73"/>
      <c r="EB803" s="73"/>
      <c r="EC803" s="73"/>
      <c r="ED803" s="73"/>
      <c r="EE803" s="73"/>
      <c r="EF803" s="73"/>
      <c r="FJ803" s="73"/>
      <c r="FK803" s="73"/>
      <c r="FL803" s="73"/>
      <c r="FM803" s="73"/>
      <c r="FN803" s="73"/>
      <c r="FO803" s="73"/>
      <c r="FP803" s="73"/>
      <c r="FQ803" s="73"/>
      <c r="FR803" s="73"/>
      <c r="FS803" s="73"/>
      <c r="FT803" s="73"/>
      <c r="FU803" s="73"/>
      <c r="FV803" s="73"/>
      <c r="FW803" s="73"/>
      <c r="FX803" s="73"/>
      <c r="GO803" s="73"/>
      <c r="GP803" s="73"/>
      <c r="HE803" s="73"/>
      <c r="HU803" s="73"/>
      <c r="HV803" s="182"/>
    </row>
    <row r="804" spans="1:230" x14ac:dyDescent="0.25">
      <c r="A804" s="30"/>
      <c r="B804" s="30"/>
      <c r="C804" s="30"/>
      <c r="D804" s="30"/>
      <c r="G804" s="30"/>
      <c r="H804" s="30"/>
      <c r="I804" s="30"/>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c r="CA804" s="73"/>
      <c r="CB804" s="73"/>
      <c r="CC804" s="73"/>
      <c r="CD804" s="73"/>
      <c r="CE804" s="73"/>
      <c r="CF804" s="73"/>
      <c r="CG804" s="73"/>
      <c r="CH804" s="73"/>
      <c r="CI804" s="73"/>
      <c r="CJ804" s="73"/>
      <c r="CK804" s="73"/>
      <c r="CL804" s="73"/>
      <c r="CM804" s="73"/>
      <c r="CN804" s="73"/>
      <c r="CO804" s="73"/>
      <c r="CP804" s="73"/>
      <c r="CQ804" s="73"/>
      <c r="CR804" s="73"/>
      <c r="CS804" s="73"/>
      <c r="CT804" s="73"/>
      <c r="CU804" s="73"/>
      <c r="CV804" s="73"/>
      <c r="CW804" s="73"/>
      <c r="CX804" s="73"/>
      <c r="CY804" s="73"/>
      <c r="CZ804" s="73"/>
      <c r="DA804" s="73"/>
      <c r="DB804" s="73"/>
      <c r="DC804" s="73"/>
      <c r="DD804" s="73"/>
      <c r="DE804" s="73"/>
      <c r="DF804" s="73"/>
      <c r="DG804" s="73"/>
      <c r="DH804" s="73"/>
      <c r="DI804" s="73"/>
      <c r="DJ804" s="73"/>
      <c r="DK804" s="73"/>
      <c r="DL804" s="73"/>
      <c r="DM804" s="73"/>
      <c r="DN804" s="73"/>
      <c r="DO804" s="73"/>
      <c r="DP804" s="73"/>
      <c r="DQ804" s="73"/>
      <c r="DR804" s="73"/>
      <c r="DS804" s="73"/>
      <c r="DT804" s="73"/>
      <c r="DU804" s="73"/>
      <c r="DV804" s="73"/>
      <c r="DW804" s="73"/>
      <c r="DX804" s="73"/>
      <c r="DY804" s="73"/>
      <c r="DZ804" s="73"/>
      <c r="EA804" s="73"/>
      <c r="EB804" s="73"/>
      <c r="EC804" s="73"/>
      <c r="ED804" s="73"/>
      <c r="EE804" s="73"/>
      <c r="EF804" s="73"/>
      <c r="FJ804" s="73"/>
      <c r="FK804" s="73"/>
      <c r="FL804" s="73"/>
      <c r="FM804" s="73"/>
      <c r="FN804" s="73"/>
      <c r="FO804" s="73"/>
      <c r="FP804" s="73"/>
      <c r="FQ804" s="73"/>
      <c r="FR804" s="73"/>
      <c r="FS804" s="73"/>
      <c r="FT804" s="73"/>
      <c r="FU804" s="73"/>
      <c r="FV804" s="73"/>
      <c r="FW804" s="73"/>
      <c r="FX804" s="73"/>
      <c r="GO804" s="73"/>
      <c r="GP804" s="73"/>
      <c r="HE804" s="73"/>
      <c r="HU804" s="73"/>
      <c r="HV804" s="182"/>
    </row>
    <row r="805" spans="1:230" x14ac:dyDescent="0.25">
      <c r="A805" s="30"/>
      <c r="B805" s="30"/>
      <c r="C805" s="30"/>
      <c r="D805" s="30"/>
      <c r="G805" s="30"/>
      <c r="H805" s="30"/>
      <c r="I805" s="30"/>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c r="CA805" s="73"/>
      <c r="CB805" s="73"/>
      <c r="CC805" s="73"/>
      <c r="CD805" s="73"/>
      <c r="CE805" s="73"/>
      <c r="CF805" s="73"/>
      <c r="CG805" s="73"/>
      <c r="CH805" s="73"/>
      <c r="CI805" s="73"/>
      <c r="CJ805" s="73"/>
      <c r="CK805" s="73"/>
      <c r="CL805" s="73"/>
      <c r="CM805" s="73"/>
      <c r="CN805" s="73"/>
      <c r="CO805" s="73"/>
      <c r="CP805" s="73"/>
      <c r="CQ805" s="73"/>
      <c r="CR805" s="73"/>
      <c r="CS805" s="73"/>
      <c r="CT805" s="73"/>
      <c r="CU805" s="73"/>
      <c r="CV805" s="73"/>
      <c r="CW805" s="73"/>
      <c r="CX805" s="73"/>
      <c r="CY805" s="73"/>
      <c r="CZ805" s="73"/>
      <c r="DA805" s="73"/>
      <c r="DB805" s="73"/>
      <c r="DC805" s="73"/>
      <c r="DD805" s="73"/>
      <c r="DE805" s="73"/>
      <c r="DF805" s="73"/>
      <c r="DG805" s="73"/>
      <c r="DH805" s="73"/>
      <c r="DI805" s="73"/>
      <c r="DJ805" s="73"/>
      <c r="DK805" s="73"/>
      <c r="DL805" s="73"/>
      <c r="DM805" s="73"/>
      <c r="DN805" s="73"/>
      <c r="DO805" s="73"/>
      <c r="DP805" s="73"/>
      <c r="DQ805" s="73"/>
      <c r="DR805" s="73"/>
      <c r="DS805" s="73"/>
      <c r="DT805" s="73"/>
      <c r="DU805" s="73"/>
      <c r="DV805" s="73"/>
      <c r="DW805" s="73"/>
      <c r="DX805" s="73"/>
      <c r="DY805" s="73"/>
      <c r="DZ805" s="73"/>
      <c r="EA805" s="73"/>
      <c r="EB805" s="73"/>
      <c r="EC805" s="73"/>
      <c r="ED805" s="73"/>
      <c r="EE805" s="73"/>
      <c r="EF805" s="73"/>
      <c r="FJ805" s="73"/>
      <c r="FK805" s="73"/>
      <c r="FL805" s="73"/>
      <c r="FM805" s="73"/>
      <c r="FN805" s="73"/>
      <c r="FO805" s="73"/>
      <c r="FP805" s="73"/>
      <c r="FQ805" s="73"/>
      <c r="FR805" s="73"/>
      <c r="FS805" s="73"/>
      <c r="FT805" s="73"/>
      <c r="FU805" s="73"/>
      <c r="FV805" s="73"/>
      <c r="FW805" s="73"/>
      <c r="FX805" s="73"/>
      <c r="GO805" s="73"/>
      <c r="GP805" s="73"/>
      <c r="HE805" s="73"/>
      <c r="HU805" s="73"/>
      <c r="HV805" s="182"/>
    </row>
    <row r="806" spans="1:230" x14ac:dyDescent="0.25">
      <c r="A806" s="30"/>
      <c r="B806" s="30"/>
      <c r="C806" s="30"/>
      <c r="D806" s="30"/>
      <c r="G806" s="30"/>
      <c r="H806" s="30"/>
      <c r="I806" s="30"/>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c r="CA806" s="73"/>
      <c r="CB806" s="73"/>
      <c r="CC806" s="73"/>
      <c r="CD806" s="73"/>
      <c r="CE806" s="73"/>
      <c r="CF806" s="73"/>
      <c r="CG806" s="73"/>
      <c r="CH806" s="73"/>
      <c r="CI806" s="73"/>
      <c r="CJ806" s="73"/>
      <c r="CK806" s="73"/>
      <c r="CL806" s="73"/>
      <c r="CM806" s="73"/>
      <c r="CN806" s="73"/>
      <c r="CO806" s="73"/>
      <c r="CP806" s="73"/>
      <c r="CQ806" s="73"/>
      <c r="CR806" s="73"/>
      <c r="CS806" s="73"/>
      <c r="CT806" s="73"/>
      <c r="CU806" s="73"/>
      <c r="CV806" s="73"/>
      <c r="CW806" s="73"/>
      <c r="CX806" s="73"/>
      <c r="CY806" s="73"/>
      <c r="CZ806" s="73"/>
      <c r="DA806" s="73"/>
      <c r="DB806" s="73"/>
      <c r="DC806" s="73"/>
      <c r="DD806" s="73"/>
      <c r="DE806" s="73"/>
      <c r="DF806" s="73"/>
      <c r="DG806" s="73"/>
      <c r="DH806" s="73"/>
      <c r="DI806" s="73"/>
      <c r="DJ806" s="73"/>
      <c r="DK806" s="73"/>
      <c r="DL806" s="73"/>
      <c r="DM806" s="73"/>
      <c r="DN806" s="73"/>
      <c r="DO806" s="73"/>
      <c r="DP806" s="73"/>
      <c r="DQ806" s="73"/>
      <c r="DR806" s="73"/>
      <c r="DS806" s="73"/>
      <c r="DT806" s="73"/>
      <c r="DU806" s="73"/>
      <c r="DV806" s="73"/>
      <c r="DW806" s="73"/>
      <c r="DX806" s="73"/>
      <c r="DY806" s="73"/>
      <c r="DZ806" s="73"/>
      <c r="EA806" s="73"/>
      <c r="EB806" s="73"/>
      <c r="EC806" s="73"/>
      <c r="ED806" s="73"/>
      <c r="EE806" s="73"/>
      <c r="EF806" s="73"/>
      <c r="FJ806" s="73"/>
      <c r="FK806" s="73"/>
      <c r="FL806" s="73"/>
      <c r="FM806" s="73"/>
      <c r="FN806" s="73"/>
      <c r="FO806" s="73"/>
      <c r="FP806" s="73"/>
      <c r="FQ806" s="73"/>
      <c r="FR806" s="73"/>
      <c r="FS806" s="73"/>
      <c r="FT806" s="73"/>
      <c r="FU806" s="73"/>
      <c r="FV806" s="73"/>
      <c r="FW806" s="73"/>
      <c r="FX806" s="73"/>
      <c r="GO806" s="73"/>
      <c r="GP806" s="73"/>
      <c r="HE806" s="73"/>
      <c r="HU806" s="73"/>
      <c r="HV806" s="182"/>
    </row>
    <row r="807" spans="1:230" x14ac:dyDescent="0.25">
      <c r="A807" s="30"/>
      <c r="B807" s="30"/>
      <c r="C807" s="30"/>
      <c r="D807" s="30"/>
      <c r="G807" s="30"/>
      <c r="H807" s="30"/>
      <c r="I807" s="30"/>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c r="CA807" s="73"/>
      <c r="CB807" s="73"/>
      <c r="CC807" s="73"/>
      <c r="CD807" s="73"/>
      <c r="CE807" s="73"/>
      <c r="CF807" s="73"/>
      <c r="CG807" s="73"/>
      <c r="CH807" s="73"/>
      <c r="CI807" s="73"/>
      <c r="CJ807" s="73"/>
      <c r="CK807" s="73"/>
      <c r="CL807" s="73"/>
      <c r="CM807" s="73"/>
      <c r="CN807" s="73"/>
      <c r="CO807" s="73"/>
      <c r="CP807" s="73"/>
      <c r="CQ807" s="73"/>
      <c r="CR807" s="73"/>
      <c r="CS807" s="73"/>
      <c r="CT807" s="73"/>
      <c r="CU807" s="73"/>
      <c r="CV807" s="73"/>
      <c r="CW807" s="73"/>
      <c r="CX807" s="73"/>
      <c r="CY807" s="73"/>
      <c r="CZ807" s="73"/>
      <c r="DA807" s="73"/>
      <c r="DB807" s="73"/>
      <c r="DC807" s="73"/>
      <c r="DD807" s="73"/>
      <c r="DE807" s="73"/>
      <c r="DF807" s="73"/>
      <c r="DG807" s="73"/>
      <c r="DH807" s="73"/>
      <c r="DI807" s="73"/>
      <c r="DJ807" s="73"/>
      <c r="DK807" s="73"/>
      <c r="DL807" s="73"/>
      <c r="DM807" s="73"/>
      <c r="DN807" s="73"/>
      <c r="DO807" s="73"/>
      <c r="DP807" s="73"/>
      <c r="DQ807" s="73"/>
      <c r="DR807" s="73"/>
      <c r="DS807" s="73"/>
      <c r="DT807" s="73"/>
      <c r="DU807" s="73"/>
      <c r="DV807" s="73"/>
      <c r="DW807" s="73"/>
      <c r="DX807" s="73"/>
      <c r="DY807" s="73"/>
      <c r="DZ807" s="73"/>
      <c r="EA807" s="73"/>
      <c r="EB807" s="73"/>
      <c r="EC807" s="73"/>
      <c r="ED807" s="73"/>
      <c r="EE807" s="73"/>
      <c r="EF807" s="73"/>
      <c r="FJ807" s="73"/>
      <c r="FK807" s="73"/>
      <c r="FL807" s="73"/>
      <c r="FM807" s="73"/>
      <c r="FN807" s="73"/>
      <c r="FO807" s="73"/>
      <c r="FP807" s="73"/>
      <c r="FQ807" s="73"/>
      <c r="FR807" s="73"/>
      <c r="FS807" s="73"/>
      <c r="FT807" s="73"/>
      <c r="FU807" s="73"/>
      <c r="FV807" s="73"/>
      <c r="FW807" s="73"/>
      <c r="FX807" s="73"/>
      <c r="GO807" s="73"/>
      <c r="GP807" s="73"/>
      <c r="HE807" s="73"/>
      <c r="HU807" s="73"/>
      <c r="HV807" s="182"/>
    </row>
    <row r="808" spans="1:230" x14ac:dyDescent="0.25">
      <c r="A808" s="30"/>
      <c r="B808" s="30"/>
      <c r="C808" s="30"/>
      <c r="D808" s="30"/>
      <c r="G808" s="30"/>
      <c r="H808" s="30"/>
      <c r="I808" s="30"/>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c r="CA808" s="73"/>
      <c r="CB808" s="73"/>
      <c r="CC808" s="73"/>
      <c r="CD808" s="73"/>
      <c r="CE808" s="73"/>
      <c r="CF808" s="73"/>
      <c r="CG808" s="73"/>
      <c r="CH808" s="73"/>
      <c r="CI808" s="73"/>
      <c r="CJ808" s="73"/>
      <c r="CK808" s="73"/>
      <c r="CL808" s="73"/>
      <c r="CM808" s="73"/>
      <c r="CN808" s="73"/>
      <c r="CO808" s="73"/>
      <c r="CP808" s="73"/>
      <c r="CQ808" s="73"/>
      <c r="CR808" s="73"/>
      <c r="CS808" s="73"/>
      <c r="CT808" s="73"/>
      <c r="CU808" s="73"/>
      <c r="CV808" s="73"/>
      <c r="CW808" s="73"/>
      <c r="CX808" s="73"/>
      <c r="CY808" s="73"/>
      <c r="CZ808" s="73"/>
      <c r="DA808" s="73"/>
      <c r="DB808" s="73"/>
      <c r="DC808" s="73"/>
      <c r="DD808" s="73"/>
      <c r="DE808" s="73"/>
      <c r="DF808" s="73"/>
      <c r="DG808" s="73"/>
      <c r="DH808" s="73"/>
      <c r="DI808" s="73"/>
      <c r="DJ808" s="73"/>
      <c r="DK808" s="73"/>
      <c r="DL808" s="73"/>
      <c r="DM808" s="73"/>
      <c r="DN808" s="73"/>
      <c r="DO808" s="73"/>
      <c r="DP808" s="73"/>
      <c r="DQ808" s="73"/>
      <c r="DR808" s="73"/>
      <c r="DS808" s="73"/>
      <c r="DT808" s="73"/>
      <c r="DU808" s="73"/>
      <c r="DV808" s="73"/>
      <c r="DW808" s="73"/>
      <c r="DX808" s="73"/>
      <c r="DY808" s="73"/>
      <c r="DZ808" s="73"/>
      <c r="EA808" s="73"/>
      <c r="EB808" s="73"/>
      <c r="EC808" s="73"/>
      <c r="ED808" s="73"/>
      <c r="EE808" s="73"/>
      <c r="EF808" s="73"/>
      <c r="FJ808" s="73"/>
      <c r="FK808" s="73"/>
      <c r="FL808" s="73"/>
      <c r="FM808" s="73"/>
      <c r="FN808" s="73"/>
      <c r="FO808" s="73"/>
      <c r="FP808" s="73"/>
      <c r="FQ808" s="73"/>
      <c r="FR808" s="73"/>
      <c r="FS808" s="73"/>
      <c r="FT808" s="73"/>
      <c r="FU808" s="73"/>
      <c r="FV808" s="73"/>
      <c r="FW808" s="73"/>
      <c r="FX808" s="73"/>
      <c r="GO808" s="73"/>
      <c r="GP808" s="73"/>
      <c r="HE808" s="73"/>
      <c r="HU808" s="73"/>
      <c r="HV808" s="182"/>
    </row>
    <row r="809" spans="1:230" x14ac:dyDescent="0.25">
      <c r="A809" s="30"/>
      <c r="B809" s="30"/>
      <c r="C809" s="30"/>
      <c r="D809" s="30"/>
      <c r="G809" s="30"/>
      <c r="H809" s="30"/>
      <c r="I809" s="30"/>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c r="CA809" s="73"/>
      <c r="CB809" s="73"/>
      <c r="CC809" s="73"/>
      <c r="CD809" s="73"/>
      <c r="CE809" s="73"/>
      <c r="CF809" s="73"/>
      <c r="CG809" s="73"/>
      <c r="CH809" s="73"/>
      <c r="CI809" s="73"/>
      <c r="CJ809" s="73"/>
      <c r="CK809" s="73"/>
      <c r="CL809" s="73"/>
      <c r="CM809" s="73"/>
      <c r="CN809" s="73"/>
      <c r="CO809" s="73"/>
      <c r="CP809" s="73"/>
      <c r="CQ809" s="73"/>
      <c r="CR809" s="73"/>
      <c r="CS809" s="73"/>
      <c r="CT809" s="73"/>
      <c r="CU809" s="73"/>
      <c r="CV809" s="73"/>
      <c r="CW809" s="73"/>
      <c r="CX809" s="73"/>
      <c r="CY809" s="73"/>
      <c r="CZ809" s="73"/>
      <c r="DA809" s="73"/>
      <c r="DB809" s="73"/>
      <c r="DC809" s="73"/>
      <c r="DD809" s="73"/>
      <c r="DE809" s="73"/>
      <c r="DF809" s="73"/>
      <c r="DG809" s="73"/>
      <c r="DH809" s="73"/>
      <c r="DI809" s="73"/>
      <c r="DJ809" s="73"/>
      <c r="DK809" s="73"/>
      <c r="DL809" s="73"/>
      <c r="DM809" s="73"/>
      <c r="DN809" s="73"/>
      <c r="DO809" s="73"/>
      <c r="DP809" s="73"/>
      <c r="DQ809" s="73"/>
      <c r="DR809" s="73"/>
      <c r="DS809" s="73"/>
      <c r="DT809" s="73"/>
      <c r="DU809" s="73"/>
      <c r="DV809" s="73"/>
      <c r="DW809" s="73"/>
      <c r="DX809" s="73"/>
      <c r="DY809" s="73"/>
      <c r="DZ809" s="73"/>
      <c r="EA809" s="73"/>
      <c r="EB809" s="73"/>
      <c r="EC809" s="73"/>
      <c r="ED809" s="73"/>
      <c r="EE809" s="73"/>
      <c r="EF809" s="73"/>
      <c r="FJ809" s="73"/>
      <c r="FK809" s="73"/>
      <c r="FL809" s="73"/>
      <c r="FM809" s="73"/>
      <c r="FN809" s="73"/>
      <c r="FO809" s="73"/>
      <c r="FP809" s="73"/>
      <c r="FQ809" s="73"/>
      <c r="FR809" s="73"/>
      <c r="FS809" s="73"/>
      <c r="FT809" s="73"/>
      <c r="FU809" s="73"/>
      <c r="FV809" s="73"/>
      <c r="FW809" s="73"/>
      <c r="FX809" s="73"/>
      <c r="GO809" s="73"/>
      <c r="GP809" s="73"/>
      <c r="HE809" s="73"/>
      <c r="HU809" s="73"/>
      <c r="HV809" s="182"/>
    </row>
    <row r="810" spans="1:230" x14ac:dyDescent="0.25">
      <c r="A810" s="30"/>
      <c r="B810" s="30"/>
      <c r="C810" s="30"/>
      <c r="D810" s="30"/>
      <c r="G810" s="30"/>
      <c r="H810" s="30"/>
      <c r="I810" s="30"/>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c r="CA810" s="73"/>
      <c r="CB810" s="73"/>
      <c r="CC810" s="73"/>
      <c r="CD810" s="73"/>
      <c r="CE810" s="73"/>
      <c r="CF810" s="73"/>
      <c r="CG810" s="73"/>
      <c r="CH810" s="73"/>
      <c r="CI810" s="73"/>
      <c r="CJ810" s="73"/>
      <c r="CK810" s="73"/>
      <c r="CL810" s="73"/>
      <c r="CM810" s="73"/>
      <c r="CN810" s="73"/>
      <c r="CO810" s="73"/>
      <c r="CP810" s="73"/>
      <c r="CQ810" s="73"/>
      <c r="CR810" s="73"/>
      <c r="CS810" s="73"/>
      <c r="CT810" s="73"/>
      <c r="CU810" s="73"/>
      <c r="CV810" s="73"/>
      <c r="CW810" s="73"/>
      <c r="CX810" s="73"/>
      <c r="CY810" s="73"/>
      <c r="CZ810" s="73"/>
      <c r="DA810" s="73"/>
      <c r="DB810" s="73"/>
      <c r="DC810" s="73"/>
      <c r="DD810" s="73"/>
      <c r="DE810" s="73"/>
      <c r="DF810" s="73"/>
      <c r="DG810" s="73"/>
      <c r="DH810" s="73"/>
      <c r="DI810" s="73"/>
      <c r="DJ810" s="73"/>
      <c r="DK810" s="73"/>
      <c r="DL810" s="73"/>
      <c r="DM810" s="73"/>
      <c r="DN810" s="73"/>
      <c r="DO810" s="73"/>
      <c r="DP810" s="73"/>
      <c r="DQ810" s="73"/>
      <c r="DR810" s="73"/>
      <c r="DS810" s="73"/>
      <c r="DT810" s="73"/>
      <c r="DU810" s="73"/>
      <c r="DV810" s="73"/>
      <c r="DW810" s="73"/>
      <c r="DX810" s="73"/>
      <c r="DY810" s="73"/>
      <c r="DZ810" s="73"/>
      <c r="EA810" s="73"/>
      <c r="EB810" s="73"/>
      <c r="EC810" s="73"/>
      <c r="ED810" s="73"/>
      <c r="EE810" s="73"/>
      <c r="EF810" s="73"/>
      <c r="FJ810" s="73"/>
      <c r="FK810" s="73"/>
      <c r="FL810" s="73"/>
      <c r="FM810" s="73"/>
      <c r="FN810" s="73"/>
      <c r="FO810" s="73"/>
      <c r="FP810" s="73"/>
      <c r="FQ810" s="73"/>
      <c r="FR810" s="73"/>
      <c r="FS810" s="73"/>
      <c r="FT810" s="73"/>
      <c r="FU810" s="73"/>
      <c r="FV810" s="73"/>
      <c r="FW810" s="73"/>
      <c r="FX810" s="73"/>
      <c r="GO810" s="73"/>
      <c r="GP810" s="73"/>
      <c r="HE810" s="73"/>
      <c r="HU810" s="73"/>
      <c r="HV810" s="182"/>
    </row>
    <row r="811" spans="1:230" x14ac:dyDescent="0.25">
      <c r="A811" s="30"/>
      <c r="B811" s="30"/>
      <c r="C811" s="30"/>
      <c r="D811" s="30"/>
      <c r="G811" s="30"/>
      <c r="H811" s="30"/>
      <c r="I811" s="30"/>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c r="CA811" s="73"/>
      <c r="CB811" s="73"/>
      <c r="CC811" s="73"/>
      <c r="CD811" s="73"/>
      <c r="CE811" s="73"/>
      <c r="CF811" s="73"/>
      <c r="CG811" s="73"/>
      <c r="CH811" s="73"/>
      <c r="CI811" s="73"/>
      <c r="CJ811" s="73"/>
      <c r="CK811" s="73"/>
      <c r="CL811" s="73"/>
      <c r="CM811" s="73"/>
      <c r="CN811" s="73"/>
      <c r="CO811" s="73"/>
      <c r="CP811" s="73"/>
      <c r="CQ811" s="73"/>
      <c r="CR811" s="73"/>
      <c r="CS811" s="73"/>
      <c r="CT811" s="73"/>
      <c r="CU811" s="73"/>
      <c r="CV811" s="73"/>
      <c r="CW811" s="73"/>
      <c r="CX811" s="73"/>
      <c r="CY811" s="73"/>
      <c r="CZ811" s="73"/>
      <c r="DA811" s="73"/>
      <c r="DB811" s="73"/>
      <c r="DC811" s="73"/>
      <c r="DD811" s="73"/>
      <c r="DE811" s="73"/>
      <c r="DF811" s="73"/>
      <c r="DG811" s="73"/>
      <c r="DH811" s="73"/>
      <c r="DI811" s="73"/>
      <c r="DJ811" s="73"/>
      <c r="DK811" s="73"/>
      <c r="DL811" s="73"/>
      <c r="DM811" s="73"/>
      <c r="DN811" s="73"/>
      <c r="DO811" s="73"/>
      <c r="DP811" s="73"/>
      <c r="DQ811" s="73"/>
      <c r="DR811" s="73"/>
      <c r="DS811" s="73"/>
      <c r="DT811" s="73"/>
      <c r="DU811" s="73"/>
      <c r="DV811" s="73"/>
      <c r="DW811" s="73"/>
      <c r="DX811" s="73"/>
      <c r="DY811" s="73"/>
      <c r="DZ811" s="73"/>
      <c r="EA811" s="73"/>
      <c r="EB811" s="73"/>
      <c r="EC811" s="73"/>
      <c r="ED811" s="73"/>
      <c r="EE811" s="73"/>
      <c r="EF811" s="73"/>
      <c r="FJ811" s="73"/>
      <c r="FK811" s="73"/>
      <c r="FL811" s="73"/>
      <c r="FM811" s="73"/>
      <c r="FN811" s="73"/>
      <c r="FO811" s="73"/>
      <c r="FP811" s="73"/>
      <c r="FQ811" s="73"/>
      <c r="FR811" s="73"/>
      <c r="FS811" s="73"/>
      <c r="FT811" s="73"/>
      <c r="FU811" s="73"/>
      <c r="FV811" s="73"/>
      <c r="FW811" s="73"/>
      <c r="FX811" s="73"/>
      <c r="GO811" s="73"/>
      <c r="GP811" s="73"/>
      <c r="HE811" s="73"/>
      <c r="HU811" s="73"/>
      <c r="HV811" s="182"/>
    </row>
    <row r="812" spans="1:230" x14ac:dyDescent="0.25">
      <c r="A812" s="30"/>
      <c r="B812" s="30"/>
      <c r="C812" s="30"/>
      <c r="D812" s="30"/>
      <c r="G812" s="30"/>
      <c r="H812" s="30"/>
      <c r="I812" s="30"/>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3"/>
      <c r="DV812" s="73"/>
      <c r="DW812" s="73"/>
      <c r="DX812" s="73"/>
      <c r="DY812" s="73"/>
      <c r="DZ812" s="73"/>
      <c r="EA812" s="73"/>
      <c r="EB812" s="73"/>
      <c r="EC812" s="73"/>
      <c r="ED812" s="73"/>
      <c r="EE812" s="73"/>
      <c r="EF812" s="73"/>
      <c r="FJ812" s="73"/>
      <c r="FK812" s="73"/>
      <c r="FL812" s="73"/>
      <c r="FM812" s="73"/>
      <c r="FN812" s="73"/>
      <c r="FO812" s="73"/>
      <c r="FP812" s="73"/>
      <c r="FQ812" s="73"/>
      <c r="FR812" s="73"/>
      <c r="FS812" s="73"/>
      <c r="FT812" s="73"/>
      <c r="FU812" s="73"/>
      <c r="FV812" s="73"/>
      <c r="FW812" s="73"/>
      <c r="FX812" s="73"/>
      <c r="GO812" s="73"/>
      <c r="GP812" s="73"/>
      <c r="HE812" s="73"/>
      <c r="HU812" s="73"/>
      <c r="HV812" s="182"/>
    </row>
    <row r="813" spans="1:230" x14ac:dyDescent="0.25">
      <c r="A813" s="30"/>
      <c r="B813" s="30"/>
      <c r="C813" s="30"/>
      <c r="D813" s="30"/>
      <c r="G813" s="30"/>
      <c r="H813" s="30"/>
      <c r="I813" s="30"/>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c r="CA813" s="73"/>
      <c r="CB813" s="73"/>
      <c r="CC813" s="73"/>
      <c r="CD813" s="73"/>
      <c r="CE813" s="73"/>
      <c r="CF813" s="73"/>
      <c r="CG813" s="73"/>
      <c r="CH813" s="73"/>
      <c r="CI813" s="73"/>
      <c r="CJ813" s="73"/>
      <c r="CK813" s="73"/>
      <c r="CL813" s="73"/>
      <c r="CM813" s="73"/>
      <c r="CN813" s="73"/>
      <c r="CO813" s="73"/>
      <c r="CP813" s="73"/>
      <c r="CQ813" s="73"/>
      <c r="CR813" s="73"/>
      <c r="CS813" s="73"/>
      <c r="CT813" s="73"/>
      <c r="CU813" s="73"/>
      <c r="CV813" s="73"/>
      <c r="CW813" s="73"/>
      <c r="CX813" s="73"/>
      <c r="CY813" s="73"/>
      <c r="CZ813" s="73"/>
      <c r="DA813" s="73"/>
      <c r="DB813" s="73"/>
      <c r="DC813" s="73"/>
      <c r="DD813" s="73"/>
      <c r="DE813" s="73"/>
      <c r="DF813" s="73"/>
      <c r="DG813" s="73"/>
      <c r="DH813" s="73"/>
      <c r="DI813" s="73"/>
      <c r="DJ813" s="73"/>
      <c r="DK813" s="73"/>
      <c r="DL813" s="73"/>
      <c r="DM813" s="73"/>
      <c r="DN813" s="73"/>
      <c r="DO813" s="73"/>
      <c r="DP813" s="73"/>
      <c r="DQ813" s="73"/>
      <c r="DR813" s="73"/>
      <c r="DS813" s="73"/>
      <c r="DT813" s="73"/>
      <c r="DU813" s="73"/>
      <c r="DV813" s="73"/>
      <c r="DW813" s="73"/>
      <c r="DX813" s="73"/>
      <c r="DY813" s="73"/>
      <c r="DZ813" s="73"/>
      <c r="EA813" s="73"/>
      <c r="EB813" s="73"/>
      <c r="EC813" s="73"/>
      <c r="ED813" s="73"/>
      <c r="EE813" s="73"/>
      <c r="EF813" s="73"/>
      <c r="FJ813" s="73"/>
      <c r="FK813" s="73"/>
      <c r="FL813" s="73"/>
      <c r="FM813" s="73"/>
      <c r="FN813" s="73"/>
      <c r="FO813" s="73"/>
      <c r="FP813" s="73"/>
      <c r="FQ813" s="73"/>
      <c r="FR813" s="73"/>
      <c r="FS813" s="73"/>
      <c r="FT813" s="73"/>
      <c r="FU813" s="73"/>
      <c r="FV813" s="73"/>
      <c r="FW813" s="73"/>
      <c r="FX813" s="73"/>
      <c r="GO813" s="73"/>
      <c r="GP813" s="73"/>
      <c r="HE813" s="73"/>
      <c r="HU813" s="73"/>
      <c r="HV813" s="182"/>
    </row>
    <row r="814" spans="1:230" x14ac:dyDescent="0.25">
      <c r="A814" s="30"/>
      <c r="B814" s="30"/>
      <c r="C814" s="30"/>
      <c r="D814" s="30"/>
      <c r="G814" s="30"/>
      <c r="H814" s="30"/>
      <c r="I814" s="30"/>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c r="CA814" s="73"/>
      <c r="CB814" s="73"/>
      <c r="CC814" s="73"/>
      <c r="CD814" s="73"/>
      <c r="CE814" s="73"/>
      <c r="CF814" s="73"/>
      <c r="CG814" s="73"/>
      <c r="CH814" s="73"/>
      <c r="CI814" s="73"/>
      <c r="CJ814" s="73"/>
      <c r="CK814" s="73"/>
      <c r="CL814" s="73"/>
      <c r="CM814" s="73"/>
      <c r="CN814" s="73"/>
      <c r="CO814" s="73"/>
      <c r="CP814" s="73"/>
      <c r="CQ814" s="73"/>
      <c r="CR814" s="73"/>
      <c r="CS814" s="73"/>
      <c r="CT814" s="73"/>
      <c r="CU814" s="73"/>
      <c r="CV814" s="73"/>
      <c r="CW814" s="73"/>
      <c r="CX814" s="73"/>
      <c r="CY814" s="73"/>
      <c r="CZ814" s="73"/>
      <c r="DA814" s="73"/>
      <c r="DB814" s="73"/>
      <c r="DC814" s="73"/>
      <c r="DD814" s="73"/>
      <c r="DE814" s="73"/>
      <c r="DF814" s="73"/>
      <c r="DG814" s="73"/>
      <c r="DH814" s="73"/>
      <c r="DI814" s="73"/>
      <c r="DJ814" s="73"/>
      <c r="DK814" s="73"/>
      <c r="DL814" s="73"/>
      <c r="DM814" s="73"/>
      <c r="DN814" s="73"/>
      <c r="DO814" s="73"/>
      <c r="DP814" s="73"/>
      <c r="DQ814" s="73"/>
      <c r="DR814" s="73"/>
      <c r="DS814" s="73"/>
      <c r="DT814" s="73"/>
      <c r="DU814" s="73"/>
      <c r="DV814" s="73"/>
      <c r="DW814" s="73"/>
      <c r="DX814" s="73"/>
      <c r="DY814" s="73"/>
      <c r="DZ814" s="73"/>
      <c r="EA814" s="73"/>
      <c r="EB814" s="73"/>
      <c r="EC814" s="73"/>
      <c r="ED814" s="73"/>
      <c r="EE814" s="73"/>
      <c r="EF814" s="73"/>
      <c r="FJ814" s="73"/>
      <c r="FK814" s="73"/>
      <c r="FL814" s="73"/>
      <c r="FM814" s="73"/>
      <c r="FN814" s="73"/>
      <c r="FO814" s="73"/>
      <c r="FP814" s="73"/>
      <c r="FQ814" s="73"/>
      <c r="FR814" s="73"/>
      <c r="FS814" s="73"/>
      <c r="FT814" s="73"/>
      <c r="FU814" s="73"/>
      <c r="FV814" s="73"/>
      <c r="FW814" s="73"/>
      <c r="FX814" s="73"/>
      <c r="GO814" s="73"/>
      <c r="GP814" s="73"/>
      <c r="HE814" s="73"/>
      <c r="HU814" s="73"/>
      <c r="HV814" s="182"/>
    </row>
    <row r="815" spans="1:230" x14ac:dyDescent="0.25">
      <c r="A815" s="30"/>
      <c r="B815" s="30"/>
      <c r="C815" s="30"/>
      <c r="D815" s="30"/>
      <c r="G815" s="30"/>
      <c r="H815" s="30"/>
      <c r="I815" s="30"/>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c r="CA815" s="73"/>
      <c r="CB815" s="73"/>
      <c r="CC815" s="73"/>
      <c r="CD815" s="73"/>
      <c r="CE815" s="73"/>
      <c r="CF815" s="73"/>
      <c r="CG815" s="73"/>
      <c r="CH815" s="73"/>
      <c r="CI815" s="73"/>
      <c r="CJ815" s="73"/>
      <c r="CK815" s="73"/>
      <c r="CL815" s="73"/>
      <c r="CM815" s="73"/>
      <c r="CN815" s="73"/>
      <c r="CO815" s="73"/>
      <c r="CP815" s="73"/>
      <c r="CQ815" s="73"/>
      <c r="CR815" s="73"/>
      <c r="CS815" s="73"/>
      <c r="CT815" s="73"/>
      <c r="CU815" s="73"/>
      <c r="CV815" s="73"/>
      <c r="CW815" s="73"/>
      <c r="CX815" s="73"/>
      <c r="CY815" s="73"/>
      <c r="CZ815" s="73"/>
      <c r="DA815" s="73"/>
      <c r="DB815" s="73"/>
      <c r="DC815" s="73"/>
      <c r="DD815" s="73"/>
      <c r="DE815" s="73"/>
      <c r="DF815" s="73"/>
      <c r="DG815" s="73"/>
      <c r="DH815" s="73"/>
      <c r="DI815" s="73"/>
      <c r="DJ815" s="73"/>
      <c r="DK815" s="73"/>
      <c r="DL815" s="73"/>
      <c r="DM815" s="73"/>
      <c r="DN815" s="73"/>
      <c r="DO815" s="73"/>
      <c r="DP815" s="73"/>
      <c r="DQ815" s="73"/>
      <c r="DR815" s="73"/>
      <c r="DS815" s="73"/>
      <c r="DT815" s="73"/>
      <c r="DU815" s="73"/>
      <c r="DV815" s="73"/>
      <c r="DW815" s="73"/>
      <c r="DX815" s="73"/>
      <c r="DY815" s="73"/>
      <c r="DZ815" s="73"/>
      <c r="EA815" s="73"/>
      <c r="EB815" s="73"/>
      <c r="EC815" s="73"/>
      <c r="ED815" s="73"/>
      <c r="EE815" s="73"/>
      <c r="EF815" s="73"/>
      <c r="FJ815" s="73"/>
      <c r="FK815" s="73"/>
      <c r="FL815" s="73"/>
      <c r="FM815" s="73"/>
      <c r="FN815" s="73"/>
      <c r="FO815" s="73"/>
      <c r="FP815" s="73"/>
      <c r="FQ815" s="73"/>
      <c r="FR815" s="73"/>
      <c r="FS815" s="73"/>
      <c r="FT815" s="73"/>
      <c r="FU815" s="73"/>
      <c r="FV815" s="73"/>
      <c r="FW815" s="73"/>
      <c r="FX815" s="73"/>
      <c r="GO815" s="73"/>
      <c r="GP815" s="73"/>
      <c r="HE815" s="73"/>
      <c r="HU815" s="73"/>
      <c r="HV815" s="182"/>
    </row>
    <row r="816" spans="1:230" x14ac:dyDescent="0.25">
      <c r="A816" s="30"/>
      <c r="B816" s="30"/>
      <c r="C816" s="30"/>
      <c r="D816" s="30"/>
      <c r="G816" s="30"/>
      <c r="H816" s="30"/>
      <c r="I816" s="30"/>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c r="CA816" s="73"/>
      <c r="CB816" s="73"/>
      <c r="CC816" s="73"/>
      <c r="CD816" s="73"/>
      <c r="CE816" s="73"/>
      <c r="CF816" s="73"/>
      <c r="CG816" s="73"/>
      <c r="CH816" s="73"/>
      <c r="CI816" s="73"/>
      <c r="CJ816" s="73"/>
      <c r="CK816" s="73"/>
      <c r="CL816" s="73"/>
      <c r="CM816" s="73"/>
      <c r="CN816" s="73"/>
      <c r="CO816" s="73"/>
      <c r="CP816" s="73"/>
      <c r="CQ816" s="73"/>
      <c r="CR816" s="73"/>
      <c r="CS816" s="73"/>
      <c r="CT816" s="73"/>
      <c r="CU816" s="73"/>
      <c r="CV816" s="73"/>
      <c r="CW816" s="73"/>
      <c r="CX816" s="73"/>
      <c r="CY816" s="73"/>
      <c r="CZ816" s="73"/>
      <c r="DA816" s="73"/>
      <c r="DB816" s="73"/>
      <c r="DC816" s="73"/>
      <c r="DD816" s="73"/>
      <c r="DE816" s="73"/>
      <c r="DF816" s="73"/>
      <c r="DG816" s="73"/>
      <c r="DH816" s="73"/>
      <c r="DI816" s="73"/>
      <c r="DJ816" s="73"/>
      <c r="DK816" s="73"/>
      <c r="DL816" s="73"/>
      <c r="DM816" s="73"/>
      <c r="DN816" s="73"/>
      <c r="DO816" s="73"/>
      <c r="DP816" s="73"/>
      <c r="DQ816" s="73"/>
      <c r="DR816" s="73"/>
      <c r="DS816" s="73"/>
      <c r="DT816" s="73"/>
      <c r="DU816" s="73"/>
      <c r="DV816" s="73"/>
      <c r="DW816" s="73"/>
      <c r="DX816" s="73"/>
      <c r="DY816" s="73"/>
      <c r="DZ816" s="73"/>
      <c r="EA816" s="73"/>
      <c r="EB816" s="73"/>
      <c r="EC816" s="73"/>
      <c r="ED816" s="73"/>
      <c r="EE816" s="73"/>
      <c r="EF816" s="73"/>
      <c r="FJ816" s="73"/>
      <c r="FK816" s="73"/>
      <c r="FL816" s="73"/>
      <c r="FM816" s="73"/>
      <c r="FN816" s="73"/>
      <c r="FO816" s="73"/>
      <c r="FP816" s="73"/>
      <c r="FQ816" s="73"/>
      <c r="FR816" s="73"/>
      <c r="FS816" s="73"/>
      <c r="FT816" s="73"/>
      <c r="FU816" s="73"/>
      <c r="FV816" s="73"/>
      <c r="FW816" s="73"/>
      <c r="FX816" s="73"/>
      <c r="GO816" s="73"/>
      <c r="GP816" s="73"/>
      <c r="HE816" s="73"/>
      <c r="HU816" s="73"/>
      <c r="HV816" s="182"/>
    </row>
    <row r="817" spans="1:230" x14ac:dyDescent="0.25">
      <c r="A817" s="30"/>
      <c r="B817" s="30"/>
      <c r="C817" s="30"/>
      <c r="D817" s="30"/>
      <c r="G817" s="30"/>
      <c r="H817" s="30"/>
      <c r="I817" s="30"/>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c r="CA817" s="73"/>
      <c r="CB817" s="73"/>
      <c r="CC817" s="73"/>
      <c r="CD817" s="73"/>
      <c r="CE817" s="73"/>
      <c r="CF817" s="73"/>
      <c r="CG817" s="73"/>
      <c r="CH817" s="73"/>
      <c r="CI817" s="73"/>
      <c r="CJ817" s="73"/>
      <c r="CK817" s="73"/>
      <c r="CL817" s="73"/>
      <c r="CM817" s="73"/>
      <c r="CN817" s="73"/>
      <c r="CO817" s="73"/>
      <c r="CP817" s="73"/>
      <c r="CQ817" s="73"/>
      <c r="CR817" s="73"/>
      <c r="CS817" s="73"/>
      <c r="CT817" s="73"/>
      <c r="CU817" s="73"/>
      <c r="CV817" s="73"/>
      <c r="CW817" s="73"/>
      <c r="CX817" s="73"/>
      <c r="CY817" s="73"/>
      <c r="CZ817" s="73"/>
      <c r="DA817" s="73"/>
      <c r="DB817" s="73"/>
      <c r="DC817" s="73"/>
      <c r="DD817" s="73"/>
      <c r="DE817" s="73"/>
      <c r="DF817" s="73"/>
      <c r="DG817" s="73"/>
      <c r="DH817" s="73"/>
      <c r="DI817" s="73"/>
      <c r="DJ817" s="73"/>
      <c r="DK817" s="73"/>
      <c r="DL817" s="73"/>
      <c r="DM817" s="73"/>
      <c r="DN817" s="73"/>
      <c r="DO817" s="73"/>
      <c r="DP817" s="73"/>
      <c r="DQ817" s="73"/>
      <c r="DR817" s="73"/>
      <c r="DS817" s="73"/>
      <c r="DT817" s="73"/>
      <c r="DU817" s="73"/>
      <c r="DV817" s="73"/>
      <c r="DW817" s="73"/>
      <c r="DX817" s="73"/>
      <c r="DY817" s="73"/>
      <c r="DZ817" s="73"/>
      <c r="EA817" s="73"/>
      <c r="EB817" s="73"/>
      <c r="EC817" s="73"/>
      <c r="ED817" s="73"/>
      <c r="EE817" s="73"/>
      <c r="EF817" s="73"/>
      <c r="FJ817" s="73"/>
      <c r="FK817" s="73"/>
      <c r="FL817" s="73"/>
      <c r="FM817" s="73"/>
      <c r="FN817" s="73"/>
      <c r="FO817" s="73"/>
      <c r="FP817" s="73"/>
      <c r="FQ817" s="73"/>
      <c r="FR817" s="73"/>
      <c r="FS817" s="73"/>
      <c r="FT817" s="73"/>
      <c r="FU817" s="73"/>
      <c r="FV817" s="73"/>
      <c r="FW817" s="73"/>
      <c r="FX817" s="73"/>
      <c r="GO817" s="73"/>
      <c r="GP817" s="73"/>
      <c r="HE817" s="73"/>
      <c r="HU817" s="73"/>
      <c r="HV817" s="182"/>
    </row>
    <row r="818" spans="1:230" x14ac:dyDescent="0.25">
      <c r="A818" s="30"/>
      <c r="B818" s="30"/>
      <c r="C818" s="30"/>
      <c r="D818" s="30"/>
      <c r="G818" s="30"/>
      <c r="H818" s="30"/>
      <c r="I818" s="30"/>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c r="CA818" s="73"/>
      <c r="CB818" s="73"/>
      <c r="CC818" s="73"/>
      <c r="CD818" s="73"/>
      <c r="CE818" s="73"/>
      <c r="CF818" s="73"/>
      <c r="CG818" s="73"/>
      <c r="CH818" s="73"/>
      <c r="CI818" s="73"/>
      <c r="CJ818" s="73"/>
      <c r="CK818" s="73"/>
      <c r="CL818" s="73"/>
      <c r="CM818" s="73"/>
      <c r="CN818" s="73"/>
      <c r="CO818" s="73"/>
      <c r="CP818" s="73"/>
      <c r="CQ818" s="73"/>
      <c r="CR818" s="73"/>
      <c r="CS818" s="73"/>
      <c r="CT818" s="73"/>
      <c r="CU818" s="73"/>
      <c r="CV818" s="73"/>
      <c r="CW818" s="73"/>
      <c r="CX818" s="73"/>
      <c r="CY818" s="73"/>
      <c r="CZ818" s="73"/>
      <c r="DA818" s="73"/>
      <c r="DB818" s="73"/>
      <c r="DC818" s="73"/>
      <c r="DD818" s="73"/>
      <c r="DE818" s="73"/>
      <c r="DF818" s="73"/>
      <c r="DG818" s="73"/>
      <c r="DH818" s="73"/>
      <c r="DI818" s="73"/>
      <c r="DJ818" s="73"/>
      <c r="DK818" s="73"/>
      <c r="DL818" s="73"/>
      <c r="DM818" s="73"/>
      <c r="DN818" s="73"/>
      <c r="DO818" s="73"/>
      <c r="DP818" s="73"/>
      <c r="DQ818" s="73"/>
      <c r="DR818" s="73"/>
      <c r="DS818" s="73"/>
      <c r="DT818" s="73"/>
      <c r="DU818" s="73"/>
      <c r="DV818" s="73"/>
      <c r="DW818" s="73"/>
      <c r="DX818" s="73"/>
      <c r="DY818" s="73"/>
      <c r="DZ818" s="73"/>
      <c r="EA818" s="73"/>
      <c r="EB818" s="73"/>
      <c r="EC818" s="73"/>
      <c r="ED818" s="73"/>
      <c r="EE818" s="73"/>
      <c r="EF818" s="73"/>
      <c r="FJ818" s="73"/>
      <c r="FK818" s="73"/>
      <c r="FL818" s="73"/>
      <c r="FM818" s="73"/>
      <c r="FN818" s="73"/>
      <c r="FO818" s="73"/>
      <c r="FP818" s="73"/>
      <c r="FQ818" s="73"/>
      <c r="FR818" s="73"/>
      <c r="FS818" s="73"/>
      <c r="FT818" s="73"/>
      <c r="FU818" s="73"/>
      <c r="FV818" s="73"/>
      <c r="FW818" s="73"/>
      <c r="FX818" s="73"/>
      <c r="GO818" s="73"/>
      <c r="GP818" s="73"/>
      <c r="HE818" s="73"/>
      <c r="HU818" s="73"/>
      <c r="HV818" s="182"/>
    </row>
    <row r="819" spans="1:230" x14ac:dyDescent="0.25">
      <c r="A819" s="30"/>
      <c r="B819" s="30"/>
      <c r="C819" s="30"/>
      <c r="D819" s="30"/>
      <c r="G819" s="30"/>
      <c r="H819" s="30"/>
      <c r="I819" s="30"/>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c r="CA819" s="73"/>
      <c r="CB819" s="73"/>
      <c r="CC819" s="73"/>
      <c r="CD819" s="73"/>
      <c r="CE819" s="73"/>
      <c r="CF819" s="73"/>
      <c r="CG819" s="73"/>
      <c r="CH819" s="73"/>
      <c r="CI819" s="73"/>
      <c r="CJ819" s="73"/>
      <c r="CK819" s="73"/>
      <c r="CL819" s="73"/>
      <c r="CM819" s="73"/>
      <c r="CN819" s="73"/>
      <c r="CO819" s="73"/>
      <c r="CP819" s="73"/>
      <c r="CQ819" s="73"/>
      <c r="CR819" s="73"/>
      <c r="CS819" s="73"/>
      <c r="CT819" s="73"/>
      <c r="CU819" s="73"/>
      <c r="CV819" s="73"/>
      <c r="CW819" s="73"/>
      <c r="CX819" s="73"/>
      <c r="CY819" s="73"/>
      <c r="CZ819" s="73"/>
      <c r="DA819" s="73"/>
      <c r="DB819" s="73"/>
      <c r="DC819" s="73"/>
      <c r="DD819" s="73"/>
      <c r="DE819" s="73"/>
      <c r="DF819" s="73"/>
      <c r="DG819" s="73"/>
      <c r="DH819" s="73"/>
      <c r="DI819" s="73"/>
      <c r="DJ819" s="73"/>
      <c r="DK819" s="73"/>
      <c r="DL819" s="73"/>
      <c r="DM819" s="73"/>
      <c r="DN819" s="73"/>
      <c r="DO819" s="73"/>
      <c r="DP819" s="73"/>
      <c r="DQ819" s="73"/>
      <c r="DR819" s="73"/>
      <c r="DS819" s="73"/>
      <c r="DT819" s="73"/>
      <c r="DU819" s="73"/>
      <c r="DV819" s="73"/>
      <c r="DW819" s="73"/>
      <c r="DX819" s="73"/>
      <c r="DY819" s="73"/>
      <c r="DZ819" s="73"/>
      <c r="EA819" s="73"/>
      <c r="EB819" s="73"/>
      <c r="EC819" s="73"/>
      <c r="ED819" s="73"/>
      <c r="EE819" s="73"/>
      <c r="EF819" s="73"/>
      <c r="FJ819" s="73"/>
      <c r="FK819" s="73"/>
      <c r="FL819" s="73"/>
      <c r="FM819" s="73"/>
      <c r="FN819" s="73"/>
      <c r="FO819" s="73"/>
      <c r="FP819" s="73"/>
      <c r="FQ819" s="73"/>
      <c r="FR819" s="73"/>
      <c r="FS819" s="73"/>
      <c r="FT819" s="73"/>
      <c r="FU819" s="73"/>
      <c r="FV819" s="73"/>
      <c r="FW819" s="73"/>
      <c r="FX819" s="73"/>
      <c r="GO819" s="73"/>
      <c r="GP819" s="73"/>
      <c r="HE819" s="73"/>
      <c r="HU819" s="73"/>
      <c r="HV819" s="182"/>
    </row>
    <row r="820" spans="1:230" x14ac:dyDescent="0.25">
      <c r="A820" s="30"/>
      <c r="B820" s="30"/>
      <c r="C820" s="30"/>
      <c r="D820" s="30"/>
      <c r="G820" s="30"/>
      <c r="H820" s="30"/>
      <c r="I820" s="30"/>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c r="CA820" s="73"/>
      <c r="CB820" s="73"/>
      <c r="CC820" s="73"/>
      <c r="CD820" s="73"/>
      <c r="CE820" s="73"/>
      <c r="CF820" s="73"/>
      <c r="CG820" s="73"/>
      <c r="CH820" s="73"/>
      <c r="CI820" s="73"/>
      <c r="CJ820" s="73"/>
      <c r="CK820" s="73"/>
      <c r="CL820" s="73"/>
      <c r="CM820" s="73"/>
      <c r="CN820" s="73"/>
      <c r="CO820" s="73"/>
      <c r="CP820" s="73"/>
      <c r="CQ820" s="73"/>
      <c r="CR820" s="73"/>
      <c r="CS820" s="73"/>
      <c r="CT820" s="73"/>
      <c r="CU820" s="73"/>
      <c r="CV820" s="73"/>
      <c r="CW820" s="73"/>
      <c r="CX820" s="73"/>
      <c r="CY820" s="73"/>
      <c r="CZ820" s="73"/>
      <c r="DA820" s="73"/>
      <c r="DB820" s="73"/>
      <c r="DC820" s="73"/>
      <c r="DD820" s="73"/>
      <c r="DE820" s="73"/>
      <c r="DF820" s="73"/>
      <c r="DG820" s="73"/>
      <c r="DH820" s="73"/>
      <c r="DI820" s="73"/>
      <c r="DJ820" s="73"/>
      <c r="DK820" s="73"/>
      <c r="DL820" s="73"/>
      <c r="DM820" s="73"/>
      <c r="DN820" s="73"/>
      <c r="DO820" s="73"/>
      <c r="DP820" s="73"/>
      <c r="DQ820" s="73"/>
      <c r="DR820" s="73"/>
      <c r="DS820" s="73"/>
      <c r="DT820" s="73"/>
      <c r="DU820" s="73"/>
      <c r="DV820" s="73"/>
      <c r="DW820" s="73"/>
      <c r="DX820" s="73"/>
      <c r="DY820" s="73"/>
      <c r="DZ820" s="73"/>
      <c r="EA820" s="73"/>
      <c r="EB820" s="73"/>
      <c r="EC820" s="73"/>
      <c r="ED820" s="73"/>
      <c r="EE820" s="73"/>
      <c r="EF820" s="73"/>
      <c r="FJ820" s="73"/>
      <c r="FK820" s="73"/>
      <c r="FL820" s="73"/>
      <c r="FM820" s="73"/>
      <c r="FN820" s="73"/>
      <c r="FO820" s="73"/>
      <c r="FP820" s="73"/>
      <c r="FQ820" s="73"/>
      <c r="FR820" s="73"/>
      <c r="FS820" s="73"/>
      <c r="FT820" s="73"/>
      <c r="FU820" s="73"/>
      <c r="FV820" s="73"/>
      <c r="FW820" s="73"/>
      <c r="FX820" s="73"/>
      <c r="GO820" s="73"/>
      <c r="GP820" s="73"/>
      <c r="HE820" s="73"/>
      <c r="HU820" s="73"/>
      <c r="HV820" s="182"/>
    </row>
    <row r="821" spans="1:230" x14ac:dyDescent="0.25">
      <c r="A821" s="30"/>
      <c r="B821" s="30"/>
      <c r="C821" s="30"/>
      <c r="D821" s="30"/>
      <c r="G821" s="30"/>
      <c r="H821" s="30"/>
      <c r="I821" s="30"/>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c r="CA821" s="73"/>
      <c r="CB821" s="73"/>
      <c r="CC821" s="73"/>
      <c r="CD821" s="73"/>
      <c r="CE821" s="73"/>
      <c r="CF821" s="73"/>
      <c r="CG821" s="73"/>
      <c r="CH821" s="73"/>
      <c r="CI821" s="73"/>
      <c r="CJ821" s="73"/>
      <c r="CK821" s="73"/>
      <c r="CL821" s="73"/>
      <c r="CM821" s="73"/>
      <c r="CN821" s="73"/>
      <c r="CO821" s="73"/>
      <c r="CP821" s="73"/>
      <c r="CQ821" s="73"/>
      <c r="CR821" s="73"/>
      <c r="CS821" s="73"/>
      <c r="CT821" s="73"/>
      <c r="CU821" s="73"/>
      <c r="CV821" s="73"/>
      <c r="CW821" s="73"/>
      <c r="CX821" s="73"/>
      <c r="CY821" s="73"/>
      <c r="CZ821" s="73"/>
      <c r="DA821" s="73"/>
      <c r="DB821" s="73"/>
      <c r="DC821" s="73"/>
      <c r="DD821" s="73"/>
      <c r="DE821" s="73"/>
      <c r="DF821" s="73"/>
      <c r="DG821" s="73"/>
      <c r="DH821" s="73"/>
      <c r="DI821" s="73"/>
      <c r="DJ821" s="73"/>
      <c r="DK821" s="73"/>
      <c r="DL821" s="73"/>
      <c r="DM821" s="73"/>
      <c r="DN821" s="73"/>
      <c r="DO821" s="73"/>
      <c r="DP821" s="73"/>
      <c r="DQ821" s="73"/>
      <c r="DR821" s="73"/>
      <c r="DS821" s="73"/>
      <c r="DT821" s="73"/>
      <c r="DU821" s="73"/>
      <c r="DV821" s="73"/>
      <c r="DW821" s="73"/>
      <c r="DX821" s="73"/>
      <c r="DY821" s="73"/>
      <c r="DZ821" s="73"/>
      <c r="EA821" s="73"/>
      <c r="EB821" s="73"/>
      <c r="EC821" s="73"/>
      <c r="ED821" s="73"/>
      <c r="EE821" s="73"/>
      <c r="EF821" s="73"/>
      <c r="FJ821" s="73"/>
      <c r="FK821" s="73"/>
      <c r="FL821" s="73"/>
      <c r="FM821" s="73"/>
      <c r="FN821" s="73"/>
      <c r="FO821" s="73"/>
      <c r="FP821" s="73"/>
      <c r="FQ821" s="73"/>
      <c r="FR821" s="73"/>
      <c r="FS821" s="73"/>
      <c r="FT821" s="73"/>
      <c r="FU821" s="73"/>
      <c r="FV821" s="73"/>
      <c r="FW821" s="73"/>
      <c r="FX821" s="73"/>
      <c r="GO821" s="73"/>
      <c r="GP821" s="73"/>
      <c r="HE821" s="73"/>
      <c r="HU821" s="73"/>
      <c r="HV821" s="182"/>
    </row>
    <row r="822" spans="1:230" x14ac:dyDescent="0.25">
      <c r="A822" s="30"/>
      <c r="B822" s="30"/>
      <c r="C822" s="30"/>
      <c r="D822" s="30"/>
      <c r="G822" s="30"/>
      <c r="H822" s="30"/>
      <c r="I822" s="30"/>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c r="CA822" s="73"/>
      <c r="CB822" s="73"/>
      <c r="CC822" s="73"/>
      <c r="CD822" s="73"/>
      <c r="CE822" s="73"/>
      <c r="CF822" s="73"/>
      <c r="CG822" s="73"/>
      <c r="CH822" s="73"/>
      <c r="CI822" s="73"/>
      <c r="CJ822" s="73"/>
      <c r="CK822" s="73"/>
      <c r="CL822" s="73"/>
      <c r="CM822" s="73"/>
      <c r="CN822" s="73"/>
      <c r="CO822" s="73"/>
      <c r="CP822" s="73"/>
      <c r="CQ822" s="73"/>
      <c r="CR822" s="73"/>
      <c r="CS822" s="73"/>
      <c r="CT822" s="73"/>
      <c r="CU822" s="73"/>
      <c r="CV822" s="73"/>
      <c r="CW822" s="73"/>
      <c r="CX822" s="73"/>
      <c r="CY822" s="73"/>
      <c r="CZ822" s="73"/>
      <c r="DA822" s="73"/>
      <c r="DB822" s="73"/>
      <c r="DC822" s="73"/>
      <c r="DD822" s="73"/>
      <c r="DE822" s="73"/>
      <c r="DF822" s="73"/>
      <c r="DG822" s="73"/>
      <c r="DH822" s="73"/>
      <c r="DI822" s="73"/>
      <c r="DJ822" s="73"/>
      <c r="DK822" s="73"/>
      <c r="DL822" s="73"/>
      <c r="DM822" s="73"/>
      <c r="DN822" s="73"/>
      <c r="DO822" s="73"/>
      <c r="DP822" s="73"/>
      <c r="DQ822" s="73"/>
      <c r="DR822" s="73"/>
      <c r="DS822" s="73"/>
      <c r="DT822" s="73"/>
      <c r="DU822" s="73"/>
      <c r="DV822" s="73"/>
      <c r="DW822" s="73"/>
      <c r="DX822" s="73"/>
      <c r="DY822" s="73"/>
      <c r="DZ822" s="73"/>
      <c r="EA822" s="73"/>
      <c r="EB822" s="73"/>
      <c r="EC822" s="73"/>
      <c r="ED822" s="73"/>
      <c r="EE822" s="73"/>
      <c r="EF822" s="73"/>
      <c r="FJ822" s="73"/>
      <c r="FK822" s="73"/>
      <c r="FL822" s="73"/>
      <c r="FM822" s="73"/>
      <c r="FN822" s="73"/>
      <c r="FO822" s="73"/>
      <c r="FP822" s="73"/>
      <c r="FQ822" s="73"/>
      <c r="FR822" s="73"/>
      <c r="FS822" s="73"/>
      <c r="FT822" s="73"/>
      <c r="FU822" s="73"/>
      <c r="FV822" s="73"/>
      <c r="FW822" s="73"/>
      <c r="FX822" s="73"/>
      <c r="GO822" s="73"/>
      <c r="GP822" s="73"/>
      <c r="HE822" s="73"/>
      <c r="HU822" s="73"/>
      <c r="HV822" s="182"/>
    </row>
    <row r="823" spans="1:230" x14ac:dyDescent="0.25">
      <c r="A823" s="30"/>
      <c r="B823" s="30"/>
      <c r="C823" s="30"/>
      <c r="D823" s="30"/>
      <c r="G823" s="30"/>
      <c r="H823" s="30"/>
      <c r="I823" s="30"/>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c r="CA823" s="73"/>
      <c r="CB823" s="73"/>
      <c r="CC823" s="73"/>
      <c r="CD823" s="73"/>
      <c r="CE823" s="73"/>
      <c r="CF823" s="73"/>
      <c r="CG823" s="73"/>
      <c r="CH823" s="73"/>
      <c r="CI823" s="73"/>
      <c r="CJ823" s="73"/>
      <c r="CK823" s="73"/>
      <c r="CL823" s="73"/>
      <c r="CM823" s="73"/>
      <c r="CN823" s="73"/>
      <c r="CO823" s="73"/>
      <c r="CP823" s="73"/>
      <c r="CQ823" s="73"/>
      <c r="CR823" s="73"/>
      <c r="CS823" s="73"/>
      <c r="CT823" s="73"/>
      <c r="CU823" s="73"/>
      <c r="CV823" s="73"/>
      <c r="CW823" s="73"/>
      <c r="CX823" s="73"/>
      <c r="CY823" s="73"/>
      <c r="CZ823" s="73"/>
      <c r="DA823" s="73"/>
      <c r="DB823" s="73"/>
      <c r="DC823" s="73"/>
      <c r="DD823" s="73"/>
      <c r="DE823" s="73"/>
      <c r="DF823" s="73"/>
      <c r="DG823" s="73"/>
      <c r="DH823" s="73"/>
      <c r="DI823" s="73"/>
      <c r="DJ823" s="73"/>
      <c r="DK823" s="73"/>
      <c r="DL823" s="73"/>
      <c r="DM823" s="73"/>
      <c r="DN823" s="73"/>
      <c r="DO823" s="73"/>
      <c r="DP823" s="73"/>
      <c r="DQ823" s="73"/>
      <c r="DR823" s="73"/>
      <c r="DS823" s="73"/>
      <c r="DT823" s="73"/>
      <c r="DU823" s="73"/>
      <c r="DV823" s="73"/>
      <c r="DW823" s="73"/>
      <c r="DX823" s="73"/>
      <c r="DY823" s="73"/>
      <c r="DZ823" s="73"/>
      <c r="EA823" s="73"/>
      <c r="EB823" s="73"/>
      <c r="EC823" s="73"/>
      <c r="ED823" s="73"/>
      <c r="EE823" s="73"/>
      <c r="EF823" s="73"/>
      <c r="FJ823" s="73"/>
      <c r="FK823" s="73"/>
      <c r="FL823" s="73"/>
      <c r="FM823" s="73"/>
      <c r="FN823" s="73"/>
      <c r="FO823" s="73"/>
      <c r="FP823" s="73"/>
      <c r="FQ823" s="73"/>
      <c r="FR823" s="73"/>
      <c r="FS823" s="73"/>
      <c r="FT823" s="73"/>
      <c r="FU823" s="73"/>
      <c r="FV823" s="73"/>
      <c r="FW823" s="73"/>
      <c r="FX823" s="73"/>
      <c r="GO823" s="73"/>
      <c r="GP823" s="73"/>
      <c r="HE823" s="73"/>
      <c r="HU823" s="73"/>
      <c r="HV823" s="182"/>
    </row>
    <row r="824" spans="1:230" x14ac:dyDescent="0.25">
      <c r="A824" s="30"/>
      <c r="B824" s="30"/>
      <c r="C824" s="30"/>
      <c r="D824" s="30"/>
      <c r="G824" s="30"/>
      <c r="H824" s="30"/>
      <c r="I824" s="30"/>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c r="CA824" s="73"/>
      <c r="CB824" s="73"/>
      <c r="CC824" s="73"/>
      <c r="CD824" s="73"/>
      <c r="CE824" s="73"/>
      <c r="CF824" s="73"/>
      <c r="CG824" s="73"/>
      <c r="CH824" s="73"/>
      <c r="CI824" s="73"/>
      <c r="CJ824" s="73"/>
      <c r="CK824" s="73"/>
      <c r="CL824" s="73"/>
      <c r="CM824" s="73"/>
      <c r="CN824" s="73"/>
      <c r="CO824" s="73"/>
      <c r="CP824" s="73"/>
      <c r="CQ824" s="73"/>
      <c r="CR824" s="73"/>
      <c r="CS824" s="73"/>
      <c r="CT824" s="73"/>
      <c r="CU824" s="73"/>
      <c r="CV824" s="73"/>
      <c r="CW824" s="73"/>
      <c r="CX824" s="73"/>
      <c r="CY824" s="73"/>
      <c r="CZ824" s="73"/>
      <c r="DA824" s="73"/>
      <c r="DB824" s="73"/>
      <c r="DC824" s="73"/>
      <c r="DD824" s="73"/>
      <c r="DE824" s="73"/>
      <c r="DF824" s="73"/>
      <c r="DG824" s="73"/>
      <c r="DH824" s="73"/>
      <c r="DI824" s="73"/>
      <c r="DJ824" s="73"/>
      <c r="DK824" s="73"/>
      <c r="DL824" s="73"/>
      <c r="DM824" s="73"/>
      <c r="DN824" s="73"/>
      <c r="DO824" s="73"/>
      <c r="DP824" s="73"/>
      <c r="DQ824" s="73"/>
      <c r="DR824" s="73"/>
      <c r="DS824" s="73"/>
      <c r="DT824" s="73"/>
      <c r="DU824" s="73"/>
      <c r="DV824" s="73"/>
      <c r="DW824" s="73"/>
      <c r="DX824" s="73"/>
      <c r="DY824" s="73"/>
      <c r="DZ824" s="73"/>
      <c r="EA824" s="73"/>
      <c r="EB824" s="73"/>
      <c r="EC824" s="73"/>
      <c r="ED824" s="73"/>
      <c r="EE824" s="73"/>
      <c r="EF824" s="73"/>
      <c r="FJ824" s="73"/>
      <c r="FK824" s="73"/>
      <c r="FL824" s="73"/>
      <c r="FM824" s="73"/>
      <c r="FN824" s="73"/>
      <c r="FO824" s="73"/>
      <c r="FP824" s="73"/>
      <c r="FQ824" s="73"/>
      <c r="FR824" s="73"/>
      <c r="FS824" s="73"/>
      <c r="FT824" s="73"/>
      <c r="FU824" s="73"/>
      <c r="FV824" s="73"/>
      <c r="FW824" s="73"/>
      <c r="FX824" s="73"/>
      <c r="GO824" s="73"/>
      <c r="GP824" s="73"/>
      <c r="HE824" s="73"/>
      <c r="HU824" s="73"/>
      <c r="HV824" s="182"/>
    </row>
    <row r="825" spans="1:230" x14ac:dyDescent="0.25">
      <c r="A825" s="30"/>
      <c r="B825" s="30"/>
      <c r="C825" s="30"/>
      <c r="D825" s="30"/>
      <c r="G825" s="30"/>
      <c r="H825" s="30"/>
      <c r="I825" s="30"/>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c r="CA825" s="73"/>
      <c r="CB825" s="73"/>
      <c r="CC825" s="73"/>
      <c r="CD825" s="73"/>
      <c r="CE825" s="73"/>
      <c r="CF825" s="73"/>
      <c r="CG825" s="73"/>
      <c r="CH825" s="73"/>
      <c r="CI825" s="73"/>
      <c r="CJ825" s="73"/>
      <c r="CK825" s="73"/>
      <c r="CL825" s="73"/>
      <c r="CM825" s="73"/>
      <c r="CN825" s="73"/>
      <c r="CO825" s="73"/>
      <c r="CP825" s="73"/>
      <c r="CQ825" s="73"/>
      <c r="CR825" s="73"/>
      <c r="CS825" s="73"/>
      <c r="CT825" s="73"/>
      <c r="CU825" s="73"/>
      <c r="CV825" s="73"/>
      <c r="CW825" s="73"/>
      <c r="CX825" s="73"/>
      <c r="CY825" s="73"/>
      <c r="CZ825" s="73"/>
      <c r="DA825" s="73"/>
      <c r="DB825" s="73"/>
      <c r="DC825" s="73"/>
      <c r="DD825" s="73"/>
      <c r="DE825" s="73"/>
      <c r="DF825" s="73"/>
      <c r="DG825" s="73"/>
      <c r="DH825" s="73"/>
      <c r="DI825" s="73"/>
      <c r="DJ825" s="73"/>
      <c r="DK825" s="73"/>
      <c r="DL825" s="73"/>
      <c r="DM825" s="73"/>
      <c r="DN825" s="73"/>
      <c r="DO825" s="73"/>
      <c r="DP825" s="73"/>
      <c r="DQ825" s="73"/>
      <c r="DR825" s="73"/>
      <c r="DS825" s="73"/>
      <c r="DT825" s="73"/>
      <c r="DU825" s="73"/>
      <c r="DV825" s="73"/>
      <c r="DW825" s="73"/>
      <c r="DX825" s="73"/>
      <c r="DY825" s="73"/>
      <c r="DZ825" s="73"/>
      <c r="EA825" s="73"/>
      <c r="EB825" s="73"/>
      <c r="EC825" s="73"/>
      <c r="ED825" s="73"/>
      <c r="EE825" s="73"/>
      <c r="EF825" s="73"/>
      <c r="FJ825" s="73"/>
      <c r="FK825" s="73"/>
      <c r="FL825" s="73"/>
      <c r="FM825" s="73"/>
      <c r="FN825" s="73"/>
      <c r="FO825" s="73"/>
      <c r="FP825" s="73"/>
      <c r="FQ825" s="73"/>
      <c r="FR825" s="73"/>
      <c r="FS825" s="73"/>
      <c r="FT825" s="73"/>
      <c r="FU825" s="73"/>
      <c r="FV825" s="73"/>
      <c r="FW825" s="73"/>
      <c r="FX825" s="73"/>
      <c r="GO825" s="73"/>
      <c r="GP825" s="73"/>
      <c r="HE825" s="73"/>
      <c r="HU825" s="73"/>
      <c r="HV825" s="182"/>
    </row>
    <row r="826" spans="1:230" x14ac:dyDescent="0.25">
      <c r="A826" s="30"/>
      <c r="B826" s="30"/>
      <c r="C826" s="30"/>
      <c r="D826" s="30"/>
      <c r="G826" s="30"/>
      <c r="H826" s="30"/>
      <c r="I826" s="30"/>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c r="CA826" s="73"/>
      <c r="CB826" s="73"/>
      <c r="CC826" s="73"/>
      <c r="CD826" s="73"/>
      <c r="CE826" s="73"/>
      <c r="CF826" s="73"/>
      <c r="CG826" s="73"/>
      <c r="CH826" s="73"/>
      <c r="CI826" s="73"/>
      <c r="CJ826" s="73"/>
      <c r="CK826" s="73"/>
      <c r="CL826" s="73"/>
      <c r="CM826" s="73"/>
      <c r="CN826" s="73"/>
      <c r="CO826" s="73"/>
      <c r="CP826" s="73"/>
      <c r="CQ826" s="73"/>
      <c r="CR826" s="73"/>
      <c r="CS826" s="73"/>
      <c r="CT826" s="73"/>
      <c r="CU826" s="73"/>
      <c r="CV826" s="73"/>
      <c r="CW826" s="73"/>
      <c r="CX826" s="73"/>
      <c r="CY826" s="73"/>
      <c r="CZ826" s="73"/>
      <c r="DA826" s="73"/>
      <c r="DB826" s="73"/>
      <c r="DC826" s="73"/>
      <c r="DD826" s="73"/>
      <c r="DE826" s="73"/>
      <c r="DF826" s="73"/>
      <c r="DG826" s="73"/>
      <c r="DH826" s="73"/>
      <c r="DI826" s="73"/>
      <c r="DJ826" s="73"/>
      <c r="DK826" s="73"/>
      <c r="DL826" s="73"/>
      <c r="DM826" s="73"/>
      <c r="DN826" s="73"/>
      <c r="DO826" s="73"/>
      <c r="DP826" s="73"/>
      <c r="DQ826" s="73"/>
      <c r="DR826" s="73"/>
      <c r="DS826" s="73"/>
      <c r="DT826" s="73"/>
      <c r="DU826" s="73"/>
      <c r="DV826" s="73"/>
      <c r="DW826" s="73"/>
      <c r="DX826" s="73"/>
      <c r="DY826" s="73"/>
      <c r="DZ826" s="73"/>
      <c r="EA826" s="73"/>
      <c r="EB826" s="73"/>
      <c r="EC826" s="73"/>
      <c r="ED826" s="73"/>
      <c r="EE826" s="73"/>
      <c r="EF826" s="73"/>
      <c r="FJ826" s="73"/>
      <c r="FK826" s="73"/>
      <c r="FL826" s="73"/>
      <c r="FM826" s="73"/>
      <c r="FN826" s="73"/>
      <c r="FO826" s="73"/>
      <c r="FP826" s="73"/>
      <c r="FQ826" s="73"/>
      <c r="FR826" s="73"/>
      <c r="FS826" s="73"/>
      <c r="FT826" s="73"/>
      <c r="FU826" s="73"/>
      <c r="FV826" s="73"/>
      <c r="FW826" s="73"/>
      <c r="FX826" s="73"/>
      <c r="GO826" s="73"/>
      <c r="GP826" s="73"/>
      <c r="HE826" s="73"/>
      <c r="HU826" s="73"/>
      <c r="HV826" s="182"/>
    </row>
    <row r="827" spans="1:230" x14ac:dyDescent="0.25">
      <c r="A827" s="30"/>
      <c r="B827" s="30"/>
      <c r="C827" s="30"/>
      <c r="D827" s="30"/>
      <c r="G827" s="30"/>
      <c r="H827" s="30"/>
      <c r="I827" s="30"/>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c r="CA827" s="73"/>
      <c r="CB827" s="73"/>
      <c r="CC827" s="73"/>
      <c r="CD827" s="73"/>
      <c r="CE827" s="73"/>
      <c r="CF827" s="73"/>
      <c r="CG827" s="73"/>
      <c r="CH827" s="73"/>
      <c r="CI827" s="73"/>
      <c r="CJ827" s="73"/>
      <c r="CK827" s="73"/>
      <c r="CL827" s="73"/>
      <c r="CM827" s="73"/>
      <c r="CN827" s="73"/>
      <c r="CO827" s="73"/>
      <c r="CP827" s="73"/>
      <c r="CQ827" s="73"/>
      <c r="CR827" s="73"/>
      <c r="CS827" s="73"/>
      <c r="CT827" s="73"/>
      <c r="CU827" s="73"/>
      <c r="CV827" s="73"/>
      <c r="CW827" s="73"/>
      <c r="CX827" s="73"/>
      <c r="CY827" s="73"/>
      <c r="CZ827" s="73"/>
      <c r="DA827" s="73"/>
      <c r="DB827" s="73"/>
      <c r="DC827" s="73"/>
      <c r="DD827" s="73"/>
      <c r="DE827" s="73"/>
      <c r="DF827" s="73"/>
      <c r="DG827" s="73"/>
      <c r="DH827" s="73"/>
      <c r="DI827" s="73"/>
      <c r="DJ827" s="73"/>
      <c r="DK827" s="73"/>
      <c r="DL827" s="73"/>
      <c r="DM827" s="73"/>
      <c r="DN827" s="73"/>
      <c r="DO827" s="73"/>
      <c r="DP827" s="73"/>
      <c r="DQ827" s="73"/>
      <c r="DR827" s="73"/>
      <c r="DS827" s="73"/>
      <c r="DT827" s="73"/>
      <c r="DU827" s="73"/>
      <c r="DV827" s="73"/>
      <c r="DW827" s="73"/>
      <c r="DX827" s="73"/>
      <c r="DY827" s="73"/>
      <c r="DZ827" s="73"/>
      <c r="EA827" s="73"/>
      <c r="EB827" s="73"/>
      <c r="EC827" s="73"/>
      <c r="ED827" s="73"/>
      <c r="EE827" s="73"/>
      <c r="EF827" s="73"/>
      <c r="FJ827" s="73"/>
      <c r="FK827" s="73"/>
      <c r="FL827" s="73"/>
      <c r="FM827" s="73"/>
      <c r="FN827" s="73"/>
      <c r="FO827" s="73"/>
      <c r="FP827" s="73"/>
      <c r="FQ827" s="73"/>
      <c r="FR827" s="73"/>
      <c r="FS827" s="73"/>
      <c r="FT827" s="73"/>
      <c r="FU827" s="73"/>
      <c r="FV827" s="73"/>
      <c r="FW827" s="73"/>
      <c r="FX827" s="73"/>
      <c r="GO827" s="73"/>
      <c r="GP827" s="73"/>
      <c r="HE827" s="73"/>
      <c r="HU827" s="73"/>
      <c r="HV827" s="182"/>
    </row>
    <row r="828" spans="1:230" x14ac:dyDescent="0.25">
      <c r="A828" s="30"/>
      <c r="B828" s="30"/>
      <c r="C828" s="30"/>
      <c r="D828" s="30"/>
      <c r="G828" s="30"/>
      <c r="H828" s="30"/>
      <c r="I828" s="30"/>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c r="CA828" s="73"/>
      <c r="CB828" s="73"/>
      <c r="CC828" s="73"/>
      <c r="CD828" s="73"/>
      <c r="CE828" s="73"/>
      <c r="CF828" s="73"/>
      <c r="CG828" s="73"/>
      <c r="CH828" s="73"/>
      <c r="CI828" s="73"/>
      <c r="CJ828" s="73"/>
      <c r="CK828" s="73"/>
      <c r="CL828" s="73"/>
      <c r="CM828" s="73"/>
      <c r="CN828" s="73"/>
      <c r="CO828" s="73"/>
      <c r="CP828" s="73"/>
      <c r="CQ828" s="73"/>
      <c r="CR828" s="73"/>
      <c r="CS828" s="73"/>
      <c r="CT828" s="73"/>
      <c r="CU828" s="73"/>
      <c r="CV828" s="73"/>
      <c r="CW828" s="73"/>
      <c r="CX828" s="73"/>
      <c r="CY828" s="73"/>
      <c r="CZ828" s="73"/>
      <c r="DA828" s="73"/>
      <c r="DB828" s="73"/>
      <c r="DC828" s="73"/>
      <c r="DD828" s="73"/>
      <c r="DE828" s="73"/>
      <c r="DF828" s="73"/>
      <c r="DG828" s="73"/>
      <c r="DH828" s="73"/>
      <c r="DI828" s="73"/>
      <c r="DJ828" s="73"/>
      <c r="DK828" s="73"/>
      <c r="DL828" s="73"/>
      <c r="DM828" s="73"/>
      <c r="DN828" s="73"/>
      <c r="DO828" s="73"/>
      <c r="DP828" s="73"/>
      <c r="DQ828" s="73"/>
      <c r="DR828" s="73"/>
      <c r="DS828" s="73"/>
      <c r="DT828" s="73"/>
      <c r="DU828" s="73"/>
      <c r="DV828" s="73"/>
      <c r="DW828" s="73"/>
      <c r="DX828" s="73"/>
      <c r="DY828" s="73"/>
      <c r="DZ828" s="73"/>
      <c r="EA828" s="73"/>
      <c r="EB828" s="73"/>
      <c r="EC828" s="73"/>
      <c r="ED828" s="73"/>
      <c r="EE828" s="73"/>
      <c r="EF828" s="73"/>
      <c r="FJ828" s="73"/>
      <c r="FK828" s="73"/>
      <c r="FL828" s="73"/>
      <c r="FM828" s="73"/>
      <c r="FN828" s="73"/>
      <c r="FO828" s="73"/>
      <c r="FP828" s="73"/>
      <c r="FQ828" s="73"/>
      <c r="FR828" s="73"/>
      <c r="FS828" s="73"/>
      <c r="FT828" s="73"/>
      <c r="FU828" s="73"/>
      <c r="FV828" s="73"/>
      <c r="FW828" s="73"/>
      <c r="FX828" s="73"/>
      <c r="GO828" s="73"/>
      <c r="GP828" s="73"/>
      <c r="HE828" s="73"/>
      <c r="HU828" s="73"/>
      <c r="HV828" s="182"/>
    </row>
    <row r="829" spans="1:230" x14ac:dyDescent="0.25">
      <c r="A829" s="30"/>
      <c r="B829" s="30"/>
      <c r="C829" s="30"/>
      <c r="D829" s="30"/>
      <c r="G829" s="30"/>
      <c r="H829" s="30"/>
      <c r="I829" s="30"/>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c r="CA829" s="73"/>
      <c r="CB829" s="73"/>
      <c r="CC829" s="73"/>
      <c r="CD829" s="73"/>
      <c r="CE829" s="73"/>
      <c r="CF829" s="73"/>
      <c r="CG829" s="73"/>
      <c r="CH829" s="73"/>
      <c r="CI829" s="73"/>
      <c r="CJ829" s="73"/>
      <c r="CK829" s="73"/>
      <c r="CL829" s="73"/>
      <c r="CM829" s="73"/>
      <c r="CN829" s="73"/>
      <c r="CO829" s="73"/>
      <c r="CP829" s="73"/>
      <c r="CQ829" s="73"/>
      <c r="CR829" s="73"/>
      <c r="CS829" s="73"/>
      <c r="CT829" s="73"/>
      <c r="CU829" s="73"/>
      <c r="CV829" s="73"/>
      <c r="CW829" s="73"/>
      <c r="CX829" s="73"/>
      <c r="CY829" s="73"/>
      <c r="CZ829" s="73"/>
      <c r="DA829" s="73"/>
      <c r="DB829" s="73"/>
      <c r="DC829" s="73"/>
      <c r="DD829" s="73"/>
      <c r="DE829" s="73"/>
      <c r="DF829" s="73"/>
      <c r="DG829" s="73"/>
      <c r="DH829" s="73"/>
      <c r="DI829" s="73"/>
      <c r="DJ829" s="73"/>
      <c r="DK829" s="73"/>
      <c r="DL829" s="73"/>
      <c r="DM829" s="73"/>
      <c r="DN829" s="73"/>
      <c r="DO829" s="73"/>
      <c r="DP829" s="73"/>
      <c r="DQ829" s="73"/>
      <c r="DR829" s="73"/>
      <c r="DS829" s="73"/>
      <c r="DT829" s="73"/>
      <c r="DU829" s="73"/>
      <c r="DV829" s="73"/>
      <c r="DW829" s="73"/>
      <c r="DX829" s="73"/>
      <c r="DY829" s="73"/>
      <c r="DZ829" s="73"/>
      <c r="EA829" s="73"/>
      <c r="EB829" s="73"/>
      <c r="EC829" s="73"/>
      <c r="ED829" s="73"/>
      <c r="EE829" s="73"/>
      <c r="EF829" s="73"/>
      <c r="FJ829" s="73"/>
      <c r="FK829" s="73"/>
      <c r="FL829" s="73"/>
      <c r="FM829" s="73"/>
      <c r="FN829" s="73"/>
      <c r="FO829" s="73"/>
      <c r="FP829" s="73"/>
      <c r="FQ829" s="73"/>
      <c r="FR829" s="73"/>
      <c r="FS829" s="73"/>
      <c r="FT829" s="73"/>
      <c r="FU829" s="73"/>
      <c r="FV829" s="73"/>
      <c r="FW829" s="73"/>
      <c r="FX829" s="73"/>
      <c r="GO829" s="73"/>
      <c r="GP829" s="73"/>
      <c r="HE829" s="73"/>
      <c r="HU829" s="73"/>
      <c r="HV829" s="182"/>
    </row>
    <row r="830" spans="1:230" x14ac:dyDescent="0.25">
      <c r="A830" s="30"/>
      <c r="B830" s="30"/>
      <c r="C830" s="30"/>
      <c r="D830" s="30"/>
      <c r="G830" s="30"/>
      <c r="H830" s="30"/>
      <c r="I830" s="30"/>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c r="CA830" s="73"/>
      <c r="CB830" s="73"/>
      <c r="CC830" s="73"/>
      <c r="CD830" s="73"/>
      <c r="CE830" s="73"/>
      <c r="CF830" s="73"/>
      <c r="CG830" s="73"/>
      <c r="CH830" s="73"/>
      <c r="CI830" s="73"/>
      <c r="CJ830" s="73"/>
      <c r="CK830" s="73"/>
      <c r="CL830" s="73"/>
      <c r="CM830" s="73"/>
      <c r="CN830" s="73"/>
      <c r="CO830" s="73"/>
      <c r="CP830" s="73"/>
      <c r="CQ830" s="73"/>
      <c r="CR830" s="73"/>
      <c r="CS830" s="73"/>
      <c r="CT830" s="73"/>
      <c r="CU830" s="73"/>
      <c r="CV830" s="73"/>
      <c r="CW830" s="73"/>
      <c r="CX830" s="73"/>
      <c r="CY830" s="73"/>
      <c r="CZ830" s="73"/>
      <c r="DA830" s="73"/>
      <c r="DB830" s="73"/>
      <c r="DC830" s="73"/>
      <c r="DD830" s="73"/>
      <c r="DE830" s="73"/>
      <c r="DF830" s="73"/>
      <c r="DG830" s="73"/>
      <c r="DH830" s="73"/>
      <c r="DI830" s="73"/>
      <c r="DJ830" s="73"/>
      <c r="DK830" s="73"/>
      <c r="DL830" s="73"/>
      <c r="DM830" s="73"/>
      <c r="DN830" s="73"/>
      <c r="DO830" s="73"/>
      <c r="DP830" s="73"/>
      <c r="DQ830" s="73"/>
      <c r="DR830" s="73"/>
      <c r="DS830" s="73"/>
      <c r="DT830" s="73"/>
      <c r="DU830" s="73"/>
      <c r="DV830" s="73"/>
      <c r="DW830" s="73"/>
      <c r="DX830" s="73"/>
      <c r="DY830" s="73"/>
      <c r="DZ830" s="73"/>
      <c r="EA830" s="73"/>
      <c r="EB830" s="73"/>
      <c r="EC830" s="73"/>
      <c r="ED830" s="73"/>
      <c r="EE830" s="73"/>
      <c r="EF830" s="73"/>
      <c r="FJ830" s="73"/>
      <c r="FK830" s="73"/>
      <c r="FL830" s="73"/>
      <c r="FM830" s="73"/>
      <c r="FN830" s="73"/>
      <c r="FO830" s="73"/>
      <c r="FP830" s="73"/>
      <c r="FQ830" s="73"/>
      <c r="FR830" s="73"/>
      <c r="FS830" s="73"/>
      <c r="FT830" s="73"/>
      <c r="FU830" s="73"/>
      <c r="FV830" s="73"/>
      <c r="FW830" s="73"/>
      <c r="FX830" s="73"/>
      <c r="GO830" s="73"/>
      <c r="GP830" s="73"/>
      <c r="HE830" s="73"/>
      <c r="HU830" s="73"/>
      <c r="HV830" s="182"/>
    </row>
    <row r="831" spans="1:230" x14ac:dyDescent="0.25">
      <c r="A831" s="30"/>
      <c r="B831" s="30"/>
      <c r="C831" s="30"/>
      <c r="D831" s="30"/>
      <c r="G831" s="30"/>
      <c r="H831" s="30"/>
      <c r="I831" s="30"/>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c r="CA831" s="73"/>
      <c r="CB831" s="73"/>
      <c r="CC831" s="73"/>
      <c r="CD831" s="73"/>
      <c r="CE831" s="73"/>
      <c r="CF831" s="73"/>
      <c r="CG831" s="73"/>
      <c r="CH831" s="73"/>
      <c r="CI831" s="73"/>
      <c r="CJ831" s="73"/>
      <c r="CK831" s="73"/>
      <c r="CL831" s="73"/>
      <c r="CM831" s="73"/>
      <c r="CN831" s="73"/>
      <c r="CO831" s="73"/>
      <c r="CP831" s="73"/>
      <c r="CQ831" s="73"/>
      <c r="CR831" s="73"/>
      <c r="CS831" s="73"/>
      <c r="CT831" s="73"/>
      <c r="CU831" s="73"/>
      <c r="CV831" s="73"/>
      <c r="CW831" s="73"/>
      <c r="CX831" s="73"/>
      <c r="CY831" s="73"/>
      <c r="CZ831" s="73"/>
      <c r="DA831" s="73"/>
      <c r="DB831" s="73"/>
      <c r="DC831" s="73"/>
      <c r="DD831" s="73"/>
      <c r="DE831" s="73"/>
      <c r="DF831" s="73"/>
      <c r="DG831" s="73"/>
      <c r="DH831" s="73"/>
      <c r="DI831" s="73"/>
      <c r="DJ831" s="73"/>
      <c r="DK831" s="73"/>
      <c r="DL831" s="73"/>
      <c r="DM831" s="73"/>
      <c r="DN831" s="73"/>
      <c r="DO831" s="73"/>
      <c r="DP831" s="73"/>
      <c r="DQ831" s="73"/>
      <c r="DR831" s="73"/>
      <c r="DS831" s="73"/>
      <c r="DT831" s="73"/>
      <c r="DU831" s="73"/>
      <c r="DV831" s="73"/>
      <c r="DW831" s="73"/>
      <c r="DX831" s="73"/>
      <c r="DY831" s="73"/>
      <c r="DZ831" s="73"/>
      <c r="EA831" s="73"/>
      <c r="EB831" s="73"/>
      <c r="EC831" s="73"/>
      <c r="ED831" s="73"/>
      <c r="EE831" s="73"/>
      <c r="EF831" s="73"/>
      <c r="FJ831" s="73"/>
      <c r="FK831" s="73"/>
      <c r="FL831" s="73"/>
      <c r="FM831" s="73"/>
      <c r="FN831" s="73"/>
      <c r="FO831" s="73"/>
      <c r="FP831" s="73"/>
      <c r="FQ831" s="73"/>
      <c r="FR831" s="73"/>
      <c r="FS831" s="73"/>
      <c r="FT831" s="73"/>
      <c r="FU831" s="73"/>
      <c r="FV831" s="73"/>
      <c r="FW831" s="73"/>
      <c r="FX831" s="73"/>
      <c r="GO831" s="73"/>
      <c r="GP831" s="73"/>
      <c r="HE831" s="73"/>
      <c r="HU831" s="73"/>
      <c r="HV831" s="182"/>
    </row>
    <row r="832" spans="1:230" x14ac:dyDescent="0.25">
      <c r="A832" s="30"/>
      <c r="B832" s="30"/>
      <c r="C832" s="30"/>
      <c r="D832" s="30"/>
      <c r="G832" s="30"/>
      <c r="H832" s="30"/>
      <c r="I832" s="30"/>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c r="CA832" s="73"/>
      <c r="CB832" s="73"/>
      <c r="CC832" s="73"/>
      <c r="CD832" s="73"/>
      <c r="CE832" s="73"/>
      <c r="CF832" s="73"/>
      <c r="CG832" s="73"/>
      <c r="CH832" s="73"/>
      <c r="CI832" s="73"/>
      <c r="CJ832" s="73"/>
      <c r="CK832" s="73"/>
      <c r="CL832" s="73"/>
      <c r="CM832" s="73"/>
      <c r="CN832" s="73"/>
      <c r="CO832" s="73"/>
      <c r="CP832" s="73"/>
      <c r="CQ832" s="73"/>
      <c r="CR832" s="73"/>
      <c r="CS832" s="73"/>
      <c r="CT832" s="73"/>
      <c r="CU832" s="73"/>
      <c r="CV832" s="73"/>
      <c r="CW832" s="73"/>
      <c r="CX832" s="73"/>
      <c r="CY832" s="73"/>
      <c r="CZ832" s="73"/>
      <c r="DA832" s="73"/>
      <c r="DB832" s="73"/>
      <c r="DC832" s="73"/>
      <c r="DD832" s="73"/>
      <c r="DE832" s="73"/>
      <c r="DF832" s="73"/>
      <c r="DG832" s="73"/>
      <c r="DH832" s="73"/>
      <c r="DI832" s="73"/>
      <c r="DJ832" s="73"/>
      <c r="DK832" s="73"/>
      <c r="DL832" s="73"/>
      <c r="DM832" s="73"/>
      <c r="DN832" s="73"/>
      <c r="DO832" s="73"/>
      <c r="DP832" s="73"/>
      <c r="DQ832" s="73"/>
      <c r="DR832" s="73"/>
      <c r="DS832" s="73"/>
      <c r="DT832" s="73"/>
      <c r="DU832" s="73"/>
      <c r="DV832" s="73"/>
      <c r="DW832" s="73"/>
      <c r="DX832" s="73"/>
      <c r="DY832" s="73"/>
      <c r="DZ832" s="73"/>
      <c r="EA832" s="73"/>
      <c r="EB832" s="73"/>
      <c r="EC832" s="73"/>
      <c r="ED832" s="73"/>
      <c r="EE832" s="73"/>
      <c r="EF832" s="73"/>
      <c r="FJ832" s="73"/>
      <c r="FK832" s="73"/>
      <c r="FL832" s="73"/>
      <c r="FM832" s="73"/>
      <c r="FN832" s="73"/>
      <c r="FO832" s="73"/>
      <c r="FP832" s="73"/>
      <c r="FQ832" s="73"/>
      <c r="FR832" s="73"/>
      <c r="FS832" s="73"/>
      <c r="FT832" s="73"/>
      <c r="FU832" s="73"/>
      <c r="FV832" s="73"/>
      <c r="FW832" s="73"/>
      <c r="FX832" s="73"/>
      <c r="GO832" s="73"/>
      <c r="GP832" s="73"/>
      <c r="HE832" s="73"/>
      <c r="HU832" s="73"/>
      <c r="HV832" s="182"/>
    </row>
    <row r="833" spans="1:230" x14ac:dyDescent="0.25">
      <c r="A833" s="30"/>
      <c r="B833" s="30"/>
      <c r="C833" s="30"/>
      <c r="D833" s="30"/>
      <c r="G833" s="30"/>
      <c r="H833" s="30"/>
      <c r="I833" s="30"/>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c r="CA833" s="73"/>
      <c r="CB833" s="73"/>
      <c r="CC833" s="73"/>
      <c r="CD833" s="73"/>
      <c r="CE833" s="73"/>
      <c r="CF833" s="73"/>
      <c r="CG833" s="73"/>
      <c r="CH833" s="73"/>
      <c r="CI833" s="73"/>
      <c r="CJ833" s="73"/>
      <c r="CK833" s="73"/>
      <c r="CL833" s="73"/>
      <c r="CM833" s="73"/>
      <c r="CN833" s="73"/>
      <c r="CO833" s="73"/>
      <c r="CP833" s="73"/>
      <c r="CQ833" s="73"/>
      <c r="CR833" s="73"/>
      <c r="CS833" s="73"/>
      <c r="CT833" s="73"/>
      <c r="CU833" s="73"/>
      <c r="CV833" s="73"/>
      <c r="CW833" s="73"/>
      <c r="CX833" s="73"/>
      <c r="CY833" s="73"/>
      <c r="CZ833" s="73"/>
      <c r="DA833" s="73"/>
      <c r="DB833" s="73"/>
      <c r="DC833" s="73"/>
      <c r="DD833" s="73"/>
      <c r="DE833" s="73"/>
      <c r="DF833" s="73"/>
      <c r="DG833" s="73"/>
      <c r="DH833" s="73"/>
      <c r="DI833" s="73"/>
      <c r="DJ833" s="73"/>
      <c r="DK833" s="73"/>
      <c r="DL833" s="73"/>
      <c r="DM833" s="73"/>
      <c r="DN833" s="73"/>
      <c r="DO833" s="73"/>
      <c r="DP833" s="73"/>
      <c r="DQ833" s="73"/>
      <c r="DR833" s="73"/>
      <c r="DS833" s="73"/>
      <c r="DT833" s="73"/>
      <c r="DU833" s="73"/>
      <c r="DV833" s="73"/>
      <c r="DW833" s="73"/>
      <c r="DX833" s="73"/>
      <c r="DY833" s="73"/>
      <c r="DZ833" s="73"/>
      <c r="EA833" s="73"/>
      <c r="EB833" s="73"/>
      <c r="EC833" s="73"/>
      <c r="ED833" s="73"/>
      <c r="EE833" s="73"/>
      <c r="EF833" s="73"/>
      <c r="FJ833" s="73"/>
      <c r="FK833" s="73"/>
      <c r="FL833" s="73"/>
      <c r="FM833" s="73"/>
      <c r="FN833" s="73"/>
      <c r="FO833" s="73"/>
      <c r="FP833" s="73"/>
      <c r="FQ833" s="73"/>
      <c r="FR833" s="73"/>
      <c r="FS833" s="73"/>
      <c r="FT833" s="73"/>
      <c r="FU833" s="73"/>
      <c r="FV833" s="73"/>
      <c r="FW833" s="73"/>
      <c r="FX833" s="73"/>
      <c r="GO833" s="73"/>
      <c r="GP833" s="73"/>
      <c r="HE833" s="73"/>
      <c r="HU833" s="73"/>
      <c r="HV833" s="182"/>
    </row>
    <row r="834" spans="1:230" x14ac:dyDescent="0.25">
      <c r="A834" s="30"/>
      <c r="B834" s="30"/>
      <c r="C834" s="30"/>
      <c r="D834" s="30"/>
      <c r="G834" s="30"/>
      <c r="H834" s="30"/>
      <c r="I834" s="30"/>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c r="CA834" s="73"/>
      <c r="CB834" s="73"/>
      <c r="CC834" s="73"/>
      <c r="CD834" s="73"/>
      <c r="CE834" s="73"/>
      <c r="CF834" s="73"/>
      <c r="CG834" s="73"/>
      <c r="CH834" s="73"/>
      <c r="CI834" s="73"/>
      <c r="CJ834" s="73"/>
      <c r="CK834" s="73"/>
      <c r="CL834" s="73"/>
      <c r="CM834" s="73"/>
      <c r="CN834" s="73"/>
      <c r="CO834" s="73"/>
      <c r="CP834" s="73"/>
      <c r="CQ834" s="73"/>
      <c r="CR834" s="73"/>
      <c r="CS834" s="73"/>
      <c r="CT834" s="73"/>
      <c r="CU834" s="73"/>
      <c r="CV834" s="73"/>
      <c r="CW834" s="73"/>
      <c r="CX834" s="73"/>
      <c r="CY834" s="73"/>
      <c r="CZ834" s="73"/>
      <c r="DA834" s="73"/>
      <c r="DB834" s="73"/>
      <c r="DC834" s="73"/>
      <c r="DD834" s="73"/>
      <c r="DE834" s="73"/>
      <c r="DF834" s="73"/>
      <c r="DG834" s="73"/>
      <c r="DH834" s="73"/>
      <c r="DI834" s="73"/>
      <c r="DJ834" s="73"/>
      <c r="DK834" s="73"/>
      <c r="DL834" s="73"/>
      <c r="DM834" s="73"/>
      <c r="DN834" s="73"/>
      <c r="DO834" s="73"/>
      <c r="DP834" s="73"/>
      <c r="DQ834" s="73"/>
      <c r="DR834" s="73"/>
      <c r="DS834" s="73"/>
      <c r="DT834" s="73"/>
      <c r="DU834" s="73"/>
      <c r="DV834" s="73"/>
      <c r="DW834" s="73"/>
      <c r="DX834" s="73"/>
      <c r="DY834" s="73"/>
      <c r="DZ834" s="73"/>
      <c r="EA834" s="73"/>
      <c r="EB834" s="73"/>
      <c r="EC834" s="73"/>
      <c r="ED834" s="73"/>
      <c r="EE834" s="73"/>
      <c r="EF834" s="73"/>
      <c r="FJ834" s="73"/>
      <c r="FK834" s="73"/>
      <c r="FL834" s="73"/>
      <c r="FM834" s="73"/>
      <c r="FN834" s="73"/>
      <c r="FO834" s="73"/>
      <c r="FP834" s="73"/>
      <c r="FQ834" s="73"/>
      <c r="FR834" s="73"/>
      <c r="FS834" s="73"/>
      <c r="FT834" s="73"/>
      <c r="FU834" s="73"/>
      <c r="FV834" s="73"/>
      <c r="FW834" s="73"/>
      <c r="FX834" s="73"/>
      <c r="GO834" s="73"/>
      <c r="GP834" s="73"/>
      <c r="HE834" s="73"/>
      <c r="HU834" s="73"/>
      <c r="HV834" s="182"/>
    </row>
    <row r="835" spans="1:230" x14ac:dyDescent="0.25">
      <c r="A835" s="30"/>
      <c r="B835" s="30"/>
      <c r="C835" s="30"/>
      <c r="D835" s="30"/>
      <c r="G835" s="30"/>
      <c r="H835" s="30"/>
      <c r="I835" s="30"/>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c r="CA835" s="73"/>
      <c r="CB835" s="73"/>
      <c r="CC835" s="73"/>
      <c r="CD835" s="73"/>
      <c r="CE835" s="73"/>
      <c r="CF835" s="73"/>
      <c r="CG835" s="73"/>
      <c r="CH835" s="73"/>
      <c r="CI835" s="73"/>
      <c r="CJ835" s="73"/>
      <c r="CK835" s="73"/>
      <c r="CL835" s="73"/>
      <c r="CM835" s="73"/>
      <c r="CN835" s="73"/>
      <c r="CO835" s="73"/>
      <c r="CP835" s="73"/>
      <c r="CQ835" s="73"/>
      <c r="CR835" s="73"/>
      <c r="CS835" s="73"/>
      <c r="CT835" s="73"/>
      <c r="CU835" s="73"/>
      <c r="CV835" s="73"/>
      <c r="CW835" s="73"/>
      <c r="CX835" s="73"/>
      <c r="CY835" s="73"/>
      <c r="CZ835" s="73"/>
      <c r="DA835" s="73"/>
      <c r="DB835" s="73"/>
      <c r="DC835" s="73"/>
      <c r="DD835" s="73"/>
      <c r="DE835" s="73"/>
      <c r="DF835" s="73"/>
      <c r="DG835" s="73"/>
      <c r="DH835" s="73"/>
      <c r="DI835" s="73"/>
      <c r="DJ835" s="73"/>
      <c r="DK835" s="73"/>
      <c r="DL835" s="73"/>
      <c r="DM835" s="73"/>
      <c r="DN835" s="73"/>
      <c r="DO835" s="73"/>
      <c r="DP835" s="73"/>
      <c r="DQ835" s="73"/>
      <c r="DR835" s="73"/>
      <c r="DS835" s="73"/>
      <c r="DT835" s="73"/>
      <c r="DU835" s="73"/>
      <c r="DV835" s="73"/>
      <c r="DW835" s="73"/>
      <c r="DX835" s="73"/>
      <c r="DY835" s="73"/>
      <c r="DZ835" s="73"/>
      <c r="EA835" s="73"/>
      <c r="EB835" s="73"/>
      <c r="EC835" s="73"/>
      <c r="ED835" s="73"/>
      <c r="EE835" s="73"/>
      <c r="EF835" s="73"/>
      <c r="FJ835" s="73"/>
      <c r="FK835" s="73"/>
      <c r="FL835" s="73"/>
      <c r="FM835" s="73"/>
      <c r="FN835" s="73"/>
      <c r="FO835" s="73"/>
      <c r="FP835" s="73"/>
      <c r="FQ835" s="73"/>
      <c r="FR835" s="73"/>
      <c r="FS835" s="73"/>
      <c r="FT835" s="73"/>
      <c r="FU835" s="73"/>
      <c r="FV835" s="73"/>
      <c r="FW835" s="73"/>
      <c r="FX835" s="73"/>
      <c r="GO835" s="73"/>
      <c r="GP835" s="73"/>
      <c r="HE835" s="73"/>
      <c r="HU835" s="73"/>
      <c r="HV835" s="182"/>
    </row>
    <row r="836" spans="1:230" x14ac:dyDescent="0.25">
      <c r="A836" s="30"/>
      <c r="B836" s="30"/>
      <c r="C836" s="30"/>
      <c r="D836" s="30"/>
      <c r="G836" s="30"/>
      <c r="H836" s="30"/>
      <c r="I836" s="30"/>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c r="CA836" s="73"/>
      <c r="CB836" s="73"/>
      <c r="CC836" s="73"/>
      <c r="CD836" s="73"/>
      <c r="CE836" s="73"/>
      <c r="CF836" s="73"/>
      <c r="CG836" s="73"/>
      <c r="CH836" s="73"/>
      <c r="CI836" s="73"/>
      <c r="CJ836" s="73"/>
      <c r="CK836" s="73"/>
      <c r="CL836" s="73"/>
      <c r="CM836" s="73"/>
      <c r="CN836" s="73"/>
      <c r="CO836" s="73"/>
      <c r="CP836" s="73"/>
      <c r="CQ836" s="73"/>
      <c r="CR836" s="73"/>
      <c r="CS836" s="73"/>
      <c r="CT836" s="73"/>
      <c r="CU836" s="73"/>
      <c r="CV836" s="73"/>
      <c r="CW836" s="73"/>
      <c r="CX836" s="73"/>
      <c r="CY836" s="73"/>
      <c r="CZ836" s="73"/>
      <c r="DA836" s="73"/>
      <c r="DB836" s="73"/>
      <c r="DC836" s="73"/>
      <c r="DD836" s="73"/>
      <c r="DE836" s="73"/>
      <c r="DF836" s="73"/>
      <c r="DG836" s="73"/>
      <c r="DH836" s="73"/>
      <c r="DI836" s="73"/>
      <c r="DJ836" s="73"/>
      <c r="DK836" s="73"/>
      <c r="DL836" s="73"/>
      <c r="DM836" s="73"/>
      <c r="DN836" s="73"/>
      <c r="DO836" s="73"/>
      <c r="DP836" s="73"/>
      <c r="DQ836" s="73"/>
      <c r="DR836" s="73"/>
      <c r="DS836" s="73"/>
      <c r="DT836" s="73"/>
      <c r="DU836" s="73"/>
      <c r="DV836" s="73"/>
      <c r="DW836" s="73"/>
      <c r="DX836" s="73"/>
      <c r="DY836" s="73"/>
      <c r="DZ836" s="73"/>
      <c r="EA836" s="73"/>
      <c r="EB836" s="73"/>
      <c r="EC836" s="73"/>
      <c r="ED836" s="73"/>
      <c r="EE836" s="73"/>
      <c r="EF836" s="73"/>
      <c r="FJ836" s="73"/>
      <c r="FK836" s="73"/>
      <c r="FL836" s="73"/>
      <c r="FM836" s="73"/>
      <c r="FN836" s="73"/>
      <c r="FO836" s="73"/>
      <c r="FP836" s="73"/>
      <c r="FQ836" s="73"/>
      <c r="FR836" s="73"/>
      <c r="FS836" s="73"/>
      <c r="FT836" s="73"/>
      <c r="FU836" s="73"/>
      <c r="FV836" s="73"/>
      <c r="FW836" s="73"/>
      <c r="FX836" s="73"/>
      <c r="GO836" s="73"/>
      <c r="GP836" s="73"/>
      <c r="HE836" s="73"/>
      <c r="HU836" s="73"/>
      <c r="HV836" s="182"/>
    </row>
    <row r="837" spans="1:230" x14ac:dyDescent="0.25">
      <c r="A837" s="30"/>
      <c r="B837" s="30"/>
      <c r="C837" s="30"/>
      <c r="D837" s="30"/>
      <c r="G837" s="30"/>
      <c r="H837" s="30"/>
      <c r="I837" s="30"/>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c r="CA837" s="73"/>
      <c r="CB837" s="73"/>
      <c r="CC837" s="73"/>
      <c r="CD837" s="73"/>
      <c r="CE837" s="73"/>
      <c r="CF837" s="73"/>
      <c r="CG837" s="73"/>
      <c r="CH837" s="73"/>
      <c r="CI837" s="73"/>
      <c r="CJ837" s="73"/>
      <c r="CK837" s="73"/>
      <c r="CL837" s="73"/>
      <c r="CM837" s="73"/>
      <c r="CN837" s="73"/>
      <c r="CO837" s="73"/>
      <c r="CP837" s="73"/>
      <c r="CQ837" s="73"/>
      <c r="CR837" s="73"/>
      <c r="CS837" s="73"/>
      <c r="CT837" s="73"/>
      <c r="CU837" s="73"/>
      <c r="CV837" s="73"/>
      <c r="CW837" s="73"/>
      <c r="CX837" s="73"/>
      <c r="CY837" s="73"/>
      <c r="CZ837" s="73"/>
      <c r="DA837" s="73"/>
      <c r="DB837" s="73"/>
      <c r="DC837" s="73"/>
      <c r="DD837" s="73"/>
      <c r="DE837" s="73"/>
      <c r="DF837" s="73"/>
      <c r="DG837" s="73"/>
      <c r="DH837" s="73"/>
      <c r="DI837" s="73"/>
      <c r="DJ837" s="73"/>
      <c r="DK837" s="73"/>
      <c r="DL837" s="73"/>
      <c r="DM837" s="73"/>
      <c r="DN837" s="73"/>
      <c r="DO837" s="73"/>
      <c r="DP837" s="73"/>
      <c r="DQ837" s="73"/>
      <c r="DR837" s="73"/>
      <c r="DS837" s="73"/>
      <c r="DT837" s="73"/>
      <c r="DU837" s="73"/>
      <c r="DV837" s="73"/>
      <c r="DW837" s="73"/>
      <c r="DX837" s="73"/>
      <c r="DY837" s="73"/>
      <c r="DZ837" s="73"/>
      <c r="EA837" s="73"/>
      <c r="EB837" s="73"/>
      <c r="EC837" s="73"/>
      <c r="ED837" s="73"/>
      <c r="EE837" s="73"/>
      <c r="EF837" s="73"/>
      <c r="FJ837" s="73"/>
      <c r="FK837" s="73"/>
      <c r="FL837" s="73"/>
      <c r="FM837" s="73"/>
      <c r="FN837" s="73"/>
      <c r="FO837" s="73"/>
      <c r="FP837" s="73"/>
      <c r="FQ837" s="73"/>
      <c r="FR837" s="73"/>
      <c r="FS837" s="73"/>
      <c r="FT837" s="73"/>
      <c r="FU837" s="73"/>
      <c r="FV837" s="73"/>
      <c r="FW837" s="73"/>
      <c r="FX837" s="73"/>
      <c r="GO837" s="73"/>
      <c r="GP837" s="73"/>
      <c r="HE837" s="73"/>
      <c r="HU837" s="73"/>
      <c r="HV837" s="182"/>
    </row>
    <row r="838" spans="1:230" x14ac:dyDescent="0.25">
      <c r="A838" s="30"/>
      <c r="B838" s="30"/>
      <c r="C838" s="30"/>
      <c r="D838" s="30"/>
      <c r="G838" s="30"/>
      <c r="H838" s="30"/>
      <c r="I838" s="30"/>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c r="CA838" s="73"/>
      <c r="CB838" s="73"/>
      <c r="CC838" s="73"/>
      <c r="CD838" s="73"/>
      <c r="CE838" s="73"/>
      <c r="CF838" s="73"/>
      <c r="CG838" s="73"/>
      <c r="CH838" s="73"/>
      <c r="CI838" s="73"/>
      <c r="CJ838" s="73"/>
      <c r="CK838" s="73"/>
      <c r="CL838" s="73"/>
      <c r="CM838" s="73"/>
      <c r="CN838" s="73"/>
      <c r="CO838" s="73"/>
      <c r="CP838" s="73"/>
      <c r="CQ838" s="73"/>
      <c r="CR838" s="73"/>
      <c r="CS838" s="73"/>
      <c r="CT838" s="73"/>
      <c r="CU838" s="73"/>
      <c r="CV838" s="73"/>
      <c r="CW838" s="73"/>
      <c r="CX838" s="73"/>
      <c r="CY838" s="73"/>
      <c r="CZ838" s="73"/>
      <c r="DA838" s="73"/>
      <c r="DB838" s="73"/>
      <c r="DC838" s="73"/>
      <c r="DD838" s="73"/>
      <c r="DE838" s="73"/>
      <c r="DF838" s="73"/>
      <c r="DG838" s="73"/>
      <c r="DH838" s="73"/>
      <c r="DI838" s="73"/>
      <c r="DJ838" s="73"/>
      <c r="DK838" s="73"/>
      <c r="DL838" s="73"/>
      <c r="DM838" s="73"/>
      <c r="DN838" s="73"/>
      <c r="DO838" s="73"/>
      <c r="DP838" s="73"/>
      <c r="DQ838" s="73"/>
      <c r="DR838" s="73"/>
      <c r="DS838" s="73"/>
      <c r="DT838" s="73"/>
      <c r="DU838" s="73"/>
      <c r="DV838" s="73"/>
      <c r="DW838" s="73"/>
      <c r="DX838" s="73"/>
      <c r="DY838" s="73"/>
      <c r="DZ838" s="73"/>
      <c r="EA838" s="73"/>
      <c r="EB838" s="73"/>
      <c r="EC838" s="73"/>
      <c r="ED838" s="73"/>
      <c r="EE838" s="73"/>
      <c r="EF838" s="73"/>
      <c r="FJ838" s="73"/>
      <c r="FK838" s="73"/>
      <c r="FL838" s="73"/>
      <c r="FM838" s="73"/>
      <c r="FN838" s="73"/>
      <c r="FO838" s="73"/>
      <c r="FP838" s="73"/>
      <c r="FQ838" s="73"/>
      <c r="FR838" s="73"/>
      <c r="FS838" s="73"/>
      <c r="FT838" s="73"/>
      <c r="FU838" s="73"/>
      <c r="FV838" s="73"/>
      <c r="FW838" s="73"/>
      <c r="FX838" s="73"/>
      <c r="GO838" s="73"/>
      <c r="GP838" s="73"/>
      <c r="HE838" s="73"/>
      <c r="HU838" s="73"/>
      <c r="HV838" s="182"/>
    </row>
    <row r="839" spans="1:230" x14ac:dyDescent="0.25">
      <c r="A839" s="30"/>
      <c r="B839" s="30"/>
      <c r="C839" s="30"/>
      <c r="D839" s="30"/>
      <c r="G839" s="30"/>
      <c r="H839" s="30"/>
      <c r="I839" s="30"/>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c r="CA839" s="73"/>
      <c r="CB839" s="73"/>
      <c r="CC839" s="73"/>
      <c r="CD839" s="73"/>
      <c r="CE839" s="73"/>
      <c r="CF839" s="73"/>
      <c r="CG839" s="73"/>
      <c r="CH839" s="73"/>
      <c r="CI839" s="73"/>
      <c r="CJ839" s="73"/>
      <c r="CK839" s="73"/>
      <c r="CL839" s="73"/>
      <c r="CM839" s="73"/>
      <c r="CN839" s="73"/>
      <c r="CO839" s="73"/>
      <c r="CP839" s="73"/>
      <c r="CQ839" s="73"/>
      <c r="CR839" s="73"/>
      <c r="CS839" s="73"/>
      <c r="CT839" s="73"/>
      <c r="CU839" s="73"/>
      <c r="CV839" s="73"/>
      <c r="CW839" s="73"/>
      <c r="CX839" s="73"/>
      <c r="CY839" s="73"/>
      <c r="CZ839" s="73"/>
      <c r="DA839" s="73"/>
      <c r="DB839" s="73"/>
      <c r="DC839" s="73"/>
      <c r="DD839" s="73"/>
      <c r="DE839" s="73"/>
      <c r="DF839" s="73"/>
      <c r="DG839" s="73"/>
      <c r="DH839" s="73"/>
      <c r="DI839" s="73"/>
      <c r="DJ839" s="73"/>
      <c r="DK839" s="73"/>
      <c r="DL839" s="73"/>
      <c r="DM839" s="73"/>
      <c r="DN839" s="73"/>
      <c r="DO839" s="73"/>
      <c r="DP839" s="73"/>
      <c r="DQ839" s="73"/>
      <c r="DR839" s="73"/>
      <c r="DS839" s="73"/>
      <c r="DT839" s="73"/>
      <c r="DU839" s="73"/>
      <c r="DV839" s="73"/>
      <c r="DW839" s="73"/>
      <c r="DX839" s="73"/>
      <c r="DY839" s="73"/>
      <c r="DZ839" s="73"/>
      <c r="EA839" s="73"/>
      <c r="EB839" s="73"/>
      <c r="EC839" s="73"/>
      <c r="ED839" s="73"/>
      <c r="EE839" s="73"/>
      <c r="EF839" s="73"/>
      <c r="FJ839" s="73"/>
      <c r="FK839" s="73"/>
      <c r="FL839" s="73"/>
      <c r="FM839" s="73"/>
      <c r="FN839" s="73"/>
      <c r="FO839" s="73"/>
      <c r="FP839" s="73"/>
      <c r="FQ839" s="73"/>
      <c r="FR839" s="73"/>
      <c r="FS839" s="73"/>
      <c r="FT839" s="73"/>
      <c r="FU839" s="73"/>
      <c r="FV839" s="73"/>
      <c r="FW839" s="73"/>
      <c r="FX839" s="73"/>
      <c r="GO839" s="73"/>
      <c r="GP839" s="73"/>
      <c r="HE839" s="73"/>
      <c r="HU839" s="73"/>
      <c r="HV839" s="182"/>
    </row>
    <row r="840" spans="1:230" x14ac:dyDescent="0.25">
      <c r="A840" s="30"/>
      <c r="B840" s="30"/>
      <c r="C840" s="30"/>
      <c r="D840" s="30"/>
      <c r="G840" s="30"/>
      <c r="H840" s="30"/>
      <c r="I840" s="30"/>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c r="CA840" s="73"/>
      <c r="CB840" s="73"/>
      <c r="CC840" s="73"/>
      <c r="CD840" s="73"/>
      <c r="CE840" s="73"/>
      <c r="CF840" s="73"/>
      <c r="CG840" s="73"/>
      <c r="CH840" s="73"/>
      <c r="CI840" s="73"/>
      <c r="CJ840" s="73"/>
      <c r="CK840" s="73"/>
      <c r="CL840" s="73"/>
      <c r="CM840" s="73"/>
      <c r="CN840" s="73"/>
      <c r="CO840" s="73"/>
      <c r="CP840" s="73"/>
      <c r="CQ840" s="73"/>
      <c r="CR840" s="73"/>
      <c r="CS840" s="73"/>
      <c r="CT840" s="73"/>
      <c r="CU840" s="73"/>
      <c r="CV840" s="73"/>
      <c r="CW840" s="73"/>
      <c r="CX840" s="73"/>
      <c r="CY840" s="73"/>
      <c r="CZ840" s="73"/>
      <c r="DA840" s="73"/>
      <c r="DB840" s="73"/>
      <c r="DC840" s="73"/>
      <c r="DD840" s="73"/>
      <c r="DE840" s="73"/>
      <c r="DF840" s="73"/>
      <c r="DG840" s="73"/>
      <c r="DH840" s="73"/>
      <c r="DI840" s="73"/>
      <c r="DJ840" s="73"/>
      <c r="DK840" s="73"/>
      <c r="DL840" s="73"/>
      <c r="DM840" s="73"/>
      <c r="DN840" s="73"/>
      <c r="DO840" s="73"/>
      <c r="DP840" s="73"/>
      <c r="DQ840" s="73"/>
      <c r="DR840" s="73"/>
      <c r="DS840" s="73"/>
      <c r="DT840" s="73"/>
      <c r="DU840" s="73"/>
      <c r="DV840" s="73"/>
      <c r="DW840" s="73"/>
      <c r="DX840" s="73"/>
      <c r="DY840" s="73"/>
      <c r="DZ840" s="73"/>
      <c r="EA840" s="73"/>
      <c r="EB840" s="73"/>
      <c r="EC840" s="73"/>
      <c r="ED840" s="73"/>
      <c r="EE840" s="73"/>
      <c r="EF840" s="73"/>
      <c r="FJ840" s="73"/>
      <c r="FK840" s="73"/>
      <c r="FL840" s="73"/>
      <c r="FM840" s="73"/>
      <c r="FN840" s="73"/>
      <c r="FO840" s="73"/>
      <c r="FP840" s="73"/>
      <c r="FQ840" s="73"/>
      <c r="FR840" s="73"/>
      <c r="FS840" s="73"/>
      <c r="FT840" s="73"/>
      <c r="FU840" s="73"/>
      <c r="FV840" s="73"/>
      <c r="FW840" s="73"/>
      <c r="FX840" s="73"/>
      <c r="GO840" s="73"/>
      <c r="GP840" s="73"/>
      <c r="HE840" s="73"/>
      <c r="HU840" s="73"/>
      <c r="HV840" s="182"/>
    </row>
    <row r="841" spans="1:230" x14ac:dyDescent="0.25">
      <c r="A841" s="30"/>
      <c r="B841" s="30"/>
      <c r="C841" s="30"/>
      <c r="D841" s="30"/>
      <c r="G841" s="30"/>
      <c r="H841" s="30"/>
      <c r="I841" s="30"/>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c r="CA841" s="73"/>
      <c r="CB841" s="73"/>
      <c r="CC841" s="73"/>
      <c r="CD841" s="73"/>
      <c r="CE841" s="73"/>
      <c r="CF841" s="73"/>
      <c r="CG841" s="73"/>
      <c r="CH841" s="73"/>
      <c r="CI841" s="73"/>
      <c r="CJ841" s="73"/>
      <c r="CK841" s="73"/>
      <c r="CL841" s="73"/>
      <c r="CM841" s="73"/>
      <c r="CN841" s="73"/>
      <c r="CO841" s="73"/>
      <c r="CP841" s="73"/>
      <c r="CQ841" s="73"/>
      <c r="CR841" s="73"/>
      <c r="CS841" s="73"/>
      <c r="CT841" s="73"/>
      <c r="CU841" s="73"/>
      <c r="CV841" s="73"/>
      <c r="CW841" s="73"/>
      <c r="CX841" s="73"/>
      <c r="CY841" s="73"/>
      <c r="CZ841" s="73"/>
      <c r="DA841" s="73"/>
      <c r="DB841" s="73"/>
      <c r="DC841" s="73"/>
      <c r="DD841" s="73"/>
      <c r="DE841" s="73"/>
      <c r="DF841" s="73"/>
      <c r="DG841" s="73"/>
      <c r="DH841" s="73"/>
      <c r="DI841" s="73"/>
      <c r="DJ841" s="73"/>
      <c r="DK841" s="73"/>
      <c r="DL841" s="73"/>
      <c r="DM841" s="73"/>
      <c r="DN841" s="73"/>
      <c r="DO841" s="73"/>
      <c r="DP841" s="73"/>
      <c r="DQ841" s="73"/>
      <c r="DR841" s="73"/>
      <c r="DS841" s="73"/>
      <c r="DT841" s="73"/>
      <c r="DU841" s="73"/>
      <c r="DV841" s="73"/>
      <c r="DW841" s="73"/>
      <c r="DX841" s="73"/>
      <c r="DY841" s="73"/>
      <c r="DZ841" s="73"/>
      <c r="EA841" s="73"/>
      <c r="EB841" s="73"/>
      <c r="EC841" s="73"/>
      <c r="ED841" s="73"/>
      <c r="EE841" s="73"/>
      <c r="EF841" s="73"/>
      <c r="FJ841" s="73"/>
      <c r="FK841" s="73"/>
      <c r="FL841" s="73"/>
      <c r="FM841" s="73"/>
      <c r="FN841" s="73"/>
      <c r="FO841" s="73"/>
      <c r="FP841" s="73"/>
      <c r="FQ841" s="73"/>
      <c r="FR841" s="73"/>
      <c r="FS841" s="73"/>
      <c r="FT841" s="73"/>
      <c r="FU841" s="73"/>
      <c r="FV841" s="73"/>
      <c r="FW841" s="73"/>
      <c r="FX841" s="73"/>
      <c r="GO841" s="73"/>
      <c r="GP841" s="73"/>
      <c r="HE841" s="73"/>
      <c r="HU841" s="73"/>
      <c r="HV841" s="182"/>
    </row>
    <row r="842" spans="1:230" x14ac:dyDescent="0.25">
      <c r="A842" s="30"/>
      <c r="B842" s="30"/>
      <c r="C842" s="30"/>
      <c r="D842" s="30"/>
      <c r="G842" s="30"/>
      <c r="H842" s="30"/>
      <c r="I842" s="30"/>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c r="CA842" s="73"/>
      <c r="CB842" s="73"/>
      <c r="CC842" s="73"/>
      <c r="CD842" s="73"/>
      <c r="CE842" s="73"/>
      <c r="CF842" s="73"/>
      <c r="CG842" s="73"/>
      <c r="CH842" s="73"/>
      <c r="CI842" s="73"/>
      <c r="CJ842" s="73"/>
      <c r="CK842" s="73"/>
      <c r="CL842" s="73"/>
      <c r="CM842" s="73"/>
      <c r="CN842" s="73"/>
      <c r="CO842" s="73"/>
      <c r="CP842" s="73"/>
      <c r="CQ842" s="73"/>
      <c r="CR842" s="73"/>
      <c r="CS842" s="73"/>
      <c r="CT842" s="73"/>
      <c r="CU842" s="73"/>
      <c r="CV842" s="73"/>
      <c r="CW842" s="73"/>
      <c r="CX842" s="73"/>
      <c r="CY842" s="73"/>
      <c r="CZ842" s="73"/>
      <c r="DA842" s="73"/>
      <c r="DB842" s="73"/>
      <c r="DC842" s="73"/>
      <c r="DD842" s="73"/>
      <c r="DE842" s="73"/>
      <c r="DF842" s="73"/>
      <c r="DG842" s="73"/>
      <c r="DH842" s="73"/>
      <c r="DI842" s="73"/>
      <c r="DJ842" s="73"/>
      <c r="DK842" s="73"/>
      <c r="DL842" s="73"/>
      <c r="DM842" s="73"/>
      <c r="DN842" s="73"/>
      <c r="DO842" s="73"/>
      <c r="DP842" s="73"/>
      <c r="DQ842" s="73"/>
      <c r="DR842" s="73"/>
      <c r="DS842" s="73"/>
      <c r="DT842" s="73"/>
      <c r="DU842" s="73"/>
      <c r="DV842" s="73"/>
      <c r="DW842" s="73"/>
      <c r="DX842" s="73"/>
      <c r="DY842" s="73"/>
      <c r="DZ842" s="73"/>
      <c r="EA842" s="73"/>
      <c r="EB842" s="73"/>
      <c r="EC842" s="73"/>
      <c r="ED842" s="73"/>
      <c r="EE842" s="73"/>
      <c r="EF842" s="73"/>
      <c r="FJ842" s="73"/>
      <c r="FK842" s="73"/>
      <c r="FL842" s="73"/>
      <c r="FM842" s="73"/>
      <c r="FN842" s="73"/>
      <c r="FO842" s="73"/>
      <c r="FP842" s="73"/>
      <c r="FQ842" s="73"/>
      <c r="FR842" s="73"/>
      <c r="FS842" s="73"/>
      <c r="FT842" s="73"/>
      <c r="FU842" s="73"/>
      <c r="FV842" s="73"/>
      <c r="FW842" s="73"/>
      <c r="FX842" s="73"/>
      <c r="GO842" s="73"/>
      <c r="GP842" s="73"/>
      <c r="HE842" s="73"/>
      <c r="HU842" s="73"/>
      <c r="HV842" s="182"/>
    </row>
    <row r="843" spans="1:230" x14ac:dyDescent="0.25">
      <c r="A843" s="30"/>
      <c r="B843" s="30"/>
      <c r="C843" s="30"/>
      <c r="D843" s="30"/>
      <c r="G843" s="30"/>
      <c r="H843" s="30"/>
      <c r="I843" s="30"/>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c r="CA843" s="73"/>
      <c r="CB843" s="73"/>
      <c r="CC843" s="73"/>
      <c r="CD843" s="73"/>
      <c r="CE843" s="73"/>
      <c r="CF843" s="73"/>
      <c r="CG843" s="73"/>
      <c r="CH843" s="73"/>
      <c r="CI843" s="73"/>
      <c r="CJ843" s="73"/>
      <c r="CK843" s="73"/>
      <c r="CL843" s="73"/>
      <c r="CM843" s="73"/>
      <c r="CN843" s="73"/>
      <c r="CO843" s="73"/>
      <c r="CP843" s="73"/>
      <c r="CQ843" s="73"/>
      <c r="CR843" s="73"/>
      <c r="CS843" s="73"/>
      <c r="CT843" s="73"/>
      <c r="CU843" s="73"/>
      <c r="CV843" s="73"/>
      <c r="CW843" s="73"/>
      <c r="CX843" s="73"/>
      <c r="CY843" s="73"/>
      <c r="CZ843" s="73"/>
      <c r="DA843" s="73"/>
      <c r="DB843" s="73"/>
      <c r="DC843" s="73"/>
      <c r="DD843" s="73"/>
      <c r="DE843" s="73"/>
      <c r="DF843" s="73"/>
      <c r="DG843" s="73"/>
      <c r="DH843" s="73"/>
      <c r="DI843" s="73"/>
      <c r="DJ843" s="73"/>
      <c r="DK843" s="73"/>
      <c r="DL843" s="73"/>
      <c r="DM843" s="73"/>
      <c r="DN843" s="73"/>
      <c r="DO843" s="73"/>
      <c r="DP843" s="73"/>
      <c r="DQ843" s="73"/>
      <c r="DR843" s="73"/>
      <c r="DS843" s="73"/>
      <c r="DT843" s="73"/>
      <c r="DU843" s="73"/>
      <c r="DV843" s="73"/>
      <c r="DW843" s="73"/>
      <c r="DX843" s="73"/>
      <c r="DY843" s="73"/>
      <c r="DZ843" s="73"/>
      <c r="EA843" s="73"/>
      <c r="EB843" s="73"/>
      <c r="EC843" s="73"/>
      <c r="ED843" s="73"/>
      <c r="EE843" s="73"/>
      <c r="EF843" s="73"/>
      <c r="FJ843" s="73"/>
      <c r="FK843" s="73"/>
      <c r="FL843" s="73"/>
      <c r="FM843" s="73"/>
      <c r="FN843" s="73"/>
      <c r="FO843" s="73"/>
      <c r="FP843" s="73"/>
      <c r="FQ843" s="73"/>
      <c r="FR843" s="73"/>
      <c r="FS843" s="73"/>
      <c r="FT843" s="73"/>
      <c r="FU843" s="73"/>
      <c r="FV843" s="73"/>
      <c r="FW843" s="73"/>
      <c r="FX843" s="73"/>
      <c r="GO843" s="73"/>
      <c r="GP843" s="73"/>
      <c r="HE843" s="73"/>
      <c r="HU843" s="73"/>
      <c r="HV843" s="182"/>
    </row>
    <row r="844" spans="1:230" x14ac:dyDescent="0.25">
      <c r="A844" s="30"/>
      <c r="B844" s="30"/>
      <c r="C844" s="30"/>
      <c r="D844" s="30"/>
      <c r="G844" s="30"/>
      <c r="H844" s="30"/>
      <c r="I844" s="30"/>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c r="CA844" s="73"/>
      <c r="CB844" s="73"/>
      <c r="CC844" s="73"/>
      <c r="CD844" s="73"/>
      <c r="CE844" s="73"/>
      <c r="CF844" s="73"/>
      <c r="CG844" s="73"/>
      <c r="CH844" s="73"/>
      <c r="CI844" s="73"/>
      <c r="CJ844" s="73"/>
      <c r="CK844" s="73"/>
      <c r="CL844" s="73"/>
      <c r="CM844" s="73"/>
      <c r="CN844" s="73"/>
      <c r="CO844" s="73"/>
      <c r="CP844" s="73"/>
      <c r="CQ844" s="73"/>
      <c r="CR844" s="73"/>
      <c r="CS844" s="73"/>
      <c r="CT844" s="73"/>
      <c r="CU844" s="73"/>
      <c r="CV844" s="73"/>
      <c r="CW844" s="73"/>
      <c r="CX844" s="73"/>
      <c r="CY844" s="73"/>
      <c r="CZ844" s="73"/>
      <c r="DA844" s="73"/>
      <c r="DB844" s="73"/>
      <c r="DC844" s="73"/>
      <c r="DD844" s="73"/>
      <c r="DE844" s="73"/>
      <c r="DF844" s="73"/>
      <c r="DG844" s="73"/>
      <c r="DH844" s="73"/>
      <c r="DI844" s="73"/>
      <c r="DJ844" s="73"/>
      <c r="DK844" s="73"/>
      <c r="DL844" s="73"/>
      <c r="DM844" s="73"/>
      <c r="DN844" s="73"/>
      <c r="DO844" s="73"/>
      <c r="DP844" s="73"/>
      <c r="DQ844" s="73"/>
      <c r="DR844" s="73"/>
      <c r="DS844" s="73"/>
      <c r="DT844" s="73"/>
      <c r="DU844" s="73"/>
      <c r="DV844" s="73"/>
      <c r="DW844" s="73"/>
      <c r="DX844" s="73"/>
      <c r="DY844" s="73"/>
      <c r="DZ844" s="73"/>
      <c r="EA844" s="73"/>
      <c r="EB844" s="73"/>
      <c r="EC844" s="73"/>
      <c r="ED844" s="73"/>
      <c r="EE844" s="73"/>
      <c r="EF844" s="73"/>
      <c r="FJ844" s="73"/>
      <c r="FK844" s="73"/>
      <c r="FL844" s="73"/>
      <c r="FM844" s="73"/>
      <c r="FN844" s="73"/>
      <c r="FO844" s="73"/>
      <c r="FP844" s="73"/>
      <c r="FQ844" s="73"/>
      <c r="FR844" s="73"/>
      <c r="FS844" s="73"/>
      <c r="FT844" s="73"/>
      <c r="FU844" s="73"/>
      <c r="FV844" s="73"/>
      <c r="FW844" s="73"/>
      <c r="FX844" s="73"/>
      <c r="GO844" s="73"/>
      <c r="GP844" s="73"/>
      <c r="HE844" s="73"/>
      <c r="HU844" s="73"/>
      <c r="HV844" s="182"/>
    </row>
    <row r="845" spans="1:230" x14ac:dyDescent="0.25">
      <c r="A845" s="30"/>
      <c r="B845" s="30"/>
      <c r="C845" s="30"/>
      <c r="D845" s="30"/>
      <c r="G845" s="30"/>
      <c r="H845" s="30"/>
      <c r="I845" s="30"/>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c r="CA845" s="73"/>
      <c r="CB845" s="73"/>
      <c r="CC845" s="73"/>
      <c r="CD845" s="73"/>
      <c r="CE845" s="73"/>
      <c r="CF845" s="73"/>
      <c r="CG845" s="73"/>
      <c r="CH845" s="73"/>
      <c r="CI845" s="73"/>
      <c r="CJ845" s="73"/>
      <c r="CK845" s="73"/>
      <c r="CL845" s="73"/>
      <c r="CM845" s="73"/>
      <c r="CN845" s="73"/>
      <c r="CO845" s="73"/>
      <c r="CP845" s="73"/>
      <c r="CQ845" s="73"/>
      <c r="CR845" s="73"/>
      <c r="CS845" s="73"/>
      <c r="CT845" s="73"/>
      <c r="CU845" s="73"/>
      <c r="CV845" s="73"/>
      <c r="CW845" s="73"/>
      <c r="CX845" s="73"/>
      <c r="CY845" s="73"/>
      <c r="CZ845" s="73"/>
      <c r="DA845" s="73"/>
      <c r="DB845" s="73"/>
      <c r="DC845" s="73"/>
      <c r="DD845" s="73"/>
      <c r="DE845" s="73"/>
      <c r="DF845" s="73"/>
      <c r="DG845" s="73"/>
      <c r="DH845" s="73"/>
      <c r="DI845" s="73"/>
      <c r="DJ845" s="73"/>
      <c r="DK845" s="73"/>
      <c r="DL845" s="73"/>
      <c r="DM845" s="73"/>
      <c r="DN845" s="73"/>
      <c r="DO845" s="73"/>
      <c r="DP845" s="73"/>
      <c r="DQ845" s="73"/>
      <c r="DR845" s="73"/>
      <c r="DS845" s="73"/>
      <c r="DT845" s="73"/>
      <c r="DU845" s="73"/>
      <c r="DV845" s="73"/>
      <c r="DW845" s="73"/>
      <c r="DX845" s="73"/>
      <c r="DY845" s="73"/>
      <c r="DZ845" s="73"/>
      <c r="EA845" s="73"/>
      <c r="EB845" s="73"/>
      <c r="EC845" s="73"/>
      <c r="ED845" s="73"/>
      <c r="EE845" s="73"/>
      <c r="EF845" s="73"/>
      <c r="FJ845" s="73"/>
      <c r="FK845" s="73"/>
      <c r="FL845" s="73"/>
      <c r="FM845" s="73"/>
      <c r="FN845" s="73"/>
      <c r="FO845" s="73"/>
      <c r="FP845" s="73"/>
      <c r="FQ845" s="73"/>
      <c r="FR845" s="73"/>
      <c r="FS845" s="73"/>
      <c r="FT845" s="73"/>
      <c r="FU845" s="73"/>
      <c r="FV845" s="73"/>
      <c r="FW845" s="73"/>
      <c r="FX845" s="73"/>
      <c r="GO845" s="73"/>
      <c r="GP845" s="73"/>
      <c r="HE845" s="73"/>
      <c r="HU845" s="73"/>
      <c r="HV845" s="182"/>
    </row>
    <row r="846" spans="1:230" x14ac:dyDescent="0.25">
      <c r="A846" s="30"/>
      <c r="B846" s="30"/>
      <c r="C846" s="30"/>
      <c r="D846" s="30"/>
      <c r="G846" s="30"/>
      <c r="H846" s="30"/>
      <c r="I846" s="30"/>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c r="CA846" s="73"/>
      <c r="CB846" s="73"/>
      <c r="CC846" s="73"/>
      <c r="CD846" s="73"/>
      <c r="CE846" s="73"/>
      <c r="CF846" s="73"/>
      <c r="CG846" s="73"/>
      <c r="CH846" s="73"/>
      <c r="CI846" s="73"/>
      <c r="CJ846" s="73"/>
      <c r="CK846" s="73"/>
      <c r="CL846" s="73"/>
      <c r="CM846" s="73"/>
      <c r="CN846" s="73"/>
      <c r="CO846" s="73"/>
      <c r="CP846" s="73"/>
      <c r="CQ846" s="73"/>
      <c r="CR846" s="73"/>
      <c r="CS846" s="73"/>
      <c r="CT846" s="73"/>
      <c r="CU846" s="73"/>
      <c r="CV846" s="73"/>
      <c r="CW846" s="73"/>
      <c r="CX846" s="73"/>
      <c r="CY846" s="73"/>
      <c r="CZ846" s="73"/>
      <c r="DA846" s="73"/>
      <c r="DB846" s="73"/>
      <c r="DC846" s="73"/>
      <c r="DD846" s="73"/>
      <c r="DE846" s="73"/>
      <c r="DF846" s="73"/>
      <c r="DG846" s="73"/>
      <c r="DH846" s="73"/>
      <c r="DI846" s="73"/>
      <c r="DJ846" s="73"/>
      <c r="DK846" s="73"/>
      <c r="DL846" s="73"/>
      <c r="DM846" s="73"/>
      <c r="DN846" s="73"/>
      <c r="DO846" s="73"/>
      <c r="DP846" s="73"/>
      <c r="DQ846" s="73"/>
      <c r="DR846" s="73"/>
      <c r="DS846" s="73"/>
      <c r="DT846" s="73"/>
      <c r="DU846" s="73"/>
      <c r="DV846" s="73"/>
      <c r="DW846" s="73"/>
      <c r="DX846" s="73"/>
      <c r="DY846" s="73"/>
      <c r="DZ846" s="73"/>
      <c r="EA846" s="73"/>
      <c r="EB846" s="73"/>
      <c r="EC846" s="73"/>
      <c r="ED846" s="73"/>
      <c r="EE846" s="73"/>
      <c r="EF846" s="73"/>
      <c r="FJ846" s="73"/>
      <c r="FK846" s="73"/>
      <c r="FL846" s="73"/>
      <c r="FM846" s="73"/>
      <c r="FN846" s="73"/>
      <c r="FO846" s="73"/>
      <c r="FP846" s="73"/>
      <c r="FQ846" s="73"/>
      <c r="FR846" s="73"/>
      <c r="FS846" s="73"/>
      <c r="FT846" s="73"/>
      <c r="FU846" s="73"/>
      <c r="FV846" s="73"/>
      <c r="FW846" s="73"/>
      <c r="FX846" s="73"/>
      <c r="GO846" s="73"/>
      <c r="GP846" s="73"/>
      <c r="HE846" s="73"/>
      <c r="HU846" s="73"/>
      <c r="HV846" s="182"/>
    </row>
    <row r="847" spans="1:230" x14ac:dyDescent="0.25">
      <c r="A847" s="30"/>
      <c r="B847" s="30"/>
      <c r="C847" s="30"/>
      <c r="D847" s="30"/>
      <c r="G847" s="30"/>
      <c r="H847" s="30"/>
      <c r="I847" s="30"/>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c r="CA847" s="73"/>
      <c r="CB847" s="73"/>
      <c r="CC847" s="73"/>
      <c r="CD847" s="73"/>
      <c r="CE847" s="73"/>
      <c r="CF847" s="73"/>
      <c r="CG847" s="73"/>
      <c r="CH847" s="73"/>
      <c r="CI847" s="73"/>
      <c r="CJ847" s="73"/>
      <c r="CK847" s="73"/>
      <c r="CL847" s="73"/>
      <c r="CM847" s="73"/>
      <c r="CN847" s="73"/>
      <c r="CO847" s="73"/>
      <c r="CP847" s="73"/>
      <c r="CQ847" s="73"/>
      <c r="CR847" s="73"/>
      <c r="CS847" s="73"/>
      <c r="CT847" s="73"/>
      <c r="CU847" s="73"/>
      <c r="CV847" s="73"/>
      <c r="CW847" s="73"/>
      <c r="CX847" s="73"/>
      <c r="CY847" s="73"/>
      <c r="CZ847" s="73"/>
      <c r="DA847" s="73"/>
      <c r="DB847" s="73"/>
      <c r="DC847" s="73"/>
      <c r="DD847" s="73"/>
      <c r="DE847" s="73"/>
      <c r="DF847" s="73"/>
      <c r="DG847" s="73"/>
      <c r="DH847" s="73"/>
      <c r="DI847" s="73"/>
      <c r="DJ847" s="73"/>
      <c r="DK847" s="73"/>
      <c r="DL847" s="73"/>
      <c r="DM847" s="73"/>
      <c r="DN847" s="73"/>
      <c r="DO847" s="73"/>
      <c r="DP847" s="73"/>
      <c r="DQ847" s="73"/>
      <c r="DR847" s="73"/>
      <c r="DS847" s="73"/>
      <c r="DT847" s="73"/>
      <c r="DU847" s="73"/>
      <c r="DV847" s="73"/>
      <c r="DW847" s="73"/>
      <c r="DX847" s="73"/>
      <c r="DY847" s="73"/>
      <c r="DZ847" s="73"/>
      <c r="EA847" s="73"/>
      <c r="EB847" s="73"/>
      <c r="EC847" s="73"/>
      <c r="ED847" s="73"/>
      <c r="EE847" s="73"/>
      <c r="EF847" s="73"/>
      <c r="FJ847" s="73"/>
      <c r="FK847" s="73"/>
      <c r="FL847" s="73"/>
      <c r="FM847" s="73"/>
      <c r="FN847" s="73"/>
      <c r="FO847" s="73"/>
      <c r="FP847" s="73"/>
      <c r="FQ847" s="73"/>
      <c r="FR847" s="73"/>
      <c r="FS847" s="73"/>
      <c r="FT847" s="73"/>
      <c r="FU847" s="73"/>
      <c r="FV847" s="73"/>
      <c r="FW847" s="73"/>
      <c r="FX847" s="73"/>
      <c r="GO847" s="73"/>
      <c r="GP847" s="73"/>
      <c r="HE847" s="73"/>
      <c r="HU847" s="73"/>
      <c r="HV847" s="182"/>
    </row>
    <row r="848" spans="1:230" x14ac:dyDescent="0.25">
      <c r="A848" s="30"/>
      <c r="B848" s="30"/>
      <c r="C848" s="30"/>
      <c r="D848" s="30"/>
      <c r="G848" s="30"/>
      <c r="H848" s="30"/>
      <c r="I848" s="30"/>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c r="CA848" s="73"/>
      <c r="CB848" s="73"/>
      <c r="CC848" s="73"/>
      <c r="CD848" s="73"/>
      <c r="CE848" s="73"/>
      <c r="CF848" s="73"/>
      <c r="CG848" s="73"/>
      <c r="CH848" s="73"/>
      <c r="CI848" s="73"/>
      <c r="CJ848" s="73"/>
      <c r="CK848" s="73"/>
      <c r="CL848" s="73"/>
      <c r="CM848" s="73"/>
      <c r="CN848" s="73"/>
      <c r="CO848" s="73"/>
      <c r="CP848" s="73"/>
      <c r="CQ848" s="73"/>
      <c r="CR848" s="73"/>
      <c r="CS848" s="73"/>
      <c r="CT848" s="73"/>
      <c r="CU848" s="73"/>
      <c r="CV848" s="73"/>
      <c r="CW848" s="73"/>
      <c r="CX848" s="73"/>
      <c r="CY848" s="73"/>
      <c r="CZ848" s="73"/>
      <c r="DA848" s="73"/>
      <c r="DB848" s="73"/>
      <c r="DC848" s="73"/>
      <c r="DD848" s="73"/>
      <c r="DE848" s="73"/>
      <c r="DF848" s="73"/>
      <c r="DG848" s="73"/>
      <c r="DH848" s="73"/>
      <c r="DI848" s="73"/>
      <c r="DJ848" s="73"/>
      <c r="DK848" s="73"/>
      <c r="DL848" s="73"/>
      <c r="DM848" s="73"/>
      <c r="DN848" s="73"/>
      <c r="DO848" s="73"/>
      <c r="DP848" s="73"/>
      <c r="DQ848" s="73"/>
      <c r="DR848" s="73"/>
      <c r="DS848" s="73"/>
      <c r="DT848" s="73"/>
      <c r="DU848" s="73"/>
      <c r="DV848" s="73"/>
      <c r="DW848" s="73"/>
      <c r="DX848" s="73"/>
      <c r="DY848" s="73"/>
      <c r="DZ848" s="73"/>
      <c r="EA848" s="73"/>
      <c r="EB848" s="73"/>
      <c r="EC848" s="73"/>
      <c r="ED848" s="73"/>
      <c r="EE848" s="73"/>
      <c r="EF848" s="73"/>
      <c r="FJ848" s="73"/>
      <c r="FK848" s="73"/>
      <c r="FL848" s="73"/>
      <c r="FM848" s="73"/>
      <c r="FN848" s="73"/>
      <c r="FO848" s="73"/>
      <c r="FP848" s="73"/>
      <c r="FQ848" s="73"/>
      <c r="FR848" s="73"/>
      <c r="FS848" s="73"/>
      <c r="FT848" s="73"/>
      <c r="FU848" s="73"/>
      <c r="FV848" s="73"/>
      <c r="FW848" s="73"/>
      <c r="FX848" s="73"/>
      <c r="GO848" s="73"/>
      <c r="GP848" s="73"/>
      <c r="HE848" s="73"/>
      <c r="HU848" s="73"/>
      <c r="HV848" s="182"/>
    </row>
    <row r="849" spans="1:230" x14ac:dyDescent="0.25">
      <c r="A849" s="30"/>
      <c r="B849" s="30"/>
      <c r="C849" s="30"/>
      <c r="D849" s="30"/>
      <c r="G849" s="30"/>
      <c r="H849" s="30"/>
      <c r="I849" s="30"/>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c r="CA849" s="73"/>
      <c r="CB849" s="73"/>
      <c r="CC849" s="73"/>
      <c r="CD849" s="73"/>
      <c r="CE849" s="73"/>
      <c r="CF849" s="73"/>
      <c r="CG849" s="73"/>
      <c r="CH849" s="73"/>
      <c r="CI849" s="73"/>
      <c r="CJ849" s="73"/>
      <c r="CK849" s="73"/>
      <c r="CL849" s="73"/>
      <c r="CM849" s="73"/>
      <c r="CN849" s="73"/>
      <c r="CO849" s="73"/>
      <c r="CP849" s="73"/>
      <c r="CQ849" s="73"/>
      <c r="CR849" s="73"/>
      <c r="CS849" s="73"/>
      <c r="CT849" s="73"/>
      <c r="CU849" s="73"/>
      <c r="CV849" s="73"/>
      <c r="CW849" s="73"/>
      <c r="CX849" s="73"/>
      <c r="CY849" s="73"/>
      <c r="CZ849" s="73"/>
      <c r="DA849" s="73"/>
      <c r="DB849" s="73"/>
      <c r="DC849" s="73"/>
      <c r="DD849" s="73"/>
      <c r="DE849" s="73"/>
      <c r="DF849" s="73"/>
      <c r="DG849" s="73"/>
      <c r="DH849" s="73"/>
      <c r="DI849" s="73"/>
      <c r="DJ849" s="73"/>
      <c r="DK849" s="73"/>
      <c r="DL849" s="73"/>
      <c r="DM849" s="73"/>
      <c r="DN849" s="73"/>
      <c r="DO849" s="73"/>
      <c r="DP849" s="73"/>
      <c r="DQ849" s="73"/>
      <c r="DR849" s="73"/>
      <c r="DS849" s="73"/>
      <c r="DT849" s="73"/>
      <c r="DU849" s="73"/>
      <c r="DV849" s="73"/>
      <c r="DW849" s="73"/>
      <c r="DX849" s="73"/>
      <c r="DY849" s="73"/>
      <c r="DZ849" s="73"/>
      <c r="EA849" s="73"/>
      <c r="EB849" s="73"/>
      <c r="EC849" s="73"/>
      <c r="ED849" s="73"/>
      <c r="EE849" s="73"/>
      <c r="EF849" s="73"/>
      <c r="FJ849" s="73"/>
      <c r="FK849" s="73"/>
      <c r="FL849" s="73"/>
      <c r="FM849" s="73"/>
      <c r="FN849" s="73"/>
      <c r="FO849" s="73"/>
      <c r="FP849" s="73"/>
      <c r="FQ849" s="73"/>
      <c r="FR849" s="73"/>
      <c r="FS849" s="73"/>
      <c r="FT849" s="73"/>
      <c r="FU849" s="73"/>
      <c r="FV849" s="73"/>
      <c r="FW849" s="73"/>
      <c r="FX849" s="73"/>
      <c r="GO849" s="73"/>
      <c r="GP849" s="73"/>
      <c r="HE849" s="73"/>
      <c r="HU849" s="73"/>
      <c r="HV849" s="182"/>
    </row>
    <row r="850" spans="1:230" x14ac:dyDescent="0.25">
      <c r="A850" s="30"/>
      <c r="B850" s="30"/>
      <c r="C850" s="30"/>
      <c r="D850" s="30"/>
      <c r="G850" s="30"/>
      <c r="H850" s="30"/>
      <c r="I850" s="30"/>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3"/>
      <c r="DV850" s="73"/>
      <c r="DW850" s="73"/>
      <c r="DX850" s="73"/>
      <c r="DY850" s="73"/>
      <c r="DZ850" s="73"/>
      <c r="EA850" s="73"/>
      <c r="EB850" s="73"/>
      <c r="EC850" s="73"/>
      <c r="ED850" s="73"/>
      <c r="EE850" s="73"/>
      <c r="EF850" s="73"/>
      <c r="FJ850" s="73"/>
      <c r="FK850" s="73"/>
      <c r="FL850" s="73"/>
      <c r="FM850" s="73"/>
      <c r="FN850" s="73"/>
      <c r="FO850" s="73"/>
      <c r="FP850" s="73"/>
      <c r="FQ850" s="73"/>
      <c r="FR850" s="73"/>
      <c r="FS850" s="73"/>
      <c r="FT850" s="73"/>
      <c r="FU850" s="73"/>
      <c r="FV850" s="73"/>
      <c r="FW850" s="73"/>
      <c r="FX850" s="73"/>
      <c r="GO850" s="73"/>
      <c r="GP850" s="73"/>
      <c r="HE850" s="73"/>
      <c r="HU850" s="73"/>
      <c r="HV850" s="182"/>
    </row>
    <row r="851" spans="1:230" x14ac:dyDescent="0.25">
      <c r="A851" s="30"/>
      <c r="B851" s="30"/>
      <c r="C851" s="30"/>
      <c r="D851" s="30"/>
      <c r="G851" s="30"/>
      <c r="H851" s="30"/>
      <c r="I851" s="30"/>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c r="CA851" s="73"/>
      <c r="CB851" s="73"/>
      <c r="CC851" s="73"/>
      <c r="CD851" s="73"/>
      <c r="CE851" s="73"/>
      <c r="CF851" s="73"/>
      <c r="CG851" s="73"/>
      <c r="CH851" s="73"/>
      <c r="CI851" s="73"/>
      <c r="CJ851" s="73"/>
      <c r="CK851" s="73"/>
      <c r="CL851" s="73"/>
      <c r="CM851" s="73"/>
      <c r="CN851" s="73"/>
      <c r="CO851" s="73"/>
      <c r="CP851" s="73"/>
      <c r="CQ851" s="73"/>
      <c r="CR851" s="73"/>
      <c r="CS851" s="73"/>
      <c r="CT851" s="73"/>
      <c r="CU851" s="73"/>
      <c r="CV851" s="73"/>
      <c r="CW851" s="73"/>
      <c r="CX851" s="73"/>
      <c r="CY851" s="73"/>
      <c r="CZ851" s="73"/>
      <c r="DA851" s="73"/>
      <c r="DB851" s="73"/>
      <c r="DC851" s="73"/>
      <c r="DD851" s="73"/>
      <c r="DE851" s="73"/>
      <c r="DF851" s="73"/>
      <c r="DG851" s="73"/>
      <c r="DH851" s="73"/>
      <c r="DI851" s="73"/>
      <c r="DJ851" s="73"/>
      <c r="DK851" s="73"/>
      <c r="DL851" s="73"/>
      <c r="DM851" s="73"/>
      <c r="DN851" s="73"/>
      <c r="DO851" s="73"/>
      <c r="DP851" s="73"/>
      <c r="DQ851" s="73"/>
      <c r="DR851" s="73"/>
      <c r="DS851" s="73"/>
      <c r="DT851" s="73"/>
      <c r="DU851" s="73"/>
      <c r="DV851" s="73"/>
      <c r="DW851" s="73"/>
      <c r="DX851" s="73"/>
      <c r="DY851" s="73"/>
      <c r="DZ851" s="73"/>
      <c r="EA851" s="73"/>
      <c r="EB851" s="73"/>
      <c r="EC851" s="73"/>
      <c r="ED851" s="73"/>
      <c r="EE851" s="73"/>
      <c r="EF851" s="73"/>
      <c r="FJ851" s="73"/>
      <c r="FK851" s="73"/>
      <c r="FL851" s="73"/>
      <c r="FM851" s="73"/>
      <c r="FN851" s="73"/>
      <c r="FO851" s="73"/>
      <c r="FP851" s="73"/>
      <c r="FQ851" s="73"/>
      <c r="FR851" s="73"/>
      <c r="FS851" s="73"/>
      <c r="FT851" s="73"/>
      <c r="FU851" s="73"/>
      <c r="FV851" s="73"/>
      <c r="FW851" s="73"/>
      <c r="FX851" s="73"/>
      <c r="GO851" s="73"/>
      <c r="GP851" s="73"/>
      <c r="HE851" s="73"/>
      <c r="HU851" s="73"/>
      <c r="HV851" s="182"/>
    </row>
    <row r="852" spans="1:230" x14ac:dyDescent="0.25">
      <c r="A852" s="30"/>
      <c r="B852" s="30"/>
      <c r="C852" s="30"/>
      <c r="D852" s="30"/>
      <c r="G852" s="30"/>
      <c r="H852" s="30"/>
      <c r="I852" s="30"/>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c r="CA852" s="73"/>
      <c r="CB852" s="73"/>
      <c r="CC852" s="73"/>
      <c r="CD852" s="73"/>
      <c r="CE852" s="73"/>
      <c r="CF852" s="73"/>
      <c r="CG852" s="73"/>
      <c r="CH852" s="73"/>
      <c r="CI852" s="73"/>
      <c r="CJ852" s="73"/>
      <c r="CK852" s="73"/>
      <c r="CL852" s="73"/>
      <c r="CM852" s="73"/>
      <c r="CN852" s="73"/>
      <c r="CO852" s="73"/>
      <c r="CP852" s="73"/>
      <c r="CQ852" s="73"/>
      <c r="CR852" s="73"/>
      <c r="CS852" s="73"/>
      <c r="CT852" s="73"/>
      <c r="CU852" s="73"/>
      <c r="CV852" s="73"/>
      <c r="CW852" s="73"/>
      <c r="CX852" s="73"/>
      <c r="CY852" s="73"/>
      <c r="CZ852" s="73"/>
      <c r="DA852" s="73"/>
      <c r="DB852" s="73"/>
      <c r="DC852" s="73"/>
      <c r="DD852" s="73"/>
      <c r="DE852" s="73"/>
      <c r="DF852" s="73"/>
      <c r="DG852" s="73"/>
      <c r="DH852" s="73"/>
      <c r="DI852" s="73"/>
      <c r="DJ852" s="73"/>
      <c r="DK852" s="73"/>
      <c r="DL852" s="73"/>
      <c r="DM852" s="73"/>
      <c r="DN852" s="73"/>
      <c r="DO852" s="73"/>
      <c r="DP852" s="73"/>
      <c r="DQ852" s="73"/>
      <c r="DR852" s="73"/>
      <c r="DS852" s="73"/>
      <c r="DT852" s="73"/>
      <c r="DU852" s="73"/>
      <c r="DV852" s="73"/>
      <c r="DW852" s="73"/>
      <c r="DX852" s="73"/>
      <c r="DY852" s="73"/>
      <c r="DZ852" s="73"/>
      <c r="EA852" s="73"/>
      <c r="EB852" s="73"/>
      <c r="EC852" s="73"/>
      <c r="ED852" s="73"/>
      <c r="EE852" s="73"/>
      <c r="EF852" s="73"/>
      <c r="FJ852" s="73"/>
      <c r="FK852" s="73"/>
      <c r="FL852" s="73"/>
      <c r="FM852" s="73"/>
      <c r="FN852" s="73"/>
      <c r="FO852" s="73"/>
      <c r="FP852" s="73"/>
      <c r="FQ852" s="73"/>
      <c r="FR852" s="73"/>
      <c r="FS852" s="73"/>
      <c r="FT852" s="73"/>
      <c r="FU852" s="73"/>
      <c r="FV852" s="73"/>
      <c r="FW852" s="73"/>
      <c r="FX852" s="73"/>
      <c r="GO852" s="73"/>
      <c r="GP852" s="73"/>
      <c r="HE852" s="73"/>
      <c r="HU852" s="73"/>
      <c r="HV852" s="182"/>
    </row>
    <row r="853" spans="1:230" x14ac:dyDescent="0.25">
      <c r="A853" s="30"/>
      <c r="B853" s="30"/>
      <c r="C853" s="30"/>
      <c r="D853" s="30"/>
      <c r="G853" s="30"/>
      <c r="H853" s="30"/>
      <c r="I853" s="30"/>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c r="CA853" s="73"/>
      <c r="CB853" s="73"/>
      <c r="CC853" s="73"/>
      <c r="CD853" s="73"/>
      <c r="CE853" s="73"/>
      <c r="CF853" s="73"/>
      <c r="CG853" s="73"/>
      <c r="CH853" s="73"/>
      <c r="CI853" s="73"/>
      <c r="CJ853" s="73"/>
      <c r="CK853" s="73"/>
      <c r="CL853" s="73"/>
      <c r="CM853" s="73"/>
      <c r="CN853" s="73"/>
      <c r="CO853" s="73"/>
      <c r="CP853" s="73"/>
      <c r="CQ853" s="73"/>
      <c r="CR853" s="73"/>
      <c r="CS853" s="73"/>
      <c r="CT853" s="73"/>
      <c r="CU853" s="73"/>
      <c r="CV853" s="73"/>
      <c r="CW853" s="73"/>
      <c r="CX853" s="73"/>
      <c r="CY853" s="73"/>
      <c r="CZ853" s="73"/>
      <c r="DA853" s="73"/>
      <c r="DB853" s="73"/>
      <c r="DC853" s="73"/>
      <c r="DD853" s="73"/>
      <c r="DE853" s="73"/>
      <c r="DF853" s="73"/>
      <c r="DG853" s="73"/>
      <c r="DH853" s="73"/>
      <c r="DI853" s="73"/>
      <c r="DJ853" s="73"/>
      <c r="DK853" s="73"/>
      <c r="DL853" s="73"/>
      <c r="DM853" s="73"/>
      <c r="DN853" s="73"/>
      <c r="DO853" s="73"/>
      <c r="DP853" s="73"/>
      <c r="DQ853" s="73"/>
      <c r="DR853" s="73"/>
      <c r="DS853" s="73"/>
      <c r="DT853" s="73"/>
      <c r="DU853" s="73"/>
      <c r="DV853" s="73"/>
      <c r="DW853" s="73"/>
      <c r="DX853" s="73"/>
      <c r="DY853" s="73"/>
      <c r="DZ853" s="73"/>
      <c r="EA853" s="73"/>
      <c r="EB853" s="73"/>
      <c r="EC853" s="73"/>
      <c r="ED853" s="73"/>
      <c r="EE853" s="73"/>
      <c r="EF853" s="73"/>
      <c r="FJ853" s="73"/>
      <c r="FK853" s="73"/>
      <c r="FL853" s="73"/>
      <c r="FM853" s="73"/>
      <c r="FN853" s="73"/>
      <c r="FO853" s="73"/>
      <c r="FP853" s="73"/>
      <c r="FQ853" s="73"/>
      <c r="FR853" s="73"/>
      <c r="FS853" s="73"/>
      <c r="FT853" s="73"/>
      <c r="FU853" s="73"/>
      <c r="FV853" s="73"/>
      <c r="FW853" s="73"/>
      <c r="FX853" s="73"/>
      <c r="GO853" s="73"/>
      <c r="GP853" s="73"/>
      <c r="HE853" s="73"/>
      <c r="HU853" s="73"/>
      <c r="HV853" s="182"/>
    </row>
    <row r="854" spans="1:230" x14ac:dyDescent="0.25">
      <c r="A854" s="30"/>
      <c r="B854" s="30"/>
      <c r="C854" s="30"/>
      <c r="D854" s="30"/>
      <c r="G854" s="30"/>
      <c r="H854" s="30"/>
      <c r="I854" s="30"/>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c r="CA854" s="73"/>
      <c r="CB854" s="73"/>
      <c r="CC854" s="73"/>
      <c r="CD854" s="73"/>
      <c r="CE854" s="73"/>
      <c r="CF854" s="73"/>
      <c r="CG854" s="73"/>
      <c r="CH854" s="73"/>
      <c r="CI854" s="73"/>
      <c r="CJ854" s="73"/>
      <c r="CK854" s="73"/>
      <c r="CL854" s="73"/>
      <c r="CM854" s="73"/>
      <c r="CN854" s="73"/>
      <c r="CO854" s="73"/>
      <c r="CP854" s="73"/>
      <c r="CQ854" s="73"/>
      <c r="CR854" s="73"/>
      <c r="CS854" s="73"/>
      <c r="CT854" s="73"/>
      <c r="CU854" s="73"/>
      <c r="CV854" s="73"/>
      <c r="CW854" s="73"/>
      <c r="CX854" s="73"/>
      <c r="CY854" s="73"/>
      <c r="CZ854" s="73"/>
      <c r="DA854" s="73"/>
      <c r="DB854" s="73"/>
      <c r="DC854" s="73"/>
      <c r="DD854" s="73"/>
      <c r="DE854" s="73"/>
      <c r="DF854" s="73"/>
      <c r="DG854" s="73"/>
      <c r="DH854" s="73"/>
      <c r="DI854" s="73"/>
      <c r="DJ854" s="73"/>
      <c r="DK854" s="73"/>
      <c r="DL854" s="73"/>
      <c r="DM854" s="73"/>
      <c r="DN854" s="73"/>
      <c r="DO854" s="73"/>
      <c r="DP854" s="73"/>
      <c r="DQ854" s="73"/>
      <c r="DR854" s="73"/>
      <c r="DS854" s="73"/>
      <c r="DT854" s="73"/>
      <c r="DU854" s="73"/>
      <c r="DV854" s="73"/>
      <c r="DW854" s="73"/>
      <c r="DX854" s="73"/>
      <c r="DY854" s="73"/>
      <c r="DZ854" s="73"/>
      <c r="EA854" s="73"/>
      <c r="EB854" s="73"/>
      <c r="EC854" s="73"/>
      <c r="ED854" s="73"/>
      <c r="EE854" s="73"/>
      <c r="EF854" s="73"/>
      <c r="FJ854" s="73"/>
      <c r="FK854" s="73"/>
      <c r="FL854" s="73"/>
      <c r="FM854" s="73"/>
      <c r="FN854" s="73"/>
      <c r="FO854" s="73"/>
      <c r="FP854" s="73"/>
      <c r="FQ854" s="73"/>
      <c r="FR854" s="73"/>
      <c r="FS854" s="73"/>
      <c r="FT854" s="73"/>
      <c r="FU854" s="73"/>
      <c r="FV854" s="73"/>
      <c r="FW854" s="73"/>
      <c r="FX854" s="73"/>
      <c r="GO854" s="73"/>
      <c r="GP854" s="73"/>
      <c r="HE854" s="73"/>
      <c r="HU854" s="73"/>
      <c r="HV854" s="182"/>
    </row>
    <row r="855" spans="1:230" x14ac:dyDescent="0.25">
      <c r="A855" s="30"/>
      <c r="B855" s="30"/>
      <c r="C855" s="30"/>
      <c r="D855" s="30"/>
      <c r="G855" s="30"/>
      <c r="H855" s="30"/>
      <c r="I855" s="30"/>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c r="CA855" s="73"/>
      <c r="CB855" s="73"/>
      <c r="CC855" s="73"/>
      <c r="CD855" s="73"/>
      <c r="CE855" s="73"/>
      <c r="CF855" s="73"/>
      <c r="CG855" s="73"/>
      <c r="CH855" s="73"/>
      <c r="CI855" s="73"/>
      <c r="CJ855" s="73"/>
      <c r="CK855" s="73"/>
      <c r="CL855" s="73"/>
      <c r="CM855" s="73"/>
      <c r="CN855" s="73"/>
      <c r="CO855" s="73"/>
      <c r="CP855" s="73"/>
      <c r="CQ855" s="73"/>
      <c r="CR855" s="73"/>
      <c r="CS855" s="73"/>
      <c r="CT855" s="73"/>
      <c r="CU855" s="73"/>
      <c r="CV855" s="73"/>
      <c r="CW855" s="73"/>
      <c r="CX855" s="73"/>
      <c r="CY855" s="73"/>
      <c r="CZ855" s="73"/>
      <c r="DA855" s="73"/>
      <c r="DB855" s="73"/>
      <c r="DC855" s="73"/>
      <c r="DD855" s="73"/>
      <c r="DE855" s="73"/>
      <c r="DF855" s="73"/>
      <c r="DG855" s="73"/>
      <c r="DH855" s="73"/>
      <c r="DI855" s="73"/>
      <c r="DJ855" s="73"/>
      <c r="DK855" s="73"/>
      <c r="DL855" s="73"/>
      <c r="DM855" s="73"/>
      <c r="DN855" s="73"/>
      <c r="DO855" s="73"/>
      <c r="DP855" s="73"/>
      <c r="DQ855" s="73"/>
      <c r="DR855" s="73"/>
      <c r="DS855" s="73"/>
      <c r="DT855" s="73"/>
      <c r="DU855" s="73"/>
      <c r="DV855" s="73"/>
      <c r="DW855" s="73"/>
      <c r="DX855" s="73"/>
      <c r="DY855" s="73"/>
      <c r="DZ855" s="73"/>
      <c r="EA855" s="73"/>
      <c r="EB855" s="73"/>
      <c r="EC855" s="73"/>
      <c r="ED855" s="73"/>
      <c r="EE855" s="73"/>
      <c r="EF855" s="73"/>
      <c r="FJ855" s="73"/>
      <c r="FK855" s="73"/>
      <c r="FL855" s="73"/>
      <c r="FM855" s="73"/>
      <c r="FN855" s="73"/>
      <c r="FO855" s="73"/>
      <c r="FP855" s="73"/>
      <c r="FQ855" s="73"/>
      <c r="FR855" s="73"/>
      <c r="FS855" s="73"/>
      <c r="FT855" s="73"/>
      <c r="FU855" s="73"/>
      <c r="FV855" s="73"/>
      <c r="FW855" s="73"/>
      <c r="FX855" s="73"/>
      <c r="GO855" s="73"/>
      <c r="GP855" s="73"/>
      <c r="HE855" s="73"/>
      <c r="HU855" s="73"/>
      <c r="HV855" s="182"/>
    </row>
    <row r="856" spans="1:230" x14ac:dyDescent="0.25">
      <c r="A856" s="30"/>
      <c r="B856" s="30"/>
      <c r="C856" s="30"/>
      <c r="D856" s="30"/>
      <c r="G856" s="30"/>
      <c r="H856" s="30"/>
      <c r="I856" s="30"/>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c r="CA856" s="73"/>
      <c r="CB856" s="73"/>
      <c r="CC856" s="73"/>
      <c r="CD856" s="73"/>
      <c r="CE856" s="73"/>
      <c r="CF856" s="73"/>
      <c r="CG856" s="73"/>
      <c r="CH856" s="73"/>
      <c r="CI856" s="73"/>
      <c r="CJ856" s="73"/>
      <c r="CK856" s="73"/>
      <c r="CL856" s="73"/>
      <c r="CM856" s="73"/>
      <c r="CN856" s="73"/>
      <c r="CO856" s="73"/>
      <c r="CP856" s="73"/>
      <c r="CQ856" s="73"/>
      <c r="CR856" s="73"/>
      <c r="CS856" s="73"/>
      <c r="CT856" s="73"/>
      <c r="CU856" s="73"/>
      <c r="CV856" s="73"/>
      <c r="CW856" s="73"/>
      <c r="CX856" s="73"/>
      <c r="CY856" s="73"/>
      <c r="CZ856" s="73"/>
      <c r="DA856" s="73"/>
      <c r="DB856" s="73"/>
      <c r="DC856" s="73"/>
      <c r="DD856" s="73"/>
      <c r="DE856" s="73"/>
      <c r="DF856" s="73"/>
      <c r="DG856" s="73"/>
      <c r="DH856" s="73"/>
      <c r="DI856" s="73"/>
      <c r="DJ856" s="73"/>
      <c r="DK856" s="73"/>
      <c r="DL856" s="73"/>
      <c r="DM856" s="73"/>
      <c r="DN856" s="73"/>
      <c r="DO856" s="73"/>
      <c r="DP856" s="73"/>
      <c r="DQ856" s="73"/>
      <c r="DR856" s="73"/>
      <c r="DS856" s="73"/>
      <c r="DT856" s="73"/>
      <c r="DU856" s="73"/>
      <c r="DV856" s="73"/>
      <c r="DW856" s="73"/>
      <c r="DX856" s="73"/>
      <c r="DY856" s="73"/>
      <c r="DZ856" s="73"/>
      <c r="EA856" s="73"/>
      <c r="EB856" s="73"/>
      <c r="EC856" s="73"/>
      <c r="ED856" s="73"/>
      <c r="EE856" s="73"/>
      <c r="EF856" s="73"/>
      <c r="FJ856" s="73"/>
      <c r="FK856" s="73"/>
      <c r="FL856" s="73"/>
      <c r="FM856" s="73"/>
      <c r="FN856" s="73"/>
      <c r="FO856" s="73"/>
      <c r="FP856" s="73"/>
      <c r="FQ856" s="73"/>
      <c r="FR856" s="73"/>
      <c r="FS856" s="73"/>
      <c r="FT856" s="73"/>
      <c r="FU856" s="73"/>
      <c r="FV856" s="73"/>
      <c r="FW856" s="73"/>
      <c r="FX856" s="73"/>
      <c r="GO856" s="73"/>
      <c r="GP856" s="73"/>
      <c r="HE856" s="73"/>
      <c r="HU856" s="73"/>
      <c r="HV856" s="182"/>
    </row>
    <row r="857" spans="1:230" x14ac:dyDescent="0.25">
      <c r="A857" s="30"/>
      <c r="B857" s="30"/>
      <c r="C857" s="30"/>
      <c r="D857" s="30"/>
      <c r="G857" s="30"/>
      <c r="H857" s="30"/>
      <c r="I857" s="30"/>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c r="CA857" s="73"/>
      <c r="CB857" s="73"/>
      <c r="CC857" s="73"/>
      <c r="CD857" s="73"/>
      <c r="CE857" s="73"/>
      <c r="CF857" s="73"/>
      <c r="CG857" s="73"/>
      <c r="CH857" s="73"/>
      <c r="CI857" s="73"/>
      <c r="CJ857" s="73"/>
      <c r="CK857" s="73"/>
      <c r="CL857" s="73"/>
      <c r="CM857" s="73"/>
      <c r="CN857" s="73"/>
      <c r="CO857" s="73"/>
      <c r="CP857" s="73"/>
      <c r="CQ857" s="73"/>
      <c r="CR857" s="73"/>
      <c r="CS857" s="73"/>
      <c r="CT857" s="73"/>
      <c r="CU857" s="73"/>
      <c r="CV857" s="73"/>
      <c r="CW857" s="73"/>
      <c r="CX857" s="73"/>
      <c r="CY857" s="73"/>
      <c r="CZ857" s="73"/>
      <c r="DA857" s="73"/>
      <c r="DB857" s="73"/>
      <c r="DC857" s="73"/>
      <c r="DD857" s="73"/>
      <c r="DE857" s="73"/>
      <c r="DF857" s="73"/>
      <c r="DG857" s="73"/>
      <c r="DH857" s="73"/>
      <c r="DI857" s="73"/>
      <c r="DJ857" s="73"/>
      <c r="DK857" s="73"/>
      <c r="DL857" s="73"/>
      <c r="DM857" s="73"/>
      <c r="DN857" s="73"/>
      <c r="DO857" s="73"/>
      <c r="DP857" s="73"/>
      <c r="DQ857" s="73"/>
      <c r="DR857" s="73"/>
      <c r="DS857" s="73"/>
      <c r="DT857" s="73"/>
      <c r="DU857" s="73"/>
      <c r="DV857" s="73"/>
      <c r="DW857" s="73"/>
      <c r="DX857" s="73"/>
      <c r="DY857" s="73"/>
      <c r="DZ857" s="73"/>
      <c r="EA857" s="73"/>
      <c r="EB857" s="73"/>
      <c r="EC857" s="73"/>
      <c r="ED857" s="73"/>
      <c r="EE857" s="73"/>
      <c r="EF857" s="73"/>
      <c r="FJ857" s="73"/>
      <c r="FK857" s="73"/>
      <c r="FL857" s="73"/>
      <c r="FM857" s="73"/>
      <c r="FN857" s="73"/>
      <c r="FO857" s="73"/>
      <c r="FP857" s="73"/>
      <c r="FQ857" s="73"/>
      <c r="FR857" s="73"/>
      <c r="FS857" s="73"/>
      <c r="FT857" s="73"/>
      <c r="FU857" s="73"/>
      <c r="FV857" s="73"/>
      <c r="FW857" s="73"/>
      <c r="FX857" s="73"/>
      <c r="GO857" s="73"/>
      <c r="GP857" s="73"/>
      <c r="HE857" s="73"/>
      <c r="HU857" s="73"/>
      <c r="HV857" s="182"/>
    </row>
    <row r="858" spans="1:230" x14ac:dyDescent="0.25">
      <c r="A858" s="30"/>
      <c r="B858" s="30"/>
      <c r="C858" s="30"/>
      <c r="D858" s="30"/>
      <c r="G858" s="30"/>
      <c r="H858" s="30"/>
      <c r="I858" s="30"/>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c r="CA858" s="73"/>
      <c r="CB858" s="73"/>
      <c r="CC858" s="73"/>
      <c r="CD858" s="73"/>
      <c r="CE858" s="73"/>
      <c r="CF858" s="73"/>
      <c r="CG858" s="73"/>
      <c r="CH858" s="73"/>
      <c r="CI858" s="73"/>
      <c r="CJ858" s="73"/>
      <c r="CK858" s="73"/>
      <c r="CL858" s="73"/>
      <c r="CM858" s="73"/>
      <c r="CN858" s="73"/>
      <c r="CO858" s="73"/>
      <c r="CP858" s="73"/>
      <c r="CQ858" s="73"/>
      <c r="CR858" s="73"/>
      <c r="CS858" s="73"/>
      <c r="CT858" s="73"/>
      <c r="CU858" s="73"/>
      <c r="CV858" s="73"/>
      <c r="CW858" s="73"/>
      <c r="CX858" s="73"/>
      <c r="CY858" s="73"/>
      <c r="CZ858" s="73"/>
      <c r="DA858" s="73"/>
      <c r="DB858" s="73"/>
      <c r="DC858" s="73"/>
      <c r="DD858" s="73"/>
      <c r="DE858" s="73"/>
      <c r="DF858" s="73"/>
      <c r="DG858" s="73"/>
      <c r="DH858" s="73"/>
      <c r="DI858" s="73"/>
      <c r="DJ858" s="73"/>
      <c r="DK858" s="73"/>
      <c r="DL858" s="73"/>
      <c r="DM858" s="73"/>
      <c r="DN858" s="73"/>
      <c r="DO858" s="73"/>
      <c r="DP858" s="73"/>
      <c r="DQ858" s="73"/>
      <c r="DR858" s="73"/>
      <c r="DS858" s="73"/>
      <c r="DT858" s="73"/>
      <c r="DU858" s="73"/>
      <c r="DV858" s="73"/>
      <c r="DW858" s="73"/>
      <c r="DX858" s="73"/>
      <c r="DY858" s="73"/>
      <c r="DZ858" s="73"/>
      <c r="EA858" s="73"/>
      <c r="EB858" s="73"/>
      <c r="EC858" s="73"/>
      <c r="ED858" s="73"/>
      <c r="EE858" s="73"/>
      <c r="EF858" s="73"/>
      <c r="FJ858" s="73"/>
      <c r="FK858" s="73"/>
      <c r="FL858" s="73"/>
      <c r="FM858" s="73"/>
      <c r="FN858" s="73"/>
      <c r="FO858" s="73"/>
      <c r="FP858" s="73"/>
      <c r="FQ858" s="73"/>
      <c r="FR858" s="73"/>
      <c r="FS858" s="73"/>
      <c r="FT858" s="73"/>
      <c r="FU858" s="73"/>
      <c r="FV858" s="73"/>
      <c r="FW858" s="73"/>
      <c r="FX858" s="73"/>
      <c r="GO858" s="73"/>
      <c r="GP858" s="73"/>
      <c r="HE858" s="73"/>
      <c r="HU858" s="73"/>
      <c r="HV858" s="182"/>
    </row>
    <row r="859" spans="1:230" x14ac:dyDescent="0.25">
      <c r="A859" s="30"/>
      <c r="B859" s="30"/>
      <c r="C859" s="30"/>
      <c r="D859" s="30"/>
      <c r="G859" s="30"/>
      <c r="H859" s="30"/>
      <c r="I859" s="30"/>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c r="CA859" s="73"/>
      <c r="CB859" s="73"/>
      <c r="CC859" s="73"/>
      <c r="CD859" s="73"/>
      <c r="CE859" s="73"/>
      <c r="CF859" s="73"/>
      <c r="CG859" s="73"/>
      <c r="CH859" s="73"/>
      <c r="CI859" s="73"/>
      <c r="CJ859" s="73"/>
      <c r="CK859" s="73"/>
      <c r="CL859" s="73"/>
      <c r="CM859" s="73"/>
      <c r="CN859" s="73"/>
      <c r="CO859" s="73"/>
      <c r="CP859" s="73"/>
      <c r="CQ859" s="73"/>
      <c r="CR859" s="73"/>
      <c r="CS859" s="73"/>
      <c r="CT859" s="73"/>
      <c r="CU859" s="73"/>
      <c r="CV859" s="73"/>
      <c r="CW859" s="73"/>
      <c r="CX859" s="73"/>
      <c r="CY859" s="73"/>
      <c r="CZ859" s="73"/>
      <c r="DA859" s="73"/>
      <c r="DB859" s="73"/>
      <c r="DC859" s="73"/>
      <c r="DD859" s="73"/>
      <c r="DE859" s="73"/>
      <c r="DF859" s="73"/>
      <c r="DG859" s="73"/>
      <c r="DH859" s="73"/>
      <c r="DI859" s="73"/>
      <c r="DJ859" s="73"/>
      <c r="DK859" s="73"/>
      <c r="DL859" s="73"/>
      <c r="DM859" s="73"/>
      <c r="DN859" s="73"/>
      <c r="DO859" s="73"/>
      <c r="DP859" s="73"/>
      <c r="DQ859" s="73"/>
      <c r="DR859" s="73"/>
      <c r="DS859" s="73"/>
      <c r="DT859" s="73"/>
      <c r="DU859" s="73"/>
      <c r="DV859" s="73"/>
      <c r="DW859" s="73"/>
      <c r="DX859" s="73"/>
      <c r="DY859" s="73"/>
      <c r="DZ859" s="73"/>
      <c r="EA859" s="73"/>
      <c r="EB859" s="73"/>
      <c r="EC859" s="73"/>
      <c r="ED859" s="73"/>
      <c r="EE859" s="73"/>
      <c r="EF859" s="73"/>
      <c r="FJ859" s="73"/>
      <c r="FK859" s="73"/>
      <c r="FL859" s="73"/>
      <c r="FM859" s="73"/>
      <c r="FN859" s="73"/>
      <c r="FO859" s="73"/>
      <c r="FP859" s="73"/>
      <c r="FQ859" s="73"/>
      <c r="FR859" s="73"/>
      <c r="FS859" s="73"/>
      <c r="FT859" s="73"/>
      <c r="FU859" s="73"/>
      <c r="FV859" s="73"/>
      <c r="FW859" s="73"/>
      <c r="FX859" s="73"/>
      <c r="GO859" s="73"/>
      <c r="GP859" s="73"/>
      <c r="HE859" s="73"/>
      <c r="HU859" s="73"/>
      <c r="HV859" s="182"/>
    </row>
    <row r="860" spans="1:230" x14ac:dyDescent="0.25">
      <c r="A860" s="30"/>
      <c r="B860" s="30"/>
      <c r="C860" s="30"/>
      <c r="D860" s="30"/>
      <c r="G860" s="30"/>
      <c r="H860" s="30"/>
      <c r="I860" s="30"/>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c r="CA860" s="73"/>
      <c r="CB860" s="73"/>
      <c r="CC860" s="73"/>
      <c r="CD860" s="73"/>
      <c r="CE860" s="73"/>
      <c r="CF860" s="73"/>
      <c r="CG860" s="73"/>
      <c r="CH860" s="73"/>
      <c r="CI860" s="73"/>
      <c r="CJ860" s="73"/>
      <c r="CK860" s="73"/>
      <c r="CL860" s="73"/>
      <c r="CM860" s="73"/>
      <c r="CN860" s="73"/>
      <c r="CO860" s="73"/>
      <c r="CP860" s="73"/>
      <c r="CQ860" s="73"/>
      <c r="CR860" s="73"/>
      <c r="CS860" s="73"/>
      <c r="CT860" s="73"/>
      <c r="CU860" s="73"/>
      <c r="CV860" s="73"/>
      <c r="CW860" s="73"/>
      <c r="CX860" s="73"/>
      <c r="CY860" s="73"/>
      <c r="CZ860" s="73"/>
      <c r="DA860" s="73"/>
      <c r="DB860" s="73"/>
      <c r="DC860" s="73"/>
      <c r="DD860" s="73"/>
      <c r="DE860" s="73"/>
      <c r="DF860" s="73"/>
      <c r="DG860" s="73"/>
      <c r="DH860" s="73"/>
      <c r="DI860" s="73"/>
      <c r="DJ860" s="73"/>
      <c r="DK860" s="73"/>
      <c r="DL860" s="73"/>
      <c r="DM860" s="73"/>
      <c r="DN860" s="73"/>
      <c r="DO860" s="73"/>
      <c r="DP860" s="73"/>
      <c r="DQ860" s="73"/>
      <c r="DR860" s="73"/>
      <c r="DS860" s="73"/>
      <c r="DT860" s="73"/>
      <c r="DU860" s="73"/>
      <c r="DV860" s="73"/>
      <c r="DW860" s="73"/>
      <c r="DX860" s="73"/>
      <c r="DY860" s="73"/>
      <c r="DZ860" s="73"/>
      <c r="EA860" s="73"/>
      <c r="EB860" s="73"/>
      <c r="EC860" s="73"/>
      <c r="ED860" s="73"/>
      <c r="EE860" s="73"/>
      <c r="EF860" s="73"/>
      <c r="FJ860" s="73"/>
      <c r="FK860" s="73"/>
      <c r="FL860" s="73"/>
      <c r="FM860" s="73"/>
      <c r="FN860" s="73"/>
      <c r="FO860" s="73"/>
      <c r="FP860" s="73"/>
      <c r="FQ860" s="73"/>
      <c r="FR860" s="73"/>
      <c r="FS860" s="73"/>
      <c r="FT860" s="73"/>
      <c r="FU860" s="73"/>
      <c r="FV860" s="73"/>
      <c r="FW860" s="73"/>
      <c r="FX860" s="73"/>
      <c r="GO860" s="73"/>
      <c r="GP860" s="73"/>
      <c r="HE860" s="73"/>
      <c r="HU860" s="73"/>
      <c r="HV860" s="182"/>
    </row>
    <row r="861" spans="1:230" x14ac:dyDescent="0.25">
      <c r="A861" s="30"/>
      <c r="B861" s="30"/>
      <c r="C861" s="30"/>
      <c r="D861" s="30"/>
      <c r="G861" s="30"/>
      <c r="H861" s="30"/>
      <c r="I861" s="30"/>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c r="CA861" s="73"/>
      <c r="CB861" s="73"/>
      <c r="CC861" s="73"/>
      <c r="CD861" s="73"/>
      <c r="CE861" s="73"/>
      <c r="CF861" s="73"/>
      <c r="CG861" s="73"/>
      <c r="CH861" s="73"/>
      <c r="CI861" s="73"/>
      <c r="CJ861" s="73"/>
      <c r="CK861" s="73"/>
      <c r="CL861" s="73"/>
      <c r="CM861" s="73"/>
      <c r="CN861" s="73"/>
      <c r="CO861" s="73"/>
      <c r="CP861" s="73"/>
      <c r="CQ861" s="73"/>
      <c r="CR861" s="73"/>
      <c r="CS861" s="73"/>
      <c r="CT861" s="73"/>
      <c r="CU861" s="73"/>
      <c r="CV861" s="73"/>
      <c r="CW861" s="73"/>
      <c r="CX861" s="73"/>
      <c r="CY861" s="73"/>
      <c r="CZ861" s="73"/>
      <c r="DA861" s="73"/>
      <c r="DB861" s="73"/>
      <c r="DC861" s="73"/>
      <c r="DD861" s="73"/>
      <c r="DE861" s="73"/>
      <c r="DF861" s="73"/>
      <c r="DG861" s="73"/>
      <c r="DH861" s="73"/>
      <c r="DI861" s="73"/>
      <c r="DJ861" s="73"/>
      <c r="DK861" s="73"/>
      <c r="DL861" s="73"/>
      <c r="DM861" s="73"/>
      <c r="DN861" s="73"/>
      <c r="DO861" s="73"/>
      <c r="DP861" s="73"/>
      <c r="DQ861" s="73"/>
      <c r="DR861" s="73"/>
      <c r="DS861" s="73"/>
      <c r="DT861" s="73"/>
      <c r="DU861" s="73"/>
      <c r="DV861" s="73"/>
      <c r="DW861" s="73"/>
      <c r="DX861" s="73"/>
      <c r="DY861" s="73"/>
      <c r="DZ861" s="73"/>
      <c r="EA861" s="73"/>
      <c r="EB861" s="73"/>
      <c r="EC861" s="73"/>
      <c r="ED861" s="73"/>
      <c r="EE861" s="73"/>
      <c r="EF861" s="73"/>
      <c r="FJ861" s="73"/>
      <c r="FK861" s="73"/>
      <c r="FL861" s="73"/>
      <c r="FM861" s="73"/>
      <c r="FN861" s="73"/>
      <c r="FO861" s="73"/>
      <c r="FP861" s="73"/>
      <c r="FQ861" s="73"/>
      <c r="FR861" s="73"/>
      <c r="FS861" s="73"/>
      <c r="FT861" s="73"/>
      <c r="FU861" s="73"/>
      <c r="FV861" s="73"/>
      <c r="FW861" s="73"/>
      <c r="FX861" s="73"/>
      <c r="GO861" s="73"/>
      <c r="GP861" s="73"/>
      <c r="HE861" s="73"/>
      <c r="HU861" s="73"/>
      <c r="HV861" s="182"/>
    </row>
    <row r="862" spans="1:230" x14ac:dyDescent="0.25">
      <c r="A862" s="30"/>
      <c r="B862" s="30"/>
      <c r="C862" s="30"/>
      <c r="D862" s="30"/>
      <c r="G862" s="30"/>
      <c r="H862" s="30"/>
      <c r="I862" s="30"/>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c r="CA862" s="73"/>
      <c r="CB862" s="73"/>
      <c r="CC862" s="73"/>
      <c r="CD862" s="73"/>
      <c r="CE862" s="73"/>
      <c r="CF862" s="73"/>
      <c r="CG862" s="73"/>
      <c r="CH862" s="73"/>
      <c r="CI862" s="73"/>
      <c r="CJ862" s="73"/>
      <c r="CK862" s="73"/>
      <c r="CL862" s="73"/>
      <c r="CM862" s="73"/>
      <c r="CN862" s="73"/>
      <c r="CO862" s="73"/>
      <c r="CP862" s="73"/>
      <c r="CQ862" s="73"/>
      <c r="CR862" s="73"/>
      <c r="CS862" s="73"/>
      <c r="CT862" s="73"/>
      <c r="CU862" s="73"/>
      <c r="CV862" s="73"/>
      <c r="CW862" s="73"/>
      <c r="CX862" s="73"/>
      <c r="CY862" s="73"/>
      <c r="CZ862" s="73"/>
      <c r="DA862" s="73"/>
      <c r="DB862" s="73"/>
      <c r="DC862" s="73"/>
      <c r="DD862" s="73"/>
      <c r="DE862" s="73"/>
      <c r="DF862" s="73"/>
      <c r="DG862" s="73"/>
      <c r="DH862" s="73"/>
      <c r="DI862" s="73"/>
      <c r="DJ862" s="73"/>
      <c r="DK862" s="73"/>
      <c r="DL862" s="73"/>
      <c r="DM862" s="73"/>
      <c r="DN862" s="73"/>
      <c r="DO862" s="73"/>
      <c r="DP862" s="73"/>
      <c r="DQ862" s="73"/>
      <c r="DR862" s="73"/>
      <c r="DS862" s="73"/>
      <c r="DT862" s="73"/>
      <c r="DU862" s="73"/>
      <c r="DV862" s="73"/>
      <c r="DW862" s="73"/>
      <c r="DX862" s="73"/>
      <c r="DY862" s="73"/>
      <c r="DZ862" s="73"/>
      <c r="EA862" s="73"/>
      <c r="EB862" s="73"/>
      <c r="EC862" s="73"/>
      <c r="ED862" s="73"/>
      <c r="EE862" s="73"/>
      <c r="EF862" s="73"/>
      <c r="FJ862" s="73"/>
      <c r="FK862" s="73"/>
      <c r="FL862" s="73"/>
      <c r="FM862" s="73"/>
      <c r="FN862" s="73"/>
      <c r="FO862" s="73"/>
      <c r="FP862" s="73"/>
      <c r="FQ862" s="73"/>
      <c r="FR862" s="73"/>
      <c r="FS862" s="73"/>
      <c r="FT862" s="73"/>
      <c r="FU862" s="73"/>
      <c r="FV862" s="73"/>
      <c r="FW862" s="73"/>
      <c r="FX862" s="73"/>
      <c r="GO862" s="73"/>
      <c r="GP862" s="73"/>
      <c r="HE862" s="73"/>
      <c r="HU862" s="73"/>
      <c r="HV862" s="182"/>
    </row>
    <row r="863" spans="1:230" x14ac:dyDescent="0.25">
      <c r="A863" s="30"/>
      <c r="B863" s="30"/>
      <c r="C863" s="30"/>
      <c r="D863" s="30"/>
      <c r="G863" s="30"/>
      <c r="H863" s="30"/>
      <c r="I863" s="30"/>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c r="CA863" s="73"/>
      <c r="CB863" s="73"/>
      <c r="CC863" s="73"/>
      <c r="CD863" s="73"/>
      <c r="CE863" s="73"/>
      <c r="CF863" s="73"/>
      <c r="CG863" s="73"/>
      <c r="CH863" s="73"/>
      <c r="CI863" s="73"/>
      <c r="CJ863" s="73"/>
      <c r="CK863" s="73"/>
      <c r="CL863" s="73"/>
      <c r="CM863" s="73"/>
      <c r="CN863" s="73"/>
      <c r="CO863" s="73"/>
      <c r="CP863" s="73"/>
      <c r="CQ863" s="73"/>
      <c r="CR863" s="73"/>
      <c r="CS863" s="73"/>
      <c r="CT863" s="73"/>
      <c r="CU863" s="73"/>
      <c r="CV863" s="73"/>
      <c r="CW863" s="73"/>
      <c r="CX863" s="73"/>
      <c r="CY863" s="73"/>
      <c r="CZ863" s="73"/>
      <c r="DA863" s="73"/>
      <c r="DB863" s="73"/>
      <c r="DC863" s="73"/>
      <c r="DD863" s="73"/>
      <c r="DE863" s="73"/>
      <c r="DF863" s="73"/>
      <c r="DG863" s="73"/>
      <c r="DH863" s="73"/>
      <c r="DI863" s="73"/>
      <c r="DJ863" s="73"/>
      <c r="DK863" s="73"/>
      <c r="DL863" s="73"/>
      <c r="DM863" s="73"/>
      <c r="DN863" s="73"/>
      <c r="DO863" s="73"/>
      <c r="DP863" s="73"/>
      <c r="DQ863" s="73"/>
      <c r="DR863" s="73"/>
      <c r="DS863" s="73"/>
      <c r="DT863" s="73"/>
      <c r="DU863" s="73"/>
      <c r="DV863" s="73"/>
      <c r="DW863" s="73"/>
      <c r="DX863" s="73"/>
      <c r="DY863" s="73"/>
      <c r="DZ863" s="73"/>
      <c r="EA863" s="73"/>
      <c r="EB863" s="73"/>
      <c r="EC863" s="73"/>
      <c r="ED863" s="73"/>
      <c r="EE863" s="73"/>
      <c r="EF863" s="73"/>
      <c r="FJ863" s="73"/>
      <c r="FK863" s="73"/>
      <c r="FL863" s="73"/>
      <c r="FM863" s="73"/>
      <c r="FN863" s="73"/>
      <c r="FO863" s="73"/>
      <c r="FP863" s="73"/>
      <c r="FQ863" s="73"/>
      <c r="FR863" s="73"/>
      <c r="FS863" s="73"/>
      <c r="FT863" s="73"/>
      <c r="FU863" s="73"/>
      <c r="FV863" s="73"/>
      <c r="FW863" s="73"/>
      <c r="FX863" s="73"/>
      <c r="GO863" s="73"/>
      <c r="GP863" s="73"/>
      <c r="HE863" s="73"/>
      <c r="HU863" s="73"/>
      <c r="HV863" s="182"/>
    </row>
    <row r="864" spans="1:230" x14ac:dyDescent="0.25">
      <c r="A864" s="30"/>
      <c r="B864" s="30"/>
      <c r="C864" s="30"/>
      <c r="D864" s="30"/>
      <c r="G864" s="30"/>
      <c r="H864" s="30"/>
      <c r="I864" s="30"/>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c r="CA864" s="73"/>
      <c r="CB864" s="73"/>
      <c r="CC864" s="73"/>
      <c r="CD864" s="73"/>
      <c r="CE864" s="73"/>
      <c r="CF864" s="73"/>
      <c r="CG864" s="73"/>
      <c r="CH864" s="73"/>
      <c r="CI864" s="73"/>
      <c r="CJ864" s="73"/>
      <c r="CK864" s="73"/>
      <c r="CL864" s="73"/>
      <c r="CM864" s="73"/>
      <c r="CN864" s="73"/>
      <c r="CO864" s="73"/>
      <c r="CP864" s="73"/>
      <c r="CQ864" s="73"/>
      <c r="CR864" s="73"/>
      <c r="CS864" s="73"/>
      <c r="CT864" s="73"/>
      <c r="CU864" s="73"/>
      <c r="CV864" s="73"/>
      <c r="CW864" s="73"/>
      <c r="CX864" s="73"/>
      <c r="CY864" s="73"/>
      <c r="CZ864" s="73"/>
      <c r="DA864" s="73"/>
      <c r="DB864" s="73"/>
      <c r="DC864" s="73"/>
      <c r="DD864" s="73"/>
      <c r="DE864" s="73"/>
      <c r="DF864" s="73"/>
      <c r="DG864" s="73"/>
      <c r="DH864" s="73"/>
      <c r="DI864" s="73"/>
      <c r="DJ864" s="73"/>
      <c r="DK864" s="73"/>
      <c r="DL864" s="73"/>
      <c r="DM864" s="73"/>
      <c r="DN864" s="73"/>
      <c r="DO864" s="73"/>
      <c r="DP864" s="73"/>
      <c r="DQ864" s="73"/>
      <c r="DR864" s="73"/>
      <c r="DS864" s="73"/>
      <c r="DT864" s="73"/>
      <c r="DU864" s="73"/>
      <c r="DV864" s="73"/>
      <c r="DW864" s="73"/>
      <c r="DX864" s="73"/>
      <c r="DY864" s="73"/>
      <c r="DZ864" s="73"/>
      <c r="EA864" s="73"/>
      <c r="EB864" s="73"/>
      <c r="EC864" s="73"/>
      <c r="ED864" s="73"/>
      <c r="EE864" s="73"/>
      <c r="EF864" s="73"/>
      <c r="FJ864" s="73"/>
      <c r="FK864" s="73"/>
      <c r="FL864" s="73"/>
      <c r="FM864" s="73"/>
      <c r="FN864" s="73"/>
      <c r="FO864" s="73"/>
      <c r="FP864" s="73"/>
      <c r="FQ864" s="73"/>
      <c r="FR864" s="73"/>
      <c r="FS864" s="73"/>
      <c r="FT864" s="73"/>
      <c r="FU864" s="73"/>
      <c r="FV864" s="73"/>
      <c r="FW864" s="73"/>
      <c r="FX864" s="73"/>
      <c r="GO864" s="73"/>
      <c r="GP864" s="73"/>
      <c r="HE864" s="73"/>
      <c r="HU864" s="73"/>
      <c r="HV864" s="182"/>
    </row>
    <row r="865" spans="1:230" x14ac:dyDescent="0.25">
      <c r="A865" s="30"/>
      <c r="B865" s="30"/>
      <c r="C865" s="30"/>
      <c r="D865" s="30"/>
      <c r="G865" s="30"/>
      <c r="H865" s="30"/>
      <c r="I865" s="30"/>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c r="CA865" s="73"/>
      <c r="CB865" s="73"/>
      <c r="CC865" s="73"/>
      <c r="CD865" s="73"/>
      <c r="CE865" s="73"/>
      <c r="CF865" s="73"/>
      <c r="CG865" s="73"/>
      <c r="CH865" s="73"/>
      <c r="CI865" s="73"/>
      <c r="CJ865" s="73"/>
      <c r="CK865" s="73"/>
      <c r="CL865" s="73"/>
      <c r="CM865" s="73"/>
      <c r="CN865" s="73"/>
      <c r="CO865" s="73"/>
      <c r="CP865" s="73"/>
      <c r="CQ865" s="73"/>
      <c r="CR865" s="73"/>
      <c r="CS865" s="73"/>
      <c r="CT865" s="73"/>
      <c r="CU865" s="73"/>
      <c r="CV865" s="73"/>
      <c r="CW865" s="73"/>
      <c r="CX865" s="73"/>
      <c r="CY865" s="73"/>
      <c r="CZ865" s="73"/>
      <c r="DA865" s="73"/>
      <c r="DB865" s="73"/>
      <c r="DC865" s="73"/>
      <c r="DD865" s="73"/>
      <c r="DE865" s="73"/>
      <c r="DF865" s="73"/>
      <c r="DG865" s="73"/>
      <c r="DH865" s="73"/>
      <c r="DI865" s="73"/>
      <c r="DJ865" s="73"/>
      <c r="DK865" s="73"/>
      <c r="DL865" s="73"/>
      <c r="DM865" s="73"/>
      <c r="DN865" s="73"/>
      <c r="DO865" s="73"/>
      <c r="DP865" s="73"/>
      <c r="DQ865" s="73"/>
      <c r="DR865" s="73"/>
      <c r="DS865" s="73"/>
      <c r="DT865" s="73"/>
      <c r="DU865" s="73"/>
      <c r="DV865" s="73"/>
      <c r="DW865" s="73"/>
      <c r="DX865" s="73"/>
      <c r="DY865" s="73"/>
      <c r="DZ865" s="73"/>
      <c r="EA865" s="73"/>
      <c r="EB865" s="73"/>
      <c r="EC865" s="73"/>
      <c r="ED865" s="73"/>
      <c r="EE865" s="73"/>
      <c r="EF865" s="73"/>
      <c r="FJ865" s="73"/>
      <c r="FK865" s="73"/>
      <c r="FL865" s="73"/>
      <c r="FM865" s="73"/>
      <c r="FN865" s="73"/>
      <c r="FO865" s="73"/>
      <c r="FP865" s="73"/>
      <c r="FQ865" s="73"/>
      <c r="FR865" s="73"/>
      <c r="FS865" s="73"/>
      <c r="FT865" s="73"/>
      <c r="FU865" s="73"/>
      <c r="FV865" s="73"/>
      <c r="FW865" s="73"/>
      <c r="FX865" s="73"/>
      <c r="GO865" s="73"/>
      <c r="GP865" s="73"/>
      <c r="HE865" s="73"/>
      <c r="HU865" s="73"/>
      <c r="HV865" s="182"/>
    </row>
    <row r="866" spans="1:230" x14ac:dyDescent="0.25">
      <c r="A866" s="30"/>
      <c r="B866" s="30"/>
      <c r="C866" s="30"/>
      <c r="D866" s="30"/>
      <c r="G866" s="30"/>
      <c r="H866" s="30"/>
      <c r="I866" s="30"/>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c r="CA866" s="73"/>
      <c r="CB866" s="73"/>
      <c r="CC866" s="73"/>
      <c r="CD866" s="73"/>
      <c r="CE866" s="73"/>
      <c r="CF866" s="73"/>
      <c r="CG866" s="73"/>
      <c r="CH866" s="73"/>
      <c r="CI866" s="73"/>
      <c r="CJ866" s="73"/>
      <c r="CK866" s="73"/>
      <c r="CL866" s="73"/>
      <c r="CM866" s="73"/>
      <c r="CN866" s="73"/>
      <c r="CO866" s="73"/>
      <c r="CP866" s="73"/>
      <c r="CQ866" s="73"/>
      <c r="CR866" s="73"/>
      <c r="CS866" s="73"/>
      <c r="CT866" s="73"/>
      <c r="CU866" s="73"/>
      <c r="CV866" s="73"/>
      <c r="CW866" s="73"/>
      <c r="CX866" s="73"/>
      <c r="CY866" s="73"/>
      <c r="CZ866" s="73"/>
      <c r="DA866" s="73"/>
      <c r="DB866" s="73"/>
      <c r="DC866" s="73"/>
      <c r="DD866" s="73"/>
      <c r="DE866" s="73"/>
      <c r="DF866" s="73"/>
      <c r="DG866" s="73"/>
      <c r="DH866" s="73"/>
      <c r="DI866" s="73"/>
      <c r="DJ866" s="73"/>
      <c r="DK866" s="73"/>
      <c r="DL866" s="73"/>
      <c r="DM866" s="73"/>
      <c r="DN866" s="73"/>
      <c r="DO866" s="73"/>
      <c r="DP866" s="73"/>
      <c r="DQ866" s="73"/>
      <c r="DR866" s="73"/>
      <c r="DS866" s="73"/>
      <c r="DT866" s="73"/>
      <c r="DU866" s="73"/>
      <c r="DV866" s="73"/>
      <c r="DW866" s="73"/>
      <c r="DX866" s="73"/>
      <c r="DY866" s="73"/>
      <c r="DZ866" s="73"/>
      <c r="EA866" s="73"/>
      <c r="EB866" s="73"/>
      <c r="EC866" s="73"/>
      <c r="ED866" s="73"/>
      <c r="EE866" s="73"/>
      <c r="EF866" s="73"/>
      <c r="FJ866" s="73"/>
      <c r="FK866" s="73"/>
      <c r="FL866" s="73"/>
      <c r="FM866" s="73"/>
      <c r="FN866" s="73"/>
      <c r="FO866" s="73"/>
      <c r="FP866" s="73"/>
      <c r="FQ866" s="73"/>
      <c r="FR866" s="73"/>
      <c r="FS866" s="73"/>
      <c r="FT866" s="73"/>
      <c r="FU866" s="73"/>
      <c r="FV866" s="73"/>
      <c r="FW866" s="73"/>
      <c r="FX866" s="73"/>
      <c r="GO866" s="73"/>
      <c r="GP866" s="73"/>
      <c r="HE866" s="73"/>
      <c r="HU866" s="73"/>
      <c r="HV866" s="182"/>
    </row>
    <row r="867" spans="1:230" x14ac:dyDescent="0.25">
      <c r="A867" s="30"/>
      <c r="B867" s="30"/>
      <c r="C867" s="30"/>
      <c r="D867" s="30"/>
      <c r="G867" s="30"/>
      <c r="H867" s="30"/>
      <c r="I867" s="30"/>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c r="CA867" s="73"/>
      <c r="CB867" s="73"/>
      <c r="CC867" s="73"/>
      <c r="CD867" s="73"/>
      <c r="CE867" s="73"/>
      <c r="CF867" s="73"/>
      <c r="CG867" s="73"/>
      <c r="CH867" s="73"/>
      <c r="CI867" s="73"/>
      <c r="CJ867" s="73"/>
      <c r="CK867" s="73"/>
      <c r="CL867" s="73"/>
      <c r="CM867" s="73"/>
      <c r="CN867" s="73"/>
      <c r="CO867" s="73"/>
      <c r="CP867" s="73"/>
      <c r="CQ867" s="73"/>
      <c r="CR867" s="73"/>
      <c r="CS867" s="73"/>
      <c r="CT867" s="73"/>
      <c r="CU867" s="73"/>
      <c r="CV867" s="73"/>
      <c r="CW867" s="73"/>
      <c r="CX867" s="73"/>
      <c r="CY867" s="73"/>
      <c r="CZ867" s="73"/>
      <c r="DA867" s="73"/>
      <c r="DB867" s="73"/>
      <c r="DC867" s="73"/>
      <c r="DD867" s="73"/>
      <c r="DE867" s="73"/>
      <c r="DF867" s="73"/>
      <c r="DG867" s="73"/>
      <c r="DH867" s="73"/>
      <c r="DI867" s="73"/>
      <c r="DJ867" s="73"/>
      <c r="DK867" s="73"/>
      <c r="DL867" s="73"/>
      <c r="DM867" s="73"/>
      <c r="DN867" s="73"/>
      <c r="DO867" s="73"/>
      <c r="DP867" s="73"/>
      <c r="DQ867" s="73"/>
      <c r="DR867" s="73"/>
      <c r="DS867" s="73"/>
      <c r="DT867" s="73"/>
      <c r="DU867" s="73"/>
      <c r="DV867" s="73"/>
      <c r="DW867" s="73"/>
      <c r="DX867" s="73"/>
      <c r="DY867" s="73"/>
      <c r="DZ867" s="73"/>
      <c r="EA867" s="73"/>
      <c r="EB867" s="73"/>
      <c r="EC867" s="73"/>
      <c r="ED867" s="73"/>
      <c r="EE867" s="73"/>
      <c r="EF867" s="73"/>
      <c r="FJ867" s="73"/>
      <c r="FK867" s="73"/>
      <c r="FL867" s="73"/>
      <c r="FM867" s="73"/>
      <c r="FN867" s="73"/>
      <c r="FO867" s="73"/>
      <c r="FP867" s="73"/>
      <c r="FQ867" s="73"/>
      <c r="FR867" s="73"/>
      <c r="FS867" s="73"/>
      <c r="FT867" s="73"/>
      <c r="FU867" s="73"/>
      <c r="FV867" s="73"/>
      <c r="FW867" s="73"/>
      <c r="FX867" s="73"/>
      <c r="GO867" s="73"/>
      <c r="GP867" s="73"/>
      <c r="HE867" s="73"/>
      <c r="HU867" s="73"/>
      <c r="HV867" s="182"/>
    </row>
    <row r="868" spans="1:230" x14ac:dyDescent="0.25">
      <c r="A868" s="30"/>
      <c r="B868" s="30"/>
      <c r="C868" s="30"/>
      <c r="D868" s="30"/>
      <c r="G868" s="30"/>
      <c r="H868" s="30"/>
      <c r="I868" s="30"/>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c r="CA868" s="73"/>
      <c r="CB868" s="73"/>
      <c r="CC868" s="73"/>
      <c r="CD868" s="73"/>
      <c r="CE868" s="73"/>
      <c r="CF868" s="73"/>
      <c r="CG868" s="73"/>
      <c r="CH868" s="73"/>
      <c r="CI868" s="73"/>
      <c r="CJ868" s="73"/>
      <c r="CK868" s="73"/>
      <c r="CL868" s="73"/>
      <c r="CM868" s="73"/>
      <c r="CN868" s="73"/>
      <c r="CO868" s="73"/>
      <c r="CP868" s="73"/>
      <c r="CQ868" s="73"/>
      <c r="CR868" s="73"/>
      <c r="CS868" s="73"/>
      <c r="CT868" s="73"/>
      <c r="CU868" s="73"/>
      <c r="CV868" s="73"/>
      <c r="CW868" s="73"/>
      <c r="CX868" s="73"/>
      <c r="CY868" s="73"/>
      <c r="CZ868" s="73"/>
      <c r="DA868" s="73"/>
      <c r="DB868" s="73"/>
      <c r="DC868" s="73"/>
      <c r="DD868" s="73"/>
      <c r="DE868" s="73"/>
      <c r="DF868" s="73"/>
      <c r="DG868" s="73"/>
      <c r="DH868" s="73"/>
      <c r="DI868" s="73"/>
      <c r="DJ868" s="73"/>
      <c r="DK868" s="73"/>
      <c r="DL868" s="73"/>
      <c r="DM868" s="73"/>
      <c r="DN868" s="73"/>
      <c r="DO868" s="73"/>
      <c r="DP868" s="73"/>
      <c r="DQ868" s="73"/>
      <c r="DR868" s="73"/>
      <c r="DS868" s="73"/>
      <c r="DT868" s="73"/>
      <c r="DU868" s="73"/>
      <c r="DV868" s="73"/>
      <c r="DW868" s="73"/>
      <c r="DX868" s="73"/>
      <c r="DY868" s="73"/>
      <c r="DZ868" s="73"/>
      <c r="EA868" s="73"/>
      <c r="EB868" s="73"/>
      <c r="EC868" s="73"/>
      <c r="ED868" s="73"/>
      <c r="EE868" s="73"/>
      <c r="EF868" s="73"/>
      <c r="FJ868" s="73"/>
      <c r="FK868" s="73"/>
      <c r="FL868" s="73"/>
      <c r="FM868" s="73"/>
      <c r="FN868" s="73"/>
      <c r="FO868" s="73"/>
      <c r="FP868" s="73"/>
      <c r="FQ868" s="73"/>
      <c r="FR868" s="73"/>
      <c r="FS868" s="73"/>
      <c r="FT868" s="73"/>
      <c r="FU868" s="73"/>
      <c r="FV868" s="73"/>
      <c r="FW868" s="73"/>
      <c r="FX868" s="73"/>
      <c r="GO868" s="73"/>
      <c r="GP868" s="73"/>
      <c r="HE868" s="73"/>
      <c r="HU868" s="73"/>
      <c r="HV868" s="182"/>
    </row>
    <row r="869" spans="1:230" x14ac:dyDescent="0.25">
      <c r="A869" s="30"/>
      <c r="B869" s="30"/>
      <c r="C869" s="30"/>
      <c r="D869" s="30"/>
      <c r="G869" s="30"/>
      <c r="H869" s="30"/>
      <c r="I869" s="30"/>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c r="CA869" s="73"/>
      <c r="CB869" s="73"/>
      <c r="CC869" s="73"/>
      <c r="CD869" s="73"/>
      <c r="CE869" s="73"/>
      <c r="CF869" s="73"/>
      <c r="CG869" s="73"/>
      <c r="CH869" s="73"/>
      <c r="CI869" s="73"/>
      <c r="CJ869" s="73"/>
      <c r="CK869" s="73"/>
      <c r="CL869" s="73"/>
      <c r="CM869" s="73"/>
      <c r="CN869" s="73"/>
      <c r="CO869" s="73"/>
      <c r="CP869" s="73"/>
      <c r="CQ869" s="73"/>
      <c r="CR869" s="73"/>
      <c r="CS869" s="73"/>
      <c r="CT869" s="73"/>
      <c r="CU869" s="73"/>
      <c r="CV869" s="73"/>
      <c r="CW869" s="73"/>
      <c r="CX869" s="73"/>
      <c r="CY869" s="73"/>
      <c r="CZ869" s="73"/>
      <c r="DA869" s="73"/>
      <c r="DB869" s="73"/>
      <c r="DC869" s="73"/>
      <c r="DD869" s="73"/>
      <c r="DE869" s="73"/>
      <c r="DF869" s="73"/>
      <c r="DG869" s="73"/>
      <c r="DH869" s="73"/>
      <c r="DI869" s="73"/>
      <c r="DJ869" s="73"/>
      <c r="DK869" s="73"/>
      <c r="DL869" s="73"/>
      <c r="DM869" s="73"/>
      <c r="DN869" s="73"/>
      <c r="DO869" s="73"/>
      <c r="DP869" s="73"/>
      <c r="DQ869" s="73"/>
      <c r="DR869" s="73"/>
      <c r="DS869" s="73"/>
      <c r="DT869" s="73"/>
      <c r="DU869" s="73"/>
      <c r="DV869" s="73"/>
      <c r="DW869" s="73"/>
      <c r="DX869" s="73"/>
      <c r="DY869" s="73"/>
      <c r="DZ869" s="73"/>
      <c r="EA869" s="73"/>
      <c r="EB869" s="73"/>
      <c r="EC869" s="73"/>
      <c r="ED869" s="73"/>
      <c r="EE869" s="73"/>
      <c r="EF869" s="73"/>
      <c r="FJ869" s="73"/>
      <c r="FK869" s="73"/>
      <c r="FL869" s="73"/>
      <c r="FM869" s="73"/>
      <c r="FN869" s="73"/>
      <c r="FO869" s="73"/>
      <c r="FP869" s="73"/>
      <c r="FQ869" s="73"/>
      <c r="FR869" s="73"/>
      <c r="FS869" s="73"/>
      <c r="FT869" s="73"/>
      <c r="FU869" s="73"/>
      <c r="FV869" s="73"/>
      <c r="FW869" s="73"/>
      <c r="FX869" s="73"/>
      <c r="GO869" s="73"/>
      <c r="GP869" s="73"/>
      <c r="HE869" s="73"/>
      <c r="HU869" s="73"/>
      <c r="HV869" s="182"/>
    </row>
    <row r="870" spans="1:230" x14ac:dyDescent="0.25">
      <c r="A870" s="30"/>
      <c r="B870" s="30"/>
      <c r="C870" s="30"/>
      <c r="D870" s="30"/>
      <c r="G870" s="30"/>
      <c r="H870" s="30"/>
      <c r="I870" s="30"/>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c r="CA870" s="73"/>
      <c r="CB870" s="73"/>
      <c r="CC870" s="73"/>
      <c r="CD870" s="73"/>
      <c r="CE870" s="73"/>
      <c r="CF870" s="73"/>
      <c r="CG870" s="73"/>
      <c r="CH870" s="73"/>
      <c r="CI870" s="73"/>
      <c r="CJ870" s="73"/>
      <c r="CK870" s="73"/>
      <c r="CL870" s="73"/>
      <c r="CM870" s="73"/>
      <c r="CN870" s="73"/>
      <c r="CO870" s="73"/>
      <c r="CP870" s="73"/>
      <c r="CQ870" s="73"/>
      <c r="CR870" s="73"/>
      <c r="CS870" s="73"/>
      <c r="CT870" s="73"/>
      <c r="CU870" s="73"/>
      <c r="CV870" s="73"/>
      <c r="CW870" s="73"/>
      <c r="CX870" s="73"/>
      <c r="CY870" s="73"/>
      <c r="CZ870" s="73"/>
      <c r="DA870" s="73"/>
      <c r="DB870" s="73"/>
      <c r="DC870" s="73"/>
      <c r="DD870" s="73"/>
      <c r="DE870" s="73"/>
      <c r="DF870" s="73"/>
      <c r="DG870" s="73"/>
      <c r="DH870" s="73"/>
      <c r="DI870" s="73"/>
      <c r="DJ870" s="73"/>
      <c r="DK870" s="73"/>
      <c r="DL870" s="73"/>
      <c r="DM870" s="73"/>
      <c r="DN870" s="73"/>
      <c r="DO870" s="73"/>
      <c r="DP870" s="73"/>
      <c r="DQ870" s="73"/>
      <c r="DR870" s="73"/>
      <c r="DS870" s="73"/>
      <c r="DT870" s="73"/>
      <c r="DU870" s="73"/>
      <c r="DV870" s="73"/>
      <c r="DW870" s="73"/>
      <c r="DX870" s="73"/>
      <c r="DY870" s="73"/>
      <c r="DZ870" s="73"/>
      <c r="EA870" s="73"/>
      <c r="EB870" s="73"/>
      <c r="EC870" s="73"/>
      <c r="ED870" s="73"/>
      <c r="EE870" s="73"/>
      <c r="EF870" s="73"/>
      <c r="FJ870" s="73"/>
      <c r="FK870" s="73"/>
      <c r="FL870" s="73"/>
      <c r="FM870" s="73"/>
      <c r="FN870" s="73"/>
      <c r="FO870" s="73"/>
      <c r="FP870" s="73"/>
      <c r="FQ870" s="73"/>
      <c r="FR870" s="73"/>
      <c r="FS870" s="73"/>
      <c r="FT870" s="73"/>
      <c r="FU870" s="73"/>
      <c r="FV870" s="73"/>
      <c r="FW870" s="73"/>
      <c r="FX870" s="73"/>
      <c r="GO870" s="73"/>
      <c r="GP870" s="73"/>
      <c r="HE870" s="73"/>
      <c r="HU870" s="73"/>
      <c r="HV870" s="182"/>
    </row>
    <row r="871" spans="1:230" x14ac:dyDescent="0.25">
      <c r="A871" s="30"/>
      <c r="B871" s="30"/>
      <c r="C871" s="30"/>
      <c r="D871" s="30"/>
      <c r="G871" s="30"/>
      <c r="H871" s="30"/>
      <c r="I871" s="30"/>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c r="CA871" s="73"/>
      <c r="CB871" s="73"/>
      <c r="CC871" s="73"/>
      <c r="CD871" s="73"/>
      <c r="CE871" s="73"/>
      <c r="CF871" s="73"/>
      <c r="CG871" s="73"/>
      <c r="CH871" s="73"/>
      <c r="CI871" s="73"/>
      <c r="CJ871" s="73"/>
      <c r="CK871" s="73"/>
      <c r="CL871" s="73"/>
      <c r="CM871" s="73"/>
      <c r="CN871" s="73"/>
      <c r="CO871" s="73"/>
      <c r="CP871" s="73"/>
      <c r="CQ871" s="73"/>
      <c r="CR871" s="73"/>
      <c r="CS871" s="73"/>
      <c r="CT871" s="73"/>
      <c r="CU871" s="73"/>
      <c r="CV871" s="73"/>
      <c r="CW871" s="73"/>
      <c r="CX871" s="73"/>
      <c r="CY871" s="73"/>
      <c r="CZ871" s="73"/>
      <c r="DA871" s="73"/>
      <c r="DB871" s="73"/>
      <c r="DC871" s="73"/>
      <c r="DD871" s="73"/>
      <c r="DE871" s="73"/>
      <c r="DF871" s="73"/>
      <c r="DG871" s="73"/>
      <c r="DH871" s="73"/>
      <c r="DI871" s="73"/>
      <c r="DJ871" s="73"/>
      <c r="DK871" s="73"/>
      <c r="DL871" s="73"/>
      <c r="DM871" s="73"/>
      <c r="DN871" s="73"/>
      <c r="DO871" s="73"/>
      <c r="DP871" s="73"/>
      <c r="DQ871" s="73"/>
      <c r="DR871" s="73"/>
      <c r="DS871" s="73"/>
      <c r="DT871" s="73"/>
      <c r="DU871" s="73"/>
      <c r="DV871" s="73"/>
      <c r="DW871" s="73"/>
      <c r="DX871" s="73"/>
      <c r="DY871" s="73"/>
      <c r="DZ871" s="73"/>
      <c r="EA871" s="73"/>
      <c r="EB871" s="73"/>
      <c r="EC871" s="73"/>
      <c r="ED871" s="73"/>
      <c r="EE871" s="73"/>
      <c r="EF871" s="73"/>
      <c r="FJ871" s="73"/>
      <c r="FK871" s="73"/>
      <c r="FL871" s="73"/>
      <c r="FM871" s="73"/>
      <c r="FN871" s="73"/>
      <c r="FO871" s="73"/>
      <c r="FP871" s="73"/>
      <c r="FQ871" s="73"/>
      <c r="FR871" s="73"/>
      <c r="FS871" s="73"/>
      <c r="FT871" s="73"/>
      <c r="FU871" s="73"/>
      <c r="FV871" s="73"/>
      <c r="FW871" s="73"/>
      <c r="FX871" s="73"/>
      <c r="GO871" s="73"/>
      <c r="GP871" s="73"/>
      <c r="HE871" s="73"/>
      <c r="HU871" s="73"/>
      <c r="HV871" s="182"/>
    </row>
    <row r="872" spans="1:230" x14ac:dyDescent="0.25">
      <c r="A872" s="30"/>
      <c r="B872" s="30"/>
      <c r="C872" s="30"/>
      <c r="D872" s="30"/>
      <c r="G872" s="30"/>
      <c r="H872" s="30"/>
      <c r="I872" s="30"/>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c r="CA872" s="73"/>
      <c r="CB872" s="73"/>
      <c r="CC872" s="73"/>
      <c r="CD872" s="73"/>
      <c r="CE872" s="73"/>
      <c r="CF872" s="73"/>
      <c r="CG872" s="73"/>
      <c r="CH872" s="73"/>
      <c r="CI872" s="73"/>
      <c r="CJ872" s="73"/>
      <c r="CK872" s="73"/>
      <c r="CL872" s="73"/>
      <c r="CM872" s="73"/>
      <c r="CN872" s="73"/>
      <c r="CO872" s="73"/>
      <c r="CP872" s="73"/>
      <c r="CQ872" s="73"/>
      <c r="CR872" s="73"/>
      <c r="CS872" s="73"/>
      <c r="CT872" s="73"/>
      <c r="CU872" s="73"/>
      <c r="CV872" s="73"/>
      <c r="CW872" s="73"/>
      <c r="CX872" s="73"/>
      <c r="CY872" s="73"/>
      <c r="CZ872" s="73"/>
      <c r="DA872" s="73"/>
      <c r="DB872" s="73"/>
      <c r="DC872" s="73"/>
      <c r="DD872" s="73"/>
      <c r="DE872" s="73"/>
      <c r="DF872" s="73"/>
      <c r="DG872" s="73"/>
      <c r="DH872" s="73"/>
      <c r="DI872" s="73"/>
      <c r="DJ872" s="73"/>
      <c r="DK872" s="73"/>
      <c r="DL872" s="73"/>
      <c r="DM872" s="73"/>
      <c r="DN872" s="73"/>
      <c r="DO872" s="73"/>
      <c r="DP872" s="73"/>
      <c r="DQ872" s="73"/>
      <c r="DR872" s="73"/>
      <c r="DS872" s="73"/>
      <c r="DT872" s="73"/>
      <c r="DU872" s="73"/>
      <c r="DV872" s="73"/>
      <c r="DW872" s="73"/>
      <c r="DX872" s="73"/>
      <c r="DY872" s="73"/>
      <c r="DZ872" s="73"/>
      <c r="EA872" s="73"/>
      <c r="EB872" s="73"/>
      <c r="EC872" s="73"/>
      <c r="ED872" s="73"/>
      <c r="EE872" s="73"/>
      <c r="EF872" s="73"/>
      <c r="FJ872" s="73"/>
      <c r="FK872" s="73"/>
      <c r="FL872" s="73"/>
      <c r="FM872" s="73"/>
      <c r="FN872" s="73"/>
      <c r="FO872" s="73"/>
      <c r="FP872" s="73"/>
      <c r="FQ872" s="73"/>
      <c r="FR872" s="73"/>
      <c r="FS872" s="73"/>
      <c r="FT872" s="73"/>
      <c r="FU872" s="73"/>
      <c r="FV872" s="73"/>
      <c r="FW872" s="73"/>
      <c r="FX872" s="73"/>
      <c r="GO872" s="73"/>
      <c r="GP872" s="73"/>
      <c r="HE872" s="73"/>
      <c r="HU872" s="73"/>
      <c r="HV872" s="182"/>
    </row>
    <row r="873" spans="1:230" x14ac:dyDescent="0.25">
      <c r="A873" s="30"/>
      <c r="B873" s="30"/>
      <c r="C873" s="30"/>
      <c r="D873" s="30"/>
      <c r="G873" s="30"/>
      <c r="H873" s="30"/>
      <c r="I873" s="30"/>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c r="CA873" s="73"/>
      <c r="CB873" s="73"/>
      <c r="CC873" s="73"/>
      <c r="CD873" s="73"/>
      <c r="CE873" s="73"/>
      <c r="CF873" s="73"/>
      <c r="CG873" s="73"/>
      <c r="CH873" s="73"/>
      <c r="CI873" s="73"/>
      <c r="CJ873" s="73"/>
      <c r="CK873" s="73"/>
      <c r="CL873" s="73"/>
      <c r="CM873" s="73"/>
      <c r="CN873" s="73"/>
      <c r="CO873" s="73"/>
      <c r="CP873" s="73"/>
      <c r="CQ873" s="73"/>
      <c r="CR873" s="73"/>
      <c r="CS873" s="73"/>
      <c r="CT873" s="73"/>
      <c r="CU873" s="73"/>
      <c r="CV873" s="73"/>
      <c r="CW873" s="73"/>
      <c r="CX873" s="73"/>
      <c r="CY873" s="73"/>
      <c r="CZ873" s="73"/>
      <c r="DA873" s="73"/>
      <c r="DB873" s="73"/>
      <c r="DC873" s="73"/>
      <c r="DD873" s="73"/>
      <c r="DE873" s="73"/>
      <c r="DF873" s="73"/>
      <c r="DG873" s="73"/>
      <c r="DH873" s="73"/>
      <c r="DI873" s="73"/>
      <c r="DJ873" s="73"/>
      <c r="DK873" s="73"/>
      <c r="DL873" s="73"/>
      <c r="DM873" s="73"/>
      <c r="DN873" s="73"/>
      <c r="DO873" s="73"/>
      <c r="DP873" s="73"/>
      <c r="DQ873" s="73"/>
      <c r="DR873" s="73"/>
      <c r="DS873" s="73"/>
      <c r="DT873" s="73"/>
      <c r="DU873" s="73"/>
      <c r="DV873" s="73"/>
      <c r="DW873" s="73"/>
      <c r="DX873" s="73"/>
      <c r="DY873" s="73"/>
      <c r="DZ873" s="73"/>
      <c r="EA873" s="73"/>
      <c r="EB873" s="73"/>
      <c r="EC873" s="73"/>
      <c r="ED873" s="73"/>
      <c r="EE873" s="73"/>
      <c r="EF873" s="73"/>
      <c r="FJ873" s="73"/>
      <c r="FK873" s="73"/>
      <c r="FL873" s="73"/>
      <c r="FM873" s="73"/>
      <c r="FN873" s="73"/>
      <c r="FO873" s="73"/>
      <c r="FP873" s="73"/>
      <c r="FQ873" s="73"/>
      <c r="FR873" s="73"/>
      <c r="FS873" s="73"/>
      <c r="FT873" s="73"/>
      <c r="FU873" s="73"/>
      <c r="FV873" s="73"/>
      <c r="FW873" s="73"/>
      <c r="FX873" s="73"/>
      <c r="GO873" s="73"/>
      <c r="GP873" s="73"/>
      <c r="HE873" s="73"/>
      <c r="HU873" s="73"/>
      <c r="HV873" s="182"/>
    </row>
    <row r="874" spans="1:230" x14ac:dyDescent="0.25">
      <c r="A874" s="30"/>
      <c r="B874" s="30"/>
      <c r="C874" s="30"/>
      <c r="D874" s="30"/>
      <c r="G874" s="30"/>
      <c r="H874" s="30"/>
      <c r="I874" s="30"/>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c r="CA874" s="73"/>
      <c r="CB874" s="73"/>
      <c r="CC874" s="73"/>
      <c r="CD874" s="73"/>
      <c r="CE874" s="73"/>
      <c r="CF874" s="73"/>
      <c r="CG874" s="73"/>
      <c r="CH874" s="73"/>
      <c r="CI874" s="73"/>
      <c r="CJ874" s="73"/>
      <c r="CK874" s="73"/>
      <c r="CL874" s="73"/>
      <c r="CM874" s="73"/>
      <c r="CN874" s="73"/>
      <c r="CO874" s="73"/>
      <c r="CP874" s="73"/>
      <c r="CQ874" s="73"/>
      <c r="CR874" s="73"/>
      <c r="CS874" s="73"/>
      <c r="CT874" s="73"/>
      <c r="CU874" s="73"/>
      <c r="CV874" s="73"/>
      <c r="CW874" s="73"/>
      <c r="CX874" s="73"/>
      <c r="CY874" s="73"/>
      <c r="CZ874" s="73"/>
      <c r="DA874" s="73"/>
      <c r="DB874" s="73"/>
      <c r="DC874" s="73"/>
      <c r="DD874" s="73"/>
      <c r="DE874" s="73"/>
      <c r="DF874" s="73"/>
      <c r="DG874" s="73"/>
      <c r="DH874" s="73"/>
      <c r="DI874" s="73"/>
      <c r="DJ874" s="73"/>
      <c r="DK874" s="73"/>
      <c r="DL874" s="73"/>
      <c r="DM874" s="73"/>
      <c r="DN874" s="73"/>
      <c r="DO874" s="73"/>
      <c r="DP874" s="73"/>
      <c r="DQ874" s="73"/>
      <c r="DR874" s="73"/>
      <c r="DS874" s="73"/>
      <c r="DT874" s="73"/>
      <c r="DU874" s="73"/>
      <c r="DV874" s="73"/>
      <c r="DW874" s="73"/>
      <c r="DX874" s="73"/>
      <c r="DY874" s="73"/>
      <c r="DZ874" s="73"/>
      <c r="EA874" s="73"/>
      <c r="EB874" s="73"/>
      <c r="EC874" s="73"/>
      <c r="ED874" s="73"/>
      <c r="EE874" s="73"/>
      <c r="EF874" s="73"/>
      <c r="FJ874" s="73"/>
      <c r="FK874" s="73"/>
      <c r="FL874" s="73"/>
      <c r="FM874" s="73"/>
      <c r="FN874" s="73"/>
      <c r="FO874" s="73"/>
      <c r="FP874" s="73"/>
      <c r="FQ874" s="73"/>
      <c r="FR874" s="73"/>
      <c r="FS874" s="73"/>
      <c r="FT874" s="73"/>
      <c r="FU874" s="73"/>
      <c r="FV874" s="73"/>
      <c r="FW874" s="73"/>
      <c r="FX874" s="73"/>
      <c r="GO874" s="73"/>
      <c r="GP874" s="73"/>
      <c r="HE874" s="73"/>
      <c r="HU874" s="73"/>
      <c r="HV874" s="182"/>
    </row>
    <row r="875" spans="1:230" x14ac:dyDescent="0.25">
      <c r="A875" s="30"/>
      <c r="B875" s="30"/>
      <c r="C875" s="30"/>
      <c r="D875" s="30"/>
      <c r="G875" s="30"/>
      <c r="H875" s="30"/>
      <c r="I875" s="30"/>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c r="CA875" s="73"/>
      <c r="CB875" s="73"/>
      <c r="CC875" s="73"/>
      <c r="CD875" s="73"/>
      <c r="CE875" s="73"/>
      <c r="CF875" s="73"/>
      <c r="CG875" s="73"/>
      <c r="CH875" s="73"/>
      <c r="CI875" s="73"/>
      <c r="CJ875" s="73"/>
      <c r="CK875" s="73"/>
      <c r="CL875" s="73"/>
      <c r="CM875" s="73"/>
      <c r="CN875" s="73"/>
      <c r="CO875" s="73"/>
      <c r="CP875" s="73"/>
      <c r="CQ875" s="73"/>
      <c r="CR875" s="73"/>
      <c r="CS875" s="73"/>
      <c r="CT875" s="73"/>
      <c r="CU875" s="73"/>
      <c r="CV875" s="73"/>
      <c r="CW875" s="73"/>
      <c r="CX875" s="73"/>
      <c r="CY875" s="73"/>
      <c r="CZ875" s="73"/>
      <c r="DA875" s="73"/>
      <c r="DB875" s="73"/>
      <c r="DC875" s="73"/>
      <c r="DD875" s="73"/>
      <c r="DE875" s="73"/>
      <c r="DF875" s="73"/>
      <c r="DG875" s="73"/>
      <c r="DH875" s="73"/>
      <c r="DI875" s="73"/>
      <c r="DJ875" s="73"/>
      <c r="DK875" s="73"/>
      <c r="DL875" s="73"/>
      <c r="DM875" s="73"/>
      <c r="DN875" s="73"/>
      <c r="DO875" s="73"/>
      <c r="DP875" s="73"/>
      <c r="DQ875" s="73"/>
      <c r="DR875" s="73"/>
      <c r="DS875" s="73"/>
      <c r="DT875" s="73"/>
      <c r="DU875" s="73"/>
      <c r="DV875" s="73"/>
      <c r="DW875" s="73"/>
      <c r="DX875" s="73"/>
      <c r="DY875" s="73"/>
      <c r="DZ875" s="73"/>
      <c r="EA875" s="73"/>
      <c r="EB875" s="73"/>
      <c r="EC875" s="73"/>
      <c r="ED875" s="73"/>
      <c r="EE875" s="73"/>
      <c r="EF875" s="73"/>
      <c r="FJ875" s="73"/>
      <c r="FK875" s="73"/>
      <c r="FL875" s="73"/>
      <c r="FM875" s="73"/>
      <c r="FN875" s="73"/>
      <c r="FO875" s="73"/>
      <c r="FP875" s="73"/>
      <c r="FQ875" s="73"/>
      <c r="FR875" s="73"/>
      <c r="FS875" s="73"/>
      <c r="FT875" s="73"/>
      <c r="FU875" s="73"/>
      <c r="FV875" s="73"/>
      <c r="FW875" s="73"/>
      <c r="FX875" s="73"/>
      <c r="GO875" s="73"/>
      <c r="GP875" s="73"/>
      <c r="HE875" s="73"/>
      <c r="HU875" s="73"/>
      <c r="HV875" s="182"/>
    </row>
    <row r="876" spans="1:230" x14ac:dyDescent="0.25">
      <c r="A876" s="30"/>
      <c r="B876" s="30"/>
      <c r="C876" s="30"/>
      <c r="D876" s="30"/>
      <c r="G876" s="30"/>
      <c r="H876" s="30"/>
      <c r="I876" s="30"/>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c r="CA876" s="73"/>
      <c r="CB876" s="73"/>
      <c r="CC876" s="73"/>
      <c r="CD876" s="73"/>
      <c r="CE876" s="73"/>
      <c r="CF876" s="73"/>
      <c r="CG876" s="73"/>
      <c r="CH876" s="73"/>
      <c r="CI876" s="73"/>
      <c r="CJ876" s="73"/>
      <c r="CK876" s="73"/>
      <c r="CL876" s="73"/>
      <c r="CM876" s="73"/>
      <c r="CN876" s="73"/>
      <c r="CO876" s="73"/>
      <c r="CP876" s="73"/>
      <c r="CQ876" s="73"/>
      <c r="CR876" s="73"/>
      <c r="CS876" s="73"/>
      <c r="CT876" s="73"/>
      <c r="CU876" s="73"/>
      <c r="CV876" s="73"/>
      <c r="CW876" s="73"/>
      <c r="CX876" s="73"/>
      <c r="CY876" s="73"/>
      <c r="CZ876" s="73"/>
      <c r="DA876" s="73"/>
      <c r="DB876" s="73"/>
      <c r="DC876" s="73"/>
      <c r="DD876" s="73"/>
      <c r="DE876" s="73"/>
      <c r="DF876" s="73"/>
      <c r="DG876" s="73"/>
      <c r="DH876" s="73"/>
      <c r="DI876" s="73"/>
      <c r="DJ876" s="73"/>
      <c r="DK876" s="73"/>
      <c r="DL876" s="73"/>
      <c r="DM876" s="73"/>
      <c r="DN876" s="73"/>
      <c r="DO876" s="73"/>
      <c r="DP876" s="73"/>
      <c r="DQ876" s="73"/>
      <c r="DR876" s="73"/>
      <c r="DS876" s="73"/>
      <c r="DT876" s="73"/>
      <c r="DU876" s="73"/>
      <c r="DV876" s="73"/>
      <c r="DW876" s="73"/>
      <c r="DX876" s="73"/>
      <c r="DY876" s="73"/>
      <c r="DZ876" s="73"/>
      <c r="EA876" s="73"/>
      <c r="EB876" s="73"/>
      <c r="EC876" s="73"/>
      <c r="ED876" s="73"/>
      <c r="EE876" s="73"/>
      <c r="EF876" s="73"/>
      <c r="FJ876" s="73"/>
      <c r="FK876" s="73"/>
      <c r="FL876" s="73"/>
      <c r="FM876" s="73"/>
      <c r="FN876" s="73"/>
      <c r="FO876" s="73"/>
      <c r="FP876" s="73"/>
      <c r="FQ876" s="73"/>
      <c r="FR876" s="73"/>
      <c r="FS876" s="73"/>
      <c r="FT876" s="73"/>
      <c r="FU876" s="73"/>
      <c r="FV876" s="73"/>
      <c r="FW876" s="73"/>
      <c r="FX876" s="73"/>
      <c r="GO876" s="73"/>
      <c r="GP876" s="73"/>
      <c r="HE876" s="73"/>
      <c r="HU876" s="73"/>
      <c r="HV876" s="182"/>
    </row>
    <row r="877" spans="1:230" x14ac:dyDescent="0.25">
      <c r="A877" s="30"/>
      <c r="B877" s="30"/>
      <c r="C877" s="30"/>
      <c r="D877" s="30"/>
      <c r="G877" s="30"/>
      <c r="H877" s="30"/>
      <c r="I877" s="30"/>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c r="CA877" s="73"/>
      <c r="CB877" s="73"/>
      <c r="CC877" s="73"/>
      <c r="CD877" s="73"/>
      <c r="CE877" s="73"/>
      <c r="CF877" s="73"/>
      <c r="CG877" s="73"/>
      <c r="CH877" s="73"/>
      <c r="CI877" s="73"/>
      <c r="CJ877" s="73"/>
      <c r="CK877" s="73"/>
      <c r="CL877" s="73"/>
      <c r="CM877" s="73"/>
      <c r="CN877" s="73"/>
      <c r="CO877" s="73"/>
      <c r="CP877" s="73"/>
      <c r="CQ877" s="73"/>
      <c r="CR877" s="73"/>
      <c r="CS877" s="73"/>
      <c r="CT877" s="73"/>
      <c r="CU877" s="73"/>
      <c r="CV877" s="73"/>
      <c r="CW877" s="73"/>
      <c r="CX877" s="73"/>
      <c r="CY877" s="73"/>
      <c r="CZ877" s="73"/>
      <c r="DA877" s="73"/>
      <c r="DB877" s="73"/>
      <c r="DC877" s="73"/>
      <c r="DD877" s="73"/>
      <c r="DE877" s="73"/>
      <c r="DF877" s="73"/>
      <c r="DG877" s="73"/>
      <c r="DH877" s="73"/>
      <c r="DI877" s="73"/>
      <c r="DJ877" s="73"/>
      <c r="DK877" s="73"/>
      <c r="DL877" s="73"/>
      <c r="DM877" s="73"/>
      <c r="DN877" s="73"/>
      <c r="DO877" s="73"/>
      <c r="DP877" s="73"/>
      <c r="DQ877" s="73"/>
      <c r="DR877" s="73"/>
      <c r="DS877" s="73"/>
      <c r="DT877" s="73"/>
      <c r="DU877" s="73"/>
      <c r="DV877" s="73"/>
      <c r="DW877" s="73"/>
      <c r="DX877" s="73"/>
      <c r="DY877" s="73"/>
      <c r="DZ877" s="73"/>
      <c r="EA877" s="73"/>
      <c r="EB877" s="73"/>
      <c r="EC877" s="73"/>
      <c r="ED877" s="73"/>
      <c r="EE877" s="73"/>
      <c r="EF877" s="73"/>
      <c r="FJ877" s="73"/>
      <c r="FK877" s="73"/>
      <c r="FL877" s="73"/>
      <c r="FM877" s="73"/>
      <c r="FN877" s="73"/>
      <c r="FO877" s="73"/>
      <c r="FP877" s="73"/>
      <c r="FQ877" s="73"/>
      <c r="FR877" s="73"/>
      <c r="FS877" s="73"/>
      <c r="FT877" s="73"/>
      <c r="FU877" s="73"/>
      <c r="FV877" s="73"/>
      <c r="FW877" s="73"/>
      <c r="FX877" s="73"/>
      <c r="GO877" s="73"/>
      <c r="GP877" s="73"/>
      <c r="HE877" s="73"/>
      <c r="HU877" s="73"/>
      <c r="HV877" s="182"/>
    </row>
    <row r="878" spans="1:230" x14ac:dyDescent="0.25">
      <c r="A878" s="30"/>
      <c r="B878" s="30"/>
      <c r="C878" s="30"/>
      <c r="D878" s="30"/>
      <c r="G878" s="30"/>
      <c r="H878" s="30"/>
      <c r="I878" s="30"/>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c r="CA878" s="73"/>
      <c r="CB878" s="73"/>
      <c r="CC878" s="73"/>
      <c r="CD878" s="73"/>
      <c r="CE878" s="73"/>
      <c r="CF878" s="73"/>
      <c r="CG878" s="73"/>
      <c r="CH878" s="73"/>
      <c r="CI878" s="73"/>
      <c r="CJ878" s="73"/>
      <c r="CK878" s="73"/>
      <c r="CL878" s="73"/>
      <c r="CM878" s="73"/>
      <c r="CN878" s="73"/>
      <c r="CO878" s="73"/>
      <c r="CP878" s="73"/>
      <c r="CQ878" s="73"/>
      <c r="CR878" s="73"/>
      <c r="CS878" s="73"/>
      <c r="CT878" s="73"/>
      <c r="CU878" s="73"/>
      <c r="CV878" s="73"/>
      <c r="CW878" s="73"/>
      <c r="CX878" s="73"/>
      <c r="CY878" s="73"/>
      <c r="CZ878" s="73"/>
      <c r="DA878" s="73"/>
      <c r="DB878" s="73"/>
      <c r="DC878" s="73"/>
      <c r="DD878" s="73"/>
      <c r="DE878" s="73"/>
      <c r="DF878" s="73"/>
      <c r="DG878" s="73"/>
      <c r="DH878" s="73"/>
      <c r="DI878" s="73"/>
      <c r="DJ878" s="73"/>
      <c r="DK878" s="73"/>
      <c r="DL878" s="73"/>
      <c r="DM878" s="73"/>
      <c r="DN878" s="73"/>
      <c r="DO878" s="73"/>
      <c r="DP878" s="73"/>
      <c r="DQ878" s="73"/>
      <c r="DR878" s="73"/>
      <c r="DS878" s="73"/>
      <c r="DT878" s="73"/>
      <c r="DU878" s="73"/>
      <c r="DV878" s="73"/>
      <c r="DW878" s="73"/>
      <c r="DX878" s="73"/>
      <c r="DY878" s="73"/>
      <c r="DZ878" s="73"/>
      <c r="EA878" s="73"/>
      <c r="EB878" s="73"/>
      <c r="EC878" s="73"/>
      <c r="ED878" s="73"/>
      <c r="EE878" s="73"/>
      <c r="EF878" s="73"/>
      <c r="FJ878" s="73"/>
      <c r="FK878" s="73"/>
      <c r="FL878" s="73"/>
      <c r="FM878" s="73"/>
      <c r="FN878" s="73"/>
      <c r="FO878" s="73"/>
      <c r="FP878" s="73"/>
      <c r="FQ878" s="73"/>
      <c r="FR878" s="73"/>
      <c r="FS878" s="73"/>
      <c r="FT878" s="73"/>
      <c r="FU878" s="73"/>
      <c r="FV878" s="73"/>
      <c r="FW878" s="73"/>
      <c r="FX878" s="73"/>
      <c r="GO878" s="73"/>
      <c r="GP878" s="73"/>
      <c r="HE878" s="73"/>
      <c r="HU878" s="73"/>
      <c r="HV878" s="182"/>
    </row>
    <row r="879" spans="1:230" x14ac:dyDescent="0.25">
      <c r="A879" s="30"/>
      <c r="B879" s="30"/>
      <c r="C879" s="30"/>
      <c r="D879" s="30"/>
      <c r="G879" s="30"/>
      <c r="H879" s="30"/>
      <c r="I879" s="30"/>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c r="CA879" s="73"/>
      <c r="CB879" s="73"/>
      <c r="CC879" s="73"/>
      <c r="CD879" s="73"/>
      <c r="CE879" s="73"/>
      <c r="CF879" s="73"/>
      <c r="CG879" s="73"/>
      <c r="CH879" s="73"/>
      <c r="CI879" s="73"/>
      <c r="CJ879" s="73"/>
      <c r="CK879" s="73"/>
      <c r="CL879" s="73"/>
      <c r="CM879" s="73"/>
      <c r="CN879" s="73"/>
      <c r="CO879" s="73"/>
      <c r="CP879" s="73"/>
      <c r="CQ879" s="73"/>
      <c r="CR879" s="73"/>
      <c r="CS879" s="73"/>
      <c r="CT879" s="73"/>
      <c r="CU879" s="73"/>
      <c r="CV879" s="73"/>
      <c r="CW879" s="73"/>
      <c r="CX879" s="73"/>
      <c r="CY879" s="73"/>
      <c r="CZ879" s="73"/>
      <c r="DA879" s="73"/>
      <c r="DB879" s="73"/>
      <c r="DC879" s="73"/>
      <c r="DD879" s="73"/>
      <c r="DE879" s="73"/>
      <c r="DF879" s="73"/>
      <c r="DG879" s="73"/>
      <c r="DH879" s="73"/>
      <c r="DI879" s="73"/>
      <c r="DJ879" s="73"/>
      <c r="DK879" s="73"/>
      <c r="DL879" s="73"/>
      <c r="DM879" s="73"/>
      <c r="DN879" s="73"/>
      <c r="DO879" s="73"/>
      <c r="DP879" s="73"/>
      <c r="DQ879" s="73"/>
      <c r="DR879" s="73"/>
      <c r="DS879" s="73"/>
      <c r="DT879" s="73"/>
      <c r="DU879" s="73"/>
      <c r="DV879" s="73"/>
      <c r="DW879" s="73"/>
      <c r="DX879" s="73"/>
      <c r="DY879" s="73"/>
      <c r="DZ879" s="73"/>
      <c r="EA879" s="73"/>
      <c r="EB879" s="73"/>
      <c r="EC879" s="73"/>
      <c r="ED879" s="73"/>
      <c r="EE879" s="73"/>
      <c r="EF879" s="73"/>
      <c r="FJ879" s="73"/>
      <c r="FK879" s="73"/>
      <c r="FL879" s="73"/>
      <c r="FM879" s="73"/>
      <c r="FN879" s="73"/>
      <c r="FO879" s="73"/>
      <c r="FP879" s="73"/>
      <c r="FQ879" s="73"/>
      <c r="FR879" s="73"/>
      <c r="FS879" s="73"/>
      <c r="FT879" s="73"/>
      <c r="FU879" s="73"/>
      <c r="FV879" s="73"/>
      <c r="FW879" s="73"/>
      <c r="FX879" s="73"/>
      <c r="GO879" s="73"/>
      <c r="GP879" s="73"/>
      <c r="HE879" s="73"/>
      <c r="HU879" s="73"/>
      <c r="HV879" s="182"/>
    </row>
    <row r="880" spans="1:230" x14ac:dyDescent="0.25">
      <c r="A880" s="30"/>
      <c r="B880" s="30"/>
      <c r="C880" s="30"/>
      <c r="D880" s="30"/>
      <c r="G880" s="30"/>
      <c r="H880" s="30"/>
      <c r="I880" s="30"/>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c r="CA880" s="73"/>
      <c r="CB880" s="73"/>
      <c r="CC880" s="73"/>
      <c r="CD880" s="73"/>
      <c r="CE880" s="73"/>
      <c r="CF880" s="73"/>
      <c r="CG880" s="73"/>
      <c r="CH880" s="73"/>
      <c r="CI880" s="73"/>
      <c r="CJ880" s="73"/>
      <c r="CK880" s="73"/>
      <c r="CL880" s="73"/>
      <c r="CM880" s="73"/>
      <c r="CN880" s="73"/>
      <c r="CO880" s="73"/>
      <c r="CP880" s="73"/>
      <c r="CQ880" s="73"/>
      <c r="CR880" s="73"/>
      <c r="CS880" s="73"/>
      <c r="CT880" s="73"/>
      <c r="CU880" s="73"/>
      <c r="CV880" s="73"/>
      <c r="CW880" s="73"/>
      <c r="CX880" s="73"/>
      <c r="CY880" s="73"/>
      <c r="CZ880" s="73"/>
      <c r="DA880" s="73"/>
      <c r="DB880" s="73"/>
      <c r="DC880" s="73"/>
      <c r="DD880" s="73"/>
      <c r="DE880" s="73"/>
      <c r="DF880" s="73"/>
      <c r="DG880" s="73"/>
      <c r="DH880" s="73"/>
      <c r="DI880" s="73"/>
      <c r="DJ880" s="73"/>
      <c r="DK880" s="73"/>
      <c r="DL880" s="73"/>
      <c r="DM880" s="73"/>
      <c r="DN880" s="73"/>
      <c r="DO880" s="73"/>
      <c r="DP880" s="73"/>
      <c r="DQ880" s="73"/>
      <c r="DR880" s="73"/>
      <c r="DS880" s="73"/>
      <c r="DT880" s="73"/>
      <c r="DU880" s="73"/>
      <c r="DV880" s="73"/>
      <c r="DW880" s="73"/>
      <c r="DX880" s="73"/>
      <c r="DY880" s="73"/>
      <c r="DZ880" s="73"/>
      <c r="EA880" s="73"/>
      <c r="EB880" s="73"/>
      <c r="EC880" s="73"/>
      <c r="ED880" s="73"/>
      <c r="EE880" s="73"/>
      <c r="EF880" s="73"/>
      <c r="FJ880" s="73"/>
      <c r="FK880" s="73"/>
      <c r="FL880" s="73"/>
      <c r="FM880" s="73"/>
      <c r="FN880" s="73"/>
      <c r="FO880" s="73"/>
      <c r="FP880" s="73"/>
      <c r="FQ880" s="73"/>
      <c r="FR880" s="73"/>
      <c r="FS880" s="73"/>
      <c r="FT880" s="73"/>
      <c r="FU880" s="73"/>
      <c r="FV880" s="73"/>
      <c r="FW880" s="73"/>
      <c r="FX880" s="73"/>
      <c r="GO880" s="73"/>
      <c r="GP880" s="73"/>
      <c r="HE880" s="73"/>
      <c r="HU880" s="73"/>
      <c r="HV880" s="182"/>
    </row>
    <row r="881" spans="1:230" x14ac:dyDescent="0.25">
      <c r="A881" s="30"/>
      <c r="B881" s="30"/>
      <c r="C881" s="30"/>
      <c r="D881" s="30"/>
      <c r="G881" s="30"/>
      <c r="H881" s="30"/>
      <c r="I881" s="30"/>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c r="CA881" s="73"/>
      <c r="CB881" s="73"/>
      <c r="CC881" s="73"/>
      <c r="CD881" s="73"/>
      <c r="CE881" s="73"/>
      <c r="CF881" s="73"/>
      <c r="CG881" s="73"/>
      <c r="CH881" s="73"/>
      <c r="CI881" s="73"/>
      <c r="CJ881" s="73"/>
      <c r="CK881" s="73"/>
      <c r="CL881" s="73"/>
      <c r="CM881" s="73"/>
      <c r="CN881" s="73"/>
      <c r="CO881" s="73"/>
      <c r="CP881" s="73"/>
      <c r="CQ881" s="73"/>
      <c r="CR881" s="73"/>
      <c r="CS881" s="73"/>
      <c r="CT881" s="73"/>
      <c r="CU881" s="73"/>
      <c r="CV881" s="73"/>
      <c r="CW881" s="73"/>
      <c r="CX881" s="73"/>
      <c r="CY881" s="73"/>
      <c r="CZ881" s="73"/>
      <c r="DA881" s="73"/>
      <c r="DB881" s="73"/>
      <c r="DC881" s="73"/>
      <c r="DD881" s="73"/>
      <c r="DE881" s="73"/>
      <c r="DF881" s="73"/>
      <c r="DG881" s="73"/>
      <c r="DH881" s="73"/>
      <c r="DI881" s="73"/>
      <c r="DJ881" s="73"/>
      <c r="DK881" s="73"/>
      <c r="DL881" s="73"/>
      <c r="DM881" s="73"/>
      <c r="DN881" s="73"/>
      <c r="DO881" s="73"/>
      <c r="DP881" s="73"/>
      <c r="DQ881" s="73"/>
      <c r="DR881" s="73"/>
      <c r="DS881" s="73"/>
      <c r="DT881" s="73"/>
      <c r="DU881" s="73"/>
      <c r="DV881" s="73"/>
      <c r="DW881" s="73"/>
      <c r="DX881" s="73"/>
      <c r="DY881" s="73"/>
      <c r="DZ881" s="73"/>
      <c r="EA881" s="73"/>
      <c r="EB881" s="73"/>
      <c r="EC881" s="73"/>
      <c r="ED881" s="73"/>
      <c r="EE881" s="73"/>
      <c r="EF881" s="73"/>
      <c r="FJ881" s="73"/>
      <c r="FK881" s="73"/>
      <c r="FL881" s="73"/>
      <c r="FM881" s="73"/>
      <c r="FN881" s="73"/>
      <c r="FO881" s="73"/>
      <c r="FP881" s="73"/>
      <c r="FQ881" s="73"/>
      <c r="FR881" s="73"/>
      <c r="FS881" s="73"/>
      <c r="FT881" s="73"/>
      <c r="FU881" s="73"/>
      <c r="FV881" s="73"/>
      <c r="FW881" s="73"/>
      <c r="FX881" s="73"/>
      <c r="GO881" s="73"/>
      <c r="GP881" s="73"/>
      <c r="HE881" s="73"/>
      <c r="HU881" s="73"/>
      <c r="HV881" s="182"/>
    </row>
    <row r="882" spans="1:230" x14ac:dyDescent="0.25">
      <c r="A882" s="30"/>
      <c r="B882" s="30"/>
      <c r="C882" s="30"/>
      <c r="D882" s="30"/>
      <c r="G882" s="30"/>
      <c r="H882" s="30"/>
      <c r="I882" s="30"/>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D882" s="73"/>
      <c r="CE882" s="73"/>
      <c r="CF882" s="73"/>
      <c r="CG882" s="73"/>
      <c r="CH882" s="73"/>
      <c r="CI882" s="73"/>
      <c r="CJ882" s="73"/>
      <c r="CK882" s="73"/>
      <c r="CL882" s="73"/>
      <c r="CM882" s="73"/>
      <c r="CN882" s="73"/>
      <c r="CO882" s="73"/>
      <c r="CP882" s="73"/>
      <c r="CQ882" s="73"/>
      <c r="CR882" s="73"/>
      <c r="CS882" s="73"/>
      <c r="CT882" s="73"/>
      <c r="CU882" s="73"/>
      <c r="CV882" s="73"/>
      <c r="CW882" s="73"/>
      <c r="CX882" s="73"/>
      <c r="CY882" s="73"/>
      <c r="CZ882" s="73"/>
      <c r="DA882" s="73"/>
      <c r="DB882" s="73"/>
      <c r="DC882" s="73"/>
      <c r="DD882" s="73"/>
      <c r="DE882" s="73"/>
      <c r="DF882" s="73"/>
      <c r="DG882" s="73"/>
      <c r="DH882" s="73"/>
      <c r="DI882" s="73"/>
      <c r="DJ882" s="73"/>
      <c r="DK882" s="73"/>
      <c r="DL882" s="73"/>
      <c r="DM882" s="73"/>
      <c r="DN882" s="73"/>
      <c r="DO882" s="73"/>
      <c r="DP882" s="73"/>
      <c r="DQ882" s="73"/>
      <c r="DR882" s="73"/>
      <c r="DS882" s="73"/>
      <c r="DT882" s="73"/>
      <c r="DU882" s="73"/>
      <c r="DV882" s="73"/>
      <c r="DW882" s="73"/>
      <c r="DX882" s="73"/>
      <c r="DY882" s="73"/>
      <c r="DZ882" s="73"/>
      <c r="EA882" s="73"/>
      <c r="EB882" s="73"/>
      <c r="EC882" s="73"/>
      <c r="ED882" s="73"/>
      <c r="EE882" s="73"/>
      <c r="EF882" s="73"/>
      <c r="FJ882" s="73"/>
      <c r="FK882" s="73"/>
      <c r="FL882" s="73"/>
      <c r="FM882" s="73"/>
      <c r="FN882" s="73"/>
      <c r="FO882" s="73"/>
      <c r="FP882" s="73"/>
      <c r="FQ882" s="73"/>
      <c r="FR882" s="73"/>
      <c r="FS882" s="73"/>
      <c r="FT882" s="73"/>
      <c r="FU882" s="73"/>
      <c r="FV882" s="73"/>
      <c r="FW882" s="73"/>
      <c r="FX882" s="73"/>
      <c r="GO882" s="73"/>
      <c r="GP882" s="73"/>
      <c r="HE882" s="73"/>
      <c r="HU882" s="73"/>
      <c r="HV882" s="182"/>
    </row>
    <row r="883" spans="1:230" x14ac:dyDescent="0.25">
      <c r="A883" s="30"/>
      <c r="B883" s="30"/>
      <c r="C883" s="30"/>
      <c r="D883" s="30"/>
      <c r="G883" s="30"/>
      <c r="H883" s="30"/>
      <c r="I883" s="30"/>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D883" s="73"/>
      <c r="CE883" s="73"/>
      <c r="CF883" s="73"/>
      <c r="CG883" s="73"/>
      <c r="CH883" s="73"/>
      <c r="CI883" s="73"/>
      <c r="CJ883" s="73"/>
      <c r="CK883" s="73"/>
      <c r="CL883" s="73"/>
      <c r="CM883" s="73"/>
      <c r="CN883" s="73"/>
      <c r="CO883" s="73"/>
      <c r="CP883" s="73"/>
      <c r="CQ883" s="73"/>
      <c r="CR883" s="73"/>
      <c r="CS883" s="73"/>
      <c r="CT883" s="73"/>
      <c r="CU883" s="73"/>
      <c r="CV883" s="73"/>
      <c r="CW883" s="73"/>
      <c r="CX883" s="73"/>
      <c r="CY883" s="73"/>
      <c r="CZ883" s="73"/>
      <c r="DA883" s="73"/>
      <c r="DB883" s="73"/>
      <c r="DC883" s="73"/>
      <c r="DD883" s="73"/>
      <c r="DE883" s="73"/>
      <c r="DF883" s="73"/>
      <c r="DG883" s="73"/>
      <c r="DH883" s="73"/>
      <c r="DI883" s="73"/>
      <c r="DJ883" s="73"/>
      <c r="DK883" s="73"/>
      <c r="DL883" s="73"/>
      <c r="DM883" s="73"/>
      <c r="DN883" s="73"/>
      <c r="DO883" s="73"/>
      <c r="DP883" s="73"/>
      <c r="DQ883" s="73"/>
      <c r="DR883" s="73"/>
      <c r="DS883" s="73"/>
      <c r="DT883" s="73"/>
      <c r="DU883" s="73"/>
      <c r="DV883" s="73"/>
      <c r="DW883" s="73"/>
      <c r="DX883" s="73"/>
      <c r="DY883" s="73"/>
      <c r="DZ883" s="73"/>
      <c r="EA883" s="73"/>
      <c r="EB883" s="73"/>
      <c r="EC883" s="73"/>
      <c r="ED883" s="73"/>
      <c r="EE883" s="73"/>
      <c r="EF883" s="73"/>
      <c r="FJ883" s="73"/>
      <c r="FK883" s="73"/>
      <c r="FL883" s="73"/>
      <c r="FM883" s="73"/>
      <c r="FN883" s="73"/>
      <c r="FO883" s="73"/>
      <c r="FP883" s="73"/>
      <c r="FQ883" s="73"/>
      <c r="FR883" s="73"/>
      <c r="FS883" s="73"/>
      <c r="FT883" s="73"/>
      <c r="FU883" s="73"/>
      <c r="FV883" s="73"/>
      <c r="FW883" s="73"/>
      <c r="FX883" s="73"/>
      <c r="GO883" s="73"/>
      <c r="GP883" s="73"/>
      <c r="HE883" s="73"/>
      <c r="HU883" s="73"/>
      <c r="HV883" s="182"/>
    </row>
    <row r="884" spans="1:230" x14ac:dyDescent="0.25">
      <c r="A884" s="30"/>
      <c r="B884" s="30"/>
      <c r="C884" s="30"/>
      <c r="D884" s="30"/>
      <c r="G884" s="30"/>
      <c r="H884" s="30"/>
      <c r="I884" s="30"/>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D884" s="73"/>
      <c r="CE884" s="73"/>
      <c r="CF884" s="73"/>
      <c r="CG884" s="73"/>
      <c r="CH884" s="73"/>
      <c r="CI884" s="73"/>
      <c r="CJ884" s="73"/>
      <c r="CK884" s="73"/>
      <c r="CL884" s="73"/>
      <c r="CM884" s="73"/>
      <c r="CN884" s="73"/>
      <c r="CO884" s="73"/>
      <c r="CP884" s="73"/>
      <c r="CQ884" s="73"/>
      <c r="CR884" s="73"/>
      <c r="CS884" s="73"/>
      <c r="CT884" s="73"/>
      <c r="CU884" s="73"/>
      <c r="CV884" s="73"/>
      <c r="CW884" s="73"/>
      <c r="CX884" s="73"/>
      <c r="CY884" s="73"/>
      <c r="CZ884" s="73"/>
      <c r="DA884" s="73"/>
      <c r="DB884" s="73"/>
      <c r="DC884" s="73"/>
      <c r="DD884" s="73"/>
      <c r="DE884" s="73"/>
      <c r="DF884" s="73"/>
      <c r="DG884" s="73"/>
      <c r="DH884" s="73"/>
      <c r="DI884" s="73"/>
      <c r="DJ884" s="73"/>
      <c r="DK884" s="73"/>
      <c r="DL884" s="73"/>
      <c r="DM884" s="73"/>
      <c r="DN884" s="73"/>
      <c r="DO884" s="73"/>
      <c r="DP884" s="73"/>
      <c r="DQ884" s="73"/>
      <c r="DR884" s="73"/>
      <c r="DS884" s="73"/>
      <c r="DT884" s="73"/>
      <c r="DU884" s="73"/>
      <c r="DV884" s="73"/>
      <c r="DW884" s="73"/>
      <c r="DX884" s="73"/>
      <c r="DY884" s="73"/>
      <c r="DZ884" s="73"/>
      <c r="EA884" s="73"/>
      <c r="EB884" s="73"/>
      <c r="EC884" s="73"/>
      <c r="ED884" s="73"/>
      <c r="EE884" s="73"/>
      <c r="EF884" s="73"/>
      <c r="FJ884" s="73"/>
      <c r="FK884" s="73"/>
      <c r="FL884" s="73"/>
      <c r="FM884" s="73"/>
      <c r="FN884" s="73"/>
      <c r="FO884" s="73"/>
      <c r="FP884" s="73"/>
      <c r="FQ884" s="73"/>
      <c r="FR884" s="73"/>
      <c r="FS884" s="73"/>
      <c r="FT884" s="73"/>
      <c r="FU884" s="73"/>
      <c r="FV884" s="73"/>
      <c r="FW884" s="73"/>
      <c r="FX884" s="73"/>
      <c r="GO884" s="73"/>
      <c r="GP884" s="73"/>
      <c r="HE884" s="73"/>
      <c r="HU884" s="73"/>
      <c r="HV884" s="182"/>
    </row>
    <row r="885" spans="1:230" x14ac:dyDescent="0.25">
      <c r="A885" s="30"/>
      <c r="B885" s="30"/>
      <c r="C885" s="30"/>
      <c r="D885" s="30"/>
      <c r="G885" s="30"/>
      <c r="H885" s="30"/>
      <c r="I885" s="30"/>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D885" s="73"/>
      <c r="CE885" s="73"/>
      <c r="CF885" s="73"/>
      <c r="CG885" s="73"/>
      <c r="CH885" s="73"/>
      <c r="CI885" s="73"/>
      <c r="CJ885" s="73"/>
      <c r="CK885" s="73"/>
      <c r="CL885" s="73"/>
      <c r="CM885" s="73"/>
      <c r="CN885" s="73"/>
      <c r="CO885" s="73"/>
      <c r="CP885" s="73"/>
      <c r="CQ885" s="73"/>
      <c r="CR885" s="73"/>
      <c r="CS885" s="73"/>
      <c r="CT885" s="73"/>
      <c r="CU885" s="73"/>
      <c r="CV885" s="73"/>
      <c r="CW885" s="73"/>
      <c r="CX885" s="73"/>
      <c r="CY885" s="73"/>
      <c r="CZ885" s="73"/>
      <c r="DA885" s="73"/>
      <c r="DB885" s="73"/>
      <c r="DC885" s="73"/>
      <c r="DD885" s="73"/>
      <c r="DE885" s="73"/>
      <c r="DF885" s="73"/>
      <c r="DG885" s="73"/>
      <c r="DH885" s="73"/>
      <c r="DI885" s="73"/>
      <c r="DJ885" s="73"/>
      <c r="DK885" s="73"/>
      <c r="DL885" s="73"/>
      <c r="DM885" s="73"/>
      <c r="DN885" s="73"/>
      <c r="DO885" s="73"/>
      <c r="DP885" s="73"/>
      <c r="DQ885" s="73"/>
      <c r="DR885" s="73"/>
      <c r="DS885" s="73"/>
      <c r="DT885" s="73"/>
      <c r="DU885" s="73"/>
      <c r="DV885" s="73"/>
      <c r="DW885" s="73"/>
      <c r="DX885" s="73"/>
      <c r="DY885" s="73"/>
      <c r="DZ885" s="73"/>
      <c r="EA885" s="73"/>
      <c r="EB885" s="73"/>
      <c r="EC885" s="73"/>
      <c r="ED885" s="73"/>
      <c r="EE885" s="73"/>
      <c r="EF885" s="73"/>
      <c r="FJ885" s="73"/>
      <c r="FK885" s="73"/>
      <c r="FL885" s="73"/>
      <c r="FM885" s="73"/>
      <c r="FN885" s="73"/>
      <c r="FO885" s="73"/>
      <c r="FP885" s="73"/>
      <c r="FQ885" s="73"/>
      <c r="FR885" s="73"/>
      <c r="FS885" s="73"/>
      <c r="FT885" s="73"/>
      <c r="FU885" s="73"/>
      <c r="FV885" s="73"/>
      <c r="FW885" s="73"/>
      <c r="FX885" s="73"/>
      <c r="GO885" s="73"/>
      <c r="GP885" s="73"/>
      <c r="HE885" s="73"/>
      <c r="HU885" s="73"/>
      <c r="HV885" s="182"/>
    </row>
    <row r="886" spans="1:230" x14ac:dyDescent="0.25">
      <c r="A886" s="30"/>
      <c r="B886" s="30"/>
      <c r="C886" s="30"/>
      <c r="D886" s="30"/>
      <c r="G886" s="30"/>
      <c r="H886" s="30"/>
      <c r="I886" s="30"/>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D886" s="73"/>
      <c r="CE886" s="73"/>
      <c r="CF886" s="73"/>
      <c r="CG886" s="73"/>
      <c r="CH886" s="73"/>
      <c r="CI886" s="73"/>
      <c r="CJ886" s="73"/>
      <c r="CK886" s="73"/>
      <c r="CL886" s="73"/>
      <c r="CM886" s="73"/>
      <c r="CN886" s="73"/>
      <c r="CO886" s="73"/>
      <c r="CP886" s="73"/>
      <c r="CQ886" s="73"/>
      <c r="CR886" s="73"/>
      <c r="CS886" s="73"/>
      <c r="CT886" s="73"/>
      <c r="CU886" s="73"/>
      <c r="CV886" s="73"/>
      <c r="CW886" s="73"/>
      <c r="CX886" s="73"/>
      <c r="CY886" s="73"/>
      <c r="CZ886" s="73"/>
      <c r="DA886" s="73"/>
      <c r="DB886" s="73"/>
      <c r="DC886" s="73"/>
      <c r="DD886" s="73"/>
      <c r="DE886" s="73"/>
      <c r="DF886" s="73"/>
      <c r="DG886" s="73"/>
      <c r="DH886" s="73"/>
      <c r="DI886" s="73"/>
      <c r="DJ886" s="73"/>
      <c r="DK886" s="73"/>
      <c r="DL886" s="73"/>
      <c r="DM886" s="73"/>
      <c r="DN886" s="73"/>
      <c r="DO886" s="73"/>
      <c r="DP886" s="73"/>
      <c r="DQ886" s="73"/>
      <c r="DR886" s="73"/>
      <c r="DS886" s="73"/>
      <c r="DT886" s="73"/>
      <c r="DU886" s="73"/>
      <c r="DV886" s="73"/>
      <c r="DW886" s="73"/>
      <c r="DX886" s="73"/>
      <c r="DY886" s="73"/>
      <c r="DZ886" s="73"/>
      <c r="EA886" s="73"/>
      <c r="EB886" s="73"/>
      <c r="EC886" s="73"/>
      <c r="ED886" s="73"/>
      <c r="EE886" s="73"/>
      <c r="EF886" s="73"/>
      <c r="FJ886" s="73"/>
      <c r="FK886" s="73"/>
      <c r="FL886" s="73"/>
      <c r="FM886" s="73"/>
      <c r="FN886" s="73"/>
      <c r="FO886" s="73"/>
      <c r="FP886" s="73"/>
      <c r="FQ886" s="73"/>
      <c r="FR886" s="73"/>
      <c r="FS886" s="73"/>
      <c r="FT886" s="73"/>
      <c r="FU886" s="73"/>
      <c r="FV886" s="73"/>
      <c r="FW886" s="73"/>
      <c r="FX886" s="73"/>
      <c r="GO886" s="73"/>
      <c r="GP886" s="73"/>
      <c r="HE886" s="73"/>
      <c r="HU886" s="73"/>
      <c r="HV886" s="182"/>
    </row>
    <row r="887" spans="1:230" x14ac:dyDescent="0.25">
      <c r="A887" s="30"/>
      <c r="B887" s="30"/>
      <c r="C887" s="30"/>
      <c r="D887" s="30"/>
      <c r="G887" s="30"/>
      <c r="H887" s="30"/>
      <c r="I887" s="30"/>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c r="CA887" s="73"/>
      <c r="CB887" s="73"/>
      <c r="CC887" s="73"/>
      <c r="CD887" s="73"/>
      <c r="CE887" s="73"/>
      <c r="CF887" s="73"/>
      <c r="CG887" s="73"/>
      <c r="CH887" s="73"/>
      <c r="CI887" s="73"/>
      <c r="CJ887" s="73"/>
      <c r="CK887" s="73"/>
      <c r="CL887" s="73"/>
      <c r="CM887" s="73"/>
      <c r="CN887" s="73"/>
      <c r="CO887" s="73"/>
      <c r="CP887" s="73"/>
      <c r="CQ887" s="73"/>
      <c r="CR887" s="73"/>
      <c r="CS887" s="73"/>
      <c r="CT887" s="73"/>
      <c r="CU887" s="73"/>
      <c r="CV887" s="73"/>
      <c r="CW887" s="73"/>
      <c r="CX887" s="73"/>
      <c r="CY887" s="73"/>
      <c r="CZ887" s="73"/>
      <c r="DA887" s="73"/>
      <c r="DB887" s="73"/>
      <c r="DC887" s="73"/>
      <c r="DD887" s="73"/>
      <c r="DE887" s="73"/>
      <c r="DF887" s="73"/>
      <c r="DG887" s="73"/>
      <c r="DH887" s="73"/>
      <c r="DI887" s="73"/>
      <c r="DJ887" s="73"/>
      <c r="DK887" s="73"/>
      <c r="DL887" s="73"/>
      <c r="DM887" s="73"/>
      <c r="DN887" s="73"/>
      <c r="DO887" s="73"/>
      <c r="DP887" s="73"/>
      <c r="DQ887" s="73"/>
      <c r="DR887" s="73"/>
      <c r="DS887" s="73"/>
      <c r="DT887" s="73"/>
      <c r="DU887" s="73"/>
      <c r="DV887" s="73"/>
      <c r="DW887" s="73"/>
      <c r="DX887" s="73"/>
      <c r="DY887" s="73"/>
      <c r="DZ887" s="73"/>
      <c r="EA887" s="73"/>
      <c r="EB887" s="73"/>
      <c r="EC887" s="73"/>
      <c r="ED887" s="73"/>
      <c r="EE887" s="73"/>
      <c r="EF887" s="73"/>
      <c r="FJ887" s="73"/>
      <c r="FK887" s="73"/>
      <c r="FL887" s="73"/>
      <c r="FM887" s="73"/>
      <c r="FN887" s="73"/>
      <c r="FO887" s="73"/>
      <c r="FP887" s="73"/>
      <c r="FQ887" s="73"/>
      <c r="FR887" s="73"/>
      <c r="FS887" s="73"/>
      <c r="FT887" s="73"/>
      <c r="FU887" s="73"/>
      <c r="FV887" s="73"/>
      <c r="FW887" s="73"/>
      <c r="FX887" s="73"/>
      <c r="GO887" s="73"/>
      <c r="GP887" s="73"/>
      <c r="HE887" s="73"/>
      <c r="HU887" s="73"/>
      <c r="HV887" s="182"/>
    </row>
    <row r="888" spans="1:230" x14ac:dyDescent="0.25">
      <c r="A888" s="30"/>
      <c r="B888" s="30"/>
      <c r="C888" s="30"/>
      <c r="D888" s="30"/>
      <c r="G888" s="30"/>
      <c r="H888" s="30"/>
      <c r="I888" s="30"/>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c r="CA888" s="73"/>
      <c r="CB888" s="73"/>
      <c r="CC888" s="73"/>
      <c r="CD888" s="73"/>
      <c r="CE888" s="73"/>
      <c r="CF888" s="73"/>
      <c r="CG888" s="73"/>
      <c r="CH888" s="73"/>
      <c r="CI888" s="73"/>
      <c r="CJ888" s="73"/>
      <c r="CK888" s="73"/>
      <c r="CL888" s="73"/>
      <c r="CM888" s="73"/>
      <c r="CN888" s="73"/>
      <c r="CO888" s="73"/>
      <c r="CP888" s="73"/>
      <c r="CQ888" s="73"/>
      <c r="CR888" s="73"/>
      <c r="CS888" s="73"/>
      <c r="CT888" s="73"/>
      <c r="CU888" s="73"/>
      <c r="CV888" s="73"/>
      <c r="CW888" s="73"/>
      <c r="CX888" s="73"/>
      <c r="CY888" s="73"/>
      <c r="CZ888" s="73"/>
      <c r="DA888" s="73"/>
      <c r="DB888" s="73"/>
      <c r="DC888" s="73"/>
      <c r="DD888" s="73"/>
      <c r="DE888" s="73"/>
      <c r="DF888" s="73"/>
      <c r="DG888" s="73"/>
      <c r="DH888" s="73"/>
      <c r="DI888" s="73"/>
      <c r="DJ888" s="73"/>
      <c r="DK888" s="73"/>
      <c r="DL888" s="73"/>
      <c r="DM888" s="73"/>
      <c r="DN888" s="73"/>
      <c r="DO888" s="73"/>
      <c r="DP888" s="73"/>
      <c r="DQ888" s="73"/>
      <c r="DR888" s="73"/>
      <c r="DS888" s="73"/>
      <c r="DT888" s="73"/>
      <c r="DU888" s="73"/>
      <c r="DV888" s="73"/>
      <c r="DW888" s="73"/>
      <c r="DX888" s="73"/>
      <c r="DY888" s="73"/>
      <c r="DZ888" s="73"/>
      <c r="EA888" s="73"/>
      <c r="EB888" s="73"/>
      <c r="EC888" s="73"/>
      <c r="ED888" s="73"/>
      <c r="EE888" s="73"/>
      <c r="EF888" s="73"/>
      <c r="FJ888" s="73"/>
      <c r="FK888" s="73"/>
      <c r="FL888" s="73"/>
      <c r="FM888" s="73"/>
      <c r="FN888" s="73"/>
      <c r="FO888" s="73"/>
      <c r="FP888" s="73"/>
      <c r="FQ888" s="73"/>
      <c r="FR888" s="73"/>
      <c r="FS888" s="73"/>
      <c r="FT888" s="73"/>
      <c r="FU888" s="73"/>
      <c r="FV888" s="73"/>
      <c r="FW888" s="73"/>
      <c r="FX888" s="73"/>
      <c r="GO888" s="73"/>
      <c r="GP888" s="73"/>
      <c r="HE888" s="73"/>
      <c r="HU888" s="73"/>
      <c r="HV888" s="182"/>
    </row>
    <row r="889" spans="1:230" x14ac:dyDescent="0.25">
      <c r="A889" s="30"/>
      <c r="B889" s="30"/>
      <c r="C889" s="30"/>
      <c r="D889" s="30"/>
      <c r="G889" s="30"/>
      <c r="H889" s="30"/>
      <c r="I889" s="30"/>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3"/>
      <c r="DV889" s="73"/>
      <c r="DW889" s="73"/>
      <c r="DX889" s="73"/>
      <c r="DY889" s="73"/>
      <c r="DZ889" s="73"/>
      <c r="EA889" s="73"/>
      <c r="EB889" s="73"/>
      <c r="EC889" s="73"/>
      <c r="ED889" s="73"/>
      <c r="EE889" s="73"/>
      <c r="EF889" s="73"/>
      <c r="FJ889" s="73"/>
      <c r="FK889" s="73"/>
      <c r="FL889" s="73"/>
      <c r="FM889" s="73"/>
      <c r="FN889" s="73"/>
      <c r="FO889" s="73"/>
      <c r="FP889" s="73"/>
      <c r="FQ889" s="73"/>
      <c r="FR889" s="73"/>
      <c r="FS889" s="73"/>
      <c r="FT889" s="73"/>
      <c r="FU889" s="73"/>
      <c r="FV889" s="73"/>
      <c r="FW889" s="73"/>
      <c r="FX889" s="73"/>
      <c r="GO889" s="73"/>
      <c r="GP889" s="73"/>
      <c r="HE889" s="73"/>
      <c r="HU889" s="73"/>
      <c r="HV889" s="182"/>
    </row>
    <row r="890" spans="1:230" x14ac:dyDescent="0.25">
      <c r="A890" s="30"/>
      <c r="B890" s="30"/>
      <c r="C890" s="30"/>
      <c r="D890" s="30"/>
      <c r="G890" s="30"/>
      <c r="H890" s="30"/>
      <c r="I890" s="30"/>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c r="CA890" s="73"/>
      <c r="CB890" s="73"/>
      <c r="CC890" s="73"/>
      <c r="CD890" s="73"/>
      <c r="CE890" s="73"/>
      <c r="CF890" s="73"/>
      <c r="CG890" s="73"/>
      <c r="CH890" s="73"/>
      <c r="CI890" s="73"/>
      <c r="CJ890" s="73"/>
      <c r="CK890" s="73"/>
      <c r="CL890" s="73"/>
      <c r="CM890" s="73"/>
      <c r="CN890" s="73"/>
      <c r="CO890" s="73"/>
      <c r="CP890" s="73"/>
      <c r="CQ890" s="73"/>
      <c r="CR890" s="73"/>
      <c r="CS890" s="73"/>
      <c r="CT890" s="73"/>
      <c r="CU890" s="73"/>
      <c r="CV890" s="73"/>
      <c r="CW890" s="73"/>
      <c r="CX890" s="73"/>
      <c r="CY890" s="73"/>
      <c r="CZ890" s="73"/>
      <c r="DA890" s="73"/>
      <c r="DB890" s="73"/>
      <c r="DC890" s="73"/>
      <c r="DD890" s="73"/>
      <c r="DE890" s="73"/>
      <c r="DF890" s="73"/>
      <c r="DG890" s="73"/>
      <c r="DH890" s="73"/>
      <c r="DI890" s="73"/>
      <c r="DJ890" s="73"/>
      <c r="DK890" s="73"/>
      <c r="DL890" s="73"/>
      <c r="DM890" s="73"/>
      <c r="DN890" s="73"/>
      <c r="DO890" s="73"/>
      <c r="DP890" s="73"/>
      <c r="DQ890" s="73"/>
      <c r="DR890" s="73"/>
      <c r="DS890" s="73"/>
      <c r="DT890" s="73"/>
      <c r="DU890" s="73"/>
      <c r="DV890" s="73"/>
      <c r="DW890" s="73"/>
      <c r="DX890" s="73"/>
      <c r="DY890" s="73"/>
      <c r="DZ890" s="73"/>
      <c r="EA890" s="73"/>
      <c r="EB890" s="73"/>
      <c r="EC890" s="73"/>
      <c r="ED890" s="73"/>
      <c r="EE890" s="73"/>
      <c r="EF890" s="73"/>
      <c r="FJ890" s="73"/>
      <c r="FK890" s="73"/>
      <c r="FL890" s="73"/>
      <c r="FM890" s="73"/>
      <c r="FN890" s="73"/>
      <c r="FO890" s="73"/>
      <c r="FP890" s="73"/>
      <c r="FQ890" s="73"/>
      <c r="FR890" s="73"/>
      <c r="FS890" s="73"/>
      <c r="FT890" s="73"/>
      <c r="FU890" s="73"/>
      <c r="FV890" s="73"/>
      <c r="FW890" s="73"/>
      <c r="FX890" s="73"/>
      <c r="GO890" s="73"/>
      <c r="GP890" s="73"/>
      <c r="HE890" s="73"/>
      <c r="HU890" s="73"/>
      <c r="HV890" s="182"/>
    </row>
    <row r="891" spans="1:230" x14ac:dyDescent="0.25">
      <c r="A891" s="30"/>
      <c r="B891" s="30"/>
      <c r="C891" s="30"/>
      <c r="D891" s="30"/>
      <c r="G891" s="30"/>
      <c r="H891" s="30"/>
      <c r="I891" s="30"/>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c r="CA891" s="73"/>
      <c r="CB891" s="73"/>
      <c r="CC891" s="73"/>
      <c r="CD891" s="73"/>
      <c r="CE891" s="73"/>
      <c r="CF891" s="73"/>
      <c r="CG891" s="73"/>
      <c r="CH891" s="73"/>
      <c r="CI891" s="73"/>
      <c r="CJ891" s="73"/>
      <c r="CK891" s="73"/>
      <c r="CL891" s="73"/>
      <c r="CM891" s="73"/>
      <c r="CN891" s="73"/>
      <c r="CO891" s="73"/>
      <c r="CP891" s="73"/>
      <c r="CQ891" s="73"/>
      <c r="CR891" s="73"/>
      <c r="CS891" s="73"/>
      <c r="CT891" s="73"/>
      <c r="CU891" s="73"/>
      <c r="CV891" s="73"/>
      <c r="CW891" s="73"/>
      <c r="CX891" s="73"/>
      <c r="CY891" s="73"/>
      <c r="CZ891" s="73"/>
      <c r="DA891" s="73"/>
      <c r="DB891" s="73"/>
      <c r="DC891" s="73"/>
      <c r="DD891" s="73"/>
      <c r="DE891" s="73"/>
      <c r="DF891" s="73"/>
      <c r="DG891" s="73"/>
      <c r="DH891" s="73"/>
      <c r="DI891" s="73"/>
      <c r="DJ891" s="73"/>
      <c r="DK891" s="73"/>
      <c r="DL891" s="73"/>
      <c r="DM891" s="73"/>
      <c r="DN891" s="73"/>
      <c r="DO891" s="73"/>
      <c r="DP891" s="73"/>
      <c r="DQ891" s="73"/>
      <c r="DR891" s="73"/>
      <c r="DS891" s="73"/>
      <c r="DT891" s="73"/>
      <c r="DU891" s="73"/>
      <c r="DV891" s="73"/>
      <c r="DW891" s="73"/>
      <c r="DX891" s="73"/>
      <c r="DY891" s="73"/>
      <c r="DZ891" s="73"/>
      <c r="EA891" s="73"/>
      <c r="EB891" s="73"/>
      <c r="EC891" s="73"/>
      <c r="ED891" s="73"/>
      <c r="EE891" s="73"/>
      <c r="EF891" s="73"/>
      <c r="FJ891" s="73"/>
      <c r="FK891" s="73"/>
      <c r="FL891" s="73"/>
      <c r="FM891" s="73"/>
      <c r="FN891" s="73"/>
      <c r="FO891" s="73"/>
      <c r="FP891" s="73"/>
      <c r="FQ891" s="73"/>
      <c r="FR891" s="73"/>
      <c r="FS891" s="73"/>
      <c r="FT891" s="73"/>
      <c r="FU891" s="73"/>
      <c r="FV891" s="73"/>
      <c r="FW891" s="73"/>
      <c r="FX891" s="73"/>
      <c r="GO891" s="73"/>
      <c r="GP891" s="73"/>
      <c r="HE891" s="73"/>
      <c r="HU891" s="73"/>
      <c r="HV891" s="182"/>
    </row>
    <row r="892" spans="1:230" x14ac:dyDescent="0.25">
      <c r="A892" s="30"/>
      <c r="B892" s="30"/>
      <c r="C892" s="30"/>
      <c r="D892" s="30"/>
      <c r="G892" s="30"/>
      <c r="H892" s="30"/>
      <c r="I892" s="30"/>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c r="CA892" s="73"/>
      <c r="CB892" s="73"/>
      <c r="CC892" s="73"/>
      <c r="CD892" s="73"/>
      <c r="CE892" s="73"/>
      <c r="CF892" s="73"/>
      <c r="CG892" s="73"/>
      <c r="CH892" s="73"/>
      <c r="CI892" s="73"/>
      <c r="CJ892" s="73"/>
      <c r="CK892" s="73"/>
      <c r="CL892" s="73"/>
      <c r="CM892" s="73"/>
      <c r="CN892" s="73"/>
      <c r="CO892" s="73"/>
      <c r="CP892" s="73"/>
      <c r="CQ892" s="73"/>
      <c r="CR892" s="73"/>
      <c r="CS892" s="73"/>
      <c r="CT892" s="73"/>
      <c r="CU892" s="73"/>
      <c r="CV892" s="73"/>
      <c r="CW892" s="73"/>
      <c r="CX892" s="73"/>
      <c r="CY892" s="73"/>
      <c r="CZ892" s="73"/>
      <c r="DA892" s="73"/>
      <c r="DB892" s="73"/>
      <c r="DC892" s="73"/>
      <c r="DD892" s="73"/>
      <c r="DE892" s="73"/>
      <c r="DF892" s="73"/>
      <c r="DG892" s="73"/>
      <c r="DH892" s="73"/>
      <c r="DI892" s="73"/>
      <c r="DJ892" s="73"/>
      <c r="DK892" s="73"/>
      <c r="DL892" s="73"/>
      <c r="DM892" s="73"/>
      <c r="DN892" s="73"/>
      <c r="DO892" s="73"/>
      <c r="DP892" s="73"/>
      <c r="DQ892" s="73"/>
      <c r="DR892" s="73"/>
      <c r="DS892" s="73"/>
      <c r="DT892" s="73"/>
      <c r="DU892" s="73"/>
      <c r="DV892" s="73"/>
      <c r="DW892" s="73"/>
      <c r="DX892" s="73"/>
      <c r="DY892" s="73"/>
      <c r="DZ892" s="73"/>
      <c r="EA892" s="73"/>
      <c r="EB892" s="73"/>
      <c r="EC892" s="73"/>
      <c r="ED892" s="73"/>
      <c r="EE892" s="73"/>
      <c r="EF892" s="73"/>
      <c r="FJ892" s="73"/>
      <c r="FK892" s="73"/>
      <c r="FL892" s="73"/>
      <c r="FM892" s="73"/>
      <c r="FN892" s="73"/>
      <c r="FO892" s="73"/>
      <c r="FP892" s="73"/>
      <c r="FQ892" s="73"/>
      <c r="FR892" s="73"/>
      <c r="FS892" s="73"/>
      <c r="FT892" s="73"/>
      <c r="FU892" s="73"/>
      <c r="FV892" s="73"/>
      <c r="FW892" s="73"/>
      <c r="FX892" s="73"/>
      <c r="GO892" s="73"/>
      <c r="GP892" s="73"/>
      <c r="HE892" s="73"/>
      <c r="HU892" s="73"/>
      <c r="HV892" s="182"/>
    </row>
    <row r="893" spans="1:230" x14ac:dyDescent="0.25">
      <c r="A893" s="30"/>
      <c r="B893" s="30"/>
      <c r="C893" s="30"/>
      <c r="D893" s="30"/>
      <c r="G893" s="30"/>
      <c r="H893" s="30"/>
      <c r="I893" s="30"/>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c r="CA893" s="73"/>
      <c r="CB893" s="73"/>
      <c r="CC893" s="73"/>
      <c r="CD893" s="73"/>
      <c r="CE893" s="73"/>
      <c r="CF893" s="73"/>
      <c r="CG893" s="73"/>
      <c r="CH893" s="73"/>
      <c r="CI893" s="73"/>
      <c r="CJ893" s="73"/>
      <c r="CK893" s="73"/>
      <c r="CL893" s="73"/>
      <c r="CM893" s="73"/>
      <c r="CN893" s="73"/>
      <c r="CO893" s="73"/>
      <c r="CP893" s="73"/>
      <c r="CQ893" s="73"/>
      <c r="CR893" s="73"/>
      <c r="CS893" s="73"/>
      <c r="CT893" s="73"/>
      <c r="CU893" s="73"/>
      <c r="CV893" s="73"/>
      <c r="CW893" s="73"/>
      <c r="CX893" s="73"/>
      <c r="CY893" s="73"/>
      <c r="CZ893" s="73"/>
      <c r="DA893" s="73"/>
      <c r="DB893" s="73"/>
      <c r="DC893" s="73"/>
      <c r="DD893" s="73"/>
      <c r="DE893" s="73"/>
      <c r="DF893" s="73"/>
      <c r="DG893" s="73"/>
      <c r="DH893" s="73"/>
      <c r="DI893" s="73"/>
      <c r="DJ893" s="73"/>
      <c r="DK893" s="73"/>
      <c r="DL893" s="73"/>
      <c r="DM893" s="73"/>
      <c r="DN893" s="73"/>
      <c r="DO893" s="73"/>
      <c r="DP893" s="73"/>
      <c r="DQ893" s="73"/>
      <c r="DR893" s="73"/>
      <c r="DS893" s="73"/>
      <c r="DT893" s="73"/>
      <c r="DU893" s="73"/>
      <c r="DV893" s="73"/>
      <c r="DW893" s="73"/>
      <c r="DX893" s="73"/>
      <c r="DY893" s="73"/>
      <c r="DZ893" s="73"/>
      <c r="EA893" s="73"/>
      <c r="EB893" s="73"/>
      <c r="EC893" s="73"/>
      <c r="ED893" s="73"/>
      <c r="EE893" s="73"/>
      <c r="EF893" s="73"/>
      <c r="FJ893" s="73"/>
      <c r="FK893" s="73"/>
      <c r="FL893" s="73"/>
      <c r="FM893" s="73"/>
      <c r="FN893" s="73"/>
      <c r="FO893" s="73"/>
      <c r="FP893" s="73"/>
      <c r="FQ893" s="73"/>
      <c r="FR893" s="73"/>
      <c r="FS893" s="73"/>
      <c r="FT893" s="73"/>
      <c r="FU893" s="73"/>
      <c r="FV893" s="73"/>
      <c r="FW893" s="73"/>
      <c r="FX893" s="73"/>
      <c r="GO893" s="73"/>
      <c r="GP893" s="73"/>
      <c r="HE893" s="73"/>
      <c r="HU893" s="73"/>
      <c r="HV893" s="182"/>
    </row>
    <row r="894" spans="1:230" x14ac:dyDescent="0.25">
      <c r="A894" s="30"/>
      <c r="B894" s="30"/>
      <c r="C894" s="30"/>
      <c r="D894" s="30"/>
      <c r="G894" s="30"/>
      <c r="H894" s="30"/>
      <c r="I894" s="30"/>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c r="CA894" s="73"/>
      <c r="CB894" s="73"/>
      <c r="CC894" s="73"/>
      <c r="CD894" s="73"/>
      <c r="CE894" s="73"/>
      <c r="CF894" s="73"/>
      <c r="CG894" s="73"/>
      <c r="CH894" s="73"/>
      <c r="CI894" s="73"/>
      <c r="CJ894" s="73"/>
      <c r="CK894" s="73"/>
      <c r="CL894" s="73"/>
      <c r="CM894" s="73"/>
      <c r="CN894" s="73"/>
      <c r="CO894" s="73"/>
      <c r="CP894" s="73"/>
      <c r="CQ894" s="73"/>
      <c r="CR894" s="73"/>
      <c r="CS894" s="73"/>
      <c r="CT894" s="73"/>
      <c r="CU894" s="73"/>
      <c r="CV894" s="73"/>
      <c r="CW894" s="73"/>
      <c r="CX894" s="73"/>
      <c r="CY894" s="73"/>
      <c r="CZ894" s="73"/>
      <c r="DA894" s="73"/>
      <c r="DB894" s="73"/>
      <c r="DC894" s="73"/>
      <c r="DD894" s="73"/>
      <c r="DE894" s="73"/>
      <c r="DF894" s="73"/>
      <c r="DG894" s="73"/>
      <c r="DH894" s="73"/>
      <c r="DI894" s="73"/>
      <c r="DJ894" s="73"/>
      <c r="DK894" s="73"/>
      <c r="DL894" s="73"/>
      <c r="DM894" s="73"/>
      <c r="DN894" s="73"/>
      <c r="DO894" s="73"/>
      <c r="DP894" s="73"/>
      <c r="DQ894" s="73"/>
      <c r="DR894" s="73"/>
      <c r="DS894" s="73"/>
      <c r="DT894" s="73"/>
      <c r="DU894" s="73"/>
      <c r="DV894" s="73"/>
      <c r="DW894" s="73"/>
      <c r="DX894" s="73"/>
      <c r="DY894" s="73"/>
      <c r="DZ894" s="73"/>
      <c r="EA894" s="73"/>
      <c r="EB894" s="73"/>
      <c r="EC894" s="73"/>
      <c r="ED894" s="73"/>
      <c r="EE894" s="73"/>
      <c r="EF894" s="73"/>
      <c r="FJ894" s="73"/>
      <c r="FK894" s="73"/>
      <c r="FL894" s="73"/>
      <c r="FM894" s="73"/>
      <c r="FN894" s="73"/>
      <c r="FO894" s="73"/>
      <c r="FP894" s="73"/>
      <c r="FQ894" s="73"/>
      <c r="FR894" s="73"/>
      <c r="FS894" s="73"/>
      <c r="FT894" s="73"/>
      <c r="FU894" s="73"/>
      <c r="FV894" s="73"/>
      <c r="FW894" s="73"/>
      <c r="FX894" s="73"/>
      <c r="GO894" s="73"/>
      <c r="GP894" s="73"/>
      <c r="HE894" s="73"/>
      <c r="HU894" s="73"/>
      <c r="HV894" s="182"/>
    </row>
    <row r="895" spans="1:230" x14ac:dyDescent="0.25">
      <c r="A895" s="30"/>
      <c r="B895" s="30"/>
      <c r="C895" s="30"/>
      <c r="D895" s="30"/>
      <c r="G895" s="30"/>
      <c r="H895" s="30"/>
      <c r="I895" s="30"/>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c r="CA895" s="73"/>
      <c r="CB895" s="73"/>
      <c r="CC895" s="73"/>
      <c r="CD895" s="73"/>
      <c r="CE895" s="73"/>
      <c r="CF895" s="73"/>
      <c r="CG895" s="73"/>
      <c r="CH895" s="73"/>
      <c r="CI895" s="73"/>
      <c r="CJ895" s="73"/>
      <c r="CK895" s="73"/>
      <c r="CL895" s="73"/>
      <c r="CM895" s="73"/>
      <c r="CN895" s="73"/>
      <c r="CO895" s="73"/>
      <c r="CP895" s="73"/>
      <c r="CQ895" s="73"/>
      <c r="CR895" s="73"/>
      <c r="CS895" s="73"/>
      <c r="CT895" s="73"/>
      <c r="CU895" s="73"/>
      <c r="CV895" s="73"/>
      <c r="CW895" s="73"/>
      <c r="CX895" s="73"/>
      <c r="CY895" s="73"/>
      <c r="CZ895" s="73"/>
      <c r="DA895" s="73"/>
      <c r="DB895" s="73"/>
      <c r="DC895" s="73"/>
      <c r="DD895" s="73"/>
      <c r="DE895" s="73"/>
      <c r="DF895" s="73"/>
      <c r="DG895" s="73"/>
      <c r="DH895" s="73"/>
      <c r="DI895" s="73"/>
      <c r="DJ895" s="73"/>
      <c r="DK895" s="73"/>
      <c r="DL895" s="73"/>
      <c r="DM895" s="73"/>
      <c r="DN895" s="73"/>
      <c r="DO895" s="73"/>
      <c r="DP895" s="73"/>
      <c r="DQ895" s="73"/>
      <c r="DR895" s="73"/>
      <c r="DS895" s="73"/>
      <c r="DT895" s="73"/>
      <c r="DU895" s="73"/>
      <c r="DV895" s="73"/>
      <c r="DW895" s="73"/>
      <c r="DX895" s="73"/>
      <c r="DY895" s="73"/>
      <c r="DZ895" s="73"/>
      <c r="EA895" s="73"/>
      <c r="EB895" s="73"/>
      <c r="EC895" s="73"/>
      <c r="ED895" s="73"/>
      <c r="EE895" s="73"/>
      <c r="EF895" s="73"/>
      <c r="FJ895" s="73"/>
      <c r="FK895" s="73"/>
      <c r="FL895" s="73"/>
      <c r="FM895" s="73"/>
      <c r="FN895" s="73"/>
      <c r="FO895" s="73"/>
      <c r="FP895" s="73"/>
      <c r="FQ895" s="73"/>
      <c r="FR895" s="73"/>
      <c r="FS895" s="73"/>
      <c r="FT895" s="73"/>
      <c r="FU895" s="73"/>
      <c r="FV895" s="73"/>
      <c r="FW895" s="73"/>
      <c r="FX895" s="73"/>
      <c r="GO895" s="73"/>
      <c r="GP895" s="73"/>
      <c r="HE895" s="73"/>
      <c r="HU895" s="73"/>
      <c r="HV895" s="182"/>
    </row>
    <row r="896" spans="1:230" x14ac:dyDescent="0.25">
      <c r="A896" s="30"/>
      <c r="B896" s="30"/>
      <c r="C896" s="30"/>
      <c r="D896" s="30"/>
      <c r="G896" s="30"/>
      <c r="H896" s="30"/>
      <c r="I896" s="30"/>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c r="CA896" s="73"/>
      <c r="CB896" s="73"/>
      <c r="CC896" s="73"/>
      <c r="CD896" s="73"/>
      <c r="CE896" s="73"/>
      <c r="CF896" s="73"/>
      <c r="CG896" s="73"/>
      <c r="CH896" s="73"/>
      <c r="CI896" s="73"/>
      <c r="CJ896" s="73"/>
      <c r="CK896" s="73"/>
      <c r="CL896" s="73"/>
      <c r="CM896" s="73"/>
      <c r="CN896" s="73"/>
      <c r="CO896" s="73"/>
      <c r="CP896" s="73"/>
      <c r="CQ896" s="73"/>
      <c r="CR896" s="73"/>
      <c r="CS896" s="73"/>
      <c r="CT896" s="73"/>
      <c r="CU896" s="73"/>
      <c r="CV896" s="73"/>
      <c r="CW896" s="73"/>
      <c r="CX896" s="73"/>
      <c r="CY896" s="73"/>
      <c r="CZ896" s="73"/>
      <c r="DA896" s="73"/>
      <c r="DB896" s="73"/>
      <c r="DC896" s="73"/>
      <c r="DD896" s="73"/>
      <c r="DE896" s="73"/>
      <c r="DF896" s="73"/>
      <c r="DG896" s="73"/>
      <c r="DH896" s="73"/>
      <c r="DI896" s="73"/>
      <c r="DJ896" s="73"/>
      <c r="DK896" s="73"/>
      <c r="DL896" s="73"/>
      <c r="DM896" s="73"/>
      <c r="DN896" s="73"/>
      <c r="DO896" s="73"/>
      <c r="DP896" s="73"/>
      <c r="DQ896" s="73"/>
      <c r="DR896" s="73"/>
      <c r="DS896" s="73"/>
      <c r="DT896" s="73"/>
      <c r="DU896" s="73"/>
      <c r="DV896" s="73"/>
      <c r="DW896" s="73"/>
      <c r="DX896" s="73"/>
      <c r="DY896" s="73"/>
      <c r="DZ896" s="73"/>
      <c r="EA896" s="73"/>
      <c r="EB896" s="73"/>
      <c r="EC896" s="73"/>
      <c r="ED896" s="73"/>
      <c r="EE896" s="73"/>
      <c r="EF896" s="73"/>
      <c r="FJ896" s="73"/>
      <c r="FK896" s="73"/>
      <c r="FL896" s="73"/>
      <c r="FM896" s="73"/>
      <c r="FN896" s="73"/>
      <c r="FO896" s="73"/>
      <c r="FP896" s="73"/>
      <c r="FQ896" s="73"/>
      <c r="FR896" s="73"/>
      <c r="FS896" s="73"/>
      <c r="FT896" s="73"/>
      <c r="FU896" s="73"/>
      <c r="FV896" s="73"/>
      <c r="FW896" s="73"/>
      <c r="FX896" s="73"/>
      <c r="GO896" s="73"/>
      <c r="GP896" s="73"/>
      <c r="HE896" s="73"/>
      <c r="HU896" s="73"/>
      <c r="HV896" s="182"/>
    </row>
    <row r="897" spans="1:230" x14ac:dyDescent="0.25">
      <c r="A897" s="30"/>
      <c r="B897" s="30"/>
      <c r="C897" s="30"/>
      <c r="D897" s="30"/>
      <c r="G897" s="30"/>
      <c r="H897" s="30"/>
      <c r="I897" s="30"/>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c r="CA897" s="73"/>
      <c r="CB897" s="73"/>
      <c r="CC897" s="73"/>
      <c r="CD897" s="73"/>
      <c r="CE897" s="73"/>
      <c r="CF897" s="73"/>
      <c r="CG897" s="73"/>
      <c r="CH897" s="73"/>
      <c r="CI897" s="73"/>
      <c r="CJ897" s="73"/>
      <c r="CK897" s="73"/>
      <c r="CL897" s="73"/>
      <c r="CM897" s="73"/>
      <c r="CN897" s="73"/>
      <c r="CO897" s="73"/>
      <c r="CP897" s="73"/>
      <c r="CQ897" s="73"/>
      <c r="CR897" s="73"/>
      <c r="CS897" s="73"/>
      <c r="CT897" s="73"/>
      <c r="CU897" s="73"/>
      <c r="CV897" s="73"/>
      <c r="CW897" s="73"/>
      <c r="CX897" s="73"/>
      <c r="CY897" s="73"/>
      <c r="CZ897" s="73"/>
      <c r="DA897" s="73"/>
      <c r="DB897" s="73"/>
      <c r="DC897" s="73"/>
      <c r="DD897" s="73"/>
      <c r="DE897" s="73"/>
      <c r="DF897" s="73"/>
      <c r="DG897" s="73"/>
      <c r="DH897" s="73"/>
      <c r="DI897" s="73"/>
      <c r="DJ897" s="73"/>
      <c r="DK897" s="73"/>
      <c r="DL897" s="73"/>
      <c r="DM897" s="73"/>
      <c r="DN897" s="73"/>
      <c r="DO897" s="73"/>
      <c r="DP897" s="73"/>
      <c r="DQ897" s="73"/>
      <c r="DR897" s="73"/>
      <c r="DS897" s="73"/>
      <c r="DT897" s="73"/>
      <c r="DU897" s="73"/>
      <c r="DV897" s="73"/>
      <c r="DW897" s="73"/>
      <c r="DX897" s="73"/>
      <c r="DY897" s="73"/>
      <c r="DZ897" s="73"/>
      <c r="EA897" s="73"/>
      <c r="EB897" s="73"/>
      <c r="EC897" s="73"/>
      <c r="ED897" s="73"/>
      <c r="EE897" s="73"/>
      <c r="EF897" s="73"/>
      <c r="FJ897" s="73"/>
      <c r="FK897" s="73"/>
      <c r="FL897" s="73"/>
      <c r="FM897" s="73"/>
      <c r="FN897" s="73"/>
      <c r="FO897" s="73"/>
      <c r="FP897" s="73"/>
      <c r="FQ897" s="73"/>
      <c r="FR897" s="73"/>
      <c r="FS897" s="73"/>
      <c r="FT897" s="73"/>
      <c r="FU897" s="73"/>
      <c r="FV897" s="73"/>
      <c r="FW897" s="73"/>
      <c r="FX897" s="73"/>
      <c r="GO897" s="73"/>
      <c r="GP897" s="73"/>
      <c r="HE897" s="73"/>
      <c r="HU897" s="73"/>
      <c r="HV897" s="182"/>
    </row>
    <row r="898" spans="1:230" x14ac:dyDescent="0.25">
      <c r="A898" s="30"/>
      <c r="B898" s="30"/>
      <c r="C898" s="30"/>
      <c r="D898" s="30"/>
      <c r="G898" s="30"/>
      <c r="H898" s="30"/>
      <c r="I898" s="30"/>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c r="CA898" s="73"/>
      <c r="CB898" s="73"/>
      <c r="CC898" s="73"/>
      <c r="CD898" s="73"/>
      <c r="CE898" s="73"/>
      <c r="CF898" s="73"/>
      <c r="CG898" s="73"/>
      <c r="CH898" s="73"/>
      <c r="CI898" s="73"/>
      <c r="CJ898" s="73"/>
      <c r="CK898" s="73"/>
      <c r="CL898" s="73"/>
      <c r="CM898" s="73"/>
      <c r="CN898" s="73"/>
      <c r="CO898" s="73"/>
      <c r="CP898" s="73"/>
      <c r="CQ898" s="73"/>
      <c r="CR898" s="73"/>
      <c r="CS898" s="73"/>
      <c r="CT898" s="73"/>
      <c r="CU898" s="73"/>
      <c r="CV898" s="73"/>
      <c r="CW898" s="73"/>
      <c r="CX898" s="73"/>
      <c r="CY898" s="73"/>
      <c r="CZ898" s="73"/>
      <c r="DA898" s="73"/>
      <c r="DB898" s="73"/>
      <c r="DC898" s="73"/>
      <c r="DD898" s="73"/>
      <c r="DE898" s="73"/>
      <c r="DF898" s="73"/>
      <c r="DG898" s="73"/>
      <c r="DH898" s="73"/>
      <c r="DI898" s="73"/>
      <c r="DJ898" s="73"/>
      <c r="DK898" s="73"/>
      <c r="DL898" s="73"/>
      <c r="DM898" s="73"/>
      <c r="DN898" s="73"/>
      <c r="DO898" s="73"/>
      <c r="DP898" s="73"/>
      <c r="DQ898" s="73"/>
      <c r="DR898" s="73"/>
      <c r="DS898" s="73"/>
      <c r="DT898" s="73"/>
      <c r="DU898" s="73"/>
      <c r="DV898" s="73"/>
      <c r="DW898" s="73"/>
      <c r="DX898" s="73"/>
      <c r="DY898" s="73"/>
      <c r="DZ898" s="73"/>
      <c r="EA898" s="73"/>
      <c r="EB898" s="73"/>
      <c r="EC898" s="73"/>
      <c r="ED898" s="73"/>
      <c r="EE898" s="73"/>
      <c r="EF898" s="73"/>
      <c r="FJ898" s="73"/>
      <c r="FK898" s="73"/>
      <c r="FL898" s="73"/>
      <c r="FM898" s="73"/>
      <c r="FN898" s="73"/>
      <c r="FO898" s="73"/>
      <c r="FP898" s="73"/>
      <c r="FQ898" s="73"/>
      <c r="FR898" s="73"/>
      <c r="FS898" s="73"/>
      <c r="FT898" s="73"/>
      <c r="FU898" s="73"/>
      <c r="FV898" s="73"/>
      <c r="FW898" s="73"/>
      <c r="FX898" s="73"/>
      <c r="GO898" s="73"/>
      <c r="GP898" s="73"/>
      <c r="HE898" s="73"/>
      <c r="HU898" s="73"/>
      <c r="HV898" s="182"/>
    </row>
    <row r="899" spans="1:230" x14ac:dyDescent="0.25">
      <c r="A899" s="30"/>
      <c r="B899" s="30"/>
      <c r="C899" s="30"/>
      <c r="D899" s="30"/>
      <c r="G899" s="30"/>
      <c r="H899" s="30"/>
      <c r="I899" s="30"/>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c r="CA899" s="73"/>
      <c r="CB899" s="73"/>
      <c r="CC899" s="73"/>
      <c r="CD899" s="73"/>
      <c r="CE899" s="73"/>
      <c r="CF899" s="73"/>
      <c r="CG899" s="73"/>
      <c r="CH899" s="73"/>
      <c r="CI899" s="73"/>
      <c r="CJ899" s="73"/>
      <c r="CK899" s="73"/>
      <c r="CL899" s="73"/>
      <c r="CM899" s="73"/>
      <c r="CN899" s="73"/>
      <c r="CO899" s="73"/>
      <c r="CP899" s="73"/>
      <c r="CQ899" s="73"/>
      <c r="CR899" s="73"/>
      <c r="CS899" s="73"/>
      <c r="CT899" s="73"/>
      <c r="CU899" s="73"/>
      <c r="CV899" s="73"/>
      <c r="CW899" s="73"/>
      <c r="CX899" s="73"/>
      <c r="CY899" s="73"/>
      <c r="CZ899" s="73"/>
      <c r="DA899" s="73"/>
      <c r="DB899" s="73"/>
      <c r="DC899" s="73"/>
      <c r="DD899" s="73"/>
      <c r="DE899" s="73"/>
      <c r="DF899" s="73"/>
      <c r="DG899" s="73"/>
      <c r="DH899" s="73"/>
      <c r="DI899" s="73"/>
      <c r="DJ899" s="73"/>
      <c r="DK899" s="73"/>
      <c r="DL899" s="73"/>
      <c r="DM899" s="73"/>
      <c r="DN899" s="73"/>
      <c r="DO899" s="73"/>
      <c r="DP899" s="73"/>
      <c r="DQ899" s="73"/>
      <c r="DR899" s="73"/>
      <c r="DS899" s="73"/>
      <c r="DT899" s="73"/>
      <c r="DU899" s="73"/>
      <c r="DV899" s="73"/>
      <c r="DW899" s="73"/>
      <c r="DX899" s="73"/>
      <c r="DY899" s="73"/>
      <c r="DZ899" s="73"/>
      <c r="EA899" s="73"/>
      <c r="EB899" s="73"/>
      <c r="EC899" s="73"/>
      <c r="ED899" s="73"/>
      <c r="EE899" s="73"/>
      <c r="EF899" s="73"/>
      <c r="FJ899" s="73"/>
      <c r="FK899" s="73"/>
      <c r="FL899" s="73"/>
      <c r="FM899" s="73"/>
      <c r="FN899" s="73"/>
      <c r="FO899" s="73"/>
      <c r="FP899" s="73"/>
      <c r="FQ899" s="73"/>
      <c r="FR899" s="73"/>
      <c r="FS899" s="73"/>
      <c r="FT899" s="73"/>
      <c r="FU899" s="73"/>
      <c r="FV899" s="73"/>
      <c r="FW899" s="73"/>
      <c r="FX899" s="73"/>
      <c r="GO899" s="73"/>
      <c r="GP899" s="73"/>
      <c r="HE899" s="73"/>
      <c r="HU899" s="73"/>
      <c r="HV899" s="182"/>
    </row>
    <row r="900" spans="1:230" x14ac:dyDescent="0.25">
      <c r="A900" s="30"/>
      <c r="B900" s="30"/>
      <c r="C900" s="30"/>
      <c r="D900" s="30"/>
      <c r="G900" s="30"/>
      <c r="H900" s="30"/>
      <c r="I900" s="30"/>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c r="CA900" s="73"/>
      <c r="CB900" s="73"/>
      <c r="CC900" s="73"/>
      <c r="CD900" s="73"/>
      <c r="CE900" s="73"/>
      <c r="CF900" s="73"/>
      <c r="CG900" s="73"/>
      <c r="CH900" s="73"/>
      <c r="CI900" s="73"/>
      <c r="CJ900" s="73"/>
      <c r="CK900" s="73"/>
      <c r="CL900" s="73"/>
      <c r="CM900" s="73"/>
      <c r="CN900" s="73"/>
      <c r="CO900" s="73"/>
      <c r="CP900" s="73"/>
      <c r="CQ900" s="73"/>
      <c r="CR900" s="73"/>
      <c r="CS900" s="73"/>
      <c r="CT900" s="73"/>
      <c r="CU900" s="73"/>
      <c r="CV900" s="73"/>
      <c r="CW900" s="73"/>
      <c r="CX900" s="73"/>
      <c r="CY900" s="73"/>
      <c r="CZ900" s="73"/>
      <c r="DA900" s="73"/>
      <c r="DB900" s="73"/>
      <c r="DC900" s="73"/>
      <c r="DD900" s="73"/>
      <c r="DE900" s="73"/>
      <c r="DF900" s="73"/>
      <c r="DG900" s="73"/>
      <c r="DH900" s="73"/>
      <c r="DI900" s="73"/>
      <c r="DJ900" s="73"/>
      <c r="DK900" s="73"/>
      <c r="DL900" s="73"/>
      <c r="DM900" s="73"/>
      <c r="DN900" s="73"/>
      <c r="DO900" s="73"/>
      <c r="DP900" s="73"/>
      <c r="DQ900" s="73"/>
      <c r="DR900" s="73"/>
      <c r="DS900" s="73"/>
      <c r="DT900" s="73"/>
      <c r="DU900" s="73"/>
      <c r="DV900" s="73"/>
      <c r="DW900" s="73"/>
      <c r="DX900" s="73"/>
      <c r="DY900" s="73"/>
      <c r="DZ900" s="73"/>
      <c r="EA900" s="73"/>
      <c r="EB900" s="73"/>
      <c r="EC900" s="73"/>
      <c r="ED900" s="73"/>
      <c r="EE900" s="73"/>
      <c r="EF900" s="73"/>
      <c r="FJ900" s="73"/>
      <c r="FK900" s="73"/>
      <c r="FL900" s="73"/>
      <c r="FM900" s="73"/>
      <c r="FN900" s="73"/>
      <c r="FO900" s="73"/>
      <c r="FP900" s="73"/>
      <c r="FQ900" s="73"/>
      <c r="FR900" s="73"/>
      <c r="FS900" s="73"/>
      <c r="FT900" s="73"/>
      <c r="FU900" s="73"/>
      <c r="FV900" s="73"/>
      <c r="FW900" s="73"/>
      <c r="FX900" s="73"/>
      <c r="GO900" s="73"/>
      <c r="GP900" s="73"/>
      <c r="HE900" s="73"/>
      <c r="HU900" s="73"/>
      <c r="HV900" s="182"/>
    </row>
    <row r="901" spans="1:230" x14ac:dyDescent="0.25">
      <c r="A901" s="30"/>
      <c r="B901" s="30"/>
      <c r="C901" s="30"/>
      <c r="D901" s="30"/>
      <c r="G901" s="30"/>
      <c r="H901" s="30"/>
      <c r="I901" s="30"/>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c r="CA901" s="73"/>
      <c r="CB901" s="73"/>
      <c r="CC901" s="73"/>
      <c r="CD901" s="73"/>
      <c r="CE901" s="73"/>
      <c r="CF901" s="73"/>
      <c r="CG901" s="73"/>
      <c r="CH901" s="73"/>
      <c r="CI901" s="73"/>
      <c r="CJ901" s="73"/>
      <c r="CK901" s="73"/>
      <c r="CL901" s="73"/>
      <c r="CM901" s="73"/>
      <c r="CN901" s="73"/>
      <c r="CO901" s="73"/>
      <c r="CP901" s="73"/>
      <c r="CQ901" s="73"/>
      <c r="CR901" s="73"/>
      <c r="CS901" s="73"/>
      <c r="CT901" s="73"/>
      <c r="CU901" s="73"/>
      <c r="CV901" s="73"/>
      <c r="CW901" s="73"/>
      <c r="CX901" s="73"/>
      <c r="CY901" s="73"/>
      <c r="CZ901" s="73"/>
      <c r="DA901" s="73"/>
      <c r="DB901" s="73"/>
      <c r="DC901" s="73"/>
      <c r="DD901" s="73"/>
      <c r="DE901" s="73"/>
      <c r="DF901" s="73"/>
      <c r="DG901" s="73"/>
      <c r="DH901" s="73"/>
      <c r="DI901" s="73"/>
      <c r="DJ901" s="73"/>
      <c r="DK901" s="73"/>
      <c r="DL901" s="73"/>
      <c r="DM901" s="73"/>
      <c r="DN901" s="73"/>
      <c r="DO901" s="73"/>
      <c r="DP901" s="73"/>
      <c r="DQ901" s="73"/>
      <c r="DR901" s="73"/>
      <c r="DS901" s="73"/>
      <c r="DT901" s="73"/>
      <c r="DU901" s="73"/>
      <c r="DV901" s="73"/>
      <c r="DW901" s="73"/>
      <c r="DX901" s="73"/>
      <c r="DY901" s="73"/>
      <c r="DZ901" s="73"/>
      <c r="EA901" s="73"/>
      <c r="EB901" s="73"/>
      <c r="EC901" s="73"/>
      <c r="ED901" s="73"/>
      <c r="EE901" s="73"/>
      <c r="EF901" s="73"/>
      <c r="FJ901" s="73"/>
      <c r="FK901" s="73"/>
      <c r="FL901" s="73"/>
      <c r="FM901" s="73"/>
      <c r="FN901" s="73"/>
      <c r="FO901" s="73"/>
      <c r="FP901" s="73"/>
      <c r="FQ901" s="73"/>
      <c r="FR901" s="73"/>
      <c r="FS901" s="73"/>
      <c r="FT901" s="73"/>
      <c r="FU901" s="73"/>
      <c r="FV901" s="73"/>
      <c r="FW901" s="73"/>
      <c r="FX901" s="73"/>
      <c r="GO901" s="73"/>
      <c r="GP901" s="73"/>
      <c r="HE901" s="73"/>
      <c r="HU901" s="73"/>
      <c r="HV901" s="182"/>
    </row>
    <row r="902" spans="1:230" x14ac:dyDescent="0.25">
      <c r="A902" s="30"/>
      <c r="B902" s="30"/>
      <c r="C902" s="30"/>
      <c r="D902" s="30"/>
      <c r="G902" s="30"/>
      <c r="H902" s="30"/>
      <c r="I902" s="30"/>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c r="CA902" s="73"/>
      <c r="CB902" s="73"/>
      <c r="CC902" s="73"/>
      <c r="CD902" s="73"/>
      <c r="CE902" s="73"/>
      <c r="CF902" s="73"/>
      <c r="CG902" s="73"/>
      <c r="CH902" s="73"/>
      <c r="CI902" s="73"/>
      <c r="CJ902" s="73"/>
      <c r="CK902" s="73"/>
      <c r="CL902" s="73"/>
      <c r="CM902" s="73"/>
      <c r="CN902" s="73"/>
      <c r="CO902" s="73"/>
      <c r="CP902" s="73"/>
      <c r="CQ902" s="73"/>
      <c r="CR902" s="73"/>
      <c r="CS902" s="73"/>
      <c r="CT902" s="73"/>
      <c r="CU902" s="73"/>
      <c r="CV902" s="73"/>
      <c r="CW902" s="73"/>
      <c r="CX902" s="73"/>
      <c r="CY902" s="73"/>
      <c r="CZ902" s="73"/>
      <c r="DA902" s="73"/>
      <c r="DB902" s="73"/>
      <c r="DC902" s="73"/>
      <c r="DD902" s="73"/>
      <c r="DE902" s="73"/>
      <c r="DF902" s="73"/>
      <c r="DG902" s="73"/>
      <c r="DH902" s="73"/>
      <c r="DI902" s="73"/>
      <c r="DJ902" s="73"/>
      <c r="DK902" s="73"/>
      <c r="DL902" s="73"/>
      <c r="DM902" s="73"/>
      <c r="DN902" s="73"/>
      <c r="DO902" s="73"/>
      <c r="DP902" s="73"/>
      <c r="DQ902" s="73"/>
      <c r="DR902" s="73"/>
      <c r="DS902" s="73"/>
      <c r="DT902" s="73"/>
      <c r="DU902" s="73"/>
      <c r="DV902" s="73"/>
      <c r="DW902" s="73"/>
      <c r="DX902" s="73"/>
      <c r="DY902" s="73"/>
      <c r="DZ902" s="73"/>
      <c r="EA902" s="73"/>
      <c r="EB902" s="73"/>
      <c r="EC902" s="73"/>
      <c r="ED902" s="73"/>
      <c r="EE902" s="73"/>
      <c r="EF902" s="73"/>
      <c r="FJ902" s="73"/>
      <c r="FK902" s="73"/>
      <c r="FL902" s="73"/>
      <c r="FM902" s="73"/>
      <c r="FN902" s="73"/>
      <c r="FO902" s="73"/>
      <c r="FP902" s="73"/>
      <c r="FQ902" s="73"/>
      <c r="FR902" s="73"/>
      <c r="FS902" s="73"/>
      <c r="FT902" s="73"/>
      <c r="FU902" s="73"/>
      <c r="FV902" s="73"/>
      <c r="FW902" s="73"/>
      <c r="FX902" s="73"/>
      <c r="GO902" s="73"/>
      <c r="GP902" s="73"/>
      <c r="HE902" s="73"/>
      <c r="HU902" s="73"/>
      <c r="HV902" s="182"/>
    </row>
    <row r="903" spans="1:230" x14ac:dyDescent="0.25">
      <c r="A903" s="30"/>
      <c r="B903" s="30"/>
      <c r="C903" s="30"/>
      <c r="D903" s="30"/>
      <c r="G903" s="30"/>
      <c r="H903" s="30"/>
      <c r="I903" s="30"/>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c r="CA903" s="73"/>
      <c r="CB903" s="73"/>
      <c r="CC903" s="73"/>
      <c r="CD903" s="73"/>
      <c r="CE903" s="73"/>
      <c r="CF903" s="73"/>
      <c r="CG903" s="73"/>
      <c r="CH903" s="73"/>
      <c r="CI903" s="73"/>
      <c r="CJ903" s="73"/>
      <c r="CK903" s="73"/>
      <c r="CL903" s="73"/>
      <c r="CM903" s="73"/>
      <c r="CN903" s="73"/>
      <c r="CO903" s="73"/>
      <c r="CP903" s="73"/>
      <c r="CQ903" s="73"/>
      <c r="CR903" s="73"/>
      <c r="CS903" s="73"/>
      <c r="CT903" s="73"/>
      <c r="CU903" s="73"/>
      <c r="CV903" s="73"/>
      <c r="CW903" s="73"/>
      <c r="CX903" s="73"/>
      <c r="CY903" s="73"/>
      <c r="CZ903" s="73"/>
      <c r="DA903" s="73"/>
      <c r="DB903" s="73"/>
      <c r="DC903" s="73"/>
      <c r="DD903" s="73"/>
      <c r="DE903" s="73"/>
      <c r="DF903" s="73"/>
      <c r="DG903" s="73"/>
      <c r="DH903" s="73"/>
      <c r="DI903" s="73"/>
      <c r="DJ903" s="73"/>
      <c r="DK903" s="73"/>
      <c r="DL903" s="73"/>
      <c r="DM903" s="73"/>
      <c r="DN903" s="73"/>
      <c r="DO903" s="73"/>
      <c r="DP903" s="73"/>
      <c r="DQ903" s="73"/>
      <c r="DR903" s="73"/>
      <c r="DS903" s="73"/>
      <c r="DT903" s="73"/>
      <c r="DU903" s="73"/>
      <c r="DV903" s="73"/>
      <c r="DW903" s="73"/>
      <c r="DX903" s="73"/>
      <c r="DY903" s="73"/>
      <c r="DZ903" s="73"/>
      <c r="EA903" s="73"/>
      <c r="EB903" s="73"/>
      <c r="EC903" s="73"/>
      <c r="ED903" s="73"/>
      <c r="EE903" s="73"/>
      <c r="EF903" s="73"/>
      <c r="FJ903" s="73"/>
      <c r="FK903" s="73"/>
      <c r="FL903" s="73"/>
      <c r="FM903" s="73"/>
      <c r="FN903" s="73"/>
      <c r="FO903" s="73"/>
      <c r="FP903" s="73"/>
      <c r="FQ903" s="73"/>
      <c r="FR903" s="73"/>
      <c r="FS903" s="73"/>
      <c r="FT903" s="73"/>
      <c r="FU903" s="73"/>
      <c r="FV903" s="73"/>
      <c r="FW903" s="73"/>
      <c r="FX903" s="73"/>
      <c r="GO903" s="73"/>
      <c r="GP903" s="73"/>
      <c r="HE903" s="73"/>
      <c r="HU903" s="73"/>
      <c r="HV903" s="182"/>
    </row>
    <row r="904" spans="1:230" x14ac:dyDescent="0.25">
      <c r="A904" s="30"/>
      <c r="B904" s="30"/>
      <c r="C904" s="30"/>
      <c r="D904" s="30"/>
      <c r="G904" s="30"/>
      <c r="H904" s="30"/>
      <c r="I904" s="30"/>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D904" s="73"/>
      <c r="CE904" s="73"/>
      <c r="CF904" s="73"/>
      <c r="CG904" s="73"/>
      <c r="CH904" s="73"/>
      <c r="CI904" s="73"/>
      <c r="CJ904" s="73"/>
      <c r="CK904" s="73"/>
      <c r="CL904" s="73"/>
      <c r="CM904" s="73"/>
      <c r="CN904" s="73"/>
      <c r="CO904" s="73"/>
      <c r="CP904" s="73"/>
      <c r="CQ904" s="73"/>
      <c r="CR904" s="73"/>
      <c r="CS904" s="73"/>
      <c r="CT904" s="73"/>
      <c r="CU904" s="73"/>
      <c r="CV904" s="73"/>
      <c r="CW904" s="73"/>
      <c r="CX904" s="73"/>
      <c r="CY904" s="73"/>
      <c r="CZ904" s="73"/>
      <c r="DA904" s="73"/>
      <c r="DB904" s="73"/>
      <c r="DC904" s="73"/>
      <c r="DD904" s="73"/>
      <c r="DE904" s="73"/>
      <c r="DF904" s="73"/>
      <c r="DG904" s="73"/>
      <c r="DH904" s="73"/>
      <c r="DI904" s="73"/>
      <c r="DJ904" s="73"/>
      <c r="DK904" s="73"/>
      <c r="DL904" s="73"/>
      <c r="DM904" s="73"/>
      <c r="DN904" s="73"/>
      <c r="DO904" s="73"/>
      <c r="DP904" s="73"/>
      <c r="DQ904" s="73"/>
      <c r="DR904" s="73"/>
      <c r="DS904" s="73"/>
      <c r="DT904" s="73"/>
      <c r="DU904" s="73"/>
      <c r="DV904" s="73"/>
      <c r="DW904" s="73"/>
      <c r="DX904" s="73"/>
      <c r="DY904" s="73"/>
      <c r="DZ904" s="73"/>
      <c r="EA904" s="73"/>
      <c r="EB904" s="73"/>
      <c r="EC904" s="73"/>
      <c r="ED904" s="73"/>
      <c r="EE904" s="73"/>
      <c r="EF904" s="73"/>
      <c r="FJ904" s="73"/>
      <c r="FK904" s="73"/>
      <c r="FL904" s="73"/>
      <c r="FM904" s="73"/>
      <c r="FN904" s="73"/>
      <c r="FO904" s="73"/>
      <c r="FP904" s="73"/>
      <c r="FQ904" s="73"/>
      <c r="FR904" s="73"/>
      <c r="FS904" s="73"/>
      <c r="FT904" s="73"/>
      <c r="FU904" s="73"/>
      <c r="FV904" s="73"/>
      <c r="FW904" s="73"/>
      <c r="FX904" s="73"/>
      <c r="GO904" s="73"/>
      <c r="GP904" s="73"/>
      <c r="HE904" s="73"/>
      <c r="HU904" s="73"/>
      <c r="HV904" s="182"/>
    </row>
    <row r="905" spans="1:230" x14ac:dyDescent="0.25">
      <c r="A905" s="30"/>
      <c r="B905" s="30"/>
      <c r="C905" s="30"/>
      <c r="D905" s="30"/>
      <c r="G905" s="30"/>
      <c r="H905" s="30"/>
      <c r="I905" s="30"/>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c r="CA905" s="73"/>
      <c r="CB905" s="73"/>
      <c r="CC905" s="73"/>
      <c r="CD905" s="73"/>
      <c r="CE905" s="73"/>
      <c r="CF905" s="73"/>
      <c r="CG905" s="73"/>
      <c r="CH905" s="73"/>
      <c r="CI905" s="73"/>
      <c r="CJ905" s="73"/>
      <c r="CK905" s="73"/>
      <c r="CL905" s="73"/>
      <c r="CM905" s="73"/>
      <c r="CN905" s="73"/>
      <c r="CO905" s="73"/>
      <c r="CP905" s="73"/>
      <c r="CQ905" s="73"/>
      <c r="CR905" s="73"/>
      <c r="CS905" s="73"/>
      <c r="CT905" s="73"/>
      <c r="CU905" s="73"/>
      <c r="CV905" s="73"/>
      <c r="CW905" s="73"/>
      <c r="CX905" s="73"/>
      <c r="CY905" s="73"/>
      <c r="CZ905" s="73"/>
      <c r="DA905" s="73"/>
      <c r="DB905" s="73"/>
      <c r="DC905" s="73"/>
      <c r="DD905" s="73"/>
      <c r="DE905" s="73"/>
      <c r="DF905" s="73"/>
      <c r="DG905" s="73"/>
      <c r="DH905" s="73"/>
      <c r="DI905" s="73"/>
      <c r="DJ905" s="73"/>
      <c r="DK905" s="73"/>
      <c r="DL905" s="73"/>
      <c r="DM905" s="73"/>
      <c r="DN905" s="73"/>
      <c r="DO905" s="73"/>
      <c r="DP905" s="73"/>
      <c r="DQ905" s="73"/>
      <c r="DR905" s="73"/>
      <c r="DS905" s="73"/>
      <c r="DT905" s="73"/>
      <c r="DU905" s="73"/>
      <c r="DV905" s="73"/>
      <c r="DW905" s="73"/>
      <c r="DX905" s="73"/>
      <c r="DY905" s="73"/>
      <c r="DZ905" s="73"/>
      <c r="EA905" s="73"/>
      <c r="EB905" s="73"/>
      <c r="EC905" s="73"/>
      <c r="ED905" s="73"/>
      <c r="EE905" s="73"/>
      <c r="EF905" s="73"/>
      <c r="FJ905" s="73"/>
      <c r="FK905" s="73"/>
      <c r="FL905" s="73"/>
      <c r="FM905" s="73"/>
      <c r="FN905" s="73"/>
      <c r="FO905" s="73"/>
      <c r="FP905" s="73"/>
      <c r="FQ905" s="73"/>
      <c r="FR905" s="73"/>
      <c r="FS905" s="73"/>
      <c r="FT905" s="73"/>
      <c r="FU905" s="73"/>
      <c r="FV905" s="73"/>
      <c r="FW905" s="73"/>
      <c r="FX905" s="73"/>
      <c r="GO905" s="73"/>
      <c r="GP905" s="73"/>
      <c r="HE905" s="73"/>
      <c r="HU905" s="73"/>
      <c r="HV905" s="182"/>
    </row>
    <row r="906" spans="1:230" x14ac:dyDescent="0.25">
      <c r="A906" s="30"/>
      <c r="B906" s="30"/>
      <c r="C906" s="30"/>
      <c r="D906" s="30"/>
      <c r="G906" s="30"/>
      <c r="H906" s="30"/>
      <c r="I906" s="30"/>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c r="CA906" s="73"/>
      <c r="CB906" s="73"/>
      <c r="CC906" s="73"/>
      <c r="CD906" s="73"/>
      <c r="CE906" s="73"/>
      <c r="CF906" s="73"/>
      <c r="CG906" s="73"/>
      <c r="CH906" s="73"/>
      <c r="CI906" s="73"/>
      <c r="CJ906" s="73"/>
      <c r="CK906" s="73"/>
      <c r="CL906" s="73"/>
      <c r="CM906" s="73"/>
      <c r="CN906" s="73"/>
      <c r="CO906" s="73"/>
      <c r="CP906" s="73"/>
      <c r="CQ906" s="73"/>
      <c r="CR906" s="73"/>
      <c r="CS906" s="73"/>
      <c r="CT906" s="73"/>
      <c r="CU906" s="73"/>
      <c r="CV906" s="73"/>
      <c r="CW906" s="73"/>
      <c r="CX906" s="73"/>
      <c r="CY906" s="73"/>
      <c r="CZ906" s="73"/>
      <c r="DA906" s="73"/>
      <c r="DB906" s="73"/>
      <c r="DC906" s="73"/>
      <c r="DD906" s="73"/>
      <c r="DE906" s="73"/>
      <c r="DF906" s="73"/>
      <c r="DG906" s="73"/>
      <c r="DH906" s="73"/>
      <c r="DI906" s="73"/>
      <c r="DJ906" s="73"/>
      <c r="DK906" s="73"/>
      <c r="DL906" s="73"/>
      <c r="DM906" s="73"/>
      <c r="DN906" s="73"/>
      <c r="DO906" s="73"/>
      <c r="DP906" s="73"/>
      <c r="DQ906" s="73"/>
      <c r="DR906" s="73"/>
      <c r="DS906" s="73"/>
      <c r="DT906" s="73"/>
      <c r="DU906" s="73"/>
      <c r="DV906" s="73"/>
      <c r="DW906" s="73"/>
      <c r="DX906" s="73"/>
      <c r="DY906" s="73"/>
      <c r="DZ906" s="73"/>
      <c r="EA906" s="73"/>
      <c r="EB906" s="73"/>
      <c r="EC906" s="73"/>
      <c r="ED906" s="73"/>
      <c r="EE906" s="73"/>
      <c r="EF906" s="73"/>
      <c r="FJ906" s="73"/>
      <c r="FK906" s="73"/>
      <c r="FL906" s="73"/>
      <c r="FM906" s="73"/>
      <c r="FN906" s="73"/>
      <c r="FO906" s="73"/>
      <c r="FP906" s="73"/>
      <c r="FQ906" s="73"/>
      <c r="FR906" s="73"/>
      <c r="FS906" s="73"/>
      <c r="FT906" s="73"/>
      <c r="FU906" s="73"/>
      <c r="FV906" s="73"/>
      <c r="FW906" s="73"/>
      <c r="FX906" s="73"/>
      <c r="GO906" s="73"/>
      <c r="GP906" s="73"/>
      <c r="HE906" s="73"/>
      <c r="HU906" s="73"/>
      <c r="HV906" s="182"/>
    </row>
    <row r="907" spans="1:230" x14ac:dyDescent="0.25">
      <c r="A907" s="30"/>
      <c r="B907" s="30"/>
      <c r="C907" s="30"/>
      <c r="D907" s="30"/>
      <c r="G907" s="30"/>
      <c r="H907" s="30"/>
      <c r="I907" s="30"/>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c r="CA907" s="73"/>
      <c r="CB907" s="73"/>
      <c r="CC907" s="73"/>
      <c r="CD907" s="73"/>
      <c r="CE907" s="73"/>
      <c r="CF907" s="73"/>
      <c r="CG907" s="73"/>
      <c r="CH907" s="73"/>
      <c r="CI907" s="73"/>
      <c r="CJ907" s="73"/>
      <c r="CK907" s="73"/>
      <c r="CL907" s="73"/>
      <c r="CM907" s="73"/>
      <c r="CN907" s="73"/>
      <c r="CO907" s="73"/>
      <c r="CP907" s="73"/>
      <c r="CQ907" s="73"/>
      <c r="CR907" s="73"/>
      <c r="CS907" s="73"/>
      <c r="CT907" s="73"/>
      <c r="CU907" s="73"/>
      <c r="CV907" s="73"/>
      <c r="CW907" s="73"/>
      <c r="CX907" s="73"/>
      <c r="CY907" s="73"/>
      <c r="CZ907" s="73"/>
      <c r="DA907" s="73"/>
      <c r="DB907" s="73"/>
      <c r="DC907" s="73"/>
      <c r="DD907" s="73"/>
      <c r="DE907" s="73"/>
      <c r="DF907" s="73"/>
      <c r="DG907" s="73"/>
      <c r="DH907" s="73"/>
      <c r="DI907" s="73"/>
      <c r="DJ907" s="73"/>
      <c r="DK907" s="73"/>
      <c r="DL907" s="73"/>
      <c r="DM907" s="73"/>
      <c r="DN907" s="73"/>
      <c r="DO907" s="73"/>
      <c r="DP907" s="73"/>
      <c r="DQ907" s="73"/>
      <c r="DR907" s="73"/>
      <c r="DS907" s="73"/>
      <c r="DT907" s="73"/>
      <c r="DU907" s="73"/>
      <c r="DV907" s="73"/>
      <c r="DW907" s="73"/>
      <c r="DX907" s="73"/>
      <c r="DY907" s="73"/>
      <c r="DZ907" s="73"/>
      <c r="EA907" s="73"/>
      <c r="EB907" s="73"/>
      <c r="EC907" s="73"/>
      <c r="ED907" s="73"/>
      <c r="EE907" s="73"/>
      <c r="EF907" s="73"/>
      <c r="FJ907" s="73"/>
      <c r="FK907" s="73"/>
      <c r="FL907" s="73"/>
      <c r="FM907" s="73"/>
      <c r="FN907" s="73"/>
      <c r="FO907" s="73"/>
      <c r="FP907" s="73"/>
      <c r="FQ907" s="73"/>
      <c r="FR907" s="73"/>
      <c r="FS907" s="73"/>
      <c r="FT907" s="73"/>
      <c r="FU907" s="73"/>
      <c r="FV907" s="73"/>
      <c r="FW907" s="73"/>
      <c r="FX907" s="73"/>
      <c r="GO907" s="73"/>
      <c r="GP907" s="73"/>
      <c r="HE907" s="73"/>
      <c r="HU907" s="73"/>
      <c r="HV907" s="182"/>
    </row>
    <row r="908" spans="1:230" x14ac:dyDescent="0.25">
      <c r="A908" s="30"/>
      <c r="B908" s="30"/>
      <c r="C908" s="30"/>
      <c r="D908" s="30"/>
      <c r="G908" s="30"/>
      <c r="H908" s="30"/>
      <c r="I908" s="30"/>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c r="CA908" s="73"/>
      <c r="CB908" s="73"/>
      <c r="CC908" s="73"/>
      <c r="CD908" s="73"/>
      <c r="CE908" s="73"/>
      <c r="CF908" s="73"/>
      <c r="CG908" s="73"/>
      <c r="CH908" s="73"/>
      <c r="CI908" s="73"/>
      <c r="CJ908" s="73"/>
      <c r="CK908" s="73"/>
      <c r="CL908" s="73"/>
      <c r="CM908" s="73"/>
      <c r="CN908" s="73"/>
      <c r="CO908" s="73"/>
      <c r="CP908" s="73"/>
      <c r="CQ908" s="73"/>
      <c r="CR908" s="73"/>
      <c r="CS908" s="73"/>
      <c r="CT908" s="73"/>
      <c r="CU908" s="73"/>
      <c r="CV908" s="73"/>
      <c r="CW908" s="73"/>
      <c r="CX908" s="73"/>
      <c r="CY908" s="73"/>
      <c r="CZ908" s="73"/>
      <c r="DA908" s="73"/>
      <c r="DB908" s="73"/>
      <c r="DC908" s="73"/>
      <c r="DD908" s="73"/>
      <c r="DE908" s="73"/>
      <c r="DF908" s="73"/>
      <c r="DG908" s="73"/>
      <c r="DH908" s="73"/>
      <c r="DI908" s="73"/>
      <c r="DJ908" s="73"/>
      <c r="DK908" s="73"/>
      <c r="DL908" s="73"/>
      <c r="DM908" s="73"/>
      <c r="DN908" s="73"/>
      <c r="DO908" s="73"/>
      <c r="DP908" s="73"/>
      <c r="DQ908" s="73"/>
      <c r="DR908" s="73"/>
      <c r="DS908" s="73"/>
      <c r="DT908" s="73"/>
      <c r="DU908" s="73"/>
      <c r="DV908" s="73"/>
      <c r="DW908" s="73"/>
      <c r="DX908" s="73"/>
      <c r="DY908" s="73"/>
      <c r="DZ908" s="73"/>
      <c r="EA908" s="73"/>
      <c r="EB908" s="73"/>
      <c r="EC908" s="73"/>
      <c r="ED908" s="73"/>
      <c r="EE908" s="73"/>
      <c r="EF908" s="73"/>
      <c r="FJ908" s="73"/>
      <c r="FK908" s="73"/>
      <c r="FL908" s="73"/>
      <c r="FM908" s="73"/>
      <c r="FN908" s="73"/>
      <c r="FO908" s="73"/>
      <c r="FP908" s="73"/>
      <c r="FQ908" s="73"/>
      <c r="FR908" s="73"/>
      <c r="FS908" s="73"/>
      <c r="FT908" s="73"/>
      <c r="FU908" s="73"/>
      <c r="FV908" s="73"/>
      <c r="FW908" s="73"/>
      <c r="FX908" s="73"/>
      <c r="GO908" s="73"/>
      <c r="GP908" s="73"/>
      <c r="HE908" s="73"/>
      <c r="HU908" s="73"/>
      <c r="HV908" s="182"/>
    </row>
    <row r="909" spans="1:230" x14ac:dyDescent="0.25">
      <c r="A909" s="30"/>
      <c r="B909" s="30"/>
      <c r="C909" s="30"/>
      <c r="D909" s="30"/>
      <c r="G909" s="30"/>
      <c r="H909" s="30"/>
      <c r="I909" s="30"/>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c r="CA909" s="73"/>
      <c r="CB909" s="73"/>
      <c r="CC909" s="73"/>
      <c r="CD909" s="73"/>
      <c r="CE909" s="73"/>
      <c r="CF909" s="73"/>
      <c r="CG909" s="73"/>
      <c r="CH909" s="73"/>
      <c r="CI909" s="73"/>
      <c r="CJ909" s="73"/>
      <c r="CK909" s="73"/>
      <c r="CL909" s="73"/>
      <c r="CM909" s="73"/>
      <c r="CN909" s="73"/>
      <c r="CO909" s="73"/>
      <c r="CP909" s="73"/>
      <c r="CQ909" s="73"/>
      <c r="CR909" s="73"/>
      <c r="CS909" s="73"/>
      <c r="CT909" s="73"/>
      <c r="CU909" s="73"/>
      <c r="CV909" s="73"/>
      <c r="CW909" s="73"/>
      <c r="CX909" s="73"/>
      <c r="CY909" s="73"/>
      <c r="CZ909" s="73"/>
      <c r="DA909" s="73"/>
      <c r="DB909" s="73"/>
      <c r="DC909" s="73"/>
      <c r="DD909" s="73"/>
      <c r="DE909" s="73"/>
      <c r="DF909" s="73"/>
      <c r="DG909" s="73"/>
      <c r="DH909" s="73"/>
      <c r="DI909" s="73"/>
      <c r="DJ909" s="73"/>
      <c r="DK909" s="73"/>
      <c r="DL909" s="73"/>
      <c r="DM909" s="73"/>
      <c r="DN909" s="73"/>
      <c r="DO909" s="73"/>
      <c r="DP909" s="73"/>
      <c r="DQ909" s="73"/>
      <c r="DR909" s="73"/>
      <c r="DS909" s="73"/>
      <c r="DT909" s="73"/>
      <c r="DU909" s="73"/>
      <c r="DV909" s="73"/>
      <c r="DW909" s="73"/>
      <c r="DX909" s="73"/>
      <c r="DY909" s="73"/>
      <c r="DZ909" s="73"/>
      <c r="EA909" s="73"/>
      <c r="EB909" s="73"/>
      <c r="EC909" s="73"/>
      <c r="ED909" s="73"/>
      <c r="EE909" s="73"/>
      <c r="EF909" s="73"/>
      <c r="FJ909" s="73"/>
      <c r="FK909" s="73"/>
      <c r="FL909" s="73"/>
      <c r="FM909" s="73"/>
      <c r="FN909" s="73"/>
      <c r="FO909" s="73"/>
      <c r="FP909" s="73"/>
      <c r="FQ909" s="73"/>
      <c r="FR909" s="73"/>
      <c r="FS909" s="73"/>
      <c r="FT909" s="73"/>
      <c r="FU909" s="73"/>
      <c r="FV909" s="73"/>
      <c r="FW909" s="73"/>
      <c r="FX909" s="73"/>
      <c r="GO909" s="73"/>
      <c r="GP909" s="73"/>
      <c r="HE909" s="73"/>
      <c r="HU909" s="73"/>
      <c r="HV909" s="182"/>
    </row>
    <row r="910" spans="1:230" x14ac:dyDescent="0.25">
      <c r="A910" s="30"/>
      <c r="B910" s="30"/>
      <c r="C910" s="30"/>
      <c r="D910" s="30"/>
      <c r="G910" s="30"/>
      <c r="H910" s="30"/>
      <c r="I910" s="30"/>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c r="CA910" s="73"/>
      <c r="CB910" s="73"/>
      <c r="CC910" s="73"/>
      <c r="CD910" s="73"/>
      <c r="CE910" s="73"/>
      <c r="CF910" s="73"/>
      <c r="CG910" s="73"/>
      <c r="CH910" s="73"/>
      <c r="CI910" s="73"/>
      <c r="CJ910" s="73"/>
      <c r="CK910" s="73"/>
      <c r="CL910" s="73"/>
      <c r="CM910" s="73"/>
      <c r="CN910" s="73"/>
      <c r="CO910" s="73"/>
      <c r="CP910" s="73"/>
      <c r="CQ910" s="73"/>
      <c r="CR910" s="73"/>
      <c r="CS910" s="73"/>
      <c r="CT910" s="73"/>
      <c r="CU910" s="73"/>
      <c r="CV910" s="73"/>
      <c r="CW910" s="73"/>
      <c r="CX910" s="73"/>
      <c r="CY910" s="73"/>
      <c r="CZ910" s="73"/>
      <c r="DA910" s="73"/>
      <c r="DB910" s="73"/>
      <c r="DC910" s="73"/>
      <c r="DD910" s="73"/>
      <c r="DE910" s="73"/>
      <c r="DF910" s="73"/>
      <c r="DG910" s="73"/>
      <c r="DH910" s="73"/>
      <c r="DI910" s="73"/>
      <c r="DJ910" s="73"/>
      <c r="DK910" s="73"/>
      <c r="DL910" s="73"/>
      <c r="DM910" s="73"/>
      <c r="DN910" s="73"/>
      <c r="DO910" s="73"/>
      <c r="DP910" s="73"/>
      <c r="DQ910" s="73"/>
      <c r="DR910" s="73"/>
      <c r="DS910" s="73"/>
      <c r="DT910" s="73"/>
      <c r="DU910" s="73"/>
      <c r="DV910" s="73"/>
      <c r="DW910" s="73"/>
      <c r="DX910" s="73"/>
      <c r="DY910" s="73"/>
      <c r="DZ910" s="73"/>
      <c r="EA910" s="73"/>
      <c r="EB910" s="73"/>
      <c r="EC910" s="73"/>
      <c r="ED910" s="73"/>
      <c r="EE910" s="73"/>
      <c r="EF910" s="73"/>
      <c r="FJ910" s="73"/>
      <c r="FK910" s="73"/>
      <c r="FL910" s="73"/>
      <c r="FM910" s="73"/>
      <c r="FN910" s="73"/>
      <c r="FO910" s="73"/>
      <c r="FP910" s="73"/>
      <c r="FQ910" s="73"/>
      <c r="FR910" s="73"/>
      <c r="FS910" s="73"/>
      <c r="FT910" s="73"/>
      <c r="FU910" s="73"/>
      <c r="FV910" s="73"/>
      <c r="FW910" s="73"/>
      <c r="FX910" s="73"/>
      <c r="GO910" s="73"/>
      <c r="GP910" s="73"/>
      <c r="HE910" s="73"/>
      <c r="HU910" s="73"/>
      <c r="HV910" s="182"/>
    </row>
    <row r="911" spans="1:230" x14ac:dyDescent="0.25">
      <c r="A911" s="30"/>
      <c r="B911" s="30"/>
      <c r="C911" s="30"/>
      <c r="D911" s="30"/>
      <c r="G911" s="30"/>
      <c r="H911" s="30"/>
      <c r="I911" s="30"/>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c r="CA911" s="73"/>
      <c r="CB911" s="73"/>
      <c r="CC911" s="73"/>
      <c r="CD911" s="73"/>
      <c r="CE911" s="73"/>
      <c r="CF911" s="73"/>
      <c r="CG911" s="73"/>
      <c r="CH911" s="73"/>
      <c r="CI911" s="73"/>
      <c r="CJ911" s="73"/>
      <c r="CK911" s="73"/>
      <c r="CL911" s="73"/>
      <c r="CM911" s="73"/>
      <c r="CN911" s="73"/>
      <c r="CO911" s="73"/>
      <c r="CP911" s="73"/>
      <c r="CQ911" s="73"/>
      <c r="CR911" s="73"/>
      <c r="CS911" s="73"/>
      <c r="CT911" s="73"/>
      <c r="CU911" s="73"/>
      <c r="CV911" s="73"/>
      <c r="CW911" s="73"/>
      <c r="CX911" s="73"/>
      <c r="CY911" s="73"/>
      <c r="CZ911" s="73"/>
      <c r="DA911" s="73"/>
      <c r="DB911" s="73"/>
      <c r="DC911" s="73"/>
      <c r="DD911" s="73"/>
      <c r="DE911" s="73"/>
      <c r="DF911" s="73"/>
      <c r="DG911" s="73"/>
      <c r="DH911" s="73"/>
      <c r="DI911" s="73"/>
      <c r="DJ911" s="73"/>
      <c r="DK911" s="73"/>
      <c r="DL911" s="73"/>
      <c r="DM911" s="73"/>
      <c r="DN911" s="73"/>
      <c r="DO911" s="73"/>
      <c r="DP911" s="73"/>
      <c r="DQ911" s="73"/>
      <c r="DR911" s="73"/>
      <c r="DS911" s="73"/>
      <c r="DT911" s="73"/>
      <c r="DU911" s="73"/>
      <c r="DV911" s="73"/>
      <c r="DW911" s="73"/>
      <c r="DX911" s="73"/>
      <c r="DY911" s="73"/>
      <c r="DZ911" s="73"/>
      <c r="EA911" s="73"/>
      <c r="EB911" s="73"/>
      <c r="EC911" s="73"/>
      <c r="ED911" s="73"/>
      <c r="EE911" s="73"/>
      <c r="EF911" s="73"/>
      <c r="FJ911" s="73"/>
      <c r="FK911" s="73"/>
      <c r="FL911" s="73"/>
      <c r="FM911" s="73"/>
      <c r="FN911" s="73"/>
      <c r="FO911" s="73"/>
      <c r="FP911" s="73"/>
      <c r="FQ911" s="73"/>
      <c r="FR911" s="73"/>
      <c r="FS911" s="73"/>
      <c r="FT911" s="73"/>
      <c r="FU911" s="73"/>
      <c r="FV911" s="73"/>
      <c r="FW911" s="73"/>
      <c r="FX911" s="73"/>
      <c r="GO911" s="73"/>
      <c r="GP911" s="73"/>
      <c r="HE911" s="73"/>
      <c r="HU911" s="73"/>
      <c r="HV911" s="182"/>
    </row>
    <row r="912" spans="1:230" x14ac:dyDescent="0.25">
      <c r="A912" s="30"/>
      <c r="B912" s="30"/>
      <c r="C912" s="30"/>
      <c r="D912" s="30"/>
      <c r="G912" s="30"/>
      <c r="H912" s="30"/>
      <c r="I912" s="30"/>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c r="CA912" s="73"/>
      <c r="CB912" s="73"/>
      <c r="CC912" s="73"/>
      <c r="CD912" s="73"/>
      <c r="CE912" s="73"/>
      <c r="CF912" s="73"/>
      <c r="CG912" s="73"/>
      <c r="CH912" s="73"/>
      <c r="CI912" s="73"/>
      <c r="CJ912" s="73"/>
      <c r="CK912" s="73"/>
      <c r="CL912" s="73"/>
      <c r="CM912" s="73"/>
      <c r="CN912" s="73"/>
      <c r="CO912" s="73"/>
      <c r="CP912" s="73"/>
      <c r="CQ912" s="73"/>
      <c r="CR912" s="73"/>
      <c r="CS912" s="73"/>
      <c r="CT912" s="73"/>
      <c r="CU912" s="73"/>
      <c r="CV912" s="73"/>
      <c r="CW912" s="73"/>
      <c r="CX912" s="73"/>
      <c r="CY912" s="73"/>
      <c r="CZ912" s="73"/>
      <c r="DA912" s="73"/>
      <c r="DB912" s="73"/>
      <c r="DC912" s="73"/>
      <c r="DD912" s="73"/>
      <c r="DE912" s="73"/>
      <c r="DF912" s="73"/>
      <c r="DG912" s="73"/>
      <c r="DH912" s="73"/>
      <c r="DI912" s="73"/>
      <c r="DJ912" s="73"/>
      <c r="DK912" s="73"/>
      <c r="DL912" s="73"/>
      <c r="DM912" s="73"/>
      <c r="DN912" s="73"/>
      <c r="DO912" s="73"/>
      <c r="DP912" s="73"/>
      <c r="DQ912" s="73"/>
      <c r="DR912" s="73"/>
      <c r="DS912" s="73"/>
      <c r="DT912" s="73"/>
      <c r="DU912" s="73"/>
      <c r="DV912" s="73"/>
      <c r="DW912" s="73"/>
      <c r="DX912" s="73"/>
      <c r="DY912" s="73"/>
      <c r="DZ912" s="73"/>
      <c r="EA912" s="73"/>
      <c r="EB912" s="73"/>
      <c r="EC912" s="73"/>
      <c r="ED912" s="73"/>
      <c r="EE912" s="73"/>
      <c r="EF912" s="73"/>
      <c r="FJ912" s="73"/>
      <c r="FK912" s="73"/>
      <c r="FL912" s="73"/>
      <c r="FM912" s="73"/>
      <c r="FN912" s="73"/>
      <c r="FO912" s="73"/>
      <c r="FP912" s="73"/>
      <c r="FQ912" s="73"/>
      <c r="FR912" s="73"/>
      <c r="FS912" s="73"/>
      <c r="FT912" s="73"/>
      <c r="FU912" s="73"/>
      <c r="FV912" s="73"/>
      <c r="FW912" s="73"/>
      <c r="FX912" s="73"/>
      <c r="GO912" s="73"/>
      <c r="GP912" s="73"/>
      <c r="HE912" s="73"/>
      <c r="HU912" s="73"/>
      <c r="HV912" s="182"/>
    </row>
    <row r="913" spans="1:230" x14ac:dyDescent="0.25">
      <c r="A913" s="30"/>
      <c r="B913" s="30"/>
      <c r="C913" s="30"/>
      <c r="D913" s="30"/>
      <c r="G913" s="30"/>
      <c r="H913" s="30"/>
      <c r="I913" s="30"/>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c r="CA913" s="73"/>
      <c r="CB913" s="73"/>
      <c r="CC913" s="73"/>
      <c r="CD913" s="73"/>
      <c r="CE913" s="73"/>
      <c r="CF913" s="73"/>
      <c r="CG913" s="73"/>
      <c r="CH913" s="73"/>
      <c r="CI913" s="73"/>
      <c r="CJ913" s="73"/>
      <c r="CK913" s="73"/>
      <c r="CL913" s="73"/>
      <c r="CM913" s="73"/>
      <c r="CN913" s="73"/>
      <c r="CO913" s="73"/>
      <c r="CP913" s="73"/>
      <c r="CQ913" s="73"/>
      <c r="CR913" s="73"/>
      <c r="CS913" s="73"/>
      <c r="CT913" s="73"/>
      <c r="CU913" s="73"/>
      <c r="CV913" s="73"/>
      <c r="CW913" s="73"/>
      <c r="CX913" s="73"/>
      <c r="CY913" s="73"/>
      <c r="CZ913" s="73"/>
      <c r="DA913" s="73"/>
      <c r="DB913" s="73"/>
      <c r="DC913" s="73"/>
      <c r="DD913" s="73"/>
      <c r="DE913" s="73"/>
      <c r="DF913" s="73"/>
      <c r="DG913" s="73"/>
      <c r="DH913" s="73"/>
      <c r="DI913" s="73"/>
      <c r="DJ913" s="73"/>
      <c r="DK913" s="73"/>
      <c r="DL913" s="73"/>
      <c r="DM913" s="73"/>
      <c r="DN913" s="73"/>
      <c r="DO913" s="73"/>
      <c r="DP913" s="73"/>
      <c r="DQ913" s="73"/>
      <c r="DR913" s="73"/>
      <c r="DS913" s="73"/>
      <c r="DT913" s="73"/>
      <c r="DU913" s="73"/>
      <c r="DV913" s="73"/>
      <c r="DW913" s="73"/>
      <c r="DX913" s="73"/>
      <c r="DY913" s="73"/>
      <c r="DZ913" s="73"/>
      <c r="EA913" s="73"/>
      <c r="EB913" s="73"/>
      <c r="EC913" s="73"/>
      <c r="ED913" s="73"/>
      <c r="EE913" s="73"/>
      <c r="EF913" s="73"/>
      <c r="FJ913" s="73"/>
      <c r="FK913" s="73"/>
      <c r="FL913" s="73"/>
      <c r="FM913" s="73"/>
      <c r="FN913" s="73"/>
      <c r="FO913" s="73"/>
      <c r="FP913" s="73"/>
      <c r="FQ913" s="73"/>
      <c r="FR913" s="73"/>
      <c r="FS913" s="73"/>
      <c r="FT913" s="73"/>
      <c r="FU913" s="73"/>
      <c r="FV913" s="73"/>
      <c r="FW913" s="73"/>
      <c r="FX913" s="73"/>
      <c r="GO913" s="73"/>
      <c r="GP913" s="73"/>
      <c r="HE913" s="73"/>
      <c r="HU913" s="73"/>
      <c r="HV913" s="182"/>
    </row>
    <row r="914" spans="1:230" x14ac:dyDescent="0.25">
      <c r="A914" s="30"/>
      <c r="B914" s="30"/>
      <c r="C914" s="30"/>
      <c r="D914" s="30"/>
      <c r="G914" s="30"/>
      <c r="H914" s="30"/>
      <c r="I914" s="30"/>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c r="CA914" s="73"/>
      <c r="CB914" s="73"/>
      <c r="CC914" s="73"/>
      <c r="CD914" s="73"/>
      <c r="CE914" s="73"/>
      <c r="CF914" s="73"/>
      <c r="CG914" s="73"/>
      <c r="CH914" s="73"/>
      <c r="CI914" s="73"/>
      <c r="CJ914" s="73"/>
      <c r="CK914" s="73"/>
      <c r="CL914" s="73"/>
      <c r="CM914" s="73"/>
      <c r="CN914" s="73"/>
      <c r="CO914" s="73"/>
      <c r="CP914" s="73"/>
      <c r="CQ914" s="73"/>
      <c r="CR914" s="73"/>
      <c r="CS914" s="73"/>
      <c r="CT914" s="73"/>
      <c r="CU914" s="73"/>
      <c r="CV914" s="73"/>
      <c r="CW914" s="73"/>
      <c r="CX914" s="73"/>
      <c r="CY914" s="73"/>
      <c r="CZ914" s="73"/>
      <c r="DA914" s="73"/>
      <c r="DB914" s="73"/>
      <c r="DC914" s="73"/>
      <c r="DD914" s="73"/>
      <c r="DE914" s="73"/>
      <c r="DF914" s="73"/>
      <c r="DG914" s="73"/>
      <c r="DH914" s="73"/>
      <c r="DI914" s="73"/>
      <c r="DJ914" s="73"/>
      <c r="DK914" s="73"/>
      <c r="DL914" s="73"/>
      <c r="DM914" s="73"/>
      <c r="DN914" s="73"/>
      <c r="DO914" s="73"/>
      <c r="DP914" s="73"/>
      <c r="DQ914" s="73"/>
      <c r="DR914" s="73"/>
      <c r="DS914" s="73"/>
      <c r="DT914" s="73"/>
      <c r="DU914" s="73"/>
      <c r="DV914" s="73"/>
      <c r="DW914" s="73"/>
      <c r="DX914" s="73"/>
      <c r="DY914" s="73"/>
      <c r="DZ914" s="73"/>
      <c r="EA914" s="73"/>
      <c r="EB914" s="73"/>
      <c r="EC914" s="73"/>
      <c r="ED914" s="73"/>
      <c r="EE914" s="73"/>
      <c r="EF914" s="73"/>
      <c r="FJ914" s="73"/>
      <c r="FK914" s="73"/>
      <c r="FL914" s="73"/>
      <c r="FM914" s="73"/>
      <c r="FN914" s="73"/>
      <c r="FO914" s="73"/>
      <c r="FP914" s="73"/>
      <c r="FQ914" s="73"/>
      <c r="FR914" s="73"/>
      <c r="FS914" s="73"/>
      <c r="FT914" s="73"/>
      <c r="FU914" s="73"/>
      <c r="FV914" s="73"/>
      <c r="FW914" s="73"/>
      <c r="FX914" s="73"/>
      <c r="GO914" s="73"/>
      <c r="GP914" s="73"/>
      <c r="HE914" s="73"/>
      <c r="HU914" s="73"/>
      <c r="HV914" s="182"/>
    </row>
    <row r="915" spans="1:230" x14ac:dyDescent="0.25">
      <c r="A915" s="30"/>
      <c r="B915" s="30"/>
      <c r="C915" s="30"/>
      <c r="D915" s="30"/>
      <c r="G915" s="30"/>
      <c r="H915" s="30"/>
      <c r="I915" s="30"/>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c r="CA915" s="73"/>
      <c r="CB915" s="73"/>
      <c r="CC915" s="73"/>
      <c r="CD915" s="73"/>
      <c r="CE915" s="73"/>
      <c r="CF915" s="73"/>
      <c r="CG915" s="73"/>
      <c r="CH915" s="73"/>
      <c r="CI915" s="73"/>
      <c r="CJ915" s="73"/>
      <c r="CK915" s="73"/>
      <c r="CL915" s="73"/>
      <c r="CM915" s="73"/>
      <c r="CN915" s="73"/>
      <c r="CO915" s="73"/>
      <c r="CP915" s="73"/>
      <c r="CQ915" s="73"/>
      <c r="CR915" s="73"/>
      <c r="CS915" s="73"/>
      <c r="CT915" s="73"/>
      <c r="CU915" s="73"/>
      <c r="CV915" s="73"/>
      <c r="CW915" s="73"/>
      <c r="CX915" s="73"/>
      <c r="CY915" s="73"/>
      <c r="CZ915" s="73"/>
      <c r="DA915" s="73"/>
      <c r="DB915" s="73"/>
      <c r="DC915" s="73"/>
      <c r="DD915" s="73"/>
      <c r="DE915" s="73"/>
      <c r="DF915" s="73"/>
      <c r="DG915" s="73"/>
      <c r="DH915" s="73"/>
      <c r="DI915" s="73"/>
      <c r="DJ915" s="73"/>
      <c r="DK915" s="73"/>
      <c r="DL915" s="73"/>
      <c r="DM915" s="73"/>
      <c r="DN915" s="73"/>
      <c r="DO915" s="73"/>
      <c r="DP915" s="73"/>
      <c r="DQ915" s="73"/>
      <c r="DR915" s="73"/>
      <c r="DS915" s="73"/>
      <c r="DT915" s="73"/>
      <c r="DU915" s="73"/>
      <c r="DV915" s="73"/>
      <c r="DW915" s="73"/>
      <c r="DX915" s="73"/>
      <c r="DY915" s="73"/>
      <c r="DZ915" s="73"/>
      <c r="EA915" s="73"/>
      <c r="EB915" s="73"/>
      <c r="EC915" s="73"/>
      <c r="ED915" s="73"/>
      <c r="EE915" s="73"/>
      <c r="EF915" s="73"/>
      <c r="FJ915" s="73"/>
      <c r="FK915" s="73"/>
      <c r="FL915" s="73"/>
      <c r="FM915" s="73"/>
      <c r="FN915" s="73"/>
      <c r="FO915" s="73"/>
      <c r="FP915" s="73"/>
      <c r="FQ915" s="73"/>
      <c r="FR915" s="73"/>
      <c r="FS915" s="73"/>
      <c r="FT915" s="73"/>
      <c r="FU915" s="73"/>
      <c r="FV915" s="73"/>
      <c r="FW915" s="73"/>
      <c r="FX915" s="73"/>
      <c r="GO915" s="73"/>
      <c r="GP915" s="73"/>
      <c r="HE915" s="73"/>
      <c r="HU915" s="73"/>
      <c r="HV915" s="182"/>
    </row>
    <row r="916" spans="1:230" x14ac:dyDescent="0.25">
      <c r="A916" s="30"/>
      <c r="B916" s="30"/>
      <c r="C916" s="30"/>
      <c r="D916" s="30"/>
      <c r="G916" s="30"/>
      <c r="H916" s="30"/>
      <c r="I916" s="30"/>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c r="CA916" s="73"/>
      <c r="CB916" s="73"/>
      <c r="CC916" s="73"/>
      <c r="CD916" s="73"/>
      <c r="CE916" s="73"/>
      <c r="CF916" s="73"/>
      <c r="CG916" s="73"/>
      <c r="CH916" s="73"/>
      <c r="CI916" s="73"/>
      <c r="CJ916" s="73"/>
      <c r="CK916" s="73"/>
      <c r="CL916" s="73"/>
      <c r="CM916" s="73"/>
      <c r="CN916" s="73"/>
      <c r="CO916" s="73"/>
      <c r="CP916" s="73"/>
      <c r="CQ916" s="73"/>
      <c r="CR916" s="73"/>
      <c r="CS916" s="73"/>
      <c r="CT916" s="73"/>
      <c r="CU916" s="73"/>
      <c r="CV916" s="73"/>
      <c r="CW916" s="73"/>
      <c r="CX916" s="73"/>
      <c r="CY916" s="73"/>
      <c r="CZ916" s="73"/>
      <c r="DA916" s="73"/>
      <c r="DB916" s="73"/>
      <c r="DC916" s="73"/>
      <c r="DD916" s="73"/>
      <c r="DE916" s="73"/>
      <c r="DF916" s="73"/>
      <c r="DG916" s="73"/>
      <c r="DH916" s="73"/>
      <c r="DI916" s="73"/>
      <c r="DJ916" s="73"/>
      <c r="DK916" s="73"/>
      <c r="DL916" s="73"/>
      <c r="DM916" s="73"/>
      <c r="DN916" s="73"/>
      <c r="DO916" s="73"/>
      <c r="DP916" s="73"/>
      <c r="DQ916" s="73"/>
      <c r="DR916" s="73"/>
      <c r="DS916" s="73"/>
      <c r="DT916" s="73"/>
      <c r="DU916" s="73"/>
      <c r="DV916" s="73"/>
      <c r="DW916" s="73"/>
      <c r="DX916" s="73"/>
      <c r="DY916" s="73"/>
      <c r="DZ916" s="73"/>
      <c r="EA916" s="73"/>
      <c r="EB916" s="73"/>
      <c r="EC916" s="73"/>
      <c r="ED916" s="73"/>
      <c r="EE916" s="73"/>
      <c r="EF916" s="73"/>
      <c r="FJ916" s="73"/>
      <c r="FK916" s="73"/>
      <c r="FL916" s="73"/>
      <c r="FM916" s="73"/>
      <c r="FN916" s="73"/>
      <c r="FO916" s="73"/>
      <c r="FP916" s="73"/>
      <c r="FQ916" s="73"/>
      <c r="FR916" s="73"/>
      <c r="FS916" s="73"/>
      <c r="FT916" s="73"/>
      <c r="FU916" s="73"/>
      <c r="FV916" s="73"/>
      <c r="FW916" s="73"/>
      <c r="FX916" s="73"/>
      <c r="GO916" s="73"/>
      <c r="GP916" s="73"/>
      <c r="HE916" s="73"/>
      <c r="HU916" s="73"/>
      <c r="HV916" s="182"/>
    </row>
    <row r="917" spans="1:230" x14ac:dyDescent="0.25">
      <c r="A917" s="30"/>
      <c r="B917" s="30"/>
      <c r="C917" s="30"/>
      <c r="D917" s="30"/>
      <c r="G917" s="30"/>
      <c r="H917" s="30"/>
      <c r="I917" s="30"/>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c r="CA917" s="73"/>
      <c r="CB917" s="73"/>
      <c r="CC917" s="73"/>
      <c r="CD917" s="73"/>
      <c r="CE917" s="73"/>
      <c r="CF917" s="73"/>
      <c r="CG917" s="73"/>
      <c r="CH917" s="73"/>
      <c r="CI917" s="73"/>
      <c r="CJ917" s="73"/>
      <c r="CK917" s="73"/>
      <c r="CL917" s="73"/>
      <c r="CM917" s="73"/>
      <c r="CN917" s="73"/>
      <c r="CO917" s="73"/>
      <c r="CP917" s="73"/>
      <c r="CQ917" s="73"/>
      <c r="CR917" s="73"/>
      <c r="CS917" s="73"/>
      <c r="CT917" s="73"/>
      <c r="CU917" s="73"/>
      <c r="CV917" s="73"/>
      <c r="CW917" s="73"/>
      <c r="CX917" s="73"/>
      <c r="CY917" s="73"/>
      <c r="CZ917" s="73"/>
      <c r="DA917" s="73"/>
      <c r="DB917" s="73"/>
      <c r="DC917" s="73"/>
      <c r="DD917" s="73"/>
      <c r="DE917" s="73"/>
      <c r="DF917" s="73"/>
      <c r="DG917" s="73"/>
      <c r="DH917" s="73"/>
      <c r="DI917" s="73"/>
      <c r="DJ917" s="73"/>
      <c r="DK917" s="73"/>
      <c r="DL917" s="73"/>
      <c r="DM917" s="73"/>
      <c r="DN917" s="73"/>
      <c r="DO917" s="73"/>
      <c r="DP917" s="73"/>
      <c r="DQ917" s="73"/>
      <c r="DR917" s="73"/>
      <c r="DS917" s="73"/>
      <c r="DT917" s="73"/>
      <c r="DU917" s="73"/>
      <c r="DV917" s="73"/>
      <c r="DW917" s="73"/>
      <c r="DX917" s="73"/>
      <c r="DY917" s="73"/>
      <c r="DZ917" s="73"/>
      <c r="EA917" s="73"/>
      <c r="EB917" s="73"/>
      <c r="EC917" s="73"/>
      <c r="ED917" s="73"/>
      <c r="EE917" s="73"/>
      <c r="EF917" s="73"/>
      <c r="FJ917" s="73"/>
      <c r="FK917" s="73"/>
      <c r="FL917" s="73"/>
      <c r="FM917" s="73"/>
      <c r="FN917" s="73"/>
      <c r="FO917" s="73"/>
      <c r="FP917" s="73"/>
      <c r="FQ917" s="73"/>
      <c r="FR917" s="73"/>
      <c r="FS917" s="73"/>
      <c r="FT917" s="73"/>
      <c r="FU917" s="73"/>
      <c r="FV917" s="73"/>
      <c r="FW917" s="73"/>
      <c r="FX917" s="73"/>
      <c r="GO917" s="73"/>
      <c r="GP917" s="73"/>
      <c r="HE917" s="73"/>
      <c r="HU917" s="73"/>
      <c r="HV917" s="182"/>
    </row>
    <row r="918" spans="1:230" x14ac:dyDescent="0.25">
      <c r="A918" s="30"/>
      <c r="B918" s="30"/>
      <c r="C918" s="30"/>
      <c r="D918" s="30"/>
      <c r="G918" s="30"/>
      <c r="H918" s="30"/>
      <c r="I918" s="30"/>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c r="CA918" s="73"/>
      <c r="CB918" s="73"/>
      <c r="CC918" s="73"/>
      <c r="CD918" s="73"/>
      <c r="CE918" s="73"/>
      <c r="CF918" s="73"/>
      <c r="CG918" s="73"/>
      <c r="CH918" s="73"/>
      <c r="CI918" s="73"/>
      <c r="CJ918" s="73"/>
      <c r="CK918" s="73"/>
      <c r="CL918" s="73"/>
      <c r="CM918" s="73"/>
      <c r="CN918" s="73"/>
      <c r="CO918" s="73"/>
      <c r="CP918" s="73"/>
      <c r="CQ918" s="73"/>
      <c r="CR918" s="73"/>
      <c r="CS918" s="73"/>
      <c r="CT918" s="73"/>
      <c r="CU918" s="73"/>
      <c r="CV918" s="73"/>
      <c r="CW918" s="73"/>
      <c r="CX918" s="73"/>
      <c r="CY918" s="73"/>
      <c r="CZ918" s="73"/>
      <c r="DA918" s="73"/>
      <c r="DB918" s="73"/>
      <c r="DC918" s="73"/>
      <c r="DD918" s="73"/>
      <c r="DE918" s="73"/>
      <c r="DF918" s="73"/>
      <c r="DG918" s="73"/>
      <c r="DH918" s="73"/>
      <c r="DI918" s="73"/>
      <c r="DJ918" s="73"/>
      <c r="DK918" s="73"/>
      <c r="DL918" s="73"/>
      <c r="DM918" s="73"/>
      <c r="DN918" s="73"/>
      <c r="DO918" s="73"/>
      <c r="DP918" s="73"/>
      <c r="DQ918" s="73"/>
      <c r="DR918" s="73"/>
      <c r="DS918" s="73"/>
      <c r="DT918" s="73"/>
      <c r="DU918" s="73"/>
      <c r="DV918" s="73"/>
      <c r="DW918" s="73"/>
      <c r="DX918" s="73"/>
      <c r="DY918" s="73"/>
      <c r="DZ918" s="73"/>
      <c r="EA918" s="73"/>
      <c r="EB918" s="73"/>
      <c r="EC918" s="73"/>
      <c r="ED918" s="73"/>
      <c r="EE918" s="73"/>
      <c r="EF918" s="73"/>
      <c r="FJ918" s="73"/>
      <c r="FK918" s="73"/>
      <c r="FL918" s="73"/>
      <c r="FM918" s="73"/>
      <c r="FN918" s="73"/>
      <c r="FO918" s="73"/>
      <c r="FP918" s="73"/>
      <c r="FQ918" s="73"/>
      <c r="FR918" s="73"/>
      <c r="FS918" s="73"/>
      <c r="FT918" s="73"/>
      <c r="FU918" s="73"/>
      <c r="FV918" s="73"/>
      <c r="FW918" s="73"/>
      <c r="FX918" s="73"/>
      <c r="GO918" s="73"/>
      <c r="GP918" s="73"/>
      <c r="HE918" s="73"/>
      <c r="HU918" s="73"/>
      <c r="HV918" s="182"/>
    </row>
    <row r="919" spans="1:230" x14ac:dyDescent="0.25">
      <c r="A919" s="30"/>
      <c r="B919" s="30"/>
      <c r="C919" s="30"/>
      <c r="D919" s="30"/>
      <c r="G919" s="30"/>
      <c r="H919" s="30"/>
      <c r="I919" s="30"/>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c r="CA919" s="73"/>
      <c r="CB919" s="73"/>
      <c r="CC919" s="73"/>
      <c r="CD919" s="73"/>
      <c r="CE919" s="73"/>
      <c r="CF919" s="73"/>
      <c r="CG919" s="73"/>
      <c r="CH919" s="73"/>
      <c r="CI919" s="73"/>
      <c r="CJ919" s="73"/>
      <c r="CK919" s="73"/>
      <c r="CL919" s="73"/>
      <c r="CM919" s="73"/>
      <c r="CN919" s="73"/>
      <c r="CO919" s="73"/>
      <c r="CP919" s="73"/>
      <c r="CQ919" s="73"/>
      <c r="CR919" s="73"/>
      <c r="CS919" s="73"/>
      <c r="CT919" s="73"/>
      <c r="CU919" s="73"/>
      <c r="CV919" s="73"/>
      <c r="CW919" s="73"/>
      <c r="CX919" s="73"/>
      <c r="CY919" s="73"/>
      <c r="CZ919" s="73"/>
      <c r="DA919" s="73"/>
      <c r="DB919" s="73"/>
      <c r="DC919" s="73"/>
      <c r="DD919" s="73"/>
      <c r="DE919" s="73"/>
      <c r="DF919" s="73"/>
      <c r="DG919" s="73"/>
      <c r="DH919" s="73"/>
      <c r="DI919" s="73"/>
      <c r="DJ919" s="73"/>
      <c r="DK919" s="73"/>
      <c r="DL919" s="73"/>
      <c r="DM919" s="73"/>
      <c r="DN919" s="73"/>
      <c r="DO919" s="73"/>
      <c r="DP919" s="73"/>
      <c r="DQ919" s="73"/>
      <c r="DR919" s="73"/>
      <c r="DS919" s="73"/>
      <c r="DT919" s="73"/>
      <c r="DU919" s="73"/>
      <c r="DV919" s="73"/>
      <c r="DW919" s="73"/>
      <c r="DX919" s="73"/>
      <c r="DY919" s="73"/>
      <c r="DZ919" s="73"/>
      <c r="EA919" s="73"/>
      <c r="EB919" s="73"/>
      <c r="EC919" s="73"/>
      <c r="ED919" s="73"/>
      <c r="EE919" s="73"/>
      <c r="EF919" s="73"/>
      <c r="FJ919" s="73"/>
      <c r="FK919" s="73"/>
      <c r="FL919" s="73"/>
      <c r="FM919" s="73"/>
      <c r="FN919" s="73"/>
      <c r="FO919" s="73"/>
      <c r="FP919" s="73"/>
      <c r="FQ919" s="73"/>
      <c r="FR919" s="73"/>
      <c r="FS919" s="73"/>
      <c r="FT919" s="73"/>
      <c r="FU919" s="73"/>
      <c r="FV919" s="73"/>
      <c r="FW919" s="73"/>
      <c r="FX919" s="73"/>
      <c r="GO919" s="73"/>
      <c r="GP919" s="73"/>
      <c r="HE919" s="73"/>
      <c r="HU919" s="73"/>
      <c r="HV919" s="182"/>
    </row>
    <row r="920" spans="1:230" x14ac:dyDescent="0.25">
      <c r="A920" s="30"/>
      <c r="B920" s="30"/>
      <c r="C920" s="30"/>
      <c r="D920" s="30"/>
      <c r="G920" s="30"/>
      <c r="H920" s="30"/>
      <c r="I920" s="30"/>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c r="CA920" s="73"/>
      <c r="CB920" s="73"/>
      <c r="CC920" s="73"/>
      <c r="CD920" s="73"/>
      <c r="CE920" s="73"/>
      <c r="CF920" s="73"/>
      <c r="CG920" s="73"/>
      <c r="CH920" s="73"/>
      <c r="CI920" s="73"/>
      <c r="CJ920" s="73"/>
      <c r="CK920" s="73"/>
      <c r="CL920" s="73"/>
      <c r="CM920" s="73"/>
      <c r="CN920" s="73"/>
      <c r="CO920" s="73"/>
      <c r="CP920" s="73"/>
      <c r="CQ920" s="73"/>
      <c r="CR920" s="73"/>
      <c r="CS920" s="73"/>
      <c r="CT920" s="73"/>
      <c r="CU920" s="73"/>
      <c r="CV920" s="73"/>
      <c r="CW920" s="73"/>
      <c r="CX920" s="73"/>
      <c r="CY920" s="73"/>
      <c r="CZ920" s="73"/>
      <c r="DA920" s="73"/>
      <c r="DB920" s="73"/>
      <c r="DC920" s="73"/>
      <c r="DD920" s="73"/>
      <c r="DE920" s="73"/>
      <c r="DF920" s="73"/>
      <c r="DG920" s="73"/>
      <c r="DH920" s="73"/>
      <c r="DI920" s="73"/>
      <c r="DJ920" s="73"/>
      <c r="DK920" s="73"/>
      <c r="DL920" s="73"/>
      <c r="DM920" s="73"/>
      <c r="DN920" s="73"/>
      <c r="DO920" s="73"/>
      <c r="DP920" s="73"/>
      <c r="DQ920" s="73"/>
      <c r="DR920" s="73"/>
      <c r="DS920" s="73"/>
      <c r="DT920" s="73"/>
      <c r="DU920" s="73"/>
      <c r="DV920" s="73"/>
      <c r="DW920" s="73"/>
      <c r="DX920" s="73"/>
      <c r="DY920" s="73"/>
      <c r="DZ920" s="73"/>
      <c r="EA920" s="73"/>
      <c r="EB920" s="73"/>
      <c r="EC920" s="73"/>
      <c r="ED920" s="73"/>
      <c r="EE920" s="73"/>
      <c r="EF920" s="73"/>
      <c r="FJ920" s="73"/>
      <c r="FK920" s="73"/>
      <c r="FL920" s="73"/>
      <c r="FM920" s="73"/>
      <c r="FN920" s="73"/>
      <c r="FO920" s="73"/>
      <c r="FP920" s="73"/>
      <c r="FQ920" s="73"/>
      <c r="FR920" s="73"/>
      <c r="FS920" s="73"/>
      <c r="FT920" s="73"/>
      <c r="FU920" s="73"/>
      <c r="FV920" s="73"/>
      <c r="FW920" s="73"/>
      <c r="FX920" s="73"/>
      <c r="GO920" s="73"/>
      <c r="GP920" s="73"/>
      <c r="HE920" s="73"/>
      <c r="HU920" s="73"/>
      <c r="HV920" s="182"/>
    </row>
    <row r="921" spans="1:230" x14ac:dyDescent="0.25">
      <c r="A921" s="30"/>
      <c r="B921" s="30"/>
      <c r="C921" s="30"/>
      <c r="D921" s="30"/>
      <c r="G921" s="30"/>
      <c r="H921" s="30"/>
      <c r="I921" s="30"/>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c r="CA921" s="73"/>
      <c r="CB921" s="73"/>
      <c r="CC921" s="73"/>
      <c r="CD921" s="73"/>
      <c r="CE921" s="73"/>
      <c r="CF921" s="73"/>
      <c r="CG921" s="73"/>
      <c r="CH921" s="73"/>
      <c r="CI921" s="73"/>
      <c r="CJ921" s="73"/>
      <c r="CK921" s="73"/>
      <c r="CL921" s="73"/>
      <c r="CM921" s="73"/>
      <c r="CN921" s="73"/>
      <c r="CO921" s="73"/>
      <c r="CP921" s="73"/>
      <c r="CQ921" s="73"/>
      <c r="CR921" s="73"/>
      <c r="CS921" s="73"/>
      <c r="CT921" s="73"/>
      <c r="CU921" s="73"/>
      <c r="CV921" s="73"/>
      <c r="CW921" s="73"/>
      <c r="CX921" s="73"/>
      <c r="CY921" s="73"/>
      <c r="CZ921" s="73"/>
      <c r="DA921" s="73"/>
      <c r="DB921" s="73"/>
      <c r="DC921" s="73"/>
      <c r="DD921" s="73"/>
      <c r="DE921" s="73"/>
      <c r="DF921" s="73"/>
      <c r="DG921" s="73"/>
      <c r="DH921" s="73"/>
      <c r="DI921" s="73"/>
      <c r="DJ921" s="73"/>
      <c r="DK921" s="73"/>
      <c r="DL921" s="73"/>
      <c r="DM921" s="73"/>
      <c r="DN921" s="73"/>
      <c r="DO921" s="73"/>
      <c r="DP921" s="73"/>
      <c r="DQ921" s="73"/>
      <c r="DR921" s="73"/>
      <c r="DS921" s="73"/>
      <c r="DT921" s="73"/>
      <c r="DU921" s="73"/>
      <c r="DV921" s="73"/>
      <c r="DW921" s="73"/>
      <c r="DX921" s="73"/>
      <c r="DY921" s="73"/>
      <c r="DZ921" s="73"/>
      <c r="EA921" s="73"/>
      <c r="EB921" s="73"/>
      <c r="EC921" s="73"/>
      <c r="ED921" s="73"/>
      <c r="EE921" s="73"/>
      <c r="EF921" s="73"/>
      <c r="FJ921" s="73"/>
      <c r="FK921" s="73"/>
      <c r="FL921" s="73"/>
      <c r="FM921" s="73"/>
      <c r="FN921" s="73"/>
      <c r="FO921" s="73"/>
      <c r="FP921" s="73"/>
      <c r="FQ921" s="73"/>
      <c r="FR921" s="73"/>
      <c r="FS921" s="73"/>
      <c r="FT921" s="73"/>
      <c r="FU921" s="73"/>
      <c r="FV921" s="73"/>
      <c r="FW921" s="73"/>
      <c r="FX921" s="73"/>
      <c r="GO921" s="73"/>
      <c r="GP921" s="73"/>
      <c r="HE921" s="73"/>
      <c r="HU921" s="73"/>
      <c r="HV921" s="182"/>
    </row>
    <row r="922" spans="1:230" x14ac:dyDescent="0.25">
      <c r="A922" s="30"/>
      <c r="B922" s="30"/>
      <c r="C922" s="30"/>
      <c r="D922" s="30"/>
      <c r="G922" s="30"/>
      <c r="H922" s="30"/>
      <c r="I922" s="30"/>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c r="CA922" s="73"/>
      <c r="CB922" s="73"/>
      <c r="CC922" s="73"/>
      <c r="CD922" s="73"/>
      <c r="CE922" s="73"/>
      <c r="CF922" s="73"/>
      <c r="CG922" s="73"/>
      <c r="CH922" s="73"/>
      <c r="CI922" s="73"/>
      <c r="CJ922" s="73"/>
      <c r="CK922" s="73"/>
      <c r="CL922" s="73"/>
      <c r="CM922" s="73"/>
      <c r="CN922" s="73"/>
      <c r="CO922" s="73"/>
      <c r="CP922" s="73"/>
      <c r="CQ922" s="73"/>
      <c r="CR922" s="73"/>
      <c r="CS922" s="73"/>
      <c r="CT922" s="73"/>
      <c r="CU922" s="73"/>
      <c r="CV922" s="73"/>
      <c r="CW922" s="73"/>
      <c r="CX922" s="73"/>
      <c r="CY922" s="73"/>
      <c r="CZ922" s="73"/>
      <c r="DA922" s="73"/>
      <c r="DB922" s="73"/>
      <c r="DC922" s="73"/>
      <c r="DD922" s="73"/>
      <c r="DE922" s="73"/>
      <c r="DF922" s="73"/>
      <c r="DG922" s="73"/>
      <c r="DH922" s="73"/>
      <c r="DI922" s="73"/>
      <c r="DJ922" s="73"/>
      <c r="DK922" s="73"/>
      <c r="DL922" s="73"/>
      <c r="DM922" s="73"/>
      <c r="DN922" s="73"/>
      <c r="DO922" s="73"/>
      <c r="DP922" s="73"/>
      <c r="DQ922" s="73"/>
      <c r="DR922" s="73"/>
      <c r="DS922" s="73"/>
      <c r="DT922" s="73"/>
      <c r="DU922" s="73"/>
      <c r="DV922" s="73"/>
      <c r="DW922" s="73"/>
      <c r="DX922" s="73"/>
      <c r="DY922" s="73"/>
      <c r="DZ922" s="73"/>
      <c r="EA922" s="73"/>
      <c r="EB922" s="73"/>
      <c r="EC922" s="73"/>
      <c r="ED922" s="73"/>
      <c r="EE922" s="73"/>
      <c r="EF922" s="73"/>
      <c r="FJ922" s="73"/>
      <c r="FK922" s="73"/>
      <c r="FL922" s="73"/>
      <c r="FM922" s="73"/>
      <c r="FN922" s="73"/>
      <c r="FO922" s="73"/>
      <c r="FP922" s="73"/>
      <c r="FQ922" s="73"/>
      <c r="FR922" s="73"/>
      <c r="FS922" s="73"/>
      <c r="FT922" s="73"/>
      <c r="FU922" s="73"/>
      <c r="FV922" s="73"/>
      <c r="FW922" s="73"/>
      <c r="FX922" s="73"/>
      <c r="GO922" s="73"/>
      <c r="GP922" s="73"/>
      <c r="HE922" s="73"/>
      <c r="HU922" s="73"/>
      <c r="HV922" s="182"/>
    </row>
    <row r="923" spans="1:230" x14ac:dyDescent="0.25">
      <c r="A923" s="30"/>
      <c r="B923" s="30"/>
      <c r="C923" s="30"/>
      <c r="D923" s="30"/>
      <c r="G923" s="30"/>
      <c r="H923" s="30"/>
      <c r="I923" s="30"/>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c r="CA923" s="73"/>
      <c r="CB923" s="73"/>
      <c r="CC923" s="73"/>
      <c r="CD923" s="73"/>
      <c r="CE923" s="73"/>
      <c r="CF923" s="73"/>
      <c r="CG923" s="73"/>
      <c r="CH923" s="73"/>
      <c r="CI923" s="73"/>
      <c r="CJ923" s="73"/>
      <c r="CK923" s="73"/>
      <c r="CL923" s="73"/>
      <c r="CM923" s="73"/>
      <c r="CN923" s="73"/>
      <c r="CO923" s="73"/>
      <c r="CP923" s="73"/>
      <c r="CQ923" s="73"/>
      <c r="CR923" s="73"/>
      <c r="CS923" s="73"/>
      <c r="CT923" s="73"/>
      <c r="CU923" s="73"/>
      <c r="CV923" s="73"/>
      <c r="CW923" s="73"/>
      <c r="CX923" s="73"/>
      <c r="CY923" s="73"/>
      <c r="CZ923" s="73"/>
      <c r="DA923" s="73"/>
      <c r="DB923" s="73"/>
      <c r="DC923" s="73"/>
      <c r="DD923" s="73"/>
      <c r="DE923" s="73"/>
      <c r="DF923" s="73"/>
      <c r="DG923" s="73"/>
      <c r="DH923" s="73"/>
      <c r="DI923" s="73"/>
      <c r="DJ923" s="73"/>
      <c r="DK923" s="73"/>
      <c r="DL923" s="73"/>
      <c r="DM923" s="73"/>
      <c r="DN923" s="73"/>
      <c r="DO923" s="73"/>
      <c r="DP923" s="73"/>
      <c r="DQ923" s="73"/>
      <c r="DR923" s="73"/>
      <c r="DS923" s="73"/>
      <c r="DT923" s="73"/>
      <c r="DU923" s="73"/>
      <c r="DV923" s="73"/>
      <c r="DW923" s="73"/>
      <c r="DX923" s="73"/>
      <c r="DY923" s="73"/>
      <c r="DZ923" s="73"/>
      <c r="EA923" s="73"/>
      <c r="EB923" s="73"/>
      <c r="EC923" s="73"/>
      <c r="ED923" s="73"/>
      <c r="EE923" s="73"/>
      <c r="EF923" s="73"/>
      <c r="FJ923" s="73"/>
      <c r="FK923" s="73"/>
      <c r="FL923" s="73"/>
      <c r="FM923" s="73"/>
      <c r="FN923" s="73"/>
      <c r="FO923" s="73"/>
      <c r="FP923" s="73"/>
      <c r="FQ923" s="73"/>
      <c r="FR923" s="73"/>
      <c r="FS923" s="73"/>
      <c r="FT923" s="73"/>
      <c r="FU923" s="73"/>
      <c r="FV923" s="73"/>
      <c r="FW923" s="73"/>
      <c r="FX923" s="73"/>
      <c r="GO923" s="73"/>
      <c r="GP923" s="73"/>
      <c r="HE923" s="73"/>
      <c r="HU923" s="73"/>
      <c r="HV923" s="182"/>
    </row>
    <row r="924" spans="1:230" x14ac:dyDescent="0.25">
      <c r="A924" s="30"/>
      <c r="B924" s="30"/>
      <c r="C924" s="30"/>
      <c r="D924" s="30"/>
      <c r="G924" s="30"/>
      <c r="H924" s="30"/>
      <c r="I924" s="30"/>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c r="CA924" s="73"/>
      <c r="CB924" s="73"/>
      <c r="CC924" s="73"/>
      <c r="CD924" s="73"/>
      <c r="CE924" s="73"/>
      <c r="CF924" s="73"/>
      <c r="CG924" s="73"/>
      <c r="CH924" s="73"/>
      <c r="CI924" s="73"/>
      <c r="CJ924" s="73"/>
      <c r="CK924" s="73"/>
      <c r="CL924" s="73"/>
      <c r="CM924" s="73"/>
      <c r="CN924" s="73"/>
      <c r="CO924" s="73"/>
      <c r="CP924" s="73"/>
      <c r="CQ924" s="73"/>
      <c r="CR924" s="73"/>
      <c r="CS924" s="73"/>
      <c r="CT924" s="73"/>
      <c r="CU924" s="73"/>
      <c r="CV924" s="73"/>
      <c r="CW924" s="73"/>
      <c r="CX924" s="73"/>
      <c r="CY924" s="73"/>
      <c r="CZ924" s="73"/>
      <c r="DA924" s="73"/>
      <c r="DB924" s="73"/>
      <c r="DC924" s="73"/>
      <c r="DD924" s="73"/>
      <c r="DE924" s="73"/>
      <c r="DF924" s="73"/>
      <c r="DG924" s="73"/>
      <c r="DH924" s="73"/>
      <c r="DI924" s="73"/>
      <c r="DJ924" s="73"/>
      <c r="DK924" s="73"/>
      <c r="DL924" s="73"/>
      <c r="DM924" s="73"/>
      <c r="DN924" s="73"/>
      <c r="DO924" s="73"/>
      <c r="DP924" s="73"/>
      <c r="DQ924" s="73"/>
      <c r="DR924" s="73"/>
      <c r="DS924" s="73"/>
      <c r="DT924" s="73"/>
      <c r="DU924" s="73"/>
      <c r="DV924" s="73"/>
      <c r="DW924" s="73"/>
      <c r="DX924" s="73"/>
      <c r="DY924" s="73"/>
      <c r="DZ924" s="73"/>
      <c r="EA924" s="73"/>
      <c r="EB924" s="73"/>
      <c r="EC924" s="73"/>
      <c r="ED924" s="73"/>
      <c r="EE924" s="73"/>
      <c r="EF924" s="73"/>
      <c r="FJ924" s="73"/>
      <c r="FK924" s="73"/>
      <c r="FL924" s="73"/>
      <c r="FM924" s="73"/>
      <c r="FN924" s="73"/>
      <c r="FO924" s="73"/>
      <c r="FP924" s="73"/>
      <c r="FQ924" s="73"/>
      <c r="FR924" s="73"/>
      <c r="FS924" s="73"/>
      <c r="FT924" s="73"/>
      <c r="FU924" s="73"/>
      <c r="FV924" s="73"/>
      <c r="FW924" s="73"/>
      <c r="FX924" s="73"/>
      <c r="GO924" s="73"/>
      <c r="GP924" s="73"/>
      <c r="HE924" s="73"/>
      <c r="HU924" s="73"/>
      <c r="HV924" s="182"/>
    </row>
    <row r="925" spans="1:230" x14ac:dyDescent="0.25">
      <c r="A925" s="30"/>
      <c r="B925" s="30"/>
      <c r="C925" s="30"/>
      <c r="D925" s="30"/>
      <c r="G925" s="30"/>
      <c r="H925" s="30"/>
      <c r="I925" s="30"/>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c r="CA925" s="73"/>
      <c r="CB925" s="73"/>
      <c r="CC925" s="73"/>
      <c r="CD925" s="73"/>
      <c r="CE925" s="73"/>
      <c r="CF925" s="73"/>
      <c r="CG925" s="73"/>
      <c r="CH925" s="73"/>
      <c r="CI925" s="73"/>
      <c r="CJ925" s="73"/>
      <c r="CK925" s="73"/>
      <c r="CL925" s="73"/>
      <c r="CM925" s="73"/>
      <c r="CN925" s="73"/>
      <c r="CO925" s="73"/>
      <c r="CP925" s="73"/>
      <c r="CQ925" s="73"/>
      <c r="CR925" s="73"/>
      <c r="CS925" s="73"/>
      <c r="CT925" s="73"/>
      <c r="CU925" s="73"/>
      <c r="CV925" s="73"/>
      <c r="CW925" s="73"/>
      <c r="CX925" s="73"/>
      <c r="CY925" s="73"/>
      <c r="CZ925" s="73"/>
      <c r="DA925" s="73"/>
      <c r="DB925" s="73"/>
      <c r="DC925" s="73"/>
      <c r="DD925" s="73"/>
      <c r="DE925" s="73"/>
      <c r="DF925" s="73"/>
      <c r="DG925" s="73"/>
      <c r="DH925" s="73"/>
      <c r="DI925" s="73"/>
      <c r="DJ925" s="73"/>
      <c r="DK925" s="73"/>
      <c r="DL925" s="73"/>
      <c r="DM925" s="73"/>
      <c r="DN925" s="73"/>
      <c r="DO925" s="73"/>
      <c r="DP925" s="73"/>
      <c r="DQ925" s="73"/>
      <c r="DR925" s="73"/>
      <c r="DS925" s="73"/>
      <c r="DT925" s="73"/>
      <c r="DU925" s="73"/>
      <c r="DV925" s="73"/>
      <c r="DW925" s="73"/>
      <c r="DX925" s="73"/>
      <c r="DY925" s="73"/>
      <c r="DZ925" s="73"/>
      <c r="EA925" s="73"/>
      <c r="EB925" s="73"/>
      <c r="EC925" s="73"/>
      <c r="ED925" s="73"/>
      <c r="EE925" s="73"/>
      <c r="EF925" s="73"/>
      <c r="FJ925" s="73"/>
      <c r="FK925" s="73"/>
      <c r="FL925" s="73"/>
      <c r="FM925" s="73"/>
      <c r="FN925" s="73"/>
      <c r="FO925" s="73"/>
      <c r="FP925" s="73"/>
      <c r="FQ925" s="73"/>
      <c r="FR925" s="73"/>
      <c r="FS925" s="73"/>
      <c r="FT925" s="73"/>
      <c r="FU925" s="73"/>
      <c r="FV925" s="73"/>
      <c r="FW925" s="73"/>
      <c r="FX925" s="73"/>
      <c r="GO925" s="73"/>
      <c r="GP925" s="73"/>
      <c r="HE925" s="73"/>
      <c r="HU925" s="73"/>
      <c r="HV925" s="182"/>
    </row>
    <row r="926" spans="1:230" x14ac:dyDescent="0.25">
      <c r="A926" s="30"/>
      <c r="B926" s="30"/>
      <c r="C926" s="30"/>
      <c r="D926" s="30"/>
      <c r="G926" s="30"/>
      <c r="H926" s="30"/>
      <c r="I926" s="30"/>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c r="CA926" s="73"/>
      <c r="CB926" s="73"/>
      <c r="CC926" s="73"/>
      <c r="CD926" s="73"/>
      <c r="CE926" s="73"/>
      <c r="CF926" s="73"/>
      <c r="CG926" s="73"/>
      <c r="CH926" s="73"/>
      <c r="CI926" s="73"/>
      <c r="CJ926" s="73"/>
      <c r="CK926" s="73"/>
      <c r="CL926" s="73"/>
      <c r="CM926" s="73"/>
      <c r="CN926" s="73"/>
      <c r="CO926" s="73"/>
      <c r="CP926" s="73"/>
      <c r="CQ926" s="73"/>
      <c r="CR926" s="73"/>
      <c r="CS926" s="73"/>
      <c r="CT926" s="73"/>
      <c r="CU926" s="73"/>
      <c r="CV926" s="73"/>
      <c r="CW926" s="73"/>
      <c r="CX926" s="73"/>
      <c r="CY926" s="73"/>
      <c r="CZ926" s="73"/>
      <c r="DA926" s="73"/>
      <c r="DB926" s="73"/>
      <c r="DC926" s="73"/>
      <c r="DD926" s="73"/>
      <c r="DE926" s="73"/>
      <c r="DF926" s="73"/>
      <c r="DG926" s="73"/>
      <c r="DH926" s="73"/>
      <c r="DI926" s="73"/>
      <c r="DJ926" s="73"/>
      <c r="DK926" s="73"/>
      <c r="DL926" s="73"/>
      <c r="DM926" s="73"/>
      <c r="DN926" s="73"/>
      <c r="DO926" s="73"/>
      <c r="DP926" s="73"/>
      <c r="DQ926" s="73"/>
      <c r="DR926" s="73"/>
      <c r="DS926" s="73"/>
      <c r="DT926" s="73"/>
      <c r="DU926" s="73"/>
      <c r="DV926" s="73"/>
      <c r="DW926" s="73"/>
      <c r="DX926" s="73"/>
      <c r="DY926" s="73"/>
      <c r="DZ926" s="73"/>
      <c r="EA926" s="73"/>
      <c r="EB926" s="73"/>
      <c r="EC926" s="73"/>
      <c r="ED926" s="73"/>
      <c r="EE926" s="73"/>
      <c r="EF926" s="73"/>
      <c r="FJ926" s="73"/>
      <c r="FK926" s="73"/>
      <c r="FL926" s="73"/>
      <c r="FM926" s="73"/>
      <c r="FN926" s="73"/>
      <c r="FO926" s="73"/>
      <c r="FP926" s="73"/>
      <c r="FQ926" s="73"/>
      <c r="FR926" s="73"/>
      <c r="FS926" s="73"/>
      <c r="FT926" s="73"/>
      <c r="FU926" s="73"/>
      <c r="FV926" s="73"/>
      <c r="FW926" s="73"/>
      <c r="FX926" s="73"/>
      <c r="GO926" s="73"/>
      <c r="GP926" s="73"/>
      <c r="HE926" s="73"/>
      <c r="HU926" s="73"/>
      <c r="HV926" s="182"/>
    </row>
    <row r="927" spans="1:230" x14ac:dyDescent="0.25">
      <c r="A927" s="30"/>
      <c r="B927" s="30"/>
      <c r="C927" s="30"/>
      <c r="D927" s="30"/>
      <c r="G927" s="30"/>
      <c r="H927" s="30"/>
      <c r="I927" s="30"/>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c r="CA927" s="73"/>
      <c r="CB927" s="73"/>
      <c r="CC927" s="73"/>
      <c r="CD927" s="73"/>
      <c r="CE927" s="73"/>
      <c r="CF927" s="73"/>
      <c r="CG927" s="73"/>
      <c r="CH927" s="73"/>
      <c r="CI927" s="73"/>
      <c r="CJ927" s="73"/>
      <c r="CK927" s="73"/>
      <c r="CL927" s="73"/>
      <c r="CM927" s="73"/>
      <c r="CN927" s="73"/>
      <c r="CO927" s="73"/>
      <c r="CP927" s="73"/>
      <c r="CQ927" s="73"/>
      <c r="CR927" s="73"/>
      <c r="CS927" s="73"/>
      <c r="CT927" s="73"/>
      <c r="CU927" s="73"/>
      <c r="CV927" s="73"/>
      <c r="CW927" s="73"/>
      <c r="CX927" s="73"/>
      <c r="CY927" s="73"/>
      <c r="CZ927" s="73"/>
      <c r="DA927" s="73"/>
      <c r="DB927" s="73"/>
      <c r="DC927" s="73"/>
      <c r="DD927" s="73"/>
      <c r="DE927" s="73"/>
      <c r="DF927" s="73"/>
      <c r="DG927" s="73"/>
      <c r="DH927" s="73"/>
      <c r="DI927" s="73"/>
      <c r="DJ927" s="73"/>
      <c r="DK927" s="73"/>
      <c r="DL927" s="73"/>
      <c r="DM927" s="73"/>
      <c r="DN927" s="73"/>
      <c r="DO927" s="73"/>
      <c r="DP927" s="73"/>
      <c r="DQ927" s="73"/>
      <c r="DR927" s="73"/>
      <c r="DS927" s="73"/>
      <c r="DT927" s="73"/>
      <c r="DU927" s="73"/>
      <c r="DV927" s="73"/>
      <c r="DW927" s="73"/>
      <c r="DX927" s="73"/>
      <c r="DY927" s="73"/>
      <c r="DZ927" s="73"/>
      <c r="EA927" s="73"/>
      <c r="EB927" s="73"/>
      <c r="EC927" s="73"/>
      <c r="ED927" s="73"/>
      <c r="EE927" s="73"/>
      <c r="EF927" s="73"/>
      <c r="FJ927" s="73"/>
      <c r="FK927" s="73"/>
      <c r="FL927" s="73"/>
      <c r="FM927" s="73"/>
      <c r="FN927" s="73"/>
      <c r="FO927" s="73"/>
      <c r="FP927" s="73"/>
      <c r="FQ927" s="73"/>
      <c r="FR927" s="73"/>
      <c r="FS927" s="73"/>
      <c r="FT927" s="73"/>
      <c r="FU927" s="73"/>
      <c r="FV927" s="73"/>
      <c r="FW927" s="73"/>
      <c r="FX927" s="73"/>
      <c r="GO927" s="73"/>
      <c r="GP927" s="73"/>
      <c r="HE927" s="73"/>
      <c r="HU927" s="73"/>
      <c r="HV927" s="182"/>
    </row>
    <row r="928" spans="1:230" x14ac:dyDescent="0.25">
      <c r="A928" s="30"/>
      <c r="B928" s="30"/>
      <c r="C928" s="30"/>
      <c r="D928" s="30"/>
      <c r="G928" s="30"/>
      <c r="H928" s="30"/>
      <c r="I928" s="30"/>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3"/>
      <c r="DV928" s="73"/>
      <c r="DW928" s="73"/>
      <c r="DX928" s="73"/>
      <c r="DY928" s="73"/>
      <c r="DZ928" s="73"/>
      <c r="EA928" s="73"/>
      <c r="EB928" s="73"/>
      <c r="EC928" s="73"/>
      <c r="ED928" s="73"/>
      <c r="EE928" s="73"/>
      <c r="EF928" s="73"/>
      <c r="FJ928" s="73"/>
      <c r="FK928" s="73"/>
      <c r="FL928" s="73"/>
      <c r="FM928" s="73"/>
      <c r="FN928" s="73"/>
      <c r="FO928" s="73"/>
      <c r="FP928" s="73"/>
      <c r="FQ928" s="73"/>
      <c r="FR928" s="73"/>
      <c r="FS928" s="73"/>
      <c r="FT928" s="73"/>
      <c r="FU928" s="73"/>
      <c r="FV928" s="73"/>
      <c r="FW928" s="73"/>
      <c r="FX928" s="73"/>
      <c r="GO928" s="73"/>
      <c r="GP928" s="73"/>
      <c r="HE928" s="73"/>
      <c r="HU928" s="73"/>
      <c r="HV928" s="182"/>
    </row>
    <row r="929" spans="1:230" x14ac:dyDescent="0.25">
      <c r="A929" s="30"/>
      <c r="B929" s="30"/>
      <c r="C929" s="30"/>
      <c r="D929" s="30"/>
      <c r="G929" s="30"/>
      <c r="H929" s="30"/>
      <c r="I929" s="30"/>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c r="CA929" s="73"/>
      <c r="CB929" s="73"/>
      <c r="CC929" s="73"/>
      <c r="CD929" s="73"/>
      <c r="CE929" s="73"/>
      <c r="CF929" s="73"/>
      <c r="CG929" s="73"/>
      <c r="CH929" s="73"/>
      <c r="CI929" s="73"/>
      <c r="CJ929" s="73"/>
      <c r="CK929" s="73"/>
      <c r="CL929" s="73"/>
      <c r="CM929" s="73"/>
      <c r="CN929" s="73"/>
      <c r="CO929" s="73"/>
      <c r="CP929" s="73"/>
      <c r="CQ929" s="73"/>
      <c r="CR929" s="73"/>
      <c r="CS929" s="73"/>
      <c r="CT929" s="73"/>
      <c r="CU929" s="73"/>
      <c r="CV929" s="73"/>
      <c r="CW929" s="73"/>
      <c r="CX929" s="73"/>
      <c r="CY929" s="73"/>
      <c r="CZ929" s="73"/>
      <c r="DA929" s="73"/>
      <c r="DB929" s="73"/>
      <c r="DC929" s="73"/>
      <c r="DD929" s="73"/>
      <c r="DE929" s="73"/>
      <c r="DF929" s="73"/>
      <c r="DG929" s="73"/>
      <c r="DH929" s="73"/>
      <c r="DI929" s="73"/>
      <c r="DJ929" s="73"/>
      <c r="DK929" s="73"/>
      <c r="DL929" s="73"/>
      <c r="DM929" s="73"/>
      <c r="DN929" s="73"/>
      <c r="DO929" s="73"/>
      <c r="DP929" s="73"/>
      <c r="DQ929" s="73"/>
      <c r="DR929" s="73"/>
      <c r="DS929" s="73"/>
      <c r="DT929" s="73"/>
      <c r="DU929" s="73"/>
      <c r="DV929" s="73"/>
      <c r="DW929" s="73"/>
      <c r="DX929" s="73"/>
      <c r="DY929" s="73"/>
      <c r="DZ929" s="73"/>
      <c r="EA929" s="73"/>
      <c r="EB929" s="73"/>
      <c r="EC929" s="73"/>
      <c r="ED929" s="73"/>
      <c r="EE929" s="73"/>
      <c r="EF929" s="73"/>
      <c r="FJ929" s="73"/>
      <c r="FK929" s="73"/>
      <c r="FL929" s="73"/>
      <c r="FM929" s="73"/>
      <c r="FN929" s="73"/>
      <c r="FO929" s="73"/>
      <c r="FP929" s="73"/>
      <c r="FQ929" s="73"/>
      <c r="FR929" s="73"/>
      <c r="FS929" s="73"/>
      <c r="FT929" s="73"/>
      <c r="FU929" s="73"/>
      <c r="FV929" s="73"/>
      <c r="FW929" s="73"/>
      <c r="FX929" s="73"/>
      <c r="GO929" s="73"/>
      <c r="GP929" s="73"/>
      <c r="HE929" s="73"/>
      <c r="HU929" s="73"/>
      <c r="HV929" s="182"/>
    </row>
    <row r="930" spans="1:230" x14ac:dyDescent="0.25">
      <c r="A930" s="30"/>
      <c r="B930" s="30"/>
      <c r="C930" s="30"/>
      <c r="D930" s="30"/>
      <c r="G930" s="30"/>
      <c r="H930" s="30"/>
      <c r="I930" s="30"/>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c r="CA930" s="73"/>
      <c r="CB930" s="73"/>
      <c r="CC930" s="73"/>
      <c r="CD930" s="73"/>
      <c r="CE930" s="73"/>
      <c r="CF930" s="73"/>
      <c r="CG930" s="73"/>
      <c r="CH930" s="73"/>
      <c r="CI930" s="73"/>
      <c r="CJ930" s="73"/>
      <c r="CK930" s="73"/>
      <c r="CL930" s="73"/>
      <c r="CM930" s="73"/>
      <c r="CN930" s="73"/>
      <c r="CO930" s="73"/>
      <c r="CP930" s="73"/>
      <c r="CQ930" s="73"/>
      <c r="CR930" s="73"/>
      <c r="CS930" s="73"/>
      <c r="CT930" s="73"/>
      <c r="CU930" s="73"/>
      <c r="CV930" s="73"/>
      <c r="CW930" s="73"/>
      <c r="CX930" s="73"/>
      <c r="CY930" s="73"/>
      <c r="CZ930" s="73"/>
      <c r="DA930" s="73"/>
      <c r="DB930" s="73"/>
      <c r="DC930" s="73"/>
      <c r="DD930" s="73"/>
      <c r="DE930" s="73"/>
      <c r="DF930" s="73"/>
      <c r="DG930" s="73"/>
      <c r="DH930" s="73"/>
      <c r="DI930" s="73"/>
      <c r="DJ930" s="73"/>
      <c r="DK930" s="73"/>
      <c r="DL930" s="73"/>
      <c r="DM930" s="73"/>
      <c r="DN930" s="73"/>
      <c r="DO930" s="73"/>
      <c r="DP930" s="73"/>
      <c r="DQ930" s="73"/>
      <c r="DR930" s="73"/>
      <c r="DS930" s="73"/>
      <c r="DT930" s="73"/>
      <c r="DU930" s="73"/>
      <c r="DV930" s="73"/>
      <c r="DW930" s="73"/>
      <c r="DX930" s="73"/>
      <c r="DY930" s="73"/>
      <c r="DZ930" s="73"/>
      <c r="EA930" s="73"/>
      <c r="EB930" s="73"/>
      <c r="EC930" s="73"/>
      <c r="ED930" s="73"/>
      <c r="EE930" s="73"/>
      <c r="EF930" s="73"/>
      <c r="FJ930" s="73"/>
      <c r="FK930" s="73"/>
      <c r="FL930" s="73"/>
      <c r="FM930" s="73"/>
      <c r="FN930" s="73"/>
      <c r="FO930" s="73"/>
      <c r="FP930" s="73"/>
      <c r="FQ930" s="73"/>
      <c r="FR930" s="73"/>
      <c r="FS930" s="73"/>
      <c r="FT930" s="73"/>
      <c r="FU930" s="73"/>
      <c r="FV930" s="73"/>
      <c r="FW930" s="73"/>
      <c r="FX930" s="73"/>
      <c r="GO930" s="73"/>
      <c r="GP930" s="73"/>
      <c r="HE930" s="73"/>
      <c r="HU930" s="73"/>
      <c r="HV930" s="182"/>
    </row>
    <row r="931" spans="1:230" x14ac:dyDescent="0.25">
      <c r="A931" s="30"/>
      <c r="B931" s="30"/>
      <c r="C931" s="30"/>
      <c r="D931" s="30"/>
      <c r="G931" s="30"/>
      <c r="H931" s="30"/>
      <c r="I931" s="30"/>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c r="CA931" s="73"/>
      <c r="CB931" s="73"/>
      <c r="CC931" s="73"/>
      <c r="CD931" s="73"/>
      <c r="CE931" s="73"/>
      <c r="CF931" s="73"/>
      <c r="CG931" s="73"/>
      <c r="CH931" s="73"/>
      <c r="CI931" s="73"/>
      <c r="CJ931" s="73"/>
      <c r="CK931" s="73"/>
      <c r="CL931" s="73"/>
      <c r="CM931" s="73"/>
      <c r="CN931" s="73"/>
      <c r="CO931" s="73"/>
      <c r="CP931" s="73"/>
      <c r="CQ931" s="73"/>
      <c r="CR931" s="73"/>
      <c r="CS931" s="73"/>
      <c r="CT931" s="73"/>
      <c r="CU931" s="73"/>
      <c r="CV931" s="73"/>
      <c r="CW931" s="73"/>
      <c r="CX931" s="73"/>
      <c r="CY931" s="73"/>
      <c r="CZ931" s="73"/>
      <c r="DA931" s="73"/>
      <c r="DB931" s="73"/>
      <c r="DC931" s="73"/>
      <c r="DD931" s="73"/>
      <c r="DE931" s="73"/>
      <c r="DF931" s="73"/>
      <c r="DG931" s="73"/>
      <c r="DH931" s="73"/>
      <c r="DI931" s="73"/>
      <c r="DJ931" s="73"/>
      <c r="DK931" s="73"/>
      <c r="DL931" s="73"/>
      <c r="DM931" s="73"/>
      <c r="DN931" s="73"/>
      <c r="DO931" s="73"/>
      <c r="DP931" s="73"/>
      <c r="DQ931" s="73"/>
      <c r="DR931" s="73"/>
      <c r="DS931" s="73"/>
      <c r="DT931" s="73"/>
      <c r="DU931" s="73"/>
      <c r="DV931" s="73"/>
      <c r="DW931" s="73"/>
      <c r="DX931" s="73"/>
      <c r="DY931" s="73"/>
      <c r="DZ931" s="73"/>
      <c r="EA931" s="73"/>
      <c r="EB931" s="73"/>
      <c r="EC931" s="73"/>
      <c r="ED931" s="73"/>
      <c r="EE931" s="73"/>
      <c r="EF931" s="73"/>
      <c r="FJ931" s="73"/>
      <c r="FK931" s="73"/>
      <c r="FL931" s="73"/>
      <c r="FM931" s="73"/>
      <c r="FN931" s="73"/>
      <c r="FO931" s="73"/>
      <c r="FP931" s="73"/>
      <c r="FQ931" s="73"/>
      <c r="FR931" s="73"/>
      <c r="FS931" s="73"/>
      <c r="FT931" s="73"/>
      <c r="FU931" s="73"/>
      <c r="FV931" s="73"/>
      <c r="FW931" s="73"/>
      <c r="FX931" s="73"/>
      <c r="GO931" s="73"/>
      <c r="GP931" s="73"/>
      <c r="HE931" s="73"/>
      <c r="HU931" s="73"/>
      <c r="HV931" s="182"/>
    </row>
    <row r="932" spans="1:230" x14ac:dyDescent="0.25">
      <c r="A932" s="30"/>
      <c r="B932" s="30"/>
      <c r="C932" s="30"/>
      <c r="D932" s="30"/>
      <c r="G932" s="30"/>
      <c r="H932" s="30"/>
      <c r="I932" s="30"/>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c r="CA932" s="73"/>
      <c r="CB932" s="73"/>
      <c r="CC932" s="73"/>
      <c r="CD932" s="73"/>
      <c r="CE932" s="73"/>
      <c r="CF932" s="73"/>
      <c r="CG932" s="73"/>
      <c r="CH932" s="73"/>
      <c r="CI932" s="73"/>
      <c r="CJ932" s="73"/>
      <c r="CK932" s="73"/>
      <c r="CL932" s="73"/>
      <c r="CM932" s="73"/>
      <c r="CN932" s="73"/>
      <c r="CO932" s="73"/>
      <c r="CP932" s="73"/>
      <c r="CQ932" s="73"/>
      <c r="CR932" s="73"/>
      <c r="CS932" s="73"/>
      <c r="CT932" s="73"/>
      <c r="CU932" s="73"/>
      <c r="CV932" s="73"/>
      <c r="CW932" s="73"/>
      <c r="CX932" s="73"/>
      <c r="CY932" s="73"/>
      <c r="CZ932" s="73"/>
      <c r="DA932" s="73"/>
      <c r="DB932" s="73"/>
      <c r="DC932" s="73"/>
      <c r="DD932" s="73"/>
      <c r="DE932" s="73"/>
      <c r="DF932" s="73"/>
      <c r="DG932" s="73"/>
      <c r="DH932" s="73"/>
      <c r="DI932" s="73"/>
      <c r="DJ932" s="73"/>
      <c r="DK932" s="73"/>
      <c r="DL932" s="73"/>
      <c r="DM932" s="73"/>
      <c r="DN932" s="73"/>
      <c r="DO932" s="73"/>
      <c r="DP932" s="73"/>
      <c r="DQ932" s="73"/>
      <c r="DR932" s="73"/>
      <c r="DS932" s="73"/>
      <c r="DT932" s="73"/>
      <c r="DU932" s="73"/>
      <c r="DV932" s="73"/>
      <c r="DW932" s="73"/>
      <c r="DX932" s="73"/>
      <c r="DY932" s="73"/>
      <c r="DZ932" s="73"/>
      <c r="EA932" s="73"/>
      <c r="EB932" s="73"/>
      <c r="EC932" s="73"/>
      <c r="ED932" s="73"/>
      <c r="EE932" s="73"/>
      <c r="EF932" s="73"/>
      <c r="FJ932" s="73"/>
      <c r="FK932" s="73"/>
      <c r="FL932" s="73"/>
      <c r="FM932" s="73"/>
      <c r="FN932" s="73"/>
      <c r="FO932" s="73"/>
      <c r="FP932" s="73"/>
      <c r="FQ932" s="73"/>
      <c r="FR932" s="73"/>
      <c r="FS932" s="73"/>
      <c r="FT932" s="73"/>
      <c r="FU932" s="73"/>
      <c r="FV932" s="73"/>
      <c r="FW932" s="73"/>
      <c r="FX932" s="73"/>
      <c r="GO932" s="73"/>
      <c r="GP932" s="73"/>
      <c r="HE932" s="73"/>
      <c r="HU932" s="73"/>
      <c r="HV932" s="182"/>
    </row>
    <row r="933" spans="1:230" x14ac:dyDescent="0.25">
      <c r="A933" s="30"/>
      <c r="B933" s="30"/>
      <c r="C933" s="30"/>
      <c r="D933" s="30"/>
      <c r="G933" s="30"/>
      <c r="H933" s="30"/>
      <c r="I933" s="30"/>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c r="CA933" s="73"/>
      <c r="CB933" s="73"/>
      <c r="CC933" s="73"/>
      <c r="CD933" s="73"/>
      <c r="CE933" s="73"/>
      <c r="CF933" s="73"/>
      <c r="CG933" s="73"/>
      <c r="CH933" s="73"/>
      <c r="CI933" s="73"/>
      <c r="CJ933" s="73"/>
      <c r="CK933" s="73"/>
      <c r="CL933" s="73"/>
      <c r="CM933" s="73"/>
      <c r="CN933" s="73"/>
      <c r="CO933" s="73"/>
      <c r="CP933" s="73"/>
      <c r="CQ933" s="73"/>
      <c r="CR933" s="73"/>
      <c r="CS933" s="73"/>
      <c r="CT933" s="73"/>
      <c r="CU933" s="73"/>
      <c r="CV933" s="73"/>
      <c r="CW933" s="73"/>
      <c r="CX933" s="73"/>
      <c r="CY933" s="73"/>
      <c r="CZ933" s="73"/>
      <c r="DA933" s="73"/>
      <c r="DB933" s="73"/>
      <c r="DC933" s="73"/>
      <c r="DD933" s="73"/>
      <c r="DE933" s="73"/>
      <c r="DF933" s="73"/>
      <c r="DG933" s="73"/>
      <c r="DH933" s="73"/>
      <c r="DI933" s="73"/>
      <c r="DJ933" s="73"/>
      <c r="DK933" s="73"/>
      <c r="DL933" s="73"/>
      <c r="DM933" s="73"/>
      <c r="DN933" s="73"/>
      <c r="DO933" s="73"/>
      <c r="DP933" s="73"/>
      <c r="DQ933" s="73"/>
      <c r="DR933" s="73"/>
      <c r="DS933" s="73"/>
      <c r="DT933" s="73"/>
      <c r="DU933" s="73"/>
      <c r="DV933" s="73"/>
      <c r="DW933" s="73"/>
      <c r="DX933" s="73"/>
      <c r="DY933" s="73"/>
      <c r="DZ933" s="73"/>
      <c r="EA933" s="73"/>
      <c r="EB933" s="73"/>
      <c r="EC933" s="73"/>
      <c r="ED933" s="73"/>
      <c r="EE933" s="73"/>
      <c r="EF933" s="73"/>
      <c r="FJ933" s="73"/>
      <c r="FK933" s="73"/>
      <c r="FL933" s="73"/>
      <c r="FM933" s="73"/>
      <c r="FN933" s="73"/>
      <c r="FO933" s="73"/>
      <c r="FP933" s="73"/>
      <c r="FQ933" s="73"/>
      <c r="FR933" s="73"/>
      <c r="FS933" s="73"/>
      <c r="FT933" s="73"/>
      <c r="FU933" s="73"/>
      <c r="FV933" s="73"/>
      <c r="FW933" s="73"/>
      <c r="FX933" s="73"/>
      <c r="GO933" s="73"/>
      <c r="GP933" s="73"/>
      <c r="HE933" s="73"/>
      <c r="HU933" s="73"/>
      <c r="HV933" s="182"/>
    </row>
    <row r="934" spans="1:230" x14ac:dyDescent="0.25">
      <c r="A934" s="30"/>
      <c r="B934" s="30"/>
      <c r="C934" s="30"/>
      <c r="D934" s="30"/>
      <c r="G934" s="30"/>
      <c r="H934" s="30"/>
      <c r="I934" s="30"/>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c r="CA934" s="73"/>
      <c r="CB934" s="73"/>
      <c r="CC934" s="73"/>
      <c r="CD934" s="73"/>
      <c r="CE934" s="73"/>
      <c r="CF934" s="73"/>
      <c r="CG934" s="73"/>
      <c r="CH934" s="73"/>
      <c r="CI934" s="73"/>
      <c r="CJ934" s="73"/>
      <c r="CK934" s="73"/>
      <c r="CL934" s="73"/>
      <c r="CM934" s="73"/>
      <c r="CN934" s="73"/>
      <c r="CO934" s="73"/>
      <c r="CP934" s="73"/>
      <c r="CQ934" s="73"/>
      <c r="CR934" s="73"/>
      <c r="CS934" s="73"/>
      <c r="CT934" s="73"/>
      <c r="CU934" s="73"/>
      <c r="CV934" s="73"/>
      <c r="CW934" s="73"/>
      <c r="CX934" s="73"/>
      <c r="CY934" s="73"/>
      <c r="CZ934" s="73"/>
      <c r="DA934" s="73"/>
      <c r="DB934" s="73"/>
      <c r="DC934" s="73"/>
      <c r="DD934" s="73"/>
      <c r="DE934" s="73"/>
      <c r="DF934" s="73"/>
      <c r="DG934" s="73"/>
      <c r="DH934" s="73"/>
      <c r="DI934" s="73"/>
      <c r="DJ934" s="73"/>
      <c r="DK934" s="73"/>
      <c r="DL934" s="73"/>
      <c r="DM934" s="73"/>
      <c r="DN934" s="73"/>
      <c r="DO934" s="73"/>
      <c r="DP934" s="73"/>
      <c r="DQ934" s="73"/>
      <c r="DR934" s="73"/>
      <c r="DS934" s="73"/>
      <c r="DT934" s="73"/>
      <c r="DU934" s="73"/>
      <c r="DV934" s="73"/>
      <c r="DW934" s="73"/>
      <c r="DX934" s="73"/>
      <c r="DY934" s="73"/>
      <c r="DZ934" s="73"/>
      <c r="EA934" s="73"/>
      <c r="EB934" s="73"/>
      <c r="EC934" s="73"/>
      <c r="ED934" s="73"/>
      <c r="EE934" s="73"/>
      <c r="EF934" s="73"/>
      <c r="FJ934" s="73"/>
      <c r="FK934" s="73"/>
      <c r="FL934" s="73"/>
      <c r="FM934" s="73"/>
      <c r="FN934" s="73"/>
      <c r="FO934" s="73"/>
      <c r="FP934" s="73"/>
      <c r="FQ934" s="73"/>
      <c r="FR934" s="73"/>
      <c r="FS934" s="73"/>
      <c r="FT934" s="73"/>
      <c r="FU934" s="73"/>
      <c r="FV934" s="73"/>
      <c r="FW934" s="73"/>
      <c r="FX934" s="73"/>
      <c r="GO934" s="73"/>
      <c r="GP934" s="73"/>
      <c r="HE934" s="73"/>
      <c r="HU934" s="73"/>
      <c r="HV934" s="182"/>
    </row>
    <row r="935" spans="1:230" x14ac:dyDescent="0.25">
      <c r="A935" s="30"/>
      <c r="B935" s="30"/>
      <c r="C935" s="30"/>
      <c r="D935" s="30"/>
      <c r="G935" s="30"/>
      <c r="H935" s="30"/>
      <c r="I935" s="30"/>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c r="CA935" s="73"/>
      <c r="CB935" s="73"/>
      <c r="CC935" s="73"/>
      <c r="CD935" s="73"/>
      <c r="CE935" s="73"/>
      <c r="CF935" s="73"/>
      <c r="CG935" s="73"/>
      <c r="CH935" s="73"/>
      <c r="CI935" s="73"/>
      <c r="CJ935" s="73"/>
      <c r="CK935" s="73"/>
      <c r="CL935" s="73"/>
      <c r="CM935" s="73"/>
      <c r="CN935" s="73"/>
      <c r="CO935" s="73"/>
      <c r="CP935" s="73"/>
      <c r="CQ935" s="73"/>
      <c r="CR935" s="73"/>
      <c r="CS935" s="73"/>
      <c r="CT935" s="73"/>
      <c r="CU935" s="73"/>
      <c r="CV935" s="73"/>
      <c r="CW935" s="73"/>
      <c r="CX935" s="73"/>
      <c r="CY935" s="73"/>
      <c r="CZ935" s="73"/>
      <c r="DA935" s="73"/>
      <c r="DB935" s="73"/>
      <c r="DC935" s="73"/>
      <c r="DD935" s="73"/>
      <c r="DE935" s="73"/>
      <c r="DF935" s="73"/>
      <c r="DG935" s="73"/>
      <c r="DH935" s="73"/>
      <c r="DI935" s="73"/>
      <c r="DJ935" s="73"/>
      <c r="DK935" s="73"/>
      <c r="DL935" s="73"/>
      <c r="DM935" s="73"/>
      <c r="DN935" s="73"/>
      <c r="DO935" s="73"/>
      <c r="DP935" s="73"/>
      <c r="DQ935" s="73"/>
      <c r="DR935" s="73"/>
      <c r="DS935" s="73"/>
      <c r="DT935" s="73"/>
      <c r="DU935" s="73"/>
      <c r="DV935" s="73"/>
      <c r="DW935" s="73"/>
      <c r="DX935" s="73"/>
      <c r="DY935" s="73"/>
      <c r="DZ935" s="73"/>
      <c r="EA935" s="73"/>
      <c r="EB935" s="73"/>
      <c r="EC935" s="73"/>
      <c r="ED935" s="73"/>
      <c r="EE935" s="73"/>
      <c r="EF935" s="73"/>
      <c r="FJ935" s="73"/>
      <c r="FK935" s="73"/>
      <c r="FL935" s="73"/>
      <c r="FM935" s="73"/>
      <c r="FN935" s="73"/>
      <c r="FO935" s="73"/>
      <c r="FP935" s="73"/>
      <c r="FQ935" s="73"/>
      <c r="FR935" s="73"/>
      <c r="FS935" s="73"/>
      <c r="FT935" s="73"/>
      <c r="FU935" s="73"/>
      <c r="FV935" s="73"/>
      <c r="FW935" s="73"/>
      <c r="FX935" s="73"/>
      <c r="GO935" s="73"/>
      <c r="GP935" s="73"/>
      <c r="HE935" s="73"/>
      <c r="HU935" s="73"/>
      <c r="HV935" s="182"/>
    </row>
    <row r="936" spans="1:230" x14ac:dyDescent="0.25">
      <c r="A936" s="30"/>
      <c r="B936" s="30"/>
      <c r="C936" s="30"/>
      <c r="D936" s="30"/>
      <c r="G936" s="30"/>
      <c r="H936" s="30"/>
      <c r="I936" s="30"/>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c r="CA936" s="73"/>
      <c r="CB936" s="73"/>
      <c r="CC936" s="73"/>
      <c r="CD936" s="73"/>
      <c r="CE936" s="73"/>
      <c r="CF936" s="73"/>
      <c r="CG936" s="73"/>
      <c r="CH936" s="73"/>
      <c r="CI936" s="73"/>
      <c r="CJ936" s="73"/>
      <c r="CK936" s="73"/>
      <c r="CL936" s="73"/>
      <c r="CM936" s="73"/>
      <c r="CN936" s="73"/>
      <c r="CO936" s="73"/>
      <c r="CP936" s="73"/>
      <c r="CQ936" s="73"/>
      <c r="CR936" s="73"/>
      <c r="CS936" s="73"/>
      <c r="CT936" s="73"/>
      <c r="CU936" s="73"/>
      <c r="CV936" s="73"/>
      <c r="CW936" s="73"/>
      <c r="CX936" s="73"/>
      <c r="CY936" s="73"/>
      <c r="CZ936" s="73"/>
      <c r="DA936" s="73"/>
      <c r="DB936" s="73"/>
      <c r="DC936" s="73"/>
      <c r="DD936" s="73"/>
      <c r="DE936" s="73"/>
      <c r="DF936" s="73"/>
      <c r="DG936" s="73"/>
      <c r="DH936" s="73"/>
      <c r="DI936" s="73"/>
      <c r="DJ936" s="73"/>
      <c r="DK936" s="73"/>
      <c r="DL936" s="73"/>
      <c r="DM936" s="73"/>
      <c r="DN936" s="73"/>
      <c r="DO936" s="73"/>
      <c r="DP936" s="73"/>
      <c r="DQ936" s="73"/>
      <c r="DR936" s="73"/>
      <c r="DS936" s="73"/>
      <c r="DT936" s="73"/>
      <c r="DU936" s="73"/>
      <c r="DV936" s="73"/>
      <c r="DW936" s="73"/>
      <c r="DX936" s="73"/>
      <c r="DY936" s="73"/>
      <c r="DZ936" s="73"/>
      <c r="EA936" s="73"/>
      <c r="EB936" s="73"/>
      <c r="EC936" s="73"/>
      <c r="ED936" s="73"/>
      <c r="EE936" s="73"/>
      <c r="EF936" s="73"/>
      <c r="FJ936" s="73"/>
      <c r="FK936" s="73"/>
      <c r="FL936" s="73"/>
      <c r="FM936" s="73"/>
      <c r="FN936" s="73"/>
      <c r="FO936" s="73"/>
      <c r="FP936" s="73"/>
      <c r="FQ936" s="73"/>
      <c r="FR936" s="73"/>
      <c r="FS936" s="73"/>
      <c r="FT936" s="73"/>
      <c r="FU936" s="73"/>
      <c r="FV936" s="73"/>
      <c r="FW936" s="73"/>
      <c r="FX936" s="73"/>
      <c r="GO936" s="73"/>
      <c r="GP936" s="73"/>
      <c r="HE936" s="73"/>
      <c r="HU936" s="73"/>
      <c r="HV936" s="182"/>
    </row>
    <row r="937" spans="1:230" x14ac:dyDescent="0.25">
      <c r="A937" s="30"/>
      <c r="B937" s="30"/>
      <c r="C937" s="30"/>
      <c r="D937" s="30"/>
      <c r="G937" s="30"/>
      <c r="H937" s="30"/>
      <c r="I937" s="30"/>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c r="BU937" s="73"/>
      <c r="BV937" s="73"/>
      <c r="BW937" s="73"/>
      <c r="BX937" s="73"/>
      <c r="BY937" s="73"/>
      <c r="BZ937" s="73"/>
      <c r="CA937" s="73"/>
      <c r="CB937" s="73"/>
      <c r="CC937" s="73"/>
      <c r="CD937" s="73"/>
      <c r="CE937" s="73"/>
      <c r="CF937" s="73"/>
      <c r="CG937" s="73"/>
      <c r="CH937" s="73"/>
      <c r="CI937" s="73"/>
      <c r="CJ937" s="73"/>
      <c r="CK937" s="73"/>
      <c r="CL937" s="73"/>
      <c r="CM937" s="73"/>
      <c r="CN937" s="73"/>
      <c r="CO937" s="73"/>
      <c r="CP937" s="73"/>
      <c r="CQ937" s="73"/>
      <c r="CR937" s="73"/>
      <c r="CS937" s="73"/>
      <c r="CT937" s="73"/>
      <c r="CU937" s="73"/>
      <c r="CV937" s="73"/>
      <c r="CW937" s="73"/>
      <c r="CX937" s="73"/>
      <c r="CY937" s="73"/>
      <c r="CZ937" s="73"/>
      <c r="DA937" s="73"/>
      <c r="DB937" s="73"/>
      <c r="DC937" s="73"/>
      <c r="DD937" s="73"/>
      <c r="DE937" s="73"/>
      <c r="DF937" s="73"/>
      <c r="DG937" s="73"/>
      <c r="DH937" s="73"/>
      <c r="DI937" s="73"/>
      <c r="DJ937" s="73"/>
      <c r="DK937" s="73"/>
      <c r="DL937" s="73"/>
      <c r="DM937" s="73"/>
      <c r="DN937" s="73"/>
      <c r="DO937" s="73"/>
      <c r="DP937" s="73"/>
      <c r="DQ937" s="73"/>
      <c r="DR937" s="73"/>
      <c r="DS937" s="73"/>
      <c r="DT937" s="73"/>
      <c r="DU937" s="73"/>
      <c r="DV937" s="73"/>
      <c r="DW937" s="73"/>
      <c r="DX937" s="73"/>
      <c r="DY937" s="73"/>
      <c r="DZ937" s="73"/>
      <c r="EA937" s="73"/>
      <c r="EB937" s="73"/>
      <c r="EC937" s="73"/>
      <c r="ED937" s="73"/>
      <c r="EE937" s="73"/>
      <c r="EF937" s="73"/>
      <c r="FJ937" s="73"/>
      <c r="FK937" s="73"/>
      <c r="FL937" s="73"/>
      <c r="FM937" s="73"/>
      <c r="FN937" s="73"/>
      <c r="FO937" s="73"/>
      <c r="FP937" s="73"/>
      <c r="FQ937" s="73"/>
      <c r="FR937" s="73"/>
      <c r="FS937" s="73"/>
      <c r="FT937" s="73"/>
      <c r="FU937" s="73"/>
      <c r="FV937" s="73"/>
      <c r="FW937" s="73"/>
      <c r="FX937" s="73"/>
      <c r="GO937" s="73"/>
      <c r="GP937" s="73"/>
      <c r="HE937" s="73"/>
      <c r="HU937" s="73"/>
      <c r="HV937" s="182"/>
    </row>
    <row r="938" spans="1:230" x14ac:dyDescent="0.25">
      <c r="A938" s="30"/>
      <c r="B938" s="30"/>
      <c r="C938" s="30"/>
      <c r="D938" s="30"/>
      <c r="G938" s="30"/>
      <c r="H938" s="30"/>
      <c r="I938" s="30"/>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c r="BU938" s="73"/>
      <c r="BV938" s="73"/>
      <c r="BW938" s="73"/>
      <c r="BX938" s="73"/>
      <c r="BY938" s="73"/>
      <c r="BZ938" s="73"/>
      <c r="CA938" s="73"/>
      <c r="CB938" s="73"/>
      <c r="CC938" s="73"/>
      <c r="CD938" s="73"/>
      <c r="CE938" s="73"/>
      <c r="CF938" s="73"/>
      <c r="CG938" s="73"/>
      <c r="CH938" s="73"/>
      <c r="CI938" s="73"/>
      <c r="CJ938" s="73"/>
      <c r="CK938" s="73"/>
      <c r="CL938" s="73"/>
      <c r="CM938" s="73"/>
      <c r="CN938" s="73"/>
      <c r="CO938" s="73"/>
      <c r="CP938" s="73"/>
      <c r="CQ938" s="73"/>
      <c r="CR938" s="73"/>
      <c r="CS938" s="73"/>
      <c r="CT938" s="73"/>
      <c r="CU938" s="73"/>
      <c r="CV938" s="73"/>
      <c r="CW938" s="73"/>
      <c r="CX938" s="73"/>
      <c r="CY938" s="73"/>
      <c r="CZ938" s="73"/>
      <c r="DA938" s="73"/>
      <c r="DB938" s="73"/>
      <c r="DC938" s="73"/>
      <c r="DD938" s="73"/>
      <c r="DE938" s="73"/>
      <c r="DF938" s="73"/>
      <c r="DG938" s="73"/>
      <c r="DH938" s="73"/>
      <c r="DI938" s="73"/>
      <c r="DJ938" s="73"/>
      <c r="DK938" s="73"/>
      <c r="DL938" s="73"/>
      <c r="DM938" s="73"/>
      <c r="DN938" s="73"/>
      <c r="DO938" s="73"/>
      <c r="DP938" s="73"/>
      <c r="DQ938" s="73"/>
      <c r="DR938" s="73"/>
      <c r="DS938" s="73"/>
      <c r="DT938" s="73"/>
      <c r="DU938" s="73"/>
      <c r="DV938" s="73"/>
      <c r="DW938" s="73"/>
      <c r="DX938" s="73"/>
      <c r="DY938" s="73"/>
      <c r="DZ938" s="73"/>
      <c r="EA938" s="73"/>
      <c r="EB938" s="73"/>
      <c r="EC938" s="73"/>
      <c r="ED938" s="73"/>
      <c r="EE938" s="73"/>
      <c r="EF938" s="73"/>
      <c r="FJ938" s="73"/>
      <c r="FK938" s="73"/>
      <c r="FL938" s="73"/>
      <c r="FM938" s="73"/>
      <c r="FN938" s="73"/>
      <c r="FO938" s="73"/>
      <c r="FP938" s="73"/>
      <c r="FQ938" s="73"/>
      <c r="FR938" s="73"/>
      <c r="FS938" s="73"/>
      <c r="FT938" s="73"/>
      <c r="FU938" s="73"/>
      <c r="FV938" s="73"/>
      <c r="FW938" s="73"/>
      <c r="FX938" s="73"/>
      <c r="GO938" s="73"/>
      <c r="GP938" s="73"/>
      <c r="HE938" s="73"/>
      <c r="HU938" s="73"/>
      <c r="HV938" s="182"/>
    </row>
    <row r="939" spans="1:230" x14ac:dyDescent="0.25">
      <c r="HV939" s="182"/>
    </row>
  </sheetData>
  <sortState ref="A3:HW298">
    <sortCondition ref="B3:B298"/>
  </sortState>
  <phoneticPr fontId="13" type="noConversion"/>
  <pageMargins left="0.75" right="0.75" top="1" bottom="1"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940"/>
  <sheetViews>
    <sheetView workbookViewId="0">
      <pane xSplit="2" ySplit="2" topLeftCell="BW3" activePane="bottomRight" state="frozen"/>
      <selection pane="topRight" activeCell="C1" sqref="C1"/>
      <selection pane="bottomLeft" activeCell="A4" sqref="A4"/>
      <selection pane="bottomRight" activeCell="CM3" sqref="CM3"/>
    </sheetView>
  </sheetViews>
  <sheetFormatPr defaultRowHeight="13.5" x14ac:dyDescent="0.25"/>
  <cols>
    <col min="1" max="1" width="9.28515625" style="27" bestFit="1" customWidth="1"/>
    <col min="2" max="2" width="9.140625" style="27"/>
    <col min="3" max="3" width="9.28515625" style="27" bestFit="1" customWidth="1"/>
    <col min="4" max="4" width="9.140625" style="27"/>
    <col min="5" max="5" width="9.28515625" style="27" bestFit="1" customWidth="1"/>
    <col min="6" max="6" width="12" style="27" bestFit="1" customWidth="1"/>
    <col min="7" max="7" width="12.7109375" style="29" bestFit="1" customWidth="1"/>
    <col min="8" max="8" width="16.28515625" style="27" bestFit="1" customWidth="1"/>
    <col min="9" max="9" width="12.28515625" style="28" bestFit="1" customWidth="1"/>
    <col min="10" max="14" width="9.140625" style="22"/>
    <col min="15" max="15" width="9.140625" style="150"/>
    <col min="16" max="16" width="9.140625" style="22"/>
    <col min="17" max="17" width="9.140625" style="151"/>
    <col min="18" max="27" width="9.140625" style="22"/>
    <col min="28" max="28" width="9.140625" style="122"/>
    <col min="29" max="29" width="9.42578125" style="22" customWidth="1"/>
    <col min="30" max="30" width="9.140625" style="160"/>
    <col min="31" max="31" width="9.140625" style="150"/>
    <col min="32" max="32" width="9.140625" style="160"/>
    <col min="33" max="33" width="9.140625" style="150"/>
    <col min="34" max="34" width="9.140625" style="22"/>
    <col min="35" max="35" width="9.140625" style="112"/>
    <col min="36" max="36" width="9.140625" style="151"/>
    <col min="37" max="40" width="9.140625" style="22"/>
    <col min="41" max="41" width="11.42578125" style="86" customWidth="1"/>
    <col min="42" max="42" width="15.7109375" style="86" customWidth="1"/>
    <col min="43" max="48" width="9.140625" style="44"/>
    <col min="49" max="49" width="10.28515625" style="44" customWidth="1"/>
    <col min="50" max="50" width="9.140625" style="48"/>
    <col min="51" max="51" width="9.140625" style="92"/>
    <col min="52" max="53" width="9.140625" style="44"/>
    <col min="54" max="54" width="8.140625" style="157" customWidth="1"/>
    <col min="55" max="55" width="11.5703125" style="44" customWidth="1"/>
    <col min="56" max="56" width="9.140625" style="44"/>
    <col min="57" max="57" width="9.140625" style="156"/>
    <col min="58" max="65" width="9.140625" style="44"/>
    <col min="66" max="66" width="9.7109375" style="44" bestFit="1" customWidth="1"/>
    <col min="67" max="67" width="10.28515625" style="44" customWidth="1"/>
    <col min="68" max="69" width="9.140625" style="48"/>
    <col min="70" max="71" width="9.140625" style="44"/>
    <col min="72" max="72" width="9.140625" style="92"/>
    <col min="73" max="73" width="9.140625" style="44"/>
    <col min="74" max="74" width="9.140625" style="156"/>
    <col min="75" max="76" width="9.140625" style="44"/>
    <col min="77" max="77" width="9.140625" style="44" customWidth="1"/>
    <col min="78" max="82" width="9.140625" style="44"/>
    <col min="83" max="83" width="9.7109375" style="44" bestFit="1" customWidth="1"/>
    <col min="84" max="84" width="10.28515625" style="44" customWidth="1"/>
    <col min="85" max="86" width="9.140625" style="48"/>
    <col min="87" max="90" width="9.140625" style="44"/>
    <col min="91" max="91" width="9.140625" style="156"/>
    <col min="92" max="93" width="9.140625" style="44"/>
    <col min="94" max="94" width="9.140625" style="44" customWidth="1"/>
    <col min="95" max="97" width="9.140625" style="44"/>
    <col min="114" max="114" width="8.85546875" style="174"/>
    <col min="130" max="130" width="12.28515625" style="178" customWidth="1"/>
    <col min="131" max="131" width="8.85546875" style="44"/>
    <col min="132" max="132" width="10.28515625" style="44" customWidth="1"/>
    <col min="133" max="133" width="11.28515625" style="48" bestFit="1" customWidth="1"/>
    <col min="134" max="134" width="10.42578125" style="44" bestFit="1" customWidth="1"/>
    <col min="135" max="135" width="8.85546875" style="185"/>
    <col min="136" max="136" width="10.28515625" style="44" bestFit="1" customWidth="1"/>
    <col min="137" max="137" width="11.42578125" style="44" customWidth="1"/>
    <col min="138" max="138" width="10.28515625" style="44" bestFit="1" customWidth="1"/>
    <col min="139" max="139" width="8.85546875" style="44"/>
    <col min="140" max="140" width="14" style="44" customWidth="1"/>
    <col min="141" max="141" width="16.5703125" style="44" customWidth="1"/>
    <col min="142" max="142" width="8.85546875" style="44"/>
    <col min="143" max="143" width="9.7109375" style="44" bestFit="1" customWidth="1"/>
    <col min="144" max="144" width="18.28515625" style="44" bestFit="1" customWidth="1"/>
    <col min="145" max="145" width="10.42578125" style="156" bestFit="1" customWidth="1"/>
    <col min="146" max="146" width="17" style="44" bestFit="1" customWidth="1"/>
  </cols>
  <sheetData>
    <row r="1" spans="1:146" ht="15" x14ac:dyDescent="0.25">
      <c r="C1" s="27">
        <v>2</v>
      </c>
      <c r="D1" s="27">
        <v>3</v>
      </c>
      <c r="E1" s="27">
        <v>4</v>
      </c>
      <c r="F1" s="27">
        <v>5</v>
      </c>
      <c r="G1" s="29">
        <v>6</v>
      </c>
      <c r="H1" s="27">
        <v>7</v>
      </c>
      <c r="I1" s="28">
        <v>8</v>
      </c>
      <c r="J1" s="22">
        <v>1998</v>
      </c>
      <c r="K1" s="22">
        <v>1999</v>
      </c>
      <c r="L1" s="22">
        <v>2000</v>
      </c>
      <c r="M1" s="22">
        <v>2001</v>
      </c>
      <c r="N1" s="22">
        <v>2002</v>
      </c>
      <c r="O1" s="22">
        <v>2003</v>
      </c>
      <c r="P1" s="22">
        <v>2004</v>
      </c>
      <c r="Q1" s="22">
        <v>2005</v>
      </c>
      <c r="R1" s="22">
        <v>2006</v>
      </c>
      <c r="S1" s="22">
        <v>2007</v>
      </c>
      <c r="T1" s="22">
        <v>2008</v>
      </c>
      <c r="U1" s="22">
        <v>2009</v>
      </c>
      <c r="V1" s="22">
        <v>2010</v>
      </c>
      <c r="W1" s="22">
        <v>2011</v>
      </c>
      <c r="X1" s="22">
        <v>2012</v>
      </c>
      <c r="Y1" s="22">
        <v>2013</v>
      </c>
      <c r="Z1" s="22">
        <v>2014</v>
      </c>
      <c r="AA1" s="22">
        <v>2015</v>
      </c>
      <c r="AB1" s="22">
        <v>1998</v>
      </c>
      <c r="AC1" s="22">
        <v>1999</v>
      </c>
      <c r="AD1" s="22">
        <v>2000</v>
      </c>
      <c r="AE1" s="22">
        <v>2001</v>
      </c>
      <c r="AF1" s="22">
        <v>2002</v>
      </c>
      <c r="AG1" s="22">
        <v>2003</v>
      </c>
      <c r="AH1" s="22">
        <v>2004</v>
      </c>
      <c r="AI1" s="22">
        <v>2005</v>
      </c>
      <c r="AJ1" s="22">
        <v>2006</v>
      </c>
      <c r="AK1" s="22">
        <v>2007</v>
      </c>
      <c r="AL1" s="22">
        <v>2008</v>
      </c>
      <c r="AM1" s="22">
        <v>2009</v>
      </c>
      <c r="AN1" s="22">
        <v>2010</v>
      </c>
      <c r="AO1" s="22">
        <v>2011</v>
      </c>
      <c r="AP1" s="22">
        <v>2012</v>
      </c>
      <c r="AQ1" s="22">
        <v>2013</v>
      </c>
      <c r="AR1" s="22">
        <v>2014</v>
      </c>
      <c r="AS1" s="22">
        <v>2015</v>
      </c>
      <c r="AT1" s="89">
        <v>2013</v>
      </c>
      <c r="AU1" s="44">
        <v>103</v>
      </c>
      <c r="AV1" s="90">
        <v>104</v>
      </c>
      <c r="AW1" s="90">
        <v>106</v>
      </c>
      <c r="AX1" s="48">
        <v>107</v>
      </c>
      <c r="AY1" s="91"/>
      <c r="AZ1" s="90">
        <v>112</v>
      </c>
      <c r="BA1" s="44">
        <v>113</v>
      </c>
      <c r="BB1" s="92"/>
      <c r="BC1" s="90">
        <v>116</v>
      </c>
      <c r="BD1" s="90">
        <v>120</v>
      </c>
      <c r="BE1" s="44">
        <v>121</v>
      </c>
      <c r="BF1" s="44">
        <v>127</v>
      </c>
      <c r="BG1" s="90">
        <v>128</v>
      </c>
      <c r="BH1" s="44">
        <v>129</v>
      </c>
      <c r="BI1" s="90">
        <v>130</v>
      </c>
      <c r="BJ1" s="44">
        <v>131</v>
      </c>
      <c r="BK1" s="92">
        <v>2013</v>
      </c>
      <c r="BL1" s="89">
        <v>2014</v>
      </c>
      <c r="BM1" s="44">
        <v>103</v>
      </c>
      <c r="BN1" s="90">
        <v>104</v>
      </c>
      <c r="BO1" s="90">
        <v>106</v>
      </c>
      <c r="BP1" s="48">
        <v>107</v>
      </c>
      <c r="BR1" s="90">
        <v>112</v>
      </c>
      <c r="BS1" s="44">
        <v>113</v>
      </c>
      <c r="BU1" s="90">
        <v>120</v>
      </c>
      <c r="BV1" s="44">
        <v>121</v>
      </c>
      <c r="BW1" s="44">
        <v>127</v>
      </c>
      <c r="BX1" s="90">
        <v>128</v>
      </c>
      <c r="BY1" s="44">
        <v>129</v>
      </c>
      <c r="BZ1" s="90">
        <v>130</v>
      </c>
      <c r="CA1" s="44">
        <v>131</v>
      </c>
      <c r="CB1" s="92">
        <v>2014</v>
      </c>
      <c r="CC1" s="89">
        <v>2015</v>
      </c>
      <c r="CD1" s="44">
        <v>103</v>
      </c>
      <c r="CE1" s="90">
        <v>104</v>
      </c>
      <c r="CF1" s="90">
        <v>106</v>
      </c>
      <c r="CG1" s="48">
        <v>107</v>
      </c>
      <c r="CI1" s="90">
        <v>112</v>
      </c>
      <c r="CJ1" s="44">
        <v>113</v>
      </c>
      <c r="CL1" s="90">
        <v>120</v>
      </c>
      <c r="CM1" s="44">
        <v>121</v>
      </c>
      <c r="CN1" s="44">
        <v>127</v>
      </c>
      <c r="CO1" s="90">
        <v>128</v>
      </c>
      <c r="CP1" s="44">
        <v>129</v>
      </c>
      <c r="CQ1" s="90">
        <v>130</v>
      </c>
      <c r="CR1" s="44">
        <v>131</v>
      </c>
      <c r="CS1" s="93">
        <v>2015</v>
      </c>
      <c r="CT1" s="93">
        <v>2016</v>
      </c>
      <c r="DJ1" s="175">
        <v>2017</v>
      </c>
      <c r="DK1" s="172">
        <v>114</v>
      </c>
      <c r="DL1" s="172">
        <v>115</v>
      </c>
      <c r="DM1" s="172">
        <v>116</v>
      </c>
      <c r="DN1" s="172">
        <v>117</v>
      </c>
      <c r="DO1" s="172">
        <v>118</v>
      </c>
      <c r="DP1" s="172">
        <v>119</v>
      </c>
      <c r="DQ1" s="172">
        <v>120</v>
      </c>
      <c r="DR1" s="172">
        <v>121</v>
      </c>
      <c r="DS1" s="172">
        <v>122</v>
      </c>
      <c r="DT1" s="172">
        <v>123</v>
      </c>
      <c r="DU1" s="172">
        <v>124</v>
      </c>
      <c r="DV1" s="172">
        <v>125</v>
      </c>
      <c r="DW1" s="172">
        <v>126</v>
      </c>
      <c r="DX1" s="172">
        <v>127</v>
      </c>
      <c r="DY1" s="172">
        <v>128</v>
      </c>
      <c r="DZ1" s="183"/>
      <c r="EA1" s="89">
        <v>2018</v>
      </c>
      <c r="EB1" s="90">
        <v>131</v>
      </c>
      <c r="EC1" s="48">
        <v>132</v>
      </c>
      <c r="ED1" s="90">
        <v>133</v>
      </c>
      <c r="EE1" s="48">
        <v>134</v>
      </c>
      <c r="EF1" s="90">
        <v>135</v>
      </c>
      <c r="EG1" s="48">
        <v>136</v>
      </c>
      <c r="EH1" s="90">
        <v>137</v>
      </c>
      <c r="EI1" s="48">
        <v>138</v>
      </c>
      <c r="EJ1" s="90">
        <v>139</v>
      </c>
      <c r="EK1" s="48">
        <v>140</v>
      </c>
      <c r="EL1" s="90">
        <v>141</v>
      </c>
      <c r="EM1" s="48">
        <v>142</v>
      </c>
      <c r="EN1" s="90">
        <v>143</v>
      </c>
      <c r="EO1" s="48">
        <v>144</v>
      </c>
      <c r="EP1" s="90">
        <v>145</v>
      </c>
    </row>
    <row r="2" spans="1:146" x14ac:dyDescent="0.25">
      <c r="A2" s="27" t="s">
        <v>123</v>
      </c>
      <c r="B2" s="27" t="s">
        <v>124</v>
      </c>
      <c r="C2" s="27" t="s">
        <v>125</v>
      </c>
      <c r="D2" s="27" t="s">
        <v>126</v>
      </c>
      <c r="E2" s="27" t="s">
        <v>127</v>
      </c>
      <c r="F2" s="27" t="s">
        <v>128</v>
      </c>
      <c r="G2" s="29" t="s">
        <v>129</v>
      </c>
      <c r="H2" s="27" t="s">
        <v>0</v>
      </c>
      <c r="I2" s="31" t="s">
        <v>126</v>
      </c>
      <c r="J2" s="94" t="s">
        <v>606</v>
      </c>
      <c r="K2" s="94" t="s">
        <v>607</v>
      </c>
      <c r="L2" s="94" t="s">
        <v>608</v>
      </c>
      <c r="M2" s="94" t="s">
        <v>609</v>
      </c>
      <c r="N2" s="94" t="s">
        <v>610</v>
      </c>
      <c r="O2" s="95" t="s">
        <v>611</v>
      </c>
      <c r="P2" s="96" t="s">
        <v>612</v>
      </c>
      <c r="Q2" s="97" t="s">
        <v>613</v>
      </c>
      <c r="R2" s="94" t="s">
        <v>614</v>
      </c>
      <c r="S2" s="94" t="s">
        <v>615</v>
      </c>
      <c r="T2" s="98" t="s">
        <v>514</v>
      </c>
      <c r="U2" s="98" t="s">
        <v>616</v>
      </c>
      <c r="V2" s="98" t="s">
        <v>617</v>
      </c>
      <c r="W2" s="98" t="s">
        <v>618</v>
      </c>
      <c r="X2" s="98" t="s">
        <v>586</v>
      </c>
      <c r="Y2" s="98" t="s">
        <v>619</v>
      </c>
      <c r="Z2" s="98" t="s">
        <v>620</v>
      </c>
      <c r="AA2" s="98" t="s">
        <v>621</v>
      </c>
      <c r="AB2" s="99" t="s">
        <v>622</v>
      </c>
      <c r="AC2" s="95" t="s">
        <v>623</v>
      </c>
      <c r="AD2" s="95" t="s">
        <v>624</v>
      </c>
      <c r="AE2" s="96" t="s">
        <v>625</v>
      </c>
      <c r="AF2" s="95" t="s">
        <v>626</v>
      </c>
      <c r="AG2" s="95" t="s">
        <v>627</v>
      </c>
      <c r="AH2" s="96" t="s">
        <v>628</v>
      </c>
      <c r="AI2" s="97" t="s">
        <v>629</v>
      </c>
      <c r="AJ2" s="97" t="s">
        <v>630</v>
      </c>
      <c r="AK2" s="94" t="s">
        <v>631</v>
      </c>
      <c r="AL2" s="98" t="s">
        <v>632</v>
      </c>
      <c r="AM2" s="98" t="s">
        <v>633</v>
      </c>
      <c r="AN2" s="98" t="s">
        <v>559</v>
      </c>
      <c r="AO2" s="98" t="s">
        <v>634</v>
      </c>
      <c r="AP2" s="100" t="s">
        <v>591</v>
      </c>
      <c r="AQ2" s="101" t="s">
        <v>635</v>
      </c>
      <c r="AR2" s="101" t="s">
        <v>636</v>
      </c>
      <c r="AS2" s="101" t="s">
        <v>637</v>
      </c>
      <c r="AT2" s="102" t="s">
        <v>638</v>
      </c>
      <c r="AU2" s="101" t="s">
        <v>639</v>
      </c>
      <c r="AV2" s="101" t="s">
        <v>640</v>
      </c>
      <c r="AW2" s="101" t="s">
        <v>641</v>
      </c>
      <c r="AX2" s="103" t="s">
        <v>642</v>
      </c>
      <c r="AY2" s="102" t="s">
        <v>643</v>
      </c>
      <c r="AZ2" s="101" t="s">
        <v>644</v>
      </c>
      <c r="BA2" s="101" t="s">
        <v>645</v>
      </c>
      <c r="BB2" s="104" t="s">
        <v>646</v>
      </c>
      <c r="BC2" s="101" t="s">
        <v>647</v>
      </c>
      <c r="BD2" s="101" t="s">
        <v>648</v>
      </c>
      <c r="BE2" s="101" t="s">
        <v>763</v>
      </c>
      <c r="BF2" s="101" t="s">
        <v>641</v>
      </c>
      <c r="BG2" s="101" t="s">
        <v>649</v>
      </c>
      <c r="BH2" s="101" t="s">
        <v>650</v>
      </c>
      <c r="BI2" s="101" t="s">
        <v>651</v>
      </c>
      <c r="BJ2" s="101" t="s">
        <v>635</v>
      </c>
      <c r="BK2" s="105" t="s">
        <v>652</v>
      </c>
      <c r="BL2" s="102" t="s">
        <v>653</v>
      </c>
      <c r="BM2" s="101" t="s">
        <v>654</v>
      </c>
      <c r="BN2" s="101" t="s">
        <v>655</v>
      </c>
      <c r="BO2" s="101" t="s">
        <v>656</v>
      </c>
      <c r="BP2" s="103" t="s">
        <v>657</v>
      </c>
      <c r="BQ2" s="103" t="s">
        <v>658</v>
      </c>
      <c r="BR2" s="101" t="s">
        <v>659</v>
      </c>
      <c r="BS2" s="101" t="s">
        <v>660</v>
      </c>
      <c r="BT2" s="102" t="s">
        <v>661</v>
      </c>
      <c r="BU2" s="101" t="s">
        <v>662</v>
      </c>
      <c r="BV2" s="101" t="s">
        <v>764</v>
      </c>
      <c r="BW2" s="101" t="s">
        <v>656</v>
      </c>
      <c r="BX2" s="101" t="s">
        <v>663</v>
      </c>
      <c r="BY2" s="101" t="s">
        <v>664</v>
      </c>
      <c r="BZ2" s="101" t="s">
        <v>665</v>
      </c>
      <c r="CA2" s="101" t="s">
        <v>636</v>
      </c>
      <c r="CB2" s="105" t="s">
        <v>666</v>
      </c>
      <c r="CC2" s="102" t="s">
        <v>667</v>
      </c>
      <c r="CD2" s="101" t="s">
        <v>668</v>
      </c>
      <c r="CE2" s="101" t="s">
        <v>669</v>
      </c>
      <c r="CF2" s="101" t="s">
        <v>670</v>
      </c>
      <c r="CG2" s="103" t="s">
        <v>671</v>
      </c>
      <c r="CH2" s="103" t="s">
        <v>672</v>
      </c>
      <c r="CI2" s="101" t="s">
        <v>673</v>
      </c>
      <c r="CJ2" s="101" t="s">
        <v>674</v>
      </c>
      <c r="CK2" s="101" t="s">
        <v>675</v>
      </c>
      <c r="CL2" s="101" t="s">
        <v>676</v>
      </c>
      <c r="CM2" s="101" t="s">
        <v>765</v>
      </c>
      <c r="CN2" s="101" t="s">
        <v>670</v>
      </c>
      <c r="CO2" s="101" t="s">
        <v>677</v>
      </c>
      <c r="CP2" s="101" t="s">
        <v>678</v>
      </c>
      <c r="CQ2" s="101" t="s">
        <v>679</v>
      </c>
      <c r="CR2" s="101" t="s">
        <v>637</v>
      </c>
      <c r="CS2" s="105" t="s">
        <v>680</v>
      </c>
      <c r="CT2" t="s">
        <v>691</v>
      </c>
      <c r="CU2" t="s">
        <v>692</v>
      </c>
      <c r="CV2" t="s">
        <v>693</v>
      </c>
      <c r="CW2" t="s">
        <v>694</v>
      </c>
      <c r="CX2" t="s">
        <v>695</v>
      </c>
      <c r="CY2" t="s">
        <v>696</v>
      </c>
      <c r="CZ2" t="s">
        <v>697</v>
      </c>
      <c r="DA2" t="s">
        <v>698</v>
      </c>
      <c r="DB2" t="s">
        <v>699</v>
      </c>
      <c r="DC2" t="s">
        <v>700</v>
      </c>
      <c r="DD2" t="s">
        <v>701</v>
      </c>
      <c r="DE2" t="s">
        <v>702</v>
      </c>
      <c r="DF2" t="s">
        <v>703</v>
      </c>
      <c r="DG2" t="s">
        <v>704</v>
      </c>
      <c r="DH2" t="s">
        <v>705</v>
      </c>
      <c r="DI2" t="s">
        <v>706</v>
      </c>
      <c r="DJ2" s="174" t="s">
        <v>710</v>
      </c>
      <c r="DK2" t="s">
        <v>711</v>
      </c>
      <c r="DL2" s="34" t="s">
        <v>712</v>
      </c>
      <c r="DM2" t="s">
        <v>713</v>
      </c>
      <c r="DN2" t="s">
        <v>715</v>
      </c>
      <c r="DO2" t="s">
        <v>720</v>
      </c>
      <c r="DP2" t="s">
        <v>721</v>
      </c>
      <c r="DQ2" t="s">
        <v>722</v>
      </c>
      <c r="DR2" t="s">
        <v>716</v>
      </c>
      <c r="DS2" t="s">
        <v>724</v>
      </c>
      <c r="DT2" t="s">
        <v>717</v>
      </c>
      <c r="DU2" t="s">
        <v>725</v>
      </c>
      <c r="DV2" t="s">
        <v>714</v>
      </c>
      <c r="DW2" t="s">
        <v>718</v>
      </c>
      <c r="DX2" t="s">
        <v>719</v>
      </c>
      <c r="DY2" t="s">
        <v>723</v>
      </c>
      <c r="DZ2" s="178" t="s">
        <v>129</v>
      </c>
      <c r="EA2" s="89" t="s">
        <v>727</v>
      </c>
      <c r="EB2" s="44" t="s">
        <v>728</v>
      </c>
      <c r="EC2" s="48" t="s">
        <v>729</v>
      </c>
      <c r="ED2" s="44" t="s">
        <v>730</v>
      </c>
      <c r="EE2" s="185" t="s">
        <v>731</v>
      </c>
      <c r="EF2" s="44" t="s">
        <v>732</v>
      </c>
      <c r="EG2" s="44" t="s">
        <v>733</v>
      </c>
      <c r="EH2" s="44" t="s">
        <v>734</v>
      </c>
      <c r="EI2" s="44" t="s">
        <v>735</v>
      </c>
      <c r="EJ2" s="44" t="s">
        <v>736</v>
      </c>
      <c r="EK2" s="44" t="s">
        <v>737</v>
      </c>
      <c r="EL2" s="45" t="s">
        <v>738</v>
      </c>
      <c r="EM2" s="44" t="s">
        <v>739</v>
      </c>
      <c r="EN2" s="44" t="s">
        <v>740</v>
      </c>
      <c r="EO2" s="44" t="s">
        <v>741</v>
      </c>
      <c r="EP2" s="44" t="s">
        <v>742</v>
      </c>
    </row>
    <row r="3" spans="1:146" ht="15" x14ac:dyDescent="0.25">
      <c r="A3" s="32">
        <v>20</v>
      </c>
      <c r="B3" s="32" t="s">
        <v>478</v>
      </c>
      <c r="C3" s="32">
        <v>6</v>
      </c>
      <c r="D3" s="32" t="s">
        <v>114</v>
      </c>
      <c r="E3" s="32">
        <v>4</v>
      </c>
      <c r="F3" s="32" t="s">
        <v>100</v>
      </c>
      <c r="G3" s="43" t="s">
        <v>141</v>
      </c>
      <c r="H3" s="32" t="s">
        <v>97</v>
      </c>
      <c r="I3" s="33" t="s">
        <v>114</v>
      </c>
      <c r="J3" s="106">
        <v>-2483.1265462777487</v>
      </c>
      <c r="K3" s="106">
        <v>-2278.6100277005517</v>
      </c>
      <c r="L3" s="106">
        <v>-4226.5625919777722</v>
      </c>
      <c r="M3" s="106">
        <v>-4829.0117445629039</v>
      </c>
      <c r="N3" s="106">
        <v>-3089</v>
      </c>
      <c r="O3" s="106">
        <v>-3434</v>
      </c>
      <c r="P3" s="106">
        <v>-3455</v>
      </c>
      <c r="Q3" s="106">
        <v>-4167</v>
      </c>
      <c r="R3" s="106">
        <v>-4079</v>
      </c>
      <c r="S3" s="106">
        <v>-2726</v>
      </c>
      <c r="T3" s="106">
        <v>-1034</v>
      </c>
      <c r="U3" s="106">
        <v>900</v>
      </c>
      <c r="V3" s="106">
        <v>3144</v>
      </c>
      <c r="W3" s="106">
        <v>3434</v>
      </c>
      <c r="X3" s="106">
        <v>-209</v>
      </c>
      <c r="Y3" s="106">
        <v>-207</v>
      </c>
      <c r="Z3" s="106">
        <v>-5243</v>
      </c>
      <c r="AA3" s="106">
        <v>-8186</v>
      </c>
      <c r="AB3" s="107">
        <v>18</v>
      </c>
      <c r="AC3" s="108">
        <v>18.5</v>
      </c>
      <c r="AD3" s="109">
        <v>18.5</v>
      </c>
      <c r="AE3" s="110">
        <v>18.5</v>
      </c>
      <c r="AF3" s="111">
        <v>19</v>
      </c>
      <c r="AG3" s="108">
        <v>19.25</v>
      </c>
      <c r="AH3" s="108">
        <v>19.25</v>
      </c>
      <c r="AI3" s="112">
        <v>19.5</v>
      </c>
      <c r="AJ3" s="112">
        <v>19.75</v>
      </c>
      <c r="AK3" s="113">
        <v>19.5</v>
      </c>
      <c r="AL3" s="114">
        <v>19.75</v>
      </c>
      <c r="AM3" s="114">
        <v>19.75</v>
      </c>
      <c r="AN3" s="114">
        <v>19.75</v>
      </c>
      <c r="AO3" s="77">
        <v>19.75</v>
      </c>
      <c r="AP3" s="77">
        <v>19.75</v>
      </c>
      <c r="AQ3" s="115">
        <v>20.5</v>
      </c>
      <c r="AR3" s="115">
        <v>21</v>
      </c>
      <c r="AS3" s="115">
        <v>21.25</v>
      </c>
      <c r="AT3" s="116">
        <v>17108</v>
      </c>
      <c r="AU3" s="44">
        <v>24589</v>
      </c>
      <c r="AV3" s="44">
        <v>110499</v>
      </c>
      <c r="AW3" s="44">
        <v>57109</v>
      </c>
      <c r="AX3" s="48">
        <v>32218</v>
      </c>
      <c r="AY3" s="92">
        <v>175</v>
      </c>
      <c r="AZ3" s="44">
        <v>3297</v>
      </c>
      <c r="BA3" s="44">
        <v>3330</v>
      </c>
      <c r="BB3" s="23">
        <v>-5595</v>
      </c>
      <c r="BC3" s="44">
        <v>-33</v>
      </c>
      <c r="BD3" s="44">
        <v>1</v>
      </c>
      <c r="BE3" s="44">
        <v>-207</v>
      </c>
      <c r="BF3" s="44">
        <v>57109</v>
      </c>
      <c r="BG3" s="48">
        <v>52871</v>
      </c>
      <c r="BH3" s="117">
        <v>1415</v>
      </c>
      <c r="BI3" s="48">
        <v>2823</v>
      </c>
      <c r="BJ3" s="115">
        <v>20.5</v>
      </c>
      <c r="BK3" s="24">
        <v>40898</v>
      </c>
      <c r="BL3" s="116">
        <v>17052</v>
      </c>
      <c r="BM3" s="44">
        <v>22820</v>
      </c>
      <c r="BN3" s="117">
        <v>112573</v>
      </c>
      <c r="BO3" s="44">
        <v>57963</v>
      </c>
      <c r="BP3" s="48">
        <v>30594</v>
      </c>
      <c r="BQ3" s="46">
        <v>184</v>
      </c>
      <c r="BR3" s="117">
        <v>-1304</v>
      </c>
      <c r="BS3" s="44">
        <v>3763</v>
      </c>
      <c r="BT3" s="92">
        <v>-12337</v>
      </c>
      <c r="BU3" s="117">
        <v>-5035</v>
      </c>
      <c r="BV3" s="117">
        <v>-5243</v>
      </c>
      <c r="BW3" s="48">
        <v>57963</v>
      </c>
      <c r="BX3" s="48">
        <v>53091</v>
      </c>
      <c r="BY3" s="117">
        <v>1707</v>
      </c>
      <c r="BZ3" s="48">
        <v>3165</v>
      </c>
      <c r="CA3" s="115">
        <v>21</v>
      </c>
      <c r="CB3" s="24">
        <v>52203</v>
      </c>
      <c r="CC3" s="116">
        <v>17043</v>
      </c>
      <c r="CD3" s="44">
        <v>22841</v>
      </c>
      <c r="CE3" s="117">
        <v>110377</v>
      </c>
      <c r="CF3" s="44">
        <v>59092</v>
      </c>
      <c r="CG3" s="48">
        <v>29881</v>
      </c>
      <c r="CH3" s="46">
        <v>40</v>
      </c>
      <c r="CI3" s="117">
        <v>1229</v>
      </c>
      <c r="CJ3" s="44">
        <v>4203</v>
      </c>
      <c r="CK3" s="117">
        <v>-7351</v>
      </c>
      <c r="CL3" s="117">
        <v>-2943</v>
      </c>
      <c r="CM3" s="117">
        <v>-8186</v>
      </c>
      <c r="CN3" s="48">
        <v>59092</v>
      </c>
      <c r="CO3" s="48">
        <v>54123</v>
      </c>
      <c r="CP3" s="117">
        <v>1775</v>
      </c>
      <c r="CQ3" s="48">
        <v>3194</v>
      </c>
      <c r="CR3" s="115">
        <v>21.25</v>
      </c>
      <c r="CS3" s="24">
        <v>59953</v>
      </c>
      <c r="CT3">
        <v>16923</v>
      </c>
      <c r="CU3">
        <v>60148</v>
      </c>
      <c r="CV3">
        <v>31248</v>
      </c>
      <c r="CW3">
        <v>22331</v>
      </c>
      <c r="CX3">
        <v>204</v>
      </c>
      <c r="CY3">
        <v>55165</v>
      </c>
      <c r="CZ3">
        <v>1606</v>
      </c>
      <c r="DA3">
        <v>3377</v>
      </c>
      <c r="DB3">
        <v>4767</v>
      </c>
      <c r="DC3">
        <v>-1927</v>
      </c>
      <c r="DD3">
        <v>4712</v>
      </c>
      <c r="DE3">
        <v>57802</v>
      </c>
      <c r="DF3">
        <v>109001</v>
      </c>
      <c r="DG3">
        <v>84</v>
      </c>
      <c r="DH3">
        <v>-8105</v>
      </c>
      <c r="DI3">
        <v>21.25</v>
      </c>
      <c r="DJ3" s="174">
        <v>16769</v>
      </c>
      <c r="DK3" s="34">
        <v>59399</v>
      </c>
      <c r="DL3" s="34">
        <v>30488</v>
      </c>
      <c r="DM3">
        <v>21856</v>
      </c>
      <c r="DN3" s="173">
        <v>754</v>
      </c>
      <c r="DO3" s="34">
        <v>54017</v>
      </c>
      <c r="DP3" s="173">
        <v>1893</v>
      </c>
      <c r="DQ3" s="34">
        <v>3489</v>
      </c>
      <c r="DR3" s="173">
        <v>6208</v>
      </c>
      <c r="DS3" s="173">
        <v>-984</v>
      </c>
      <c r="DT3">
        <v>4695</v>
      </c>
      <c r="DU3">
        <v>52640</v>
      </c>
      <c r="DV3" s="173">
        <v>106289</v>
      </c>
      <c r="DW3" s="173">
        <v>1541</v>
      </c>
      <c r="DX3" s="173">
        <v>-6564</v>
      </c>
      <c r="DY3" s="57">
        <v>21.25</v>
      </c>
      <c r="DZ3" s="184">
        <v>230</v>
      </c>
      <c r="EA3" s="116">
        <v>16611</v>
      </c>
      <c r="EB3" s="48">
        <v>59625</v>
      </c>
      <c r="EC3" s="48">
        <v>29905</v>
      </c>
      <c r="ED3" s="90">
        <v>20752</v>
      </c>
      <c r="EE3" s="186">
        <v>940</v>
      </c>
      <c r="EF3" s="48">
        <v>54693</v>
      </c>
      <c r="EG3" s="117">
        <v>1613</v>
      </c>
      <c r="EH3" s="48">
        <v>3319</v>
      </c>
      <c r="EI3" s="117">
        <v>2228</v>
      </c>
      <c r="EJ3" s="48">
        <v>-3289</v>
      </c>
      <c r="EK3" s="44">
        <v>4577</v>
      </c>
      <c r="EL3" s="24">
        <v>54097</v>
      </c>
      <c r="EM3" s="117">
        <v>108994</v>
      </c>
      <c r="EN3" s="117">
        <v>-2322</v>
      </c>
      <c r="EO3" s="117">
        <v>-8886</v>
      </c>
      <c r="EP3" s="115">
        <v>21.75</v>
      </c>
    </row>
    <row r="4" spans="1:146" ht="15" x14ac:dyDescent="0.25">
      <c r="A4" s="27">
        <v>5</v>
      </c>
      <c r="B4" s="27" t="s">
        <v>131</v>
      </c>
      <c r="C4" s="27">
        <v>14</v>
      </c>
      <c r="D4" s="27" t="s">
        <v>106</v>
      </c>
      <c r="E4" s="27">
        <v>3</v>
      </c>
      <c r="F4" s="27" t="s">
        <v>743</v>
      </c>
      <c r="G4" s="29" t="s">
        <v>130</v>
      </c>
      <c r="H4" s="27" t="s">
        <v>98</v>
      </c>
      <c r="I4" s="31" t="s">
        <v>106</v>
      </c>
      <c r="J4" s="118">
        <v>-1014.5095724158346</v>
      </c>
      <c r="K4" s="118">
        <v>-2249.849892275633</v>
      </c>
      <c r="L4" s="118">
        <v>-3237.6175843840874</v>
      </c>
      <c r="M4" s="118">
        <v>-3774.9780094286152</v>
      </c>
      <c r="N4" s="22">
        <v>-1883</v>
      </c>
      <c r="O4" s="119">
        <v>-875</v>
      </c>
      <c r="P4" s="119">
        <v>-562</v>
      </c>
      <c r="Q4" s="120">
        <v>-1969</v>
      </c>
      <c r="R4" s="22">
        <v>-1290</v>
      </c>
      <c r="S4" s="22">
        <v>62</v>
      </c>
      <c r="T4" s="121">
        <v>1431</v>
      </c>
      <c r="U4" s="121">
        <v>-2518</v>
      </c>
      <c r="V4" s="121">
        <v>-795</v>
      </c>
      <c r="W4" s="106">
        <v>39</v>
      </c>
      <c r="X4" s="121">
        <v>-1771</v>
      </c>
      <c r="Y4" s="121">
        <v>-4125</v>
      </c>
      <c r="Z4" s="121">
        <v>-3929</v>
      </c>
      <c r="AA4" s="121">
        <v>-2000</v>
      </c>
      <c r="AB4" s="122">
        <v>18</v>
      </c>
      <c r="AC4" s="123">
        <v>18.5</v>
      </c>
      <c r="AD4" s="124">
        <v>18.5</v>
      </c>
      <c r="AE4" s="125">
        <v>19</v>
      </c>
      <c r="AF4" s="126">
        <v>19</v>
      </c>
      <c r="AG4" s="123">
        <v>19</v>
      </c>
      <c r="AH4" s="123">
        <v>19</v>
      </c>
      <c r="AI4" s="127">
        <v>19</v>
      </c>
      <c r="AJ4" s="127">
        <v>19</v>
      </c>
      <c r="AK4" s="22">
        <v>19</v>
      </c>
      <c r="AL4" s="128">
        <v>19.5</v>
      </c>
      <c r="AM4" s="128">
        <v>19.5</v>
      </c>
      <c r="AN4" s="128">
        <v>20.5</v>
      </c>
      <c r="AO4" s="77">
        <v>20.5</v>
      </c>
      <c r="AP4" s="77">
        <v>20.5</v>
      </c>
      <c r="AQ4" s="129">
        <v>21</v>
      </c>
      <c r="AR4" s="129">
        <v>21</v>
      </c>
      <c r="AS4" s="129">
        <v>21.5</v>
      </c>
      <c r="AT4" s="116">
        <v>10227</v>
      </c>
      <c r="AU4" s="47">
        <v>42459</v>
      </c>
      <c r="AV4" s="47">
        <v>101988</v>
      </c>
      <c r="AW4" s="46">
        <v>27942</v>
      </c>
      <c r="AX4" s="46">
        <v>32588</v>
      </c>
      <c r="AY4" s="92">
        <v>0</v>
      </c>
      <c r="AZ4" s="47">
        <v>230</v>
      </c>
      <c r="BA4" s="44">
        <v>2584</v>
      </c>
      <c r="BB4" s="23">
        <v>-7476</v>
      </c>
      <c r="BC4" s="47">
        <v>-2354</v>
      </c>
      <c r="BD4" s="44">
        <v>-2354</v>
      </c>
      <c r="BE4" s="47">
        <v>-4125</v>
      </c>
      <c r="BF4" s="44">
        <v>27942</v>
      </c>
      <c r="BG4" s="46">
        <v>24456</v>
      </c>
      <c r="BH4" s="130">
        <v>1637</v>
      </c>
      <c r="BI4" s="46">
        <v>1849</v>
      </c>
      <c r="BJ4" s="129">
        <v>21</v>
      </c>
      <c r="BK4" s="44">
        <v>28002</v>
      </c>
      <c r="BL4" s="116">
        <v>10171</v>
      </c>
      <c r="BM4" s="47">
        <v>43017</v>
      </c>
      <c r="BN4" s="130">
        <v>100641</v>
      </c>
      <c r="BO4" s="46">
        <v>28360</v>
      </c>
      <c r="BP4" s="46">
        <v>32821</v>
      </c>
      <c r="BQ4" s="46">
        <v>78</v>
      </c>
      <c r="BR4" s="130">
        <v>3272</v>
      </c>
      <c r="BS4" s="44">
        <v>3076</v>
      </c>
      <c r="BT4" s="92">
        <v>-2425</v>
      </c>
      <c r="BU4" s="117">
        <v>196</v>
      </c>
      <c r="BV4" s="130">
        <v>-3929</v>
      </c>
      <c r="BW4" s="48">
        <v>28360</v>
      </c>
      <c r="BX4" s="46">
        <v>24370</v>
      </c>
      <c r="BY4" s="130">
        <v>1764</v>
      </c>
      <c r="BZ4" s="46">
        <v>2226</v>
      </c>
      <c r="CA4" s="129">
        <v>21</v>
      </c>
      <c r="CB4" s="44">
        <v>26354</v>
      </c>
      <c r="CC4" s="116">
        <v>10006</v>
      </c>
      <c r="CD4" s="47">
        <v>41661</v>
      </c>
      <c r="CE4" s="130">
        <v>98986</v>
      </c>
      <c r="CF4" s="46">
        <v>28454</v>
      </c>
      <c r="CG4" s="46">
        <v>34084</v>
      </c>
      <c r="CH4" s="46">
        <v>199</v>
      </c>
      <c r="CI4" s="130">
        <v>5024</v>
      </c>
      <c r="CJ4" s="44">
        <v>3095</v>
      </c>
      <c r="CK4" s="117">
        <v>-1694</v>
      </c>
      <c r="CL4" s="117">
        <v>1929</v>
      </c>
      <c r="CM4" s="117">
        <v>-2000</v>
      </c>
      <c r="CN4" s="48">
        <v>28454</v>
      </c>
      <c r="CO4" s="46">
        <v>24150</v>
      </c>
      <c r="CP4" s="130">
        <v>2048</v>
      </c>
      <c r="CQ4" s="46">
        <v>2256</v>
      </c>
      <c r="CR4" s="129">
        <v>21.5</v>
      </c>
      <c r="CS4" s="44">
        <v>24115</v>
      </c>
      <c r="CT4">
        <v>9899</v>
      </c>
      <c r="CU4">
        <v>29436</v>
      </c>
      <c r="CV4">
        <v>36984</v>
      </c>
      <c r="CW4">
        <v>41721</v>
      </c>
      <c r="CX4">
        <v>84</v>
      </c>
      <c r="CY4">
        <v>25084</v>
      </c>
      <c r="CZ4">
        <v>2039</v>
      </c>
      <c r="DA4">
        <v>2313</v>
      </c>
      <c r="DB4">
        <v>10054</v>
      </c>
      <c r="DC4">
        <v>-3497</v>
      </c>
      <c r="DD4">
        <v>3035</v>
      </c>
      <c r="DE4">
        <v>18695</v>
      </c>
      <c r="DF4">
        <v>97917</v>
      </c>
      <c r="DG4">
        <v>7019</v>
      </c>
      <c r="DH4">
        <v>5020</v>
      </c>
      <c r="DI4">
        <v>22</v>
      </c>
      <c r="DJ4" s="174">
        <v>9831</v>
      </c>
      <c r="DK4" s="34">
        <v>29659</v>
      </c>
      <c r="DL4" s="34">
        <v>35799</v>
      </c>
      <c r="DM4">
        <v>29143</v>
      </c>
      <c r="DN4" s="173">
        <v>-35</v>
      </c>
      <c r="DO4" s="34">
        <v>25065</v>
      </c>
      <c r="DP4" s="173">
        <v>2438</v>
      </c>
      <c r="DQ4" s="34">
        <v>2156</v>
      </c>
      <c r="DR4" s="173">
        <v>6626</v>
      </c>
      <c r="DS4" s="173">
        <v>-7439</v>
      </c>
      <c r="DT4">
        <v>3001</v>
      </c>
      <c r="DU4">
        <v>21157</v>
      </c>
      <c r="DV4" s="173">
        <v>87940</v>
      </c>
      <c r="DW4" s="173">
        <v>3625</v>
      </c>
      <c r="DX4" s="173">
        <v>8644</v>
      </c>
      <c r="DY4" s="57">
        <v>21.75</v>
      </c>
      <c r="DZ4" s="184">
        <v>340</v>
      </c>
      <c r="EA4" s="116">
        <v>9700</v>
      </c>
      <c r="EB4" s="48">
        <v>28893</v>
      </c>
      <c r="EC4" s="46">
        <v>35055</v>
      </c>
      <c r="ED4" s="90">
        <v>29186</v>
      </c>
      <c r="EE4" s="186">
        <v>-46</v>
      </c>
      <c r="EF4" s="46">
        <v>24613</v>
      </c>
      <c r="EG4" s="130">
        <v>2142</v>
      </c>
      <c r="EH4" s="46">
        <v>2138</v>
      </c>
      <c r="EI4" s="130">
        <v>2660</v>
      </c>
      <c r="EJ4" s="48">
        <v>-7493</v>
      </c>
      <c r="EK4" s="44">
        <v>3573</v>
      </c>
      <c r="EL4" s="44">
        <v>23626</v>
      </c>
      <c r="EM4" s="130">
        <v>90428</v>
      </c>
      <c r="EN4" s="117">
        <v>-913</v>
      </c>
      <c r="EO4" s="117">
        <v>7731</v>
      </c>
      <c r="EP4" s="129">
        <v>21.75</v>
      </c>
    </row>
    <row r="5" spans="1:146" ht="15" x14ac:dyDescent="0.25">
      <c r="A5" s="27">
        <v>9</v>
      </c>
      <c r="B5" s="27" t="s">
        <v>133</v>
      </c>
      <c r="C5" s="27">
        <v>17</v>
      </c>
      <c r="D5" s="27" t="s">
        <v>117</v>
      </c>
      <c r="E5" s="27">
        <v>2</v>
      </c>
      <c r="F5" s="27" t="s">
        <v>744</v>
      </c>
      <c r="G5" s="29" t="s">
        <v>130</v>
      </c>
      <c r="H5" s="27" t="s">
        <v>98</v>
      </c>
      <c r="I5" s="31" t="s">
        <v>117</v>
      </c>
      <c r="J5" s="118">
        <v>-252.45007761872805</v>
      </c>
      <c r="K5" s="118">
        <v>139.42779103659265</v>
      </c>
      <c r="L5" s="118">
        <v>-212.92591490027297</v>
      </c>
      <c r="M5" s="118">
        <v>103.26738684736779</v>
      </c>
      <c r="N5" s="177">
        <v>888</v>
      </c>
      <c r="O5" s="119">
        <v>637</v>
      </c>
      <c r="P5" s="119">
        <v>146</v>
      </c>
      <c r="Q5" s="120">
        <v>-1066</v>
      </c>
      <c r="R5" s="177">
        <v>-1622</v>
      </c>
      <c r="S5" s="177">
        <v>-1672</v>
      </c>
      <c r="T5" s="121">
        <v>-2512</v>
      </c>
      <c r="U5" s="121">
        <v>-2138</v>
      </c>
      <c r="V5" s="121">
        <v>-2053</v>
      </c>
      <c r="W5" s="106">
        <v>-1833</v>
      </c>
      <c r="X5" s="121">
        <v>-2350</v>
      </c>
      <c r="Y5" s="121">
        <v>-2344</v>
      </c>
      <c r="Z5" s="121">
        <v>-1962</v>
      </c>
      <c r="AA5" s="121">
        <v>-1422</v>
      </c>
      <c r="AB5" s="122">
        <v>18.5</v>
      </c>
      <c r="AC5" s="123">
        <v>18.75</v>
      </c>
      <c r="AD5" s="124">
        <v>18.75</v>
      </c>
      <c r="AE5" s="125">
        <v>18.75</v>
      </c>
      <c r="AF5" s="126">
        <v>18.75</v>
      </c>
      <c r="AG5" s="123">
        <v>18.75</v>
      </c>
      <c r="AH5" s="123">
        <v>19.25</v>
      </c>
      <c r="AI5" s="131">
        <v>19.5</v>
      </c>
      <c r="AJ5" s="131">
        <v>19.5</v>
      </c>
      <c r="AK5" s="177">
        <v>20</v>
      </c>
      <c r="AL5" s="128">
        <v>20</v>
      </c>
      <c r="AM5" s="128">
        <v>20</v>
      </c>
      <c r="AN5" s="128">
        <v>21</v>
      </c>
      <c r="AO5" s="77">
        <v>21</v>
      </c>
      <c r="AP5" s="77">
        <v>21.5</v>
      </c>
      <c r="AQ5" s="129">
        <v>21.5</v>
      </c>
      <c r="AR5" s="129">
        <v>21.5</v>
      </c>
      <c r="AS5" s="129">
        <v>21.5</v>
      </c>
      <c r="AT5" s="116">
        <v>2740</v>
      </c>
      <c r="AU5" s="47">
        <v>2169</v>
      </c>
      <c r="AV5" s="47">
        <v>17055</v>
      </c>
      <c r="AW5" s="46">
        <v>7397</v>
      </c>
      <c r="AX5" s="46">
        <v>8237</v>
      </c>
      <c r="AY5" s="92">
        <v>4</v>
      </c>
      <c r="AZ5" s="47">
        <v>658</v>
      </c>
      <c r="BA5" s="44">
        <v>652</v>
      </c>
      <c r="BB5" s="23">
        <v>-4824</v>
      </c>
      <c r="BC5" s="47">
        <v>6</v>
      </c>
      <c r="BD5" s="44">
        <v>6</v>
      </c>
      <c r="BE5" s="47">
        <v>-2344</v>
      </c>
      <c r="BF5" s="44">
        <v>7397</v>
      </c>
      <c r="BG5" s="46">
        <v>6861</v>
      </c>
      <c r="BH5" s="130">
        <v>169</v>
      </c>
      <c r="BI5" s="46">
        <v>367</v>
      </c>
      <c r="BJ5" s="129">
        <v>21.5</v>
      </c>
      <c r="BK5" s="44">
        <v>12557</v>
      </c>
      <c r="BL5" s="116">
        <v>2687</v>
      </c>
      <c r="BM5" s="47">
        <v>2443</v>
      </c>
      <c r="BN5" s="130">
        <v>16971</v>
      </c>
      <c r="BO5" s="46">
        <v>7291</v>
      </c>
      <c r="BP5" s="46">
        <v>8376</v>
      </c>
      <c r="BQ5" s="46">
        <v>36</v>
      </c>
      <c r="BR5" s="130">
        <v>1072</v>
      </c>
      <c r="BS5" s="44">
        <v>691</v>
      </c>
      <c r="BT5" s="92">
        <v>-260</v>
      </c>
      <c r="BU5" s="117">
        <v>381</v>
      </c>
      <c r="BV5" s="130">
        <v>-1962</v>
      </c>
      <c r="BW5" s="48">
        <v>7291</v>
      </c>
      <c r="BX5" s="46">
        <v>6667</v>
      </c>
      <c r="BY5" s="130">
        <v>218</v>
      </c>
      <c r="BZ5" s="46">
        <v>406</v>
      </c>
      <c r="CA5" s="129">
        <v>21.5</v>
      </c>
      <c r="CB5" s="44">
        <v>11476</v>
      </c>
      <c r="CC5" s="116">
        <v>2687</v>
      </c>
      <c r="CD5" s="47">
        <v>2108</v>
      </c>
      <c r="CE5" s="130">
        <v>17064</v>
      </c>
      <c r="CF5" s="46">
        <v>7792</v>
      </c>
      <c r="CG5" s="46">
        <v>8552</v>
      </c>
      <c r="CH5" s="46">
        <v>6</v>
      </c>
      <c r="CI5" s="130">
        <v>1336</v>
      </c>
      <c r="CJ5" s="44">
        <v>795</v>
      </c>
      <c r="CK5" s="117">
        <v>-573</v>
      </c>
      <c r="CL5" s="117">
        <v>541</v>
      </c>
      <c r="CM5" s="117">
        <v>-1422</v>
      </c>
      <c r="CN5" s="48">
        <v>7792</v>
      </c>
      <c r="CO5" s="46">
        <v>7099</v>
      </c>
      <c r="CP5" s="130">
        <v>285</v>
      </c>
      <c r="CQ5" s="46">
        <v>408</v>
      </c>
      <c r="CR5" s="129">
        <v>21.5</v>
      </c>
      <c r="CS5" s="44">
        <v>11124</v>
      </c>
      <c r="CT5">
        <v>2639</v>
      </c>
      <c r="CU5">
        <v>7685</v>
      </c>
      <c r="CV5">
        <v>8869</v>
      </c>
      <c r="CW5">
        <v>2175</v>
      </c>
      <c r="CX5">
        <v>685</v>
      </c>
      <c r="CY5">
        <v>6892</v>
      </c>
      <c r="CZ5">
        <v>271</v>
      </c>
      <c r="DA5">
        <v>522</v>
      </c>
      <c r="DB5">
        <v>1357</v>
      </c>
      <c r="DC5">
        <v>-305</v>
      </c>
      <c r="DD5">
        <v>811</v>
      </c>
      <c r="DE5">
        <v>10399</v>
      </c>
      <c r="DF5">
        <v>17327</v>
      </c>
      <c r="DG5">
        <v>1227</v>
      </c>
      <c r="DH5">
        <v>-195</v>
      </c>
      <c r="DI5">
        <v>21.5</v>
      </c>
      <c r="DJ5" s="174">
        <v>2610</v>
      </c>
      <c r="DK5" s="34">
        <v>7284</v>
      </c>
      <c r="DL5" s="34">
        <v>8917</v>
      </c>
      <c r="DM5">
        <v>2156</v>
      </c>
      <c r="DN5" s="173">
        <v>-36</v>
      </c>
      <c r="DO5" s="34">
        <v>6494</v>
      </c>
      <c r="DP5" s="173">
        <v>285</v>
      </c>
      <c r="DQ5" s="34">
        <v>505</v>
      </c>
      <c r="DR5" s="173">
        <v>721</v>
      </c>
      <c r="DS5" s="173">
        <v>-670</v>
      </c>
      <c r="DT5">
        <v>817</v>
      </c>
      <c r="DU5">
        <v>7801</v>
      </c>
      <c r="DV5" s="173">
        <v>17600</v>
      </c>
      <c r="DW5" s="173">
        <v>-96</v>
      </c>
      <c r="DX5" s="173">
        <v>-290</v>
      </c>
      <c r="DY5" s="57">
        <v>21.5</v>
      </c>
      <c r="DZ5" s="184">
        <v>340</v>
      </c>
      <c r="EA5" s="116">
        <v>2573</v>
      </c>
      <c r="EB5" s="48">
        <v>7528</v>
      </c>
      <c r="EC5" s="46">
        <v>9025</v>
      </c>
      <c r="ED5" s="90">
        <v>2153</v>
      </c>
      <c r="EE5" s="186">
        <v>-18</v>
      </c>
      <c r="EF5" s="46">
        <v>6537</v>
      </c>
      <c r="EG5" s="130">
        <v>259</v>
      </c>
      <c r="EH5" s="46">
        <v>732</v>
      </c>
      <c r="EI5" s="130">
        <v>1116</v>
      </c>
      <c r="EJ5" s="48">
        <v>-475</v>
      </c>
      <c r="EK5" s="44">
        <v>719</v>
      </c>
      <c r="EL5" s="44">
        <v>8807</v>
      </c>
      <c r="EM5" s="130">
        <v>17572</v>
      </c>
      <c r="EN5" s="117">
        <v>397</v>
      </c>
      <c r="EO5" s="117">
        <v>107</v>
      </c>
      <c r="EP5" s="129">
        <v>21.5</v>
      </c>
    </row>
    <row r="6" spans="1:146" ht="15" x14ac:dyDescent="0.25">
      <c r="A6" s="27">
        <v>10</v>
      </c>
      <c r="B6" s="27" t="s">
        <v>134</v>
      </c>
      <c r="C6" s="27">
        <v>14</v>
      </c>
      <c r="D6" s="27" t="s">
        <v>106</v>
      </c>
      <c r="E6" s="27">
        <v>4</v>
      </c>
      <c r="F6" s="27" t="s">
        <v>100</v>
      </c>
      <c r="G6" s="29" t="s">
        <v>130</v>
      </c>
      <c r="H6" s="27" t="s">
        <v>98</v>
      </c>
      <c r="I6" s="31" t="s">
        <v>106</v>
      </c>
      <c r="J6" s="132">
        <v>5648.2551343569248</v>
      </c>
      <c r="K6" s="132">
        <v>6646.9550416853772</v>
      </c>
      <c r="L6" s="132">
        <v>9944.279339963301</v>
      </c>
      <c r="M6" s="132">
        <v>9607.0625474079716</v>
      </c>
      <c r="N6" s="132">
        <v>9243</v>
      </c>
      <c r="O6" s="132">
        <v>11235</v>
      </c>
      <c r="P6" s="132">
        <v>11639</v>
      </c>
      <c r="Q6" s="132">
        <v>9839</v>
      </c>
      <c r="R6" s="132">
        <v>11070</v>
      </c>
      <c r="S6" s="132">
        <v>8560</v>
      </c>
      <c r="T6" s="132">
        <v>8431</v>
      </c>
      <c r="U6" s="132">
        <v>8812</v>
      </c>
      <c r="V6" s="132">
        <v>10780</v>
      </c>
      <c r="W6" s="106">
        <v>10902</v>
      </c>
      <c r="X6" s="132">
        <v>9984</v>
      </c>
      <c r="Y6" s="132">
        <v>9628</v>
      </c>
      <c r="Z6" s="132">
        <v>12782</v>
      </c>
      <c r="AA6" s="132">
        <v>11384</v>
      </c>
      <c r="AB6" s="133">
        <v>18.75</v>
      </c>
      <c r="AC6" s="134">
        <v>18.75</v>
      </c>
      <c r="AD6" s="135">
        <v>18.75</v>
      </c>
      <c r="AE6" s="136">
        <v>18.75</v>
      </c>
      <c r="AF6" s="137">
        <v>18.75</v>
      </c>
      <c r="AG6" s="134">
        <v>18.75</v>
      </c>
      <c r="AH6" s="134">
        <v>18.75</v>
      </c>
      <c r="AI6" s="138">
        <v>18.75</v>
      </c>
      <c r="AJ6" s="138">
        <v>18.75</v>
      </c>
      <c r="AK6" s="139">
        <v>19.25</v>
      </c>
      <c r="AL6" s="140">
        <v>19.25</v>
      </c>
      <c r="AM6" s="140">
        <v>19.75</v>
      </c>
      <c r="AN6" s="140">
        <v>19.75</v>
      </c>
      <c r="AO6" s="83">
        <v>19.75</v>
      </c>
      <c r="AP6" s="83">
        <v>19.75</v>
      </c>
      <c r="AQ6" s="129">
        <v>19.75</v>
      </c>
      <c r="AR6" s="129">
        <v>20.75</v>
      </c>
      <c r="AS6" s="129">
        <v>20.75</v>
      </c>
      <c r="AT6" s="116">
        <v>12228</v>
      </c>
      <c r="AU6" s="47">
        <v>16997</v>
      </c>
      <c r="AV6" s="47">
        <v>82972</v>
      </c>
      <c r="AW6" s="46">
        <v>31480</v>
      </c>
      <c r="AX6" s="46">
        <v>37029</v>
      </c>
      <c r="AY6" s="92">
        <v>361</v>
      </c>
      <c r="AZ6" s="47">
        <v>2575</v>
      </c>
      <c r="BA6" s="44">
        <v>2872</v>
      </c>
      <c r="BB6" s="23">
        <v>-5942</v>
      </c>
      <c r="BC6" s="47">
        <v>-297</v>
      </c>
      <c r="BD6" s="44">
        <v>-297</v>
      </c>
      <c r="BE6" s="47">
        <v>9628</v>
      </c>
      <c r="BF6" s="44">
        <v>31480</v>
      </c>
      <c r="BG6" s="46">
        <v>27504</v>
      </c>
      <c r="BH6" s="130">
        <v>1825</v>
      </c>
      <c r="BI6" s="46">
        <v>2151</v>
      </c>
      <c r="BJ6" s="129">
        <v>19.75</v>
      </c>
      <c r="BK6" s="44">
        <v>31221</v>
      </c>
      <c r="BL6" s="116">
        <v>12103</v>
      </c>
      <c r="BM6" s="47">
        <v>17096</v>
      </c>
      <c r="BN6" s="130">
        <v>83877</v>
      </c>
      <c r="BO6" s="46">
        <v>33580</v>
      </c>
      <c r="BP6" s="46">
        <v>37689</v>
      </c>
      <c r="BQ6" s="46">
        <v>2089</v>
      </c>
      <c r="BR6" s="130">
        <v>4666</v>
      </c>
      <c r="BS6" s="44">
        <v>3091</v>
      </c>
      <c r="BT6" s="92">
        <v>1883</v>
      </c>
      <c r="BU6" s="117">
        <v>3154</v>
      </c>
      <c r="BV6" s="130">
        <v>12782</v>
      </c>
      <c r="BW6" s="48">
        <v>33580</v>
      </c>
      <c r="BX6" s="46">
        <v>29054</v>
      </c>
      <c r="BY6" s="130">
        <v>2033</v>
      </c>
      <c r="BZ6" s="46">
        <v>2493</v>
      </c>
      <c r="CA6" s="129">
        <v>20.75</v>
      </c>
      <c r="CB6" s="44">
        <v>31122</v>
      </c>
      <c r="CC6" s="116">
        <v>12050</v>
      </c>
      <c r="CD6" s="47">
        <v>15659</v>
      </c>
      <c r="CE6" s="130">
        <v>86214</v>
      </c>
      <c r="CF6" s="46">
        <v>34015</v>
      </c>
      <c r="CG6" s="46">
        <v>37398</v>
      </c>
      <c r="CH6" s="46">
        <v>1308</v>
      </c>
      <c r="CI6" s="130">
        <v>1584</v>
      </c>
      <c r="CJ6" s="44">
        <v>2982</v>
      </c>
      <c r="CK6" s="117">
        <v>-4678</v>
      </c>
      <c r="CL6" s="117">
        <v>-1398</v>
      </c>
      <c r="CM6" s="117">
        <v>11384</v>
      </c>
      <c r="CN6" s="48">
        <v>34015</v>
      </c>
      <c r="CO6" s="46">
        <v>29182</v>
      </c>
      <c r="CP6" s="130">
        <v>2245</v>
      </c>
      <c r="CQ6" s="46">
        <v>2588</v>
      </c>
      <c r="CR6" s="129">
        <v>20.75</v>
      </c>
      <c r="CS6" s="44">
        <v>34138</v>
      </c>
      <c r="CT6">
        <v>11907</v>
      </c>
      <c r="CU6">
        <v>34482</v>
      </c>
      <c r="CV6">
        <v>38870</v>
      </c>
      <c r="CW6">
        <v>12121</v>
      </c>
      <c r="CX6">
        <v>943</v>
      </c>
      <c r="CY6">
        <v>29668</v>
      </c>
      <c r="CZ6">
        <v>2203</v>
      </c>
      <c r="DA6">
        <v>2611</v>
      </c>
      <c r="DB6">
        <v>4667</v>
      </c>
      <c r="DC6">
        <v>-3505</v>
      </c>
      <c r="DD6">
        <v>3133</v>
      </c>
      <c r="DE6">
        <v>38719</v>
      </c>
      <c r="DF6">
        <v>81749</v>
      </c>
      <c r="DG6">
        <v>1534</v>
      </c>
      <c r="DH6">
        <v>12918</v>
      </c>
      <c r="DI6">
        <v>21.25</v>
      </c>
      <c r="DJ6" s="174">
        <v>11713</v>
      </c>
      <c r="DK6" s="34">
        <v>35218</v>
      </c>
      <c r="DL6" s="34">
        <v>38629</v>
      </c>
      <c r="DM6">
        <v>12152</v>
      </c>
      <c r="DN6" s="173">
        <v>1266</v>
      </c>
      <c r="DO6" s="34">
        <v>29789</v>
      </c>
      <c r="DP6" s="173">
        <v>2699</v>
      </c>
      <c r="DQ6" s="34">
        <v>2730</v>
      </c>
      <c r="DR6" s="173">
        <v>5463</v>
      </c>
      <c r="DS6" s="173">
        <v>-3441</v>
      </c>
      <c r="DT6">
        <v>3217</v>
      </c>
      <c r="DU6">
        <v>38742</v>
      </c>
      <c r="DV6" s="173">
        <v>81802</v>
      </c>
      <c r="DW6" s="173">
        <v>2246</v>
      </c>
      <c r="DX6" s="173">
        <v>15165</v>
      </c>
      <c r="DY6" s="57">
        <v>21.25</v>
      </c>
      <c r="DZ6" s="184">
        <v>340</v>
      </c>
      <c r="EA6" s="116">
        <v>11544</v>
      </c>
      <c r="EB6" s="48">
        <v>33901</v>
      </c>
      <c r="EC6" s="46">
        <v>38294</v>
      </c>
      <c r="ED6" s="90">
        <v>11762</v>
      </c>
      <c r="EE6" s="186">
        <v>967</v>
      </c>
      <c r="EF6" s="46">
        <v>28747</v>
      </c>
      <c r="EG6" s="130">
        <v>2398</v>
      </c>
      <c r="EH6" s="46">
        <v>2756</v>
      </c>
      <c r="EI6" s="130">
        <v>2900</v>
      </c>
      <c r="EJ6" s="48">
        <v>-5097</v>
      </c>
      <c r="EK6" s="44">
        <v>3286</v>
      </c>
      <c r="EL6" s="44">
        <v>38419</v>
      </c>
      <c r="EM6" s="130">
        <v>82024</v>
      </c>
      <c r="EN6" s="117">
        <v>-386</v>
      </c>
      <c r="EO6" s="117">
        <v>14779</v>
      </c>
      <c r="EP6" s="129">
        <v>21.25</v>
      </c>
    </row>
    <row r="7" spans="1:146" ht="15" x14ac:dyDescent="0.25">
      <c r="A7" s="27">
        <v>16</v>
      </c>
      <c r="B7" s="27" t="s">
        <v>135</v>
      </c>
      <c r="C7" s="27">
        <v>7</v>
      </c>
      <c r="D7" s="27" t="s">
        <v>119</v>
      </c>
      <c r="E7" s="27">
        <v>3</v>
      </c>
      <c r="F7" s="27" t="s">
        <v>743</v>
      </c>
      <c r="G7" s="29" t="s">
        <v>132</v>
      </c>
      <c r="H7" s="27" t="s">
        <v>99</v>
      </c>
      <c r="I7" s="31" t="s">
        <v>119</v>
      </c>
      <c r="J7" s="118">
        <v>-290.1241731461065</v>
      </c>
      <c r="K7" s="118">
        <v>-716.6487546524985</v>
      </c>
      <c r="L7" s="118">
        <v>-1891.4414209861529</v>
      </c>
      <c r="M7" s="118">
        <v>-1778.9236981834019</v>
      </c>
      <c r="N7" s="22">
        <v>-367</v>
      </c>
      <c r="O7" s="119">
        <v>-867</v>
      </c>
      <c r="P7" s="119">
        <v>-2736</v>
      </c>
      <c r="Q7" s="120">
        <v>-2436</v>
      </c>
      <c r="R7" s="22">
        <v>-1837</v>
      </c>
      <c r="S7" s="22">
        <v>-2432</v>
      </c>
      <c r="T7" s="121">
        <v>-1991</v>
      </c>
      <c r="U7" s="121">
        <v>-1484</v>
      </c>
      <c r="V7" s="121">
        <v>1403</v>
      </c>
      <c r="W7" s="106">
        <v>1854</v>
      </c>
      <c r="X7" s="121">
        <v>1669</v>
      </c>
      <c r="Y7" s="121">
        <v>1865</v>
      </c>
      <c r="Z7" s="121">
        <v>7446</v>
      </c>
      <c r="AA7" s="121">
        <v>9156</v>
      </c>
      <c r="AB7" s="122">
        <v>17</v>
      </c>
      <c r="AC7" s="123">
        <v>17</v>
      </c>
      <c r="AD7" s="124">
        <v>17.5</v>
      </c>
      <c r="AE7" s="125">
        <v>17.5</v>
      </c>
      <c r="AF7" s="126">
        <v>17.5</v>
      </c>
      <c r="AG7" s="123">
        <v>18</v>
      </c>
      <c r="AH7" s="123">
        <v>18</v>
      </c>
      <c r="AI7" s="131">
        <v>18.5</v>
      </c>
      <c r="AJ7" s="131">
        <v>19</v>
      </c>
      <c r="AK7" s="22">
        <v>19</v>
      </c>
      <c r="AL7" s="128">
        <v>19</v>
      </c>
      <c r="AM7" s="128">
        <v>19</v>
      </c>
      <c r="AN7" s="128">
        <v>20</v>
      </c>
      <c r="AO7" s="77">
        <v>20</v>
      </c>
      <c r="AP7" s="77">
        <v>20</v>
      </c>
      <c r="AQ7" s="129">
        <v>20.75</v>
      </c>
      <c r="AR7" s="129">
        <v>20.75</v>
      </c>
      <c r="AS7" s="129">
        <v>20.75</v>
      </c>
      <c r="AT7" s="116">
        <v>8405</v>
      </c>
      <c r="AU7" s="47">
        <v>6484</v>
      </c>
      <c r="AV7" s="47">
        <v>49957</v>
      </c>
      <c r="AW7" s="46">
        <v>29009</v>
      </c>
      <c r="AX7" s="46">
        <v>16731</v>
      </c>
      <c r="AY7" s="92">
        <v>24</v>
      </c>
      <c r="AZ7" s="47">
        <v>2291</v>
      </c>
      <c r="BA7" s="44">
        <v>2190</v>
      </c>
      <c r="BB7" s="23">
        <v>-8225</v>
      </c>
      <c r="BC7" s="47">
        <v>101</v>
      </c>
      <c r="BD7" s="44">
        <v>195</v>
      </c>
      <c r="BE7" s="47">
        <v>1865</v>
      </c>
      <c r="BF7" s="44">
        <v>29009</v>
      </c>
      <c r="BG7" s="46">
        <v>25528</v>
      </c>
      <c r="BH7" s="130">
        <v>1460</v>
      </c>
      <c r="BI7" s="46">
        <v>2021</v>
      </c>
      <c r="BJ7" s="129">
        <v>20.75</v>
      </c>
      <c r="BK7" s="44">
        <v>15104</v>
      </c>
      <c r="BL7" s="116">
        <v>8374</v>
      </c>
      <c r="BM7" s="47">
        <v>6840</v>
      </c>
      <c r="BN7" s="130">
        <v>50890</v>
      </c>
      <c r="BO7" s="46">
        <v>29321</v>
      </c>
      <c r="BP7" s="46">
        <v>17043</v>
      </c>
      <c r="BQ7" s="46">
        <v>5541</v>
      </c>
      <c r="BR7" s="130">
        <v>2212</v>
      </c>
      <c r="BS7" s="44">
        <v>2265</v>
      </c>
      <c r="BT7" s="92">
        <v>-6595</v>
      </c>
      <c r="BU7" s="117">
        <v>5582</v>
      </c>
      <c r="BV7" s="130">
        <v>7446</v>
      </c>
      <c r="BW7" s="48">
        <v>29321</v>
      </c>
      <c r="BX7" s="46">
        <v>25414</v>
      </c>
      <c r="BY7" s="130">
        <v>1438</v>
      </c>
      <c r="BZ7" s="46">
        <v>2469</v>
      </c>
      <c r="CA7" s="129">
        <v>20.75</v>
      </c>
      <c r="CB7" s="44">
        <v>24075</v>
      </c>
      <c r="CC7" s="116">
        <v>8287</v>
      </c>
      <c r="CD7" s="47">
        <v>6847</v>
      </c>
      <c r="CE7" s="130">
        <v>49270</v>
      </c>
      <c r="CF7" s="46">
        <v>29378</v>
      </c>
      <c r="CG7" s="46">
        <v>16868</v>
      </c>
      <c r="CH7" s="46">
        <v>0</v>
      </c>
      <c r="CI7" s="130">
        <v>3654</v>
      </c>
      <c r="CJ7" s="44">
        <v>2039</v>
      </c>
      <c r="CK7" s="117">
        <v>-892</v>
      </c>
      <c r="CL7" s="117">
        <v>1709</v>
      </c>
      <c r="CM7" s="117">
        <v>9156</v>
      </c>
      <c r="CN7" s="48">
        <v>29378</v>
      </c>
      <c r="CO7" s="46">
        <v>25339</v>
      </c>
      <c r="CP7" s="130">
        <v>1538</v>
      </c>
      <c r="CQ7" s="46">
        <v>2501</v>
      </c>
      <c r="CR7" s="129">
        <v>20.75</v>
      </c>
      <c r="CS7" s="44">
        <v>17046</v>
      </c>
      <c r="CT7">
        <v>8323</v>
      </c>
      <c r="CU7">
        <v>29925</v>
      </c>
      <c r="CV7">
        <v>17906</v>
      </c>
      <c r="CW7">
        <v>6668</v>
      </c>
      <c r="CX7">
        <v>0</v>
      </c>
      <c r="CY7">
        <v>25836</v>
      </c>
      <c r="CZ7">
        <v>1430</v>
      </c>
      <c r="DA7">
        <v>2659</v>
      </c>
      <c r="DB7">
        <v>5428</v>
      </c>
      <c r="DC7">
        <v>-2255</v>
      </c>
      <c r="DD7">
        <v>2164</v>
      </c>
      <c r="DE7">
        <v>15016</v>
      </c>
      <c r="DF7">
        <v>48906</v>
      </c>
      <c r="DG7">
        <v>1358</v>
      </c>
      <c r="DH7">
        <v>10514</v>
      </c>
      <c r="DI7">
        <v>20.75</v>
      </c>
      <c r="DJ7" s="174">
        <v>8248</v>
      </c>
      <c r="DK7" s="34">
        <v>29701</v>
      </c>
      <c r="DL7" s="34">
        <v>17513</v>
      </c>
      <c r="DM7">
        <v>6285</v>
      </c>
      <c r="DN7" s="173">
        <v>39</v>
      </c>
      <c r="DO7" s="34">
        <v>25298</v>
      </c>
      <c r="DP7" s="173">
        <v>1616</v>
      </c>
      <c r="DQ7" s="34">
        <v>2787</v>
      </c>
      <c r="DR7" s="173">
        <v>4763</v>
      </c>
      <c r="DS7" s="173">
        <v>-1687</v>
      </c>
      <c r="DT7">
        <v>2353</v>
      </c>
      <c r="DU7">
        <v>11990</v>
      </c>
      <c r="DV7" s="173">
        <v>48775</v>
      </c>
      <c r="DW7" s="173">
        <v>104</v>
      </c>
      <c r="DX7" s="173">
        <v>10152</v>
      </c>
      <c r="DY7" s="57">
        <v>20.75</v>
      </c>
      <c r="DZ7" s="184">
        <v>240</v>
      </c>
      <c r="EA7" s="116">
        <v>8149</v>
      </c>
      <c r="EB7" s="48">
        <v>28838</v>
      </c>
      <c r="EC7" s="46">
        <v>17538</v>
      </c>
      <c r="ED7" s="90">
        <v>6194</v>
      </c>
      <c r="EE7" s="186">
        <v>-167</v>
      </c>
      <c r="EF7" s="46">
        <v>24509</v>
      </c>
      <c r="EG7" s="130">
        <v>1436</v>
      </c>
      <c r="EH7" s="46">
        <v>2893</v>
      </c>
      <c r="EI7" s="130">
        <v>2955</v>
      </c>
      <c r="EJ7" s="48">
        <v>-919</v>
      </c>
      <c r="EK7" s="44">
        <v>2255</v>
      </c>
      <c r="EL7" s="44">
        <v>10470</v>
      </c>
      <c r="EM7" s="130">
        <v>49448</v>
      </c>
      <c r="EN7" s="117">
        <v>794</v>
      </c>
      <c r="EO7" s="117">
        <v>10946</v>
      </c>
      <c r="EP7" s="129">
        <v>20.75</v>
      </c>
    </row>
    <row r="8" spans="1:146" ht="15" x14ac:dyDescent="0.25">
      <c r="A8" s="27">
        <v>18</v>
      </c>
      <c r="B8" s="27" t="s">
        <v>136</v>
      </c>
      <c r="C8" s="27">
        <v>1</v>
      </c>
      <c r="D8" s="27" t="s">
        <v>121</v>
      </c>
      <c r="E8" s="27">
        <v>2</v>
      </c>
      <c r="F8" s="27" t="s">
        <v>744</v>
      </c>
      <c r="G8" s="29" t="s">
        <v>130</v>
      </c>
      <c r="H8" s="27" t="s">
        <v>98</v>
      </c>
      <c r="I8" s="27" t="s">
        <v>121</v>
      </c>
      <c r="J8" s="118">
        <v>-394.06431169932034</v>
      </c>
      <c r="K8" s="118">
        <v>-1446.7525434219178</v>
      </c>
      <c r="L8" s="118">
        <v>112.34953487628937</v>
      </c>
      <c r="M8" s="118">
        <v>944.03883122846139</v>
      </c>
      <c r="N8" s="22">
        <v>1276</v>
      </c>
      <c r="O8" s="119">
        <v>1987</v>
      </c>
      <c r="P8" s="119">
        <v>2381</v>
      </c>
      <c r="Q8" s="120">
        <v>1800</v>
      </c>
      <c r="R8" s="22">
        <v>2430</v>
      </c>
      <c r="S8" s="22">
        <v>2996</v>
      </c>
      <c r="T8" s="121">
        <v>2139</v>
      </c>
      <c r="U8" s="121">
        <v>2212</v>
      </c>
      <c r="V8" s="121">
        <v>2297</v>
      </c>
      <c r="W8" s="106">
        <v>-34</v>
      </c>
      <c r="X8" s="121">
        <v>-529</v>
      </c>
      <c r="Y8" s="121">
        <v>-447</v>
      </c>
      <c r="Z8" s="121">
        <v>373</v>
      </c>
      <c r="AA8" s="121">
        <v>-569</v>
      </c>
      <c r="AB8" s="122">
        <v>17</v>
      </c>
      <c r="AC8" s="123">
        <v>17</v>
      </c>
      <c r="AD8" s="124">
        <v>17.5</v>
      </c>
      <c r="AE8" s="125">
        <v>18.25</v>
      </c>
      <c r="AF8" s="126">
        <v>18.25</v>
      </c>
      <c r="AG8" s="123">
        <v>18.25</v>
      </c>
      <c r="AH8" s="123">
        <v>18.25</v>
      </c>
      <c r="AI8" s="127">
        <v>18.25</v>
      </c>
      <c r="AJ8" s="127">
        <v>18.5</v>
      </c>
      <c r="AK8" s="22">
        <v>18.5</v>
      </c>
      <c r="AL8" s="128">
        <v>18.75</v>
      </c>
      <c r="AM8" s="128">
        <v>18.75</v>
      </c>
      <c r="AN8" s="128">
        <v>18.75</v>
      </c>
      <c r="AO8" s="77">
        <v>19</v>
      </c>
      <c r="AP8" s="77">
        <v>20</v>
      </c>
      <c r="AQ8" s="129">
        <v>20.25</v>
      </c>
      <c r="AR8" s="129">
        <v>20.25</v>
      </c>
      <c r="AS8" s="129">
        <v>20.25</v>
      </c>
      <c r="AT8" s="116">
        <v>4991</v>
      </c>
      <c r="AU8" s="47">
        <v>4106</v>
      </c>
      <c r="AV8" s="47">
        <v>27251</v>
      </c>
      <c r="AW8" s="46">
        <v>17645</v>
      </c>
      <c r="AX8" s="46">
        <v>6755</v>
      </c>
      <c r="AY8" s="92">
        <v>304</v>
      </c>
      <c r="AZ8" s="47">
        <v>1277</v>
      </c>
      <c r="BA8" s="44">
        <v>1203</v>
      </c>
      <c r="BB8" s="23">
        <v>-1076</v>
      </c>
      <c r="BC8" s="47">
        <v>82</v>
      </c>
      <c r="BD8" s="44">
        <v>82</v>
      </c>
      <c r="BE8" s="47">
        <v>-447</v>
      </c>
      <c r="BF8" s="44">
        <v>17645</v>
      </c>
      <c r="BG8" s="46">
        <v>15943</v>
      </c>
      <c r="BH8" s="130">
        <v>771</v>
      </c>
      <c r="BI8" s="46">
        <v>931</v>
      </c>
      <c r="BJ8" s="129">
        <v>20.25</v>
      </c>
      <c r="BK8" s="44">
        <v>12702</v>
      </c>
      <c r="BL8" s="116">
        <v>5064</v>
      </c>
      <c r="BM8" s="47">
        <v>4195</v>
      </c>
      <c r="BN8" s="130">
        <v>27431</v>
      </c>
      <c r="BO8" s="46">
        <v>18023</v>
      </c>
      <c r="BP8" s="46">
        <v>6984</v>
      </c>
      <c r="BQ8" s="46">
        <v>180</v>
      </c>
      <c r="BR8" s="130">
        <v>1795</v>
      </c>
      <c r="BS8" s="44">
        <v>975</v>
      </c>
      <c r="BT8" s="92">
        <v>-2584</v>
      </c>
      <c r="BU8" s="117">
        <v>820</v>
      </c>
      <c r="BV8" s="130">
        <v>373</v>
      </c>
      <c r="BW8" s="48">
        <v>18023</v>
      </c>
      <c r="BX8" s="46">
        <v>16047</v>
      </c>
      <c r="BY8" s="130">
        <v>935</v>
      </c>
      <c r="BZ8" s="46">
        <v>1041</v>
      </c>
      <c r="CA8" s="129">
        <v>20.25</v>
      </c>
      <c r="CB8" s="44">
        <v>13533</v>
      </c>
      <c r="CC8" s="116">
        <v>5104</v>
      </c>
      <c r="CD8" s="47">
        <v>4397</v>
      </c>
      <c r="CE8" s="130">
        <v>29519</v>
      </c>
      <c r="CF8" s="46">
        <v>18430</v>
      </c>
      <c r="CG8" s="46">
        <v>6844</v>
      </c>
      <c r="CH8" s="46">
        <v>488</v>
      </c>
      <c r="CI8" s="130">
        <v>290</v>
      </c>
      <c r="CJ8" s="44">
        <v>1103</v>
      </c>
      <c r="CK8" s="117">
        <v>-2364</v>
      </c>
      <c r="CL8" s="117">
        <v>-813</v>
      </c>
      <c r="CM8" s="117">
        <v>-569</v>
      </c>
      <c r="CN8" s="48">
        <v>18430</v>
      </c>
      <c r="CO8" s="46">
        <v>16391</v>
      </c>
      <c r="CP8" s="130">
        <v>987</v>
      </c>
      <c r="CQ8" s="46">
        <v>1052</v>
      </c>
      <c r="CR8" s="129">
        <v>20.25</v>
      </c>
      <c r="CS8" s="44">
        <v>16221</v>
      </c>
      <c r="CT8">
        <v>5046</v>
      </c>
      <c r="CU8">
        <v>19174</v>
      </c>
      <c r="CV8">
        <v>7136</v>
      </c>
      <c r="CW8">
        <v>4436</v>
      </c>
      <c r="CX8">
        <v>250</v>
      </c>
      <c r="CY8">
        <v>17262</v>
      </c>
      <c r="CZ8">
        <v>868</v>
      </c>
      <c r="DA8">
        <v>1044</v>
      </c>
      <c r="DB8">
        <v>983</v>
      </c>
      <c r="DC8">
        <v>-1290</v>
      </c>
      <c r="DD8">
        <v>1213</v>
      </c>
      <c r="DE8">
        <v>16573</v>
      </c>
      <c r="DF8">
        <v>29873</v>
      </c>
      <c r="DG8">
        <v>-230</v>
      </c>
      <c r="DH8">
        <v>-799</v>
      </c>
      <c r="DI8">
        <v>20.25</v>
      </c>
      <c r="DJ8" s="174">
        <v>4990</v>
      </c>
      <c r="DK8" s="34">
        <v>18756</v>
      </c>
      <c r="DL8" s="34">
        <v>7325</v>
      </c>
      <c r="DM8">
        <v>4571</v>
      </c>
      <c r="DN8" s="173">
        <v>145</v>
      </c>
      <c r="DO8" s="34">
        <v>16579</v>
      </c>
      <c r="DP8" s="173">
        <v>1038</v>
      </c>
      <c r="DQ8" s="34">
        <v>1139</v>
      </c>
      <c r="DR8" s="173">
        <v>829</v>
      </c>
      <c r="DS8" s="173">
        <v>-3033</v>
      </c>
      <c r="DT8">
        <v>1338</v>
      </c>
      <c r="DU8">
        <v>19431</v>
      </c>
      <c r="DV8" s="173">
        <v>29968</v>
      </c>
      <c r="DW8" s="173">
        <v>-509</v>
      </c>
      <c r="DX8" s="173">
        <v>-1309</v>
      </c>
      <c r="DY8" s="57">
        <v>20.75</v>
      </c>
      <c r="DZ8" s="184">
        <v>330</v>
      </c>
      <c r="EA8" s="116">
        <v>4958</v>
      </c>
      <c r="EB8" s="48">
        <v>18547</v>
      </c>
      <c r="EC8" s="46">
        <v>7491</v>
      </c>
      <c r="ED8" s="90">
        <v>4412</v>
      </c>
      <c r="EE8" s="186">
        <v>2325</v>
      </c>
      <c r="EF8" s="46">
        <v>16454</v>
      </c>
      <c r="EG8" s="130">
        <v>949</v>
      </c>
      <c r="EH8" s="46">
        <v>1144</v>
      </c>
      <c r="EI8" s="130">
        <v>-198</v>
      </c>
      <c r="EJ8" s="48">
        <v>-1776</v>
      </c>
      <c r="EK8" s="44">
        <v>1255</v>
      </c>
      <c r="EL8" s="44">
        <v>21209</v>
      </c>
      <c r="EM8" s="130">
        <v>30745</v>
      </c>
      <c r="EN8" s="117">
        <v>775</v>
      </c>
      <c r="EO8" s="117">
        <v>-699</v>
      </c>
      <c r="EP8" s="129">
        <v>20.75</v>
      </c>
    </row>
    <row r="9" spans="1:146" ht="15" x14ac:dyDescent="0.25">
      <c r="A9" s="27">
        <v>19</v>
      </c>
      <c r="B9" s="27" t="s">
        <v>137</v>
      </c>
      <c r="C9" s="27">
        <v>2</v>
      </c>
      <c r="D9" s="27" t="s">
        <v>122</v>
      </c>
      <c r="E9" s="27">
        <v>2</v>
      </c>
      <c r="F9" s="27" t="s">
        <v>744</v>
      </c>
      <c r="G9" s="29" t="s">
        <v>130</v>
      </c>
      <c r="H9" s="27" t="s">
        <v>98</v>
      </c>
      <c r="I9" s="31" t="s">
        <v>122</v>
      </c>
      <c r="J9" s="118">
        <v>-318.88430857102492</v>
      </c>
      <c r="K9" s="118">
        <v>-432.41115893254488</v>
      </c>
      <c r="L9" s="118">
        <v>-751.80003128295425</v>
      </c>
      <c r="M9" s="118">
        <v>-746.58620556264736</v>
      </c>
      <c r="N9" s="22">
        <v>67</v>
      </c>
      <c r="O9" s="119">
        <v>377</v>
      </c>
      <c r="P9" s="119">
        <v>-120</v>
      </c>
      <c r="Q9" s="120">
        <v>-648</v>
      </c>
      <c r="R9" s="22">
        <v>-373</v>
      </c>
      <c r="S9" s="22">
        <v>-4</v>
      </c>
      <c r="T9" s="121">
        <v>-828</v>
      </c>
      <c r="U9" s="121">
        <v>-510</v>
      </c>
      <c r="V9" s="121">
        <v>-411</v>
      </c>
      <c r="W9" s="106">
        <v>-909</v>
      </c>
      <c r="X9" s="121">
        <v>-2420</v>
      </c>
      <c r="Y9" s="121">
        <v>-2271</v>
      </c>
      <c r="Z9" s="121">
        <v>-2834</v>
      </c>
      <c r="AA9" s="121">
        <v>-2956</v>
      </c>
      <c r="AB9" s="122">
        <v>18</v>
      </c>
      <c r="AC9" s="123">
        <v>18</v>
      </c>
      <c r="AD9" s="124">
        <v>18</v>
      </c>
      <c r="AE9" s="125">
        <v>18</v>
      </c>
      <c r="AF9" s="126">
        <v>18</v>
      </c>
      <c r="AG9" s="123">
        <v>18</v>
      </c>
      <c r="AH9" s="123">
        <v>18</v>
      </c>
      <c r="AI9" s="131">
        <v>18.5</v>
      </c>
      <c r="AJ9" s="131">
        <v>18.75</v>
      </c>
      <c r="AK9" s="22">
        <v>18.75</v>
      </c>
      <c r="AL9" s="128">
        <v>18.75</v>
      </c>
      <c r="AM9" s="128">
        <v>19.25</v>
      </c>
      <c r="AN9" s="128">
        <v>20.25</v>
      </c>
      <c r="AO9" s="77">
        <v>20.25</v>
      </c>
      <c r="AP9" s="77">
        <v>20.25</v>
      </c>
      <c r="AQ9" s="129">
        <v>21</v>
      </c>
      <c r="AR9" s="129">
        <v>21</v>
      </c>
      <c r="AS9" s="129">
        <v>21</v>
      </c>
      <c r="AT9" s="116">
        <v>3962</v>
      </c>
      <c r="AU9" s="47">
        <v>2332</v>
      </c>
      <c r="AV9" s="47">
        <v>20688</v>
      </c>
      <c r="AW9" s="46">
        <v>13501</v>
      </c>
      <c r="AX9" s="46">
        <v>5708</v>
      </c>
      <c r="AY9" s="92">
        <v>24</v>
      </c>
      <c r="AZ9" s="47">
        <v>769</v>
      </c>
      <c r="BA9" s="44">
        <v>647</v>
      </c>
      <c r="BB9" s="23">
        <v>-948</v>
      </c>
      <c r="BC9" s="47">
        <v>122</v>
      </c>
      <c r="BD9" s="44">
        <v>150</v>
      </c>
      <c r="BE9" s="47">
        <v>-2271</v>
      </c>
      <c r="BF9" s="44">
        <v>13501</v>
      </c>
      <c r="BG9" s="46">
        <v>12683</v>
      </c>
      <c r="BH9" s="130">
        <v>283</v>
      </c>
      <c r="BI9" s="46">
        <v>535</v>
      </c>
      <c r="BJ9" s="129">
        <v>21</v>
      </c>
      <c r="BK9" s="44">
        <v>13274</v>
      </c>
      <c r="BL9" s="116">
        <v>3982</v>
      </c>
      <c r="BM9" s="47">
        <v>2826</v>
      </c>
      <c r="BN9" s="130">
        <v>21450</v>
      </c>
      <c r="BO9" s="46">
        <v>13628</v>
      </c>
      <c r="BP9" s="46">
        <v>5105</v>
      </c>
      <c r="BQ9" s="46">
        <v>14</v>
      </c>
      <c r="BR9" s="130">
        <v>29</v>
      </c>
      <c r="BS9" s="44">
        <v>620</v>
      </c>
      <c r="BT9" s="92">
        <v>-1107</v>
      </c>
      <c r="BU9" s="117">
        <v>-563</v>
      </c>
      <c r="BV9" s="130">
        <v>-2834</v>
      </c>
      <c r="BW9" s="48">
        <v>13628</v>
      </c>
      <c r="BX9" s="46">
        <v>12545</v>
      </c>
      <c r="BY9" s="130">
        <v>459</v>
      </c>
      <c r="BZ9" s="46">
        <v>624</v>
      </c>
      <c r="CA9" s="129">
        <v>21</v>
      </c>
      <c r="CB9" s="44">
        <v>13303</v>
      </c>
      <c r="CC9" s="116">
        <v>3986</v>
      </c>
      <c r="CD9" s="47">
        <v>3226</v>
      </c>
      <c r="CE9" s="130">
        <v>21799</v>
      </c>
      <c r="CF9" s="46">
        <v>13875</v>
      </c>
      <c r="CG9" s="46">
        <v>5377</v>
      </c>
      <c r="CH9" s="46">
        <v>22</v>
      </c>
      <c r="CI9" s="130">
        <v>634</v>
      </c>
      <c r="CJ9" s="44">
        <v>784</v>
      </c>
      <c r="CK9" s="117">
        <v>-1550</v>
      </c>
      <c r="CL9" s="117">
        <v>-122</v>
      </c>
      <c r="CM9" s="117">
        <v>-2956</v>
      </c>
      <c r="CN9" s="48">
        <v>13875</v>
      </c>
      <c r="CO9" s="46">
        <v>12633</v>
      </c>
      <c r="CP9" s="130">
        <v>506</v>
      </c>
      <c r="CQ9" s="46">
        <v>736</v>
      </c>
      <c r="CR9" s="129">
        <v>21</v>
      </c>
      <c r="CS9" s="44">
        <v>14585</v>
      </c>
      <c r="CT9">
        <v>3984</v>
      </c>
      <c r="CU9">
        <v>14440</v>
      </c>
      <c r="CV9">
        <v>6032</v>
      </c>
      <c r="CW9">
        <v>3073</v>
      </c>
      <c r="CX9">
        <v>7</v>
      </c>
      <c r="CY9">
        <v>13272</v>
      </c>
      <c r="CZ9">
        <v>758</v>
      </c>
      <c r="DA9">
        <v>410</v>
      </c>
      <c r="DB9">
        <v>1715</v>
      </c>
      <c r="DC9">
        <v>-678</v>
      </c>
      <c r="DD9">
        <v>724</v>
      </c>
      <c r="DE9">
        <v>13280</v>
      </c>
      <c r="DF9">
        <v>21803</v>
      </c>
      <c r="DG9">
        <v>1019</v>
      </c>
      <c r="DH9">
        <v>-1937</v>
      </c>
      <c r="DI9">
        <v>21.75</v>
      </c>
      <c r="DJ9" s="174">
        <v>3991</v>
      </c>
      <c r="DK9" s="34">
        <v>14873</v>
      </c>
      <c r="DL9" s="34">
        <v>5984</v>
      </c>
      <c r="DM9">
        <v>3192</v>
      </c>
      <c r="DN9" s="173">
        <v>-1</v>
      </c>
      <c r="DO9" s="34">
        <v>13597</v>
      </c>
      <c r="DP9" s="173">
        <v>745</v>
      </c>
      <c r="DQ9" s="34">
        <v>531</v>
      </c>
      <c r="DR9" s="173">
        <v>2797</v>
      </c>
      <c r="DS9" s="173">
        <v>-615</v>
      </c>
      <c r="DT9">
        <v>752</v>
      </c>
      <c r="DU9">
        <v>11976</v>
      </c>
      <c r="DV9" s="173">
        <v>21251</v>
      </c>
      <c r="DW9" s="173">
        <v>2073</v>
      </c>
      <c r="DX9" s="173">
        <v>136</v>
      </c>
      <c r="DY9" s="57">
        <v>21.75</v>
      </c>
      <c r="DZ9" s="184">
        <v>320</v>
      </c>
      <c r="EA9" s="116">
        <v>3984</v>
      </c>
      <c r="EB9" s="48">
        <v>14314</v>
      </c>
      <c r="EC9" s="46">
        <v>6000</v>
      </c>
      <c r="ED9" s="90">
        <v>2672</v>
      </c>
      <c r="EE9" s="186">
        <v>13</v>
      </c>
      <c r="EF9" s="46">
        <v>12992</v>
      </c>
      <c r="EG9" s="130">
        <v>571</v>
      </c>
      <c r="EH9" s="46">
        <v>751</v>
      </c>
      <c r="EI9" s="130">
        <v>819</v>
      </c>
      <c r="EJ9" s="48">
        <v>-1620</v>
      </c>
      <c r="EK9" s="44">
        <v>804</v>
      </c>
      <c r="EL9" s="44">
        <v>11462</v>
      </c>
      <c r="EM9" s="130">
        <v>22180</v>
      </c>
      <c r="EN9" s="117">
        <v>43</v>
      </c>
      <c r="EO9" s="117">
        <v>179</v>
      </c>
      <c r="EP9" s="129">
        <v>21.75</v>
      </c>
    </row>
    <row r="10" spans="1:146" ht="15" x14ac:dyDescent="0.25">
      <c r="A10" s="27">
        <v>46</v>
      </c>
      <c r="B10" s="27" t="s">
        <v>138</v>
      </c>
      <c r="C10" s="27">
        <v>10</v>
      </c>
      <c r="D10" s="27" t="s">
        <v>107</v>
      </c>
      <c r="E10" s="27">
        <v>1</v>
      </c>
      <c r="F10" s="27" t="s">
        <v>103</v>
      </c>
      <c r="G10" s="29" t="s">
        <v>130</v>
      </c>
      <c r="H10" s="27" t="s">
        <v>98</v>
      </c>
      <c r="I10" s="31" t="s">
        <v>107</v>
      </c>
      <c r="J10" s="118">
        <v>1148.0507860262742</v>
      </c>
      <c r="K10" s="118">
        <v>1113.740449028126</v>
      </c>
      <c r="L10" s="118">
        <v>2768.7096454093944</v>
      </c>
      <c r="M10" s="118">
        <v>2500.6180906297459</v>
      </c>
      <c r="N10" s="22">
        <v>2396</v>
      </c>
      <c r="O10" s="119">
        <v>2323</v>
      </c>
      <c r="P10" s="119">
        <v>2377</v>
      </c>
      <c r="Q10" s="120">
        <v>2323</v>
      </c>
      <c r="R10" s="22">
        <v>2637</v>
      </c>
      <c r="S10" s="22">
        <v>3094</v>
      </c>
      <c r="T10" s="121">
        <v>3844</v>
      </c>
      <c r="U10" s="121">
        <v>4187</v>
      </c>
      <c r="V10" s="121">
        <v>4466</v>
      </c>
      <c r="W10" s="106">
        <v>4502</v>
      </c>
      <c r="X10" s="121">
        <v>4035</v>
      </c>
      <c r="Y10" s="121">
        <v>4513</v>
      </c>
      <c r="Z10" s="121">
        <v>4808</v>
      </c>
      <c r="AA10" s="121">
        <v>5216</v>
      </c>
      <c r="AB10" s="122">
        <v>17.5</v>
      </c>
      <c r="AC10" s="123">
        <v>17.5</v>
      </c>
      <c r="AD10" s="124">
        <v>17.5</v>
      </c>
      <c r="AE10" s="125">
        <v>17.5</v>
      </c>
      <c r="AF10" s="126">
        <v>17.5</v>
      </c>
      <c r="AG10" s="123">
        <v>18</v>
      </c>
      <c r="AH10" s="123">
        <v>18</v>
      </c>
      <c r="AI10" s="131">
        <v>18.75</v>
      </c>
      <c r="AJ10" s="131">
        <v>18.75</v>
      </c>
      <c r="AK10" s="22">
        <v>18.75</v>
      </c>
      <c r="AL10" s="128">
        <v>19.75</v>
      </c>
      <c r="AM10" s="128">
        <v>19.75</v>
      </c>
      <c r="AN10" s="128">
        <v>19.75</v>
      </c>
      <c r="AO10" s="77">
        <v>19.75</v>
      </c>
      <c r="AP10" s="77">
        <v>19.75</v>
      </c>
      <c r="AQ10" s="129">
        <v>20.5</v>
      </c>
      <c r="AR10" s="129">
        <v>21</v>
      </c>
      <c r="AS10" s="129">
        <v>21</v>
      </c>
      <c r="AT10" s="116">
        <v>1522</v>
      </c>
      <c r="AU10" s="47">
        <v>2197</v>
      </c>
      <c r="AV10" s="47">
        <v>10890</v>
      </c>
      <c r="AW10" s="46">
        <v>4238</v>
      </c>
      <c r="AX10" s="46">
        <v>5204</v>
      </c>
      <c r="AY10" s="92">
        <v>105</v>
      </c>
      <c r="AZ10" s="47">
        <v>854</v>
      </c>
      <c r="BA10" s="44">
        <v>331</v>
      </c>
      <c r="BB10" s="23">
        <v>-1896</v>
      </c>
      <c r="BC10" s="47">
        <v>479</v>
      </c>
      <c r="BD10" s="44">
        <v>478</v>
      </c>
      <c r="BE10" s="47">
        <v>4513</v>
      </c>
      <c r="BF10" s="44">
        <v>4238</v>
      </c>
      <c r="BG10" s="46">
        <v>3478</v>
      </c>
      <c r="BH10" s="130">
        <v>432</v>
      </c>
      <c r="BI10" s="46">
        <v>328</v>
      </c>
      <c r="BJ10" s="129">
        <v>20.5</v>
      </c>
      <c r="BK10" s="44">
        <v>760</v>
      </c>
      <c r="BL10" s="116">
        <v>1503</v>
      </c>
      <c r="BM10" s="47">
        <v>2142</v>
      </c>
      <c r="BN10" s="130">
        <v>10958</v>
      </c>
      <c r="BO10" s="46">
        <v>4394</v>
      </c>
      <c r="BP10" s="46">
        <v>5197</v>
      </c>
      <c r="BQ10" s="46">
        <v>83</v>
      </c>
      <c r="BR10" s="130">
        <v>858</v>
      </c>
      <c r="BS10" s="44">
        <v>413</v>
      </c>
      <c r="BT10" s="92">
        <v>-560</v>
      </c>
      <c r="BU10" s="117">
        <v>295</v>
      </c>
      <c r="BV10" s="130">
        <v>4808</v>
      </c>
      <c r="BW10" s="48">
        <v>4394</v>
      </c>
      <c r="BX10" s="46">
        <v>3539</v>
      </c>
      <c r="BY10" s="130">
        <v>495</v>
      </c>
      <c r="BZ10" s="46">
        <v>360</v>
      </c>
      <c r="CA10" s="129">
        <v>21</v>
      </c>
      <c r="CB10" s="44">
        <v>680</v>
      </c>
      <c r="CC10" s="116">
        <v>1473</v>
      </c>
      <c r="CD10" s="47">
        <v>2147</v>
      </c>
      <c r="CE10" s="130">
        <v>11278</v>
      </c>
      <c r="CF10" s="46">
        <v>4825</v>
      </c>
      <c r="CG10" s="46">
        <v>5096</v>
      </c>
      <c r="CH10" s="46">
        <v>188</v>
      </c>
      <c r="CI10" s="130">
        <v>871</v>
      </c>
      <c r="CJ10" s="44">
        <v>511</v>
      </c>
      <c r="CK10" s="117">
        <v>-436</v>
      </c>
      <c r="CL10" s="117">
        <v>408</v>
      </c>
      <c r="CM10" s="117">
        <v>5216</v>
      </c>
      <c r="CN10" s="48">
        <v>4825</v>
      </c>
      <c r="CO10" s="46">
        <v>3801</v>
      </c>
      <c r="CP10" s="130">
        <v>606</v>
      </c>
      <c r="CQ10" s="46">
        <v>418</v>
      </c>
      <c r="CR10" s="129">
        <v>21</v>
      </c>
      <c r="CS10" s="44">
        <v>0</v>
      </c>
      <c r="CT10">
        <v>1453</v>
      </c>
      <c r="CU10">
        <v>4544</v>
      </c>
      <c r="CV10">
        <v>5227</v>
      </c>
      <c r="CW10">
        <v>1914</v>
      </c>
      <c r="CX10">
        <v>41</v>
      </c>
      <c r="CY10">
        <v>3570</v>
      </c>
      <c r="CZ10">
        <v>550</v>
      </c>
      <c r="DA10">
        <v>424</v>
      </c>
      <c r="DB10">
        <v>1100</v>
      </c>
      <c r="DC10">
        <v>-572</v>
      </c>
      <c r="DD10">
        <v>510</v>
      </c>
      <c r="DE10">
        <v>0</v>
      </c>
      <c r="DF10">
        <v>10626</v>
      </c>
      <c r="DG10">
        <v>525</v>
      </c>
      <c r="DH10">
        <v>5742</v>
      </c>
      <c r="DI10">
        <v>21</v>
      </c>
      <c r="DJ10" s="174">
        <v>1416</v>
      </c>
      <c r="DK10" s="34">
        <v>4853</v>
      </c>
      <c r="DL10" s="34">
        <v>5272</v>
      </c>
      <c r="DM10">
        <v>1299</v>
      </c>
      <c r="DN10" s="173">
        <v>410</v>
      </c>
      <c r="DO10" s="34">
        <v>3723</v>
      </c>
      <c r="DP10" s="173">
        <v>595</v>
      </c>
      <c r="DQ10" s="34">
        <v>535</v>
      </c>
      <c r="DR10" s="173">
        <v>646</v>
      </c>
      <c r="DS10" s="173">
        <v>-753</v>
      </c>
      <c r="DT10">
        <v>513</v>
      </c>
      <c r="DU10">
        <v>0</v>
      </c>
      <c r="DV10" s="173">
        <v>10844</v>
      </c>
      <c r="DW10" s="173">
        <v>377</v>
      </c>
      <c r="DX10" s="173">
        <v>6119</v>
      </c>
      <c r="DY10" s="57">
        <v>21</v>
      </c>
      <c r="DZ10" s="184">
        <v>340</v>
      </c>
      <c r="EA10" s="116">
        <v>1405</v>
      </c>
      <c r="EB10" s="48">
        <v>4481</v>
      </c>
      <c r="EC10" s="46">
        <v>5335</v>
      </c>
      <c r="ED10" s="90">
        <v>1385</v>
      </c>
      <c r="EE10" s="186">
        <v>69</v>
      </c>
      <c r="EF10" s="46">
        <v>3379</v>
      </c>
      <c r="EG10" s="130">
        <v>569</v>
      </c>
      <c r="EH10" s="46">
        <v>533</v>
      </c>
      <c r="EI10" s="130">
        <v>339</v>
      </c>
      <c r="EJ10" s="48">
        <v>-696</v>
      </c>
      <c r="EK10" s="44">
        <v>595</v>
      </c>
      <c r="EL10" s="44">
        <v>0</v>
      </c>
      <c r="EM10" s="130">
        <v>10931</v>
      </c>
      <c r="EN10" s="117">
        <v>-255</v>
      </c>
      <c r="EO10" s="117">
        <v>5864</v>
      </c>
      <c r="EP10" s="129">
        <v>21</v>
      </c>
    </row>
    <row r="11" spans="1:146" ht="15" x14ac:dyDescent="0.25">
      <c r="A11" s="27">
        <v>47</v>
      </c>
      <c r="B11" s="27" t="s">
        <v>139</v>
      </c>
      <c r="C11" s="27">
        <v>19</v>
      </c>
      <c r="D11" s="27" t="s">
        <v>113</v>
      </c>
      <c r="E11" s="27">
        <v>1</v>
      </c>
      <c r="F11" s="27" t="s">
        <v>103</v>
      </c>
      <c r="G11" s="29" t="s">
        <v>130</v>
      </c>
      <c r="H11" s="27" t="s">
        <v>98</v>
      </c>
      <c r="I11" s="31" t="s">
        <v>113</v>
      </c>
      <c r="J11" s="118">
        <v>-53.988324394145039</v>
      </c>
      <c r="K11" s="118">
        <v>-735.99036619557228</v>
      </c>
      <c r="L11" s="118">
        <v>-577.5573394688289</v>
      </c>
      <c r="M11" s="118">
        <v>-695.12070006542513</v>
      </c>
      <c r="N11" s="22">
        <v>-1324</v>
      </c>
      <c r="O11" s="119">
        <v>-2154</v>
      </c>
      <c r="P11" s="119">
        <v>-1896</v>
      </c>
      <c r="Q11" s="120">
        <v>-2826</v>
      </c>
      <c r="R11" s="22">
        <v>-2502</v>
      </c>
      <c r="S11" s="22">
        <v>-2011</v>
      </c>
      <c r="T11" s="121">
        <v>-1669</v>
      </c>
      <c r="U11" s="121">
        <v>-853</v>
      </c>
      <c r="V11" s="121">
        <v>-93</v>
      </c>
      <c r="W11" s="106">
        <v>46</v>
      </c>
      <c r="X11" s="121">
        <v>245</v>
      </c>
      <c r="Y11" s="121">
        <v>41</v>
      </c>
      <c r="Z11" s="121">
        <v>368</v>
      </c>
      <c r="AA11" s="121">
        <v>245</v>
      </c>
      <c r="AB11" s="122">
        <v>18.5</v>
      </c>
      <c r="AC11" s="123">
        <v>18.5</v>
      </c>
      <c r="AD11" s="124">
        <v>19.25</v>
      </c>
      <c r="AE11" s="125">
        <v>19.25</v>
      </c>
      <c r="AF11" s="126">
        <v>19.25</v>
      </c>
      <c r="AG11" s="123">
        <v>19.25</v>
      </c>
      <c r="AH11" s="123">
        <v>19.25</v>
      </c>
      <c r="AI11" s="127">
        <v>19.25</v>
      </c>
      <c r="AJ11" s="127">
        <v>19.25</v>
      </c>
      <c r="AK11" s="22">
        <v>19.75</v>
      </c>
      <c r="AL11" s="128">
        <v>20</v>
      </c>
      <c r="AM11" s="128">
        <v>20.25</v>
      </c>
      <c r="AN11" s="128">
        <v>20.5</v>
      </c>
      <c r="AO11" s="77">
        <v>20.5</v>
      </c>
      <c r="AP11" s="77">
        <v>20.75</v>
      </c>
      <c r="AQ11" s="129">
        <v>20.75</v>
      </c>
      <c r="AR11" s="129">
        <v>20.75</v>
      </c>
      <c r="AS11" s="129">
        <v>20.75</v>
      </c>
      <c r="AT11" s="116">
        <v>1891</v>
      </c>
      <c r="AU11" s="47">
        <v>2594</v>
      </c>
      <c r="AV11" s="47">
        <v>16705</v>
      </c>
      <c r="AW11" s="46">
        <v>5676</v>
      </c>
      <c r="AX11" s="46">
        <v>8332</v>
      </c>
      <c r="AY11" s="92">
        <v>331</v>
      </c>
      <c r="AZ11" s="47">
        <v>103</v>
      </c>
      <c r="BA11" s="44">
        <v>307</v>
      </c>
      <c r="BB11" s="23">
        <v>-637</v>
      </c>
      <c r="BC11" s="47">
        <v>-204</v>
      </c>
      <c r="BD11" s="44">
        <v>-204</v>
      </c>
      <c r="BE11" s="47">
        <v>41</v>
      </c>
      <c r="BF11" s="44">
        <v>5676</v>
      </c>
      <c r="BG11" s="46">
        <v>4687</v>
      </c>
      <c r="BH11" s="130">
        <v>282</v>
      </c>
      <c r="BI11" s="46">
        <v>707</v>
      </c>
      <c r="BJ11" s="129">
        <v>20.75</v>
      </c>
      <c r="BK11" s="44">
        <v>4695</v>
      </c>
      <c r="BL11" s="116">
        <v>1890</v>
      </c>
      <c r="BM11" s="47">
        <v>2905</v>
      </c>
      <c r="BN11" s="130">
        <v>16911</v>
      </c>
      <c r="BO11" s="46">
        <v>5848</v>
      </c>
      <c r="BP11" s="46">
        <v>8474</v>
      </c>
      <c r="BQ11" s="46">
        <v>684</v>
      </c>
      <c r="BR11" s="130">
        <v>544</v>
      </c>
      <c r="BS11" s="44">
        <v>310</v>
      </c>
      <c r="BT11" s="92">
        <v>-1304</v>
      </c>
      <c r="BU11" s="117">
        <v>327</v>
      </c>
      <c r="BV11" s="130">
        <v>368</v>
      </c>
      <c r="BW11" s="48">
        <v>5848</v>
      </c>
      <c r="BX11" s="46">
        <v>4718</v>
      </c>
      <c r="BY11" s="130">
        <v>322</v>
      </c>
      <c r="BZ11" s="46">
        <v>808</v>
      </c>
      <c r="CA11" s="129">
        <v>20.75</v>
      </c>
      <c r="CB11" s="44">
        <v>5426</v>
      </c>
      <c r="CC11" s="116">
        <v>1861</v>
      </c>
      <c r="CD11" s="47">
        <v>2594</v>
      </c>
      <c r="CE11" s="130">
        <v>17332</v>
      </c>
      <c r="CF11" s="46">
        <v>6023</v>
      </c>
      <c r="CG11" s="46">
        <v>8833</v>
      </c>
      <c r="CH11" s="46">
        <v>336</v>
      </c>
      <c r="CI11" s="130">
        <v>361</v>
      </c>
      <c r="CJ11" s="44">
        <v>484</v>
      </c>
      <c r="CK11" s="117">
        <v>-833</v>
      </c>
      <c r="CL11" s="117">
        <v>-123</v>
      </c>
      <c r="CM11" s="117">
        <v>245</v>
      </c>
      <c r="CN11" s="48">
        <v>6023</v>
      </c>
      <c r="CO11" s="46">
        <v>4863</v>
      </c>
      <c r="CP11" s="130">
        <v>338</v>
      </c>
      <c r="CQ11" s="46">
        <v>822</v>
      </c>
      <c r="CR11" s="129">
        <v>20.75</v>
      </c>
      <c r="CS11" s="44">
        <v>5812</v>
      </c>
      <c r="CT11">
        <v>1872</v>
      </c>
      <c r="CU11">
        <v>6151</v>
      </c>
      <c r="CV11">
        <v>8935</v>
      </c>
      <c r="CW11">
        <v>2595</v>
      </c>
      <c r="CX11">
        <v>300</v>
      </c>
      <c r="CY11">
        <v>5003</v>
      </c>
      <c r="CZ11">
        <v>326</v>
      </c>
      <c r="DA11">
        <v>822</v>
      </c>
      <c r="DB11">
        <v>601</v>
      </c>
      <c r="DC11">
        <v>-261</v>
      </c>
      <c r="DD11">
        <v>382</v>
      </c>
      <c r="DE11">
        <v>5481</v>
      </c>
      <c r="DF11">
        <v>17380</v>
      </c>
      <c r="DG11">
        <v>219</v>
      </c>
      <c r="DH11">
        <v>464</v>
      </c>
      <c r="DI11">
        <v>21.25</v>
      </c>
      <c r="DJ11" s="174">
        <v>1893</v>
      </c>
      <c r="DK11" s="34">
        <v>6203</v>
      </c>
      <c r="DL11" s="34">
        <v>8824</v>
      </c>
      <c r="DM11">
        <v>2730</v>
      </c>
      <c r="DN11" s="173">
        <v>289</v>
      </c>
      <c r="DO11" s="34">
        <v>4963</v>
      </c>
      <c r="DP11" s="173">
        <v>410</v>
      </c>
      <c r="DQ11" s="34">
        <v>830</v>
      </c>
      <c r="DR11" s="173">
        <v>1149</v>
      </c>
      <c r="DS11" s="173">
        <v>-372</v>
      </c>
      <c r="DT11">
        <v>348</v>
      </c>
      <c r="DU11">
        <v>4511</v>
      </c>
      <c r="DV11" s="173">
        <v>16897</v>
      </c>
      <c r="DW11" s="173">
        <v>801</v>
      </c>
      <c r="DX11" s="173">
        <v>1265</v>
      </c>
      <c r="DY11" s="57">
        <v>21.25</v>
      </c>
      <c r="DZ11" s="184">
        <v>330</v>
      </c>
      <c r="EA11" s="116">
        <v>1852</v>
      </c>
      <c r="EB11" s="48">
        <v>6362</v>
      </c>
      <c r="EC11" s="46">
        <v>8604</v>
      </c>
      <c r="ED11" s="90">
        <v>2808</v>
      </c>
      <c r="EE11" s="186">
        <v>389</v>
      </c>
      <c r="EF11" s="46">
        <v>5155</v>
      </c>
      <c r="EG11" s="130">
        <v>384</v>
      </c>
      <c r="EH11" s="46">
        <v>823</v>
      </c>
      <c r="EI11" s="130">
        <v>535</v>
      </c>
      <c r="EJ11" s="48">
        <v>-316</v>
      </c>
      <c r="EK11" s="44">
        <v>354</v>
      </c>
      <c r="EL11" s="44">
        <v>3953</v>
      </c>
      <c r="EM11" s="130">
        <v>17628</v>
      </c>
      <c r="EN11" s="117">
        <v>181</v>
      </c>
      <c r="EO11" s="117">
        <v>1446</v>
      </c>
      <c r="EP11" s="129">
        <v>21.25</v>
      </c>
    </row>
    <row r="12" spans="1:146" ht="15" x14ac:dyDescent="0.25">
      <c r="A12" s="27">
        <v>49</v>
      </c>
      <c r="B12" s="27" t="s">
        <v>140</v>
      </c>
      <c r="C12" s="27">
        <v>1</v>
      </c>
      <c r="D12" s="27" t="s">
        <v>121</v>
      </c>
      <c r="E12" s="27">
        <v>7</v>
      </c>
      <c r="F12" s="27" t="s">
        <v>104</v>
      </c>
      <c r="G12" s="29" t="s">
        <v>141</v>
      </c>
      <c r="H12" s="27" t="s">
        <v>97</v>
      </c>
      <c r="I12" s="31" t="s">
        <v>121</v>
      </c>
      <c r="J12" s="118">
        <v>12366.017293082599</v>
      </c>
      <c r="K12" s="118">
        <v>34653.776743982657</v>
      </c>
      <c r="L12" s="118">
        <v>194444.75278897627</v>
      </c>
      <c r="M12" s="118">
        <v>345559.41827159992</v>
      </c>
      <c r="N12" s="22">
        <v>471611</v>
      </c>
      <c r="O12" s="119">
        <v>467607</v>
      </c>
      <c r="P12" s="119">
        <v>490495</v>
      </c>
      <c r="Q12" s="120">
        <v>469929</v>
      </c>
      <c r="R12" s="22">
        <v>498629</v>
      </c>
      <c r="S12" s="22">
        <v>518522</v>
      </c>
      <c r="T12" s="121">
        <v>567598</v>
      </c>
      <c r="U12" s="121">
        <v>623382</v>
      </c>
      <c r="V12" s="121">
        <v>925903</v>
      </c>
      <c r="W12" s="106">
        <v>972216</v>
      </c>
      <c r="X12" s="121">
        <v>325462</v>
      </c>
      <c r="Y12" s="121">
        <v>366060</v>
      </c>
      <c r="Z12" s="121">
        <v>370844</v>
      </c>
      <c r="AA12" s="121">
        <v>397468</v>
      </c>
      <c r="AB12" s="122">
        <v>17</v>
      </c>
      <c r="AC12" s="123">
        <v>17</v>
      </c>
      <c r="AD12" s="124">
        <v>17</v>
      </c>
      <c r="AE12" s="125">
        <v>17</v>
      </c>
      <c r="AF12" s="126">
        <v>17</v>
      </c>
      <c r="AG12" s="123">
        <v>17</v>
      </c>
      <c r="AH12" s="123">
        <v>17.5</v>
      </c>
      <c r="AI12" s="127">
        <v>17.5</v>
      </c>
      <c r="AJ12" s="127">
        <v>17.5</v>
      </c>
      <c r="AK12" s="22">
        <v>17.5</v>
      </c>
      <c r="AL12" s="128">
        <v>17.5</v>
      </c>
      <c r="AM12" s="128">
        <v>17.5</v>
      </c>
      <c r="AN12" s="128">
        <v>17.75</v>
      </c>
      <c r="AO12" s="77">
        <v>17.75</v>
      </c>
      <c r="AP12" s="77">
        <v>17.75</v>
      </c>
      <c r="AQ12" s="129">
        <v>17.75</v>
      </c>
      <c r="AR12" s="129">
        <v>18</v>
      </c>
      <c r="AS12" s="129">
        <v>18</v>
      </c>
      <c r="AT12" s="116">
        <v>260753</v>
      </c>
      <c r="AU12" s="47">
        <v>328504</v>
      </c>
      <c r="AV12" s="47">
        <v>1573805</v>
      </c>
      <c r="AW12" s="46">
        <v>1307153</v>
      </c>
      <c r="AX12" s="46">
        <v>40485</v>
      </c>
      <c r="AY12" s="92">
        <v>62437</v>
      </c>
      <c r="AZ12" s="47">
        <v>164774</v>
      </c>
      <c r="BA12" s="44">
        <v>108677</v>
      </c>
      <c r="BB12" s="23">
        <v>-142251</v>
      </c>
      <c r="BC12" s="47">
        <v>56097</v>
      </c>
      <c r="BD12" s="44">
        <v>55491</v>
      </c>
      <c r="BE12" s="47">
        <v>366060</v>
      </c>
      <c r="BF12" s="44">
        <v>1307153</v>
      </c>
      <c r="BG12" s="46">
        <v>1129132</v>
      </c>
      <c r="BH12" s="130">
        <v>108968</v>
      </c>
      <c r="BI12" s="46">
        <v>69053</v>
      </c>
      <c r="BJ12" s="129">
        <v>17.75</v>
      </c>
      <c r="BK12" s="44">
        <v>338665</v>
      </c>
      <c r="BL12" s="116">
        <v>265543</v>
      </c>
      <c r="BM12" s="47">
        <v>331138</v>
      </c>
      <c r="BN12" s="130">
        <v>1627818</v>
      </c>
      <c r="BO12" s="46">
        <v>1332758</v>
      </c>
      <c r="BP12" s="46">
        <v>29769</v>
      </c>
      <c r="BQ12" s="46">
        <v>51251</v>
      </c>
      <c r="BR12" s="130">
        <v>117098</v>
      </c>
      <c r="BS12" s="44">
        <v>117578</v>
      </c>
      <c r="BT12" s="92">
        <v>-225767</v>
      </c>
      <c r="BU12" s="117">
        <v>6057</v>
      </c>
      <c r="BV12" s="130">
        <v>370844</v>
      </c>
      <c r="BW12" s="48">
        <v>1332758</v>
      </c>
      <c r="BX12" s="46">
        <v>1137028</v>
      </c>
      <c r="BY12" s="130">
        <v>121003</v>
      </c>
      <c r="BZ12" s="46">
        <v>74727</v>
      </c>
      <c r="CA12" s="129">
        <v>18</v>
      </c>
      <c r="CB12" s="44">
        <v>355644</v>
      </c>
      <c r="CC12" s="116">
        <v>269800</v>
      </c>
      <c r="CD12" s="47">
        <v>405147</v>
      </c>
      <c r="CE12" s="130">
        <v>1718159</v>
      </c>
      <c r="CF12" s="46">
        <v>1393802</v>
      </c>
      <c r="CG12" s="46">
        <v>30083</v>
      </c>
      <c r="CH12" s="46">
        <v>46167</v>
      </c>
      <c r="CI12" s="130">
        <v>154834</v>
      </c>
      <c r="CJ12" s="44">
        <v>126686</v>
      </c>
      <c r="CK12" s="117">
        <v>-268394</v>
      </c>
      <c r="CL12" s="117">
        <v>37374</v>
      </c>
      <c r="CM12" s="117">
        <v>397468</v>
      </c>
      <c r="CN12" s="48">
        <v>1393802</v>
      </c>
      <c r="CO12" s="46">
        <v>1161281</v>
      </c>
      <c r="CP12" s="130">
        <v>136157</v>
      </c>
      <c r="CQ12" s="46">
        <v>96364</v>
      </c>
      <c r="CR12" s="129">
        <v>18</v>
      </c>
      <c r="CS12" s="44">
        <v>615573</v>
      </c>
      <c r="CT12">
        <v>274583</v>
      </c>
      <c r="CU12">
        <v>1446482</v>
      </c>
      <c r="CV12">
        <v>60915</v>
      </c>
      <c r="CW12">
        <v>399108</v>
      </c>
      <c r="CX12">
        <v>27923</v>
      </c>
      <c r="CY12">
        <v>1226153</v>
      </c>
      <c r="CZ12">
        <v>120589</v>
      </c>
      <c r="DA12">
        <v>99740</v>
      </c>
      <c r="DB12">
        <v>198970</v>
      </c>
      <c r="DC12">
        <v>-207836</v>
      </c>
      <c r="DD12">
        <v>138944</v>
      </c>
      <c r="DE12">
        <v>857204</v>
      </c>
      <c r="DF12">
        <v>1735458</v>
      </c>
      <c r="DG12">
        <v>72425</v>
      </c>
      <c r="DH12">
        <v>469893</v>
      </c>
      <c r="DI12">
        <v>18</v>
      </c>
      <c r="DJ12" s="174">
        <v>279044</v>
      </c>
      <c r="DK12" s="34">
        <v>1490270</v>
      </c>
      <c r="DL12" s="34">
        <v>36400</v>
      </c>
      <c r="DM12">
        <v>336891</v>
      </c>
      <c r="DN12" s="173">
        <v>47220</v>
      </c>
      <c r="DO12" s="34">
        <v>1236961</v>
      </c>
      <c r="DP12" s="173">
        <v>137156</v>
      </c>
      <c r="DQ12" s="34">
        <v>116153</v>
      </c>
      <c r="DR12" s="173">
        <v>230923</v>
      </c>
      <c r="DS12" s="173">
        <v>-234103</v>
      </c>
      <c r="DT12">
        <v>144454</v>
      </c>
      <c r="DU12">
        <v>805600</v>
      </c>
      <c r="DV12" s="173">
        <v>1679858</v>
      </c>
      <c r="DW12" s="173">
        <v>98302</v>
      </c>
      <c r="DX12" s="173">
        <v>487912</v>
      </c>
      <c r="DY12" s="57">
        <v>18</v>
      </c>
      <c r="DZ12" s="184">
        <v>110</v>
      </c>
      <c r="EA12" s="116">
        <v>283632</v>
      </c>
      <c r="EB12" s="48">
        <v>1501986</v>
      </c>
      <c r="EC12" s="46">
        <v>43067</v>
      </c>
      <c r="ED12" s="90">
        <v>392012</v>
      </c>
      <c r="EE12" s="186">
        <v>26374</v>
      </c>
      <c r="EF12" s="46">
        <v>1259684</v>
      </c>
      <c r="EG12" s="130">
        <v>125298</v>
      </c>
      <c r="EH12" s="46">
        <v>117004</v>
      </c>
      <c r="EI12" s="130">
        <v>195529</v>
      </c>
      <c r="EJ12" s="48">
        <v>-205837</v>
      </c>
      <c r="EK12" s="44">
        <v>161134</v>
      </c>
      <c r="EL12" s="44">
        <v>798266</v>
      </c>
      <c r="EM12" s="130">
        <v>1767910</v>
      </c>
      <c r="EN12" s="117">
        <v>45257</v>
      </c>
      <c r="EO12" s="117">
        <v>525559</v>
      </c>
      <c r="EP12" s="129">
        <v>18</v>
      </c>
    </row>
    <row r="13" spans="1:146" ht="15" x14ac:dyDescent="0.25">
      <c r="A13" s="27">
        <v>50</v>
      </c>
      <c r="B13" s="27" t="s">
        <v>142</v>
      </c>
      <c r="C13" s="27">
        <v>4</v>
      </c>
      <c r="D13" s="27" t="s">
        <v>120</v>
      </c>
      <c r="E13" s="27">
        <v>4</v>
      </c>
      <c r="F13" s="27" t="s">
        <v>100</v>
      </c>
      <c r="G13" s="29" t="s">
        <v>132</v>
      </c>
      <c r="H13" s="27" t="s">
        <v>99</v>
      </c>
      <c r="I13" s="31" t="s">
        <v>120</v>
      </c>
      <c r="J13" s="118">
        <v>-5003.7590001564149</v>
      </c>
      <c r="K13" s="118">
        <v>-3366.6177239800663</v>
      </c>
      <c r="L13" s="118">
        <v>-3044.3696568798109</v>
      </c>
      <c r="M13" s="118">
        <v>-2281.6374103768585</v>
      </c>
      <c r="N13" s="22">
        <v>253</v>
      </c>
      <c r="O13" s="119">
        <v>1081</v>
      </c>
      <c r="P13" s="119">
        <v>1637</v>
      </c>
      <c r="Q13" s="120">
        <v>2125</v>
      </c>
      <c r="R13" s="22">
        <v>2461</v>
      </c>
      <c r="S13" s="22">
        <v>2002</v>
      </c>
      <c r="T13" s="121">
        <v>3507</v>
      </c>
      <c r="U13" s="121">
        <v>4404</v>
      </c>
      <c r="V13" s="121">
        <v>6779</v>
      </c>
      <c r="W13" s="106">
        <v>7564</v>
      </c>
      <c r="X13" s="121">
        <v>7816</v>
      </c>
      <c r="Y13" s="121">
        <v>8055</v>
      </c>
      <c r="Z13" s="121">
        <v>5796</v>
      </c>
      <c r="AA13" s="121">
        <v>5717</v>
      </c>
      <c r="AB13" s="122">
        <v>17</v>
      </c>
      <c r="AC13" s="123">
        <v>18</v>
      </c>
      <c r="AD13" s="124">
        <v>18</v>
      </c>
      <c r="AE13" s="125">
        <v>18</v>
      </c>
      <c r="AF13" s="126">
        <v>18</v>
      </c>
      <c r="AG13" s="123">
        <v>18.5</v>
      </c>
      <c r="AH13" s="123">
        <v>18.5</v>
      </c>
      <c r="AI13" s="131">
        <v>19</v>
      </c>
      <c r="AJ13" s="131">
        <v>19</v>
      </c>
      <c r="AK13" s="22">
        <v>19</v>
      </c>
      <c r="AL13" s="128">
        <v>19</v>
      </c>
      <c r="AM13" s="128">
        <v>19</v>
      </c>
      <c r="AN13" s="128">
        <v>19.5</v>
      </c>
      <c r="AO13" s="77">
        <v>19.5</v>
      </c>
      <c r="AP13" s="77">
        <v>20.5</v>
      </c>
      <c r="AQ13" s="129">
        <v>20.5</v>
      </c>
      <c r="AR13" s="129">
        <v>20.5</v>
      </c>
      <c r="AS13" s="129">
        <v>20.5</v>
      </c>
      <c r="AT13" s="116">
        <v>12368</v>
      </c>
      <c r="AU13" s="47">
        <v>10541</v>
      </c>
      <c r="AV13" s="47">
        <v>76031</v>
      </c>
      <c r="AW13" s="46">
        <v>44015</v>
      </c>
      <c r="AX13" s="46">
        <v>24306</v>
      </c>
      <c r="AY13" s="92">
        <v>76</v>
      </c>
      <c r="AZ13" s="47">
        <v>2705</v>
      </c>
      <c r="BA13" s="44">
        <v>2498</v>
      </c>
      <c r="BB13" s="23">
        <v>-9114</v>
      </c>
      <c r="BC13" s="47">
        <v>207</v>
      </c>
      <c r="BD13" s="44">
        <v>239</v>
      </c>
      <c r="BE13" s="47">
        <v>8055</v>
      </c>
      <c r="BF13" s="44">
        <v>44015</v>
      </c>
      <c r="BG13" s="46">
        <v>39990</v>
      </c>
      <c r="BH13" s="130">
        <v>2097</v>
      </c>
      <c r="BI13" s="46">
        <v>1928</v>
      </c>
      <c r="BJ13" s="129">
        <v>20.5</v>
      </c>
      <c r="BK13" s="44">
        <v>16973</v>
      </c>
      <c r="BL13" s="116">
        <v>12314</v>
      </c>
      <c r="BM13" s="47">
        <v>11074</v>
      </c>
      <c r="BN13" s="130">
        <v>77348</v>
      </c>
      <c r="BO13" s="46">
        <v>43027</v>
      </c>
      <c r="BP13" s="46">
        <v>23921</v>
      </c>
      <c r="BQ13" s="46">
        <v>82</v>
      </c>
      <c r="BR13" s="130">
        <v>532</v>
      </c>
      <c r="BS13" s="44">
        <v>2822</v>
      </c>
      <c r="BT13" s="92">
        <v>-6331</v>
      </c>
      <c r="BU13" s="117">
        <v>-2260</v>
      </c>
      <c r="BV13" s="130">
        <v>5796</v>
      </c>
      <c r="BW13" s="48">
        <v>43027</v>
      </c>
      <c r="BX13" s="46">
        <v>38582</v>
      </c>
      <c r="BY13" s="130">
        <v>2261</v>
      </c>
      <c r="BZ13" s="46">
        <v>2184</v>
      </c>
      <c r="CA13" s="129">
        <v>20.5</v>
      </c>
      <c r="CB13" s="44">
        <v>24752</v>
      </c>
      <c r="CC13" s="116">
        <v>12128</v>
      </c>
      <c r="CD13" s="47">
        <v>11873</v>
      </c>
      <c r="CE13" s="130">
        <v>77842</v>
      </c>
      <c r="CF13" s="46">
        <v>45291</v>
      </c>
      <c r="CG13" s="46">
        <v>24045</v>
      </c>
      <c r="CH13" s="46">
        <v>114</v>
      </c>
      <c r="CI13" s="130">
        <v>3195</v>
      </c>
      <c r="CJ13" s="44">
        <v>3302</v>
      </c>
      <c r="CK13" s="117">
        <v>-6161</v>
      </c>
      <c r="CL13" s="117">
        <v>-79</v>
      </c>
      <c r="CM13" s="117">
        <v>5717</v>
      </c>
      <c r="CN13" s="48">
        <v>45291</v>
      </c>
      <c r="CO13" s="46">
        <v>40489</v>
      </c>
      <c r="CP13" s="130">
        <v>2540</v>
      </c>
      <c r="CQ13" s="46">
        <v>2262</v>
      </c>
      <c r="CR13" s="129">
        <v>20.5</v>
      </c>
      <c r="CS13" s="44">
        <v>26631</v>
      </c>
      <c r="CT13">
        <v>12004</v>
      </c>
      <c r="CU13">
        <v>43653</v>
      </c>
      <c r="CV13">
        <v>24386</v>
      </c>
      <c r="CW13">
        <v>11379</v>
      </c>
      <c r="CX13">
        <v>45</v>
      </c>
      <c r="CY13">
        <v>38341</v>
      </c>
      <c r="CZ13">
        <v>2183</v>
      </c>
      <c r="DA13">
        <v>3129</v>
      </c>
      <c r="DB13">
        <v>3655</v>
      </c>
      <c r="DC13">
        <v>-4977</v>
      </c>
      <c r="DD13">
        <v>3174</v>
      </c>
      <c r="DE13">
        <v>28923</v>
      </c>
      <c r="DF13">
        <v>75558</v>
      </c>
      <c r="DG13">
        <v>507</v>
      </c>
      <c r="DH13">
        <v>6223</v>
      </c>
      <c r="DI13">
        <v>20.5</v>
      </c>
      <c r="DJ13" s="174">
        <v>11910</v>
      </c>
      <c r="DK13" s="34">
        <v>44397</v>
      </c>
      <c r="DL13" s="34">
        <v>23837</v>
      </c>
      <c r="DM13">
        <v>11832</v>
      </c>
      <c r="DN13" s="173">
        <v>-14</v>
      </c>
      <c r="DO13" s="34">
        <v>39017</v>
      </c>
      <c r="DP13" s="173">
        <v>2303</v>
      </c>
      <c r="DQ13" s="34">
        <v>3077</v>
      </c>
      <c r="DR13" s="173">
        <v>5125</v>
      </c>
      <c r="DS13" s="173">
        <v>-4581</v>
      </c>
      <c r="DT13">
        <v>3535</v>
      </c>
      <c r="DU13">
        <v>28641</v>
      </c>
      <c r="DV13" s="173">
        <v>74927</v>
      </c>
      <c r="DW13" s="173">
        <v>1614</v>
      </c>
      <c r="DX13" s="173">
        <v>7837</v>
      </c>
      <c r="DY13" s="57">
        <v>20.5</v>
      </c>
      <c r="DZ13" s="184">
        <v>240</v>
      </c>
      <c r="EA13" s="116">
        <v>11748</v>
      </c>
      <c r="EB13" s="48">
        <v>43565</v>
      </c>
      <c r="EC13" s="46">
        <v>22881</v>
      </c>
      <c r="ED13" s="90">
        <v>10999</v>
      </c>
      <c r="EE13" s="186">
        <v>-30</v>
      </c>
      <c r="EF13" s="46">
        <v>38473</v>
      </c>
      <c r="EG13" s="130">
        <v>1964</v>
      </c>
      <c r="EH13" s="46">
        <v>3128</v>
      </c>
      <c r="EI13" s="130">
        <v>-414</v>
      </c>
      <c r="EJ13" s="48">
        <v>-3572</v>
      </c>
      <c r="EK13" s="44">
        <v>3515</v>
      </c>
      <c r="EL13" s="44">
        <v>31082</v>
      </c>
      <c r="EM13" s="130">
        <v>77829</v>
      </c>
      <c r="EN13" s="117">
        <v>-3906</v>
      </c>
      <c r="EO13" s="117">
        <v>3931</v>
      </c>
      <c r="EP13" s="129">
        <v>20.5</v>
      </c>
    </row>
    <row r="14" spans="1:146" ht="15" x14ac:dyDescent="0.25">
      <c r="A14" s="27">
        <v>51</v>
      </c>
      <c r="B14" s="27" t="s">
        <v>143</v>
      </c>
      <c r="C14" s="27">
        <v>4</v>
      </c>
      <c r="D14" s="27" t="s">
        <v>120</v>
      </c>
      <c r="E14" s="27">
        <v>3</v>
      </c>
      <c r="F14" s="27" t="s">
        <v>743</v>
      </c>
      <c r="G14" s="29" t="s">
        <v>130</v>
      </c>
      <c r="H14" s="27" t="s">
        <v>98</v>
      </c>
      <c r="I14" s="31" t="s">
        <v>120</v>
      </c>
      <c r="J14" s="118">
        <v>-19.846175322458308</v>
      </c>
      <c r="K14" s="118">
        <v>-639.11412055374194</v>
      </c>
      <c r="L14" s="118">
        <v>-3056.9837513644243</v>
      </c>
      <c r="M14" s="118">
        <v>-3748.4043170476962</v>
      </c>
      <c r="N14" s="22">
        <v>-94</v>
      </c>
      <c r="O14" s="119">
        <v>623</v>
      </c>
      <c r="P14" s="119">
        <v>2384</v>
      </c>
      <c r="Q14" s="120">
        <v>1605</v>
      </c>
      <c r="R14" s="22">
        <v>2736</v>
      </c>
      <c r="S14" s="22">
        <v>4471</v>
      </c>
      <c r="T14" s="121">
        <v>11247</v>
      </c>
      <c r="U14" s="121">
        <v>26489</v>
      </c>
      <c r="V14" s="121">
        <v>40844</v>
      </c>
      <c r="W14" s="106">
        <v>43234</v>
      </c>
      <c r="X14" s="121">
        <v>46993</v>
      </c>
      <c r="Y14" s="121">
        <v>56067</v>
      </c>
      <c r="Z14" s="121">
        <v>65202</v>
      </c>
      <c r="AA14" s="121">
        <v>67785</v>
      </c>
      <c r="AB14" s="122">
        <v>16</v>
      </c>
      <c r="AC14" s="123">
        <v>16</v>
      </c>
      <c r="AD14" s="124">
        <v>16.75</v>
      </c>
      <c r="AE14" s="125">
        <v>16.75</v>
      </c>
      <c r="AF14" s="126">
        <v>18</v>
      </c>
      <c r="AG14" s="123">
        <v>18</v>
      </c>
      <c r="AH14" s="123">
        <v>18</v>
      </c>
      <c r="AI14" s="127">
        <v>18</v>
      </c>
      <c r="AJ14" s="127">
        <v>18</v>
      </c>
      <c r="AK14" s="22">
        <v>18</v>
      </c>
      <c r="AL14" s="128">
        <v>18</v>
      </c>
      <c r="AM14" s="128">
        <v>18</v>
      </c>
      <c r="AN14" s="128">
        <v>18</v>
      </c>
      <c r="AO14" s="77">
        <v>18</v>
      </c>
      <c r="AP14" s="77">
        <v>18</v>
      </c>
      <c r="AQ14" s="129">
        <v>18</v>
      </c>
      <c r="AR14" s="129">
        <v>18</v>
      </c>
      <c r="AS14" s="129">
        <v>18</v>
      </c>
      <c r="AT14" s="116">
        <v>9286</v>
      </c>
      <c r="AU14" s="47">
        <v>7509</v>
      </c>
      <c r="AV14" s="47">
        <v>58557</v>
      </c>
      <c r="AW14" s="46">
        <v>48519</v>
      </c>
      <c r="AX14" s="46">
        <v>13678</v>
      </c>
      <c r="AY14" s="92">
        <v>836</v>
      </c>
      <c r="AZ14" s="47">
        <v>11916</v>
      </c>
      <c r="BA14" s="44">
        <v>2851</v>
      </c>
      <c r="BB14" s="23">
        <v>-8696</v>
      </c>
      <c r="BC14" s="47">
        <v>9065</v>
      </c>
      <c r="BD14" s="44">
        <v>9073</v>
      </c>
      <c r="BE14" s="47">
        <v>56067</v>
      </c>
      <c r="BF14" s="44">
        <v>48519</v>
      </c>
      <c r="BG14" s="46">
        <v>29152</v>
      </c>
      <c r="BH14" s="130">
        <v>4495</v>
      </c>
      <c r="BI14" s="46">
        <v>14872</v>
      </c>
      <c r="BJ14" s="129">
        <v>37.75</v>
      </c>
      <c r="BK14" s="44">
        <v>10260</v>
      </c>
      <c r="BL14" s="116">
        <v>9294</v>
      </c>
      <c r="BM14" s="47">
        <v>7114</v>
      </c>
      <c r="BN14" s="130">
        <v>61107</v>
      </c>
      <c r="BO14" s="46">
        <v>49641</v>
      </c>
      <c r="BP14" s="46">
        <v>15187</v>
      </c>
      <c r="BQ14" s="46">
        <v>1706</v>
      </c>
      <c r="BR14" s="130">
        <v>12320</v>
      </c>
      <c r="BS14" s="44">
        <v>3359</v>
      </c>
      <c r="BT14" s="92">
        <v>-10357</v>
      </c>
      <c r="BU14" s="117">
        <v>9106</v>
      </c>
      <c r="BV14" s="130">
        <v>65202</v>
      </c>
      <c r="BW14" s="48">
        <v>49641</v>
      </c>
      <c r="BX14" s="46">
        <v>28780</v>
      </c>
      <c r="BY14" s="130">
        <v>4654</v>
      </c>
      <c r="BZ14" s="46">
        <v>16207</v>
      </c>
      <c r="CA14" s="129">
        <v>38.5</v>
      </c>
      <c r="CB14" s="44">
        <v>10773</v>
      </c>
      <c r="CC14" s="116">
        <v>9287</v>
      </c>
      <c r="CD14" s="47">
        <v>7669</v>
      </c>
      <c r="CE14" s="130">
        <v>61871</v>
      </c>
      <c r="CF14" s="46">
        <v>46651</v>
      </c>
      <c r="CG14" s="46">
        <v>13004</v>
      </c>
      <c r="CH14" s="46">
        <v>1305</v>
      </c>
      <c r="CI14" s="130">
        <v>6661</v>
      </c>
      <c r="CJ14" s="44">
        <v>4084</v>
      </c>
      <c r="CK14" s="117">
        <v>-11080</v>
      </c>
      <c r="CL14" s="117">
        <v>2583</v>
      </c>
      <c r="CM14" s="117">
        <v>67785</v>
      </c>
      <c r="CN14" s="48">
        <v>46651</v>
      </c>
      <c r="CO14" s="46">
        <v>27146</v>
      </c>
      <c r="CP14" s="130">
        <v>2588</v>
      </c>
      <c r="CQ14" s="46">
        <v>16917</v>
      </c>
      <c r="CR14" s="129">
        <v>18</v>
      </c>
      <c r="CS14" s="44">
        <v>14837</v>
      </c>
      <c r="CT14">
        <v>9418</v>
      </c>
      <c r="CU14">
        <v>50042</v>
      </c>
      <c r="CV14">
        <v>13617</v>
      </c>
      <c r="CW14">
        <v>7677</v>
      </c>
      <c r="CX14">
        <v>868</v>
      </c>
      <c r="CY14">
        <v>29213</v>
      </c>
      <c r="CZ14">
        <v>1785</v>
      </c>
      <c r="DA14">
        <v>19044</v>
      </c>
      <c r="DB14">
        <v>7857</v>
      </c>
      <c r="DC14">
        <v>-11544</v>
      </c>
      <c r="DD14">
        <v>4609</v>
      </c>
      <c r="DE14">
        <v>17275</v>
      </c>
      <c r="DF14">
        <v>64253</v>
      </c>
      <c r="DG14">
        <v>3254</v>
      </c>
      <c r="DH14">
        <v>71039</v>
      </c>
      <c r="DI14">
        <v>18</v>
      </c>
      <c r="DJ14" s="174">
        <v>9521</v>
      </c>
      <c r="DK14" s="34">
        <v>51919</v>
      </c>
      <c r="DL14" s="34">
        <v>13351</v>
      </c>
      <c r="DM14">
        <v>8230</v>
      </c>
      <c r="DN14" s="173">
        <v>804</v>
      </c>
      <c r="DO14" s="34">
        <v>30562</v>
      </c>
      <c r="DP14" s="173">
        <v>2028</v>
      </c>
      <c r="DQ14" s="34">
        <v>19330</v>
      </c>
      <c r="DR14" s="173">
        <v>9583</v>
      </c>
      <c r="DS14" s="173">
        <v>-6026</v>
      </c>
      <c r="DT14">
        <v>4906</v>
      </c>
      <c r="DU14">
        <v>15454</v>
      </c>
      <c r="DV14" s="173">
        <v>64721</v>
      </c>
      <c r="DW14" s="173">
        <v>4682</v>
      </c>
      <c r="DX14" s="173">
        <v>75721</v>
      </c>
      <c r="DY14" s="57">
        <v>18</v>
      </c>
      <c r="DZ14" s="184">
        <v>320</v>
      </c>
      <c r="EA14" s="116">
        <v>9454</v>
      </c>
      <c r="EB14" s="48">
        <v>50340</v>
      </c>
      <c r="EC14" s="46">
        <v>11737</v>
      </c>
      <c r="ED14" s="90">
        <v>8094</v>
      </c>
      <c r="EE14" s="186">
        <v>-775</v>
      </c>
      <c r="EF14" s="46">
        <v>28914</v>
      </c>
      <c r="EG14" s="130">
        <v>2214</v>
      </c>
      <c r="EH14" s="46">
        <v>19212</v>
      </c>
      <c r="EI14" s="130">
        <v>5052</v>
      </c>
      <c r="EJ14" s="48">
        <v>-2568</v>
      </c>
      <c r="EK14" s="44">
        <v>5212</v>
      </c>
      <c r="EL14" s="44">
        <v>13642</v>
      </c>
      <c r="EM14" s="130">
        <v>64344</v>
      </c>
      <c r="EN14" s="117">
        <v>-157</v>
      </c>
      <c r="EO14" s="117">
        <v>75565</v>
      </c>
      <c r="EP14" s="129">
        <v>18</v>
      </c>
    </row>
    <row r="15" spans="1:146" ht="15" x14ac:dyDescent="0.25">
      <c r="A15" s="27">
        <v>52</v>
      </c>
      <c r="B15" s="27" t="s">
        <v>144</v>
      </c>
      <c r="C15" s="27">
        <v>14</v>
      </c>
      <c r="D15" s="27" t="s">
        <v>106</v>
      </c>
      <c r="E15" s="27">
        <v>2</v>
      </c>
      <c r="F15" s="27" t="s">
        <v>744</v>
      </c>
      <c r="G15" s="29" t="s">
        <v>130</v>
      </c>
      <c r="H15" s="27" t="s">
        <v>98</v>
      </c>
      <c r="I15" s="31" t="s">
        <v>106</v>
      </c>
      <c r="J15" s="118">
        <v>379.09558624424585</v>
      </c>
      <c r="K15" s="118">
        <v>-218.64430439996434</v>
      </c>
      <c r="L15" s="118">
        <v>-742.04513154818665</v>
      </c>
      <c r="M15" s="118">
        <v>-485.89491954730539</v>
      </c>
      <c r="N15" s="22">
        <v>522</v>
      </c>
      <c r="O15" s="119">
        <v>-464</v>
      </c>
      <c r="P15" s="119">
        <v>407</v>
      </c>
      <c r="Q15" s="120">
        <v>-311</v>
      </c>
      <c r="R15" s="22">
        <v>-723</v>
      </c>
      <c r="S15" s="22">
        <v>-2090</v>
      </c>
      <c r="T15" s="121">
        <v>-2728</v>
      </c>
      <c r="U15" s="121">
        <v>-2309</v>
      </c>
      <c r="V15" s="121">
        <v>-1647</v>
      </c>
      <c r="W15" s="106">
        <v>-727</v>
      </c>
      <c r="X15" s="121">
        <v>-1095</v>
      </c>
      <c r="Y15" s="121">
        <v>-1574</v>
      </c>
      <c r="Z15" s="121">
        <v>4782</v>
      </c>
      <c r="AA15" s="121">
        <v>4866</v>
      </c>
      <c r="AB15" s="122">
        <v>18.5</v>
      </c>
      <c r="AC15" s="123">
        <v>18.5</v>
      </c>
      <c r="AD15" s="124">
        <v>18.5</v>
      </c>
      <c r="AE15" s="125">
        <v>19</v>
      </c>
      <c r="AF15" s="126">
        <v>19</v>
      </c>
      <c r="AG15" s="123">
        <v>19</v>
      </c>
      <c r="AH15" s="123">
        <v>19</v>
      </c>
      <c r="AI15" s="131">
        <v>19.5</v>
      </c>
      <c r="AJ15" s="131">
        <v>19.5</v>
      </c>
      <c r="AK15" s="22">
        <v>20</v>
      </c>
      <c r="AL15" s="128">
        <v>20</v>
      </c>
      <c r="AM15" s="128">
        <v>20</v>
      </c>
      <c r="AN15" s="128">
        <v>21</v>
      </c>
      <c r="AO15" s="77">
        <v>21</v>
      </c>
      <c r="AP15" s="77">
        <v>21</v>
      </c>
      <c r="AQ15" s="129">
        <v>21</v>
      </c>
      <c r="AR15" s="129">
        <v>21.5</v>
      </c>
      <c r="AS15" s="129">
        <v>21.5</v>
      </c>
      <c r="AT15" s="116">
        <v>2685</v>
      </c>
      <c r="AU15" s="47">
        <v>2087</v>
      </c>
      <c r="AV15" s="47">
        <v>17957</v>
      </c>
      <c r="AW15" s="46">
        <v>7789</v>
      </c>
      <c r="AX15" s="46">
        <v>7996</v>
      </c>
      <c r="AY15" s="92">
        <v>0</v>
      </c>
      <c r="AZ15" s="47">
        <v>-126</v>
      </c>
      <c r="BA15" s="44">
        <v>353</v>
      </c>
      <c r="BB15" s="23">
        <v>-146</v>
      </c>
      <c r="BC15" s="47">
        <v>-479</v>
      </c>
      <c r="BD15" s="44">
        <v>-479</v>
      </c>
      <c r="BE15" s="47">
        <v>-1574</v>
      </c>
      <c r="BF15" s="44">
        <v>7789</v>
      </c>
      <c r="BG15" s="46">
        <v>6628</v>
      </c>
      <c r="BH15" s="130">
        <v>564</v>
      </c>
      <c r="BI15" s="46">
        <v>597</v>
      </c>
      <c r="BJ15" s="129">
        <v>21</v>
      </c>
      <c r="BK15" s="44">
        <v>3602</v>
      </c>
      <c r="BL15" s="116">
        <v>2651</v>
      </c>
      <c r="BM15" s="47">
        <v>2274</v>
      </c>
      <c r="BN15" s="130">
        <v>17996</v>
      </c>
      <c r="BO15" s="46">
        <v>8849</v>
      </c>
      <c r="BP15" s="46">
        <v>8402</v>
      </c>
      <c r="BQ15" s="46">
        <v>5004</v>
      </c>
      <c r="BR15" s="130">
        <v>1522</v>
      </c>
      <c r="BS15" s="44">
        <v>364</v>
      </c>
      <c r="BT15" s="92">
        <v>4215</v>
      </c>
      <c r="BU15" s="117">
        <v>6140</v>
      </c>
      <c r="BV15" s="130">
        <v>4782</v>
      </c>
      <c r="BW15" s="48">
        <v>8849</v>
      </c>
      <c r="BX15" s="46">
        <v>7351</v>
      </c>
      <c r="BY15" s="130">
        <v>782</v>
      </c>
      <c r="BZ15" s="46">
        <v>716</v>
      </c>
      <c r="CA15" s="129">
        <v>21.5</v>
      </c>
      <c r="CB15" s="44">
        <v>4409</v>
      </c>
      <c r="CC15" s="116">
        <v>2576</v>
      </c>
      <c r="CD15" s="47">
        <v>1851</v>
      </c>
      <c r="CE15" s="130">
        <v>18133</v>
      </c>
      <c r="CF15" s="46">
        <v>8877</v>
      </c>
      <c r="CG15" s="46">
        <v>7848</v>
      </c>
      <c r="CH15" s="46">
        <v>49</v>
      </c>
      <c r="CI15" s="130">
        <v>492</v>
      </c>
      <c r="CJ15" s="44">
        <v>409</v>
      </c>
      <c r="CK15" s="117">
        <v>-555</v>
      </c>
      <c r="CL15" s="117">
        <v>83</v>
      </c>
      <c r="CM15" s="117">
        <v>4866</v>
      </c>
      <c r="CN15" s="48">
        <v>8877</v>
      </c>
      <c r="CO15" s="46">
        <v>7048</v>
      </c>
      <c r="CP15" s="130">
        <v>1099</v>
      </c>
      <c r="CQ15" s="46">
        <v>730</v>
      </c>
      <c r="CR15" s="129">
        <v>21.5</v>
      </c>
      <c r="CS15" s="44">
        <v>3675</v>
      </c>
      <c r="CT15">
        <v>2535</v>
      </c>
      <c r="CU15">
        <v>8615</v>
      </c>
      <c r="CV15">
        <v>8085</v>
      </c>
      <c r="CW15">
        <v>1780</v>
      </c>
      <c r="CX15">
        <v>197</v>
      </c>
      <c r="CY15">
        <v>6961</v>
      </c>
      <c r="CZ15">
        <v>933</v>
      </c>
      <c r="DA15">
        <v>721</v>
      </c>
      <c r="DB15">
        <v>502</v>
      </c>
      <c r="DC15">
        <v>-835</v>
      </c>
      <c r="DD15">
        <v>444</v>
      </c>
      <c r="DE15">
        <v>4000</v>
      </c>
      <c r="DF15">
        <v>18175</v>
      </c>
      <c r="DG15">
        <v>58</v>
      </c>
      <c r="DH15">
        <v>4924</v>
      </c>
      <c r="DI15">
        <v>21.5</v>
      </c>
      <c r="DJ15" s="174">
        <v>2499</v>
      </c>
      <c r="DK15" s="34">
        <v>8224</v>
      </c>
      <c r="DL15" s="34">
        <v>8110</v>
      </c>
      <c r="DM15">
        <v>1678</v>
      </c>
      <c r="DN15" s="173">
        <v>502</v>
      </c>
      <c r="DO15" s="34">
        <v>6674</v>
      </c>
      <c r="DP15" s="173">
        <v>827</v>
      </c>
      <c r="DQ15" s="34">
        <v>723</v>
      </c>
      <c r="DR15" s="173">
        <v>717</v>
      </c>
      <c r="DS15" s="173">
        <v>-351</v>
      </c>
      <c r="DT15">
        <v>494</v>
      </c>
      <c r="DU15">
        <v>4950</v>
      </c>
      <c r="DV15" s="173">
        <v>17797</v>
      </c>
      <c r="DW15" s="173">
        <v>223</v>
      </c>
      <c r="DX15" s="173">
        <v>5147</v>
      </c>
      <c r="DY15" s="57">
        <v>21.5</v>
      </c>
      <c r="DZ15" s="184">
        <v>340</v>
      </c>
      <c r="EA15" s="116">
        <v>2473</v>
      </c>
      <c r="EB15" s="48">
        <v>7975</v>
      </c>
      <c r="EC15" s="46">
        <v>8389</v>
      </c>
      <c r="ED15" s="90">
        <v>1829</v>
      </c>
      <c r="EE15" s="186">
        <v>-242</v>
      </c>
      <c r="EF15" s="46">
        <v>6586</v>
      </c>
      <c r="EG15" s="130">
        <v>639</v>
      </c>
      <c r="EH15" s="46">
        <v>750</v>
      </c>
      <c r="EI15" s="130">
        <v>-456</v>
      </c>
      <c r="EJ15" s="48">
        <v>-787</v>
      </c>
      <c r="EK15" s="44">
        <v>514</v>
      </c>
      <c r="EL15" s="44">
        <v>5500</v>
      </c>
      <c r="EM15" s="130">
        <v>18407</v>
      </c>
      <c r="EN15" s="117">
        <v>-970</v>
      </c>
      <c r="EO15" s="117">
        <v>4177</v>
      </c>
      <c r="EP15" s="129">
        <v>21.5</v>
      </c>
    </row>
    <row r="16" spans="1:146" ht="15" x14ac:dyDescent="0.25">
      <c r="A16" s="27">
        <v>61</v>
      </c>
      <c r="B16" s="27" t="s">
        <v>145</v>
      </c>
      <c r="C16" s="27">
        <v>5</v>
      </c>
      <c r="D16" s="27" t="s">
        <v>109</v>
      </c>
      <c r="E16" s="27">
        <v>4</v>
      </c>
      <c r="F16" s="27" t="s">
        <v>100</v>
      </c>
      <c r="G16" s="29" t="s">
        <v>141</v>
      </c>
      <c r="H16" s="27" t="s">
        <v>97</v>
      </c>
      <c r="I16" s="31" t="s">
        <v>109</v>
      </c>
      <c r="J16" s="118">
        <v>1529.6691911674427</v>
      </c>
      <c r="K16" s="118">
        <v>25834.674632046863</v>
      </c>
      <c r="L16" s="118">
        <v>6932.2017649641002</v>
      </c>
      <c r="M16" s="118">
        <v>7355.026212088339</v>
      </c>
      <c r="N16" s="22">
        <v>10144</v>
      </c>
      <c r="O16" s="119">
        <v>10705</v>
      </c>
      <c r="P16" s="119">
        <v>10551</v>
      </c>
      <c r="Q16" s="120">
        <v>8753</v>
      </c>
      <c r="R16" s="22">
        <v>5725</v>
      </c>
      <c r="S16" s="22">
        <v>4651</v>
      </c>
      <c r="T16" s="121">
        <v>6460</v>
      </c>
      <c r="U16" s="121">
        <v>7253</v>
      </c>
      <c r="V16" s="121">
        <v>8052</v>
      </c>
      <c r="W16" s="106">
        <v>8664</v>
      </c>
      <c r="X16" s="121">
        <v>7383</v>
      </c>
      <c r="Y16" s="121">
        <v>8230</v>
      </c>
      <c r="Z16" s="121">
        <v>8541</v>
      </c>
      <c r="AA16" s="121">
        <v>8558</v>
      </c>
      <c r="AB16" s="122">
        <v>19</v>
      </c>
      <c r="AC16" s="123">
        <v>19</v>
      </c>
      <c r="AD16" s="124">
        <v>18.75</v>
      </c>
      <c r="AE16" s="125">
        <v>18.75</v>
      </c>
      <c r="AF16" s="126">
        <v>18.75</v>
      </c>
      <c r="AG16" s="123">
        <v>18.75</v>
      </c>
      <c r="AH16" s="123">
        <v>18.75</v>
      </c>
      <c r="AI16" s="127">
        <v>18.75</v>
      </c>
      <c r="AJ16" s="127">
        <v>18.75</v>
      </c>
      <c r="AK16" s="22">
        <v>18.75</v>
      </c>
      <c r="AL16" s="128">
        <v>19.5</v>
      </c>
      <c r="AM16" s="128">
        <v>19.5</v>
      </c>
      <c r="AN16" s="128">
        <v>19.5</v>
      </c>
      <c r="AO16" s="77">
        <v>19.5</v>
      </c>
      <c r="AP16" s="77">
        <v>19.5</v>
      </c>
      <c r="AQ16" s="129">
        <v>20</v>
      </c>
      <c r="AR16" s="129">
        <v>20</v>
      </c>
      <c r="AS16" s="129">
        <v>20</v>
      </c>
      <c r="AT16" s="116">
        <v>17667</v>
      </c>
      <c r="AU16" s="47">
        <v>22453</v>
      </c>
      <c r="AV16" s="47">
        <v>110806</v>
      </c>
      <c r="AW16" s="46">
        <v>58134</v>
      </c>
      <c r="AX16" s="46">
        <v>39195</v>
      </c>
      <c r="AY16" s="92">
        <v>46</v>
      </c>
      <c r="AZ16" s="47">
        <v>8515</v>
      </c>
      <c r="BA16" s="44">
        <v>5327</v>
      </c>
      <c r="BB16" s="23">
        <v>-6208</v>
      </c>
      <c r="BC16" s="47">
        <v>681</v>
      </c>
      <c r="BD16" s="44">
        <v>847</v>
      </c>
      <c r="BE16" s="47">
        <v>8230</v>
      </c>
      <c r="BF16" s="44">
        <v>58134</v>
      </c>
      <c r="BG16" s="46">
        <v>51857</v>
      </c>
      <c r="BH16" s="130">
        <v>2927</v>
      </c>
      <c r="BI16" s="46">
        <v>3350</v>
      </c>
      <c r="BJ16" s="129">
        <v>20</v>
      </c>
      <c r="BK16" s="44">
        <v>34490</v>
      </c>
      <c r="BL16" s="116">
        <v>17521</v>
      </c>
      <c r="BM16" s="47">
        <v>16878</v>
      </c>
      <c r="BN16" s="130">
        <v>110239</v>
      </c>
      <c r="BO16" s="46">
        <v>58861</v>
      </c>
      <c r="BP16" s="46">
        <v>39792</v>
      </c>
      <c r="BQ16" s="46">
        <v>5138</v>
      </c>
      <c r="BR16" s="130">
        <v>4953</v>
      </c>
      <c r="BS16" s="44">
        <v>6253</v>
      </c>
      <c r="BT16" s="92">
        <v>-8964</v>
      </c>
      <c r="BU16" s="117">
        <v>311</v>
      </c>
      <c r="BV16" s="130">
        <v>8541</v>
      </c>
      <c r="BW16" s="48">
        <v>58861</v>
      </c>
      <c r="BX16" s="46">
        <v>51232</v>
      </c>
      <c r="BY16" s="130">
        <v>3242</v>
      </c>
      <c r="BZ16" s="46">
        <v>4387</v>
      </c>
      <c r="CA16" s="129">
        <v>20</v>
      </c>
      <c r="CB16" s="44">
        <v>36816</v>
      </c>
      <c r="CC16" s="116">
        <v>17422</v>
      </c>
      <c r="CD16" s="47">
        <v>17993</v>
      </c>
      <c r="CE16" s="130">
        <v>110529</v>
      </c>
      <c r="CF16" s="46">
        <v>59678</v>
      </c>
      <c r="CG16" s="46">
        <v>39859</v>
      </c>
      <c r="CH16" s="46">
        <v>174</v>
      </c>
      <c r="CI16" s="130">
        <v>6644</v>
      </c>
      <c r="CJ16" s="44">
        <v>5985</v>
      </c>
      <c r="CK16" s="117">
        <v>-8022</v>
      </c>
      <c r="CL16" s="117">
        <v>772</v>
      </c>
      <c r="CM16" s="117">
        <v>8558</v>
      </c>
      <c r="CN16" s="48">
        <v>59678</v>
      </c>
      <c r="CO16" s="46">
        <v>51849</v>
      </c>
      <c r="CP16" s="130">
        <v>3453</v>
      </c>
      <c r="CQ16" s="46">
        <v>4376</v>
      </c>
      <c r="CR16" s="129">
        <v>20</v>
      </c>
      <c r="CS16" s="44">
        <v>44486</v>
      </c>
      <c r="CT16">
        <v>17332</v>
      </c>
      <c r="CU16">
        <v>60408</v>
      </c>
      <c r="CV16">
        <v>41928</v>
      </c>
      <c r="CW16">
        <v>18421</v>
      </c>
      <c r="CX16">
        <v>179</v>
      </c>
      <c r="CY16">
        <v>51886</v>
      </c>
      <c r="CZ16">
        <v>3143</v>
      </c>
      <c r="DA16">
        <v>5379</v>
      </c>
      <c r="DB16">
        <v>9104</v>
      </c>
      <c r="DC16">
        <v>-7607</v>
      </c>
      <c r="DD16">
        <v>6024</v>
      </c>
      <c r="DE16">
        <v>44959</v>
      </c>
      <c r="DF16">
        <v>111586</v>
      </c>
      <c r="DG16">
        <v>191</v>
      </c>
      <c r="DH16">
        <v>8750</v>
      </c>
      <c r="DI16">
        <v>20</v>
      </c>
      <c r="DJ16" s="174">
        <v>17185</v>
      </c>
      <c r="DK16" s="34">
        <v>61074</v>
      </c>
      <c r="DL16" s="34">
        <v>40152</v>
      </c>
      <c r="DM16">
        <v>18153</v>
      </c>
      <c r="DN16" s="173">
        <v>-343</v>
      </c>
      <c r="DO16" s="34">
        <v>51892</v>
      </c>
      <c r="DP16" s="173">
        <v>3856</v>
      </c>
      <c r="DQ16" s="34">
        <v>5326</v>
      </c>
      <c r="DR16" s="173">
        <v>7231</v>
      </c>
      <c r="DS16" s="173">
        <v>-4185</v>
      </c>
      <c r="DT16">
        <v>7029</v>
      </c>
      <c r="DU16">
        <v>43225</v>
      </c>
      <c r="DV16" s="173">
        <v>111805</v>
      </c>
      <c r="DW16" s="173">
        <v>311</v>
      </c>
      <c r="DX16" s="173">
        <v>9062</v>
      </c>
      <c r="DY16" s="57">
        <v>20.5</v>
      </c>
      <c r="DZ16" s="184">
        <v>130</v>
      </c>
      <c r="EA16" s="116">
        <v>17028</v>
      </c>
      <c r="EB16" s="48">
        <v>60239</v>
      </c>
      <c r="EC16" s="46">
        <v>39953</v>
      </c>
      <c r="ED16" s="90">
        <v>18368</v>
      </c>
      <c r="EE16" s="186">
        <v>-317</v>
      </c>
      <c r="EF16" s="46">
        <v>51271</v>
      </c>
      <c r="EG16" s="130">
        <v>3659</v>
      </c>
      <c r="EH16" s="46">
        <v>5309</v>
      </c>
      <c r="EI16" s="130">
        <v>5553</v>
      </c>
      <c r="EJ16" s="48">
        <v>-4866</v>
      </c>
      <c r="EK16" s="44">
        <v>8099</v>
      </c>
      <c r="EL16" s="44">
        <v>44942</v>
      </c>
      <c r="EM16" s="130">
        <v>112690</v>
      </c>
      <c r="EN16" s="117">
        <v>-453</v>
      </c>
      <c r="EO16" s="117">
        <v>8609</v>
      </c>
      <c r="EP16" s="129">
        <v>20.5</v>
      </c>
    </row>
    <row r="17" spans="1:146" ht="15" x14ac:dyDescent="0.25">
      <c r="A17" s="27">
        <v>69</v>
      </c>
      <c r="B17" s="27" t="s">
        <v>146</v>
      </c>
      <c r="C17" s="27">
        <v>17</v>
      </c>
      <c r="D17" s="27" t="s">
        <v>117</v>
      </c>
      <c r="E17" s="27">
        <v>3</v>
      </c>
      <c r="F17" s="27" t="s">
        <v>743</v>
      </c>
      <c r="G17" s="29" t="s">
        <v>132</v>
      </c>
      <c r="H17" s="27" t="s">
        <v>99</v>
      </c>
      <c r="I17" s="31" t="s">
        <v>117</v>
      </c>
      <c r="J17" s="118">
        <v>-1393.1005948806958</v>
      </c>
      <c r="K17" s="118">
        <v>1776.569067212941</v>
      </c>
      <c r="L17" s="118">
        <v>-2368.4223804309981</v>
      </c>
      <c r="M17" s="118">
        <v>-140.26873066889993</v>
      </c>
      <c r="N17" s="22">
        <v>663</v>
      </c>
      <c r="O17" s="119">
        <v>649</v>
      </c>
      <c r="P17" s="119">
        <v>-708</v>
      </c>
      <c r="Q17" s="120">
        <v>32</v>
      </c>
      <c r="R17" s="22">
        <v>32</v>
      </c>
      <c r="S17" s="22">
        <v>-2194</v>
      </c>
      <c r="T17" s="121">
        <v>-4055</v>
      </c>
      <c r="U17" s="121">
        <v>-3204</v>
      </c>
      <c r="V17" s="121">
        <v>-1238</v>
      </c>
      <c r="W17" s="106">
        <v>1426</v>
      </c>
      <c r="X17" s="121">
        <v>1534</v>
      </c>
      <c r="Y17" s="121">
        <v>-1411</v>
      </c>
      <c r="Z17" s="121">
        <v>-1675</v>
      </c>
      <c r="AA17" s="121">
        <v>-2</v>
      </c>
      <c r="AB17" s="122">
        <v>18.5</v>
      </c>
      <c r="AC17" s="123">
        <v>18.5</v>
      </c>
      <c r="AD17" s="124">
        <v>18.5</v>
      </c>
      <c r="AE17" s="125">
        <v>18.5</v>
      </c>
      <c r="AF17" s="126">
        <v>18.5</v>
      </c>
      <c r="AG17" s="123">
        <v>18.5</v>
      </c>
      <c r="AH17" s="123">
        <v>19</v>
      </c>
      <c r="AI17" s="127">
        <v>19</v>
      </c>
      <c r="AJ17" s="127">
        <v>20</v>
      </c>
      <c r="AK17" s="22">
        <v>20</v>
      </c>
      <c r="AL17" s="128">
        <v>20</v>
      </c>
      <c r="AM17" s="128">
        <v>21</v>
      </c>
      <c r="AN17" s="128">
        <v>21</v>
      </c>
      <c r="AO17" s="77">
        <v>21</v>
      </c>
      <c r="AP17" s="77">
        <v>21</v>
      </c>
      <c r="AQ17" s="129">
        <v>21</v>
      </c>
      <c r="AR17" s="129">
        <v>21</v>
      </c>
      <c r="AS17" s="129">
        <v>22</v>
      </c>
      <c r="AT17" s="116">
        <v>7616</v>
      </c>
      <c r="AU17" s="47">
        <v>5177</v>
      </c>
      <c r="AV17" s="47">
        <v>51477</v>
      </c>
      <c r="AW17" s="46">
        <v>21598</v>
      </c>
      <c r="AX17" s="46">
        <v>22896</v>
      </c>
      <c r="AY17" s="92">
        <v>730</v>
      </c>
      <c r="AZ17" s="47">
        <v>-1608</v>
      </c>
      <c r="BA17" s="44">
        <v>1422</v>
      </c>
      <c r="BB17" s="23">
        <v>-1111</v>
      </c>
      <c r="BC17" s="47">
        <v>-3030</v>
      </c>
      <c r="BD17" s="44">
        <v>-2945</v>
      </c>
      <c r="BE17" s="47">
        <v>-1411</v>
      </c>
      <c r="BF17" s="44">
        <v>21598</v>
      </c>
      <c r="BG17" s="46">
        <v>19057</v>
      </c>
      <c r="BH17" s="130">
        <v>1110</v>
      </c>
      <c r="BI17" s="46">
        <v>1431</v>
      </c>
      <c r="BJ17" s="129">
        <v>21</v>
      </c>
      <c r="BK17" s="44">
        <v>30653</v>
      </c>
      <c r="BL17" s="116">
        <v>7479</v>
      </c>
      <c r="BM17" s="47">
        <v>4984</v>
      </c>
      <c r="BN17" s="130">
        <v>49736</v>
      </c>
      <c r="BO17" s="46">
        <v>22444</v>
      </c>
      <c r="BP17" s="46">
        <v>23015</v>
      </c>
      <c r="BQ17" s="46">
        <v>1435</v>
      </c>
      <c r="BR17" s="130">
        <v>1401</v>
      </c>
      <c r="BS17" s="44">
        <v>2006</v>
      </c>
      <c r="BT17" s="92">
        <v>-190</v>
      </c>
      <c r="BU17" s="117">
        <v>-264</v>
      </c>
      <c r="BV17" s="130">
        <v>-1675</v>
      </c>
      <c r="BW17" s="48">
        <v>22444</v>
      </c>
      <c r="BX17" s="46">
        <v>19350</v>
      </c>
      <c r="BY17" s="130">
        <v>1230</v>
      </c>
      <c r="BZ17" s="46">
        <v>1864</v>
      </c>
      <c r="CA17" s="129">
        <v>21</v>
      </c>
      <c r="CB17" s="44">
        <v>32647</v>
      </c>
      <c r="CC17" s="116">
        <v>7438</v>
      </c>
      <c r="CD17" s="47">
        <v>5134</v>
      </c>
      <c r="CE17" s="130">
        <v>49804</v>
      </c>
      <c r="CF17" s="46">
        <v>23251</v>
      </c>
      <c r="CG17" s="46">
        <v>23465</v>
      </c>
      <c r="CH17" s="46">
        <v>1596</v>
      </c>
      <c r="CI17" s="130">
        <v>3213</v>
      </c>
      <c r="CJ17" s="44">
        <v>1625</v>
      </c>
      <c r="CK17" s="117">
        <v>-1520</v>
      </c>
      <c r="CL17" s="117">
        <v>1673</v>
      </c>
      <c r="CM17" s="117">
        <v>-2</v>
      </c>
      <c r="CN17" s="48">
        <v>23251</v>
      </c>
      <c r="CO17" s="46">
        <v>20055</v>
      </c>
      <c r="CP17" s="130">
        <v>1353</v>
      </c>
      <c r="CQ17" s="46">
        <v>1843</v>
      </c>
      <c r="CR17" s="129">
        <v>22</v>
      </c>
      <c r="CS17" s="44">
        <v>29907</v>
      </c>
      <c r="CT17">
        <v>7332</v>
      </c>
      <c r="CU17">
        <v>23136</v>
      </c>
      <c r="CV17">
        <v>23805</v>
      </c>
      <c r="CW17">
        <v>5222</v>
      </c>
      <c r="CX17">
        <v>891</v>
      </c>
      <c r="CY17">
        <v>19865</v>
      </c>
      <c r="CZ17">
        <v>1382</v>
      </c>
      <c r="DA17">
        <v>1889</v>
      </c>
      <c r="DB17">
        <v>1163</v>
      </c>
      <c r="DC17">
        <v>-3643</v>
      </c>
      <c r="DD17">
        <v>1732</v>
      </c>
      <c r="DE17">
        <v>32615</v>
      </c>
      <c r="DF17">
        <v>51501</v>
      </c>
      <c r="DG17">
        <v>-743</v>
      </c>
      <c r="DH17">
        <v>-746</v>
      </c>
      <c r="DI17">
        <v>22</v>
      </c>
      <c r="DJ17" s="174">
        <v>7251</v>
      </c>
      <c r="DK17" s="34">
        <v>22750</v>
      </c>
      <c r="DL17" s="34">
        <v>23620</v>
      </c>
      <c r="DM17">
        <v>6095</v>
      </c>
      <c r="DN17" s="173">
        <v>167</v>
      </c>
      <c r="DO17" s="34">
        <v>19282</v>
      </c>
      <c r="DP17" s="173">
        <v>1575</v>
      </c>
      <c r="DQ17" s="34">
        <v>1893</v>
      </c>
      <c r="DR17" s="173">
        <v>2291</v>
      </c>
      <c r="DS17" s="173">
        <v>-4768</v>
      </c>
      <c r="DT17">
        <v>1751</v>
      </c>
      <c r="DU17">
        <v>34361</v>
      </c>
      <c r="DV17" s="173">
        <v>50266</v>
      </c>
      <c r="DW17" s="173">
        <v>600</v>
      </c>
      <c r="DX17" s="173">
        <v>-146</v>
      </c>
      <c r="DY17" s="57">
        <v>22</v>
      </c>
      <c r="DZ17" s="184">
        <v>240</v>
      </c>
      <c r="EA17" s="116">
        <v>7147</v>
      </c>
      <c r="EB17" s="48">
        <v>23161</v>
      </c>
      <c r="EC17" s="46">
        <v>23467</v>
      </c>
      <c r="ED17" s="90">
        <v>5885</v>
      </c>
      <c r="EE17" s="186">
        <v>-211</v>
      </c>
      <c r="EF17" s="46">
        <v>19358</v>
      </c>
      <c r="EG17" s="130">
        <v>1560</v>
      </c>
      <c r="EH17" s="46">
        <v>2243</v>
      </c>
      <c r="EI17" s="130">
        <v>33</v>
      </c>
      <c r="EJ17" s="48">
        <v>-1299</v>
      </c>
      <c r="EK17" s="44">
        <v>2056</v>
      </c>
      <c r="EL17" s="44">
        <v>34091</v>
      </c>
      <c r="EM17" s="130">
        <v>52269</v>
      </c>
      <c r="EN17" s="117">
        <v>-1938</v>
      </c>
      <c r="EO17" s="117">
        <v>-2084</v>
      </c>
      <c r="EP17" s="129">
        <v>22</v>
      </c>
    </row>
    <row r="18" spans="1:146" ht="15" x14ac:dyDescent="0.25">
      <c r="A18" s="27">
        <v>71</v>
      </c>
      <c r="B18" s="27" t="s">
        <v>147</v>
      </c>
      <c r="C18" s="27">
        <v>17</v>
      </c>
      <c r="D18" s="27" t="s">
        <v>117</v>
      </c>
      <c r="E18" s="27">
        <v>3</v>
      </c>
      <c r="F18" s="27" t="s">
        <v>743</v>
      </c>
      <c r="G18" s="29" t="s">
        <v>132</v>
      </c>
      <c r="H18" s="27" t="s">
        <v>99</v>
      </c>
      <c r="I18" s="31" t="s">
        <v>117</v>
      </c>
      <c r="J18" s="118">
        <v>212.0849752679654</v>
      </c>
      <c r="K18" s="118">
        <v>5717.8849359119904</v>
      </c>
      <c r="L18" s="118">
        <v>3968.8986886387374</v>
      </c>
      <c r="M18" s="118">
        <v>3521.182428398195</v>
      </c>
      <c r="N18" s="22">
        <v>4340</v>
      </c>
      <c r="O18" s="119">
        <v>3226</v>
      </c>
      <c r="P18" s="119">
        <v>2542</v>
      </c>
      <c r="Q18" s="120">
        <v>139</v>
      </c>
      <c r="R18" s="22">
        <v>0</v>
      </c>
      <c r="S18" s="22">
        <v>2823</v>
      </c>
      <c r="T18" s="121">
        <v>2402</v>
      </c>
      <c r="U18" s="121">
        <v>3140</v>
      </c>
      <c r="V18" s="121">
        <v>3699</v>
      </c>
      <c r="W18" s="106">
        <v>3020</v>
      </c>
      <c r="X18" s="121">
        <v>1791</v>
      </c>
      <c r="Y18" s="121">
        <v>250</v>
      </c>
      <c r="Z18" s="121">
        <v>-214</v>
      </c>
      <c r="AA18" s="121">
        <v>-1410</v>
      </c>
      <c r="AB18" s="122">
        <v>18.75</v>
      </c>
      <c r="AC18" s="123">
        <v>18.75</v>
      </c>
      <c r="AD18" s="124">
        <v>18.5</v>
      </c>
      <c r="AE18" s="125">
        <v>18.5</v>
      </c>
      <c r="AF18" s="126">
        <v>18.5</v>
      </c>
      <c r="AG18" s="123">
        <v>19</v>
      </c>
      <c r="AH18" s="123">
        <v>19</v>
      </c>
      <c r="AI18" s="131">
        <v>19.5</v>
      </c>
      <c r="AJ18" s="131">
        <v>19.5</v>
      </c>
      <c r="AK18" s="22">
        <v>19.5</v>
      </c>
      <c r="AL18" s="128">
        <v>20</v>
      </c>
      <c r="AM18" s="128">
        <v>20</v>
      </c>
      <c r="AN18" s="128">
        <v>20.75</v>
      </c>
      <c r="AO18" s="77">
        <v>20.75</v>
      </c>
      <c r="AP18" s="77">
        <v>20.75</v>
      </c>
      <c r="AQ18" s="129">
        <v>20.75</v>
      </c>
      <c r="AR18" s="129">
        <v>21.25</v>
      </c>
      <c r="AS18" s="129">
        <v>21.25</v>
      </c>
      <c r="AT18" s="116">
        <v>7241</v>
      </c>
      <c r="AU18" s="47">
        <v>34724</v>
      </c>
      <c r="AV18" s="47">
        <v>75468</v>
      </c>
      <c r="AW18" s="46">
        <v>20067</v>
      </c>
      <c r="AX18" s="46">
        <v>21806</v>
      </c>
      <c r="AY18" s="92">
        <v>330</v>
      </c>
      <c r="AZ18" s="47">
        <v>1016</v>
      </c>
      <c r="BA18" s="44">
        <v>2108</v>
      </c>
      <c r="BB18" s="23">
        <v>-5377</v>
      </c>
      <c r="BC18" s="47">
        <v>-1632</v>
      </c>
      <c r="BD18" s="44">
        <v>-1632</v>
      </c>
      <c r="BE18" s="47">
        <v>250</v>
      </c>
      <c r="BF18" s="44">
        <v>20067</v>
      </c>
      <c r="BG18" s="46">
        <v>17890</v>
      </c>
      <c r="BH18" s="130">
        <v>1053</v>
      </c>
      <c r="BI18" s="46">
        <v>1124</v>
      </c>
      <c r="BJ18" s="129">
        <v>20.75</v>
      </c>
      <c r="BK18" s="44">
        <v>21572</v>
      </c>
      <c r="BL18" s="116">
        <v>7175</v>
      </c>
      <c r="BM18" s="47">
        <v>34806</v>
      </c>
      <c r="BN18" s="130">
        <v>75773</v>
      </c>
      <c r="BO18" s="46">
        <v>21023</v>
      </c>
      <c r="BP18" s="46">
        <v>21863</v>
      </c>
      <c r="BQ18" s="46">
        <v>647</v>
      </c>
      <c r="BR18" s="130">
        <v>1799</v>
      </c>
      <c r="BS18" s="44">
        <v>2497</v>
      </c>
      <c r="BT18" s="92">
        <v>-3934</v>
      </c>
      <c r="BU18" s="117">
        <v>-464</v>
      </c>
      <c r="BV18" s="130">
        <v>-214</v>
      </c>
      <c r="BW18" s="48">
        <v>21023</v>
      </c>
      <c r="BX18" s="46">
        <v>18614</v>
      </c>
      <c r="BY18" s="130">
        <v>1155</v>
      </c>
      <c r="BZ18" s="46">
        <v>1254</v>
      </c>
      <c r="CA18" s="129">
        <v>21.25</v>
      </c>
      <c r="CB18" s="44">
        <v>22767</v>
      </c>
      <c r="CC18" s="116">
        <v>7167</v>
      </c>
      <c r="CD18" s="47">
        <v>34211</v>
      </c>
      <c r="CE18" s="130">
        <v>76618</v>
      </c>
      <c r="CF18" s="46">
        <v>21200</v>
      </c>
      <c r="CG18" s="46">
        <v>22107</v>
      </c>
      <c r="CH18" s="46">
        <v>800</v>
      </c>
      <c r="CI18" s="130">
        <v>1332</v>
      </c>
      <c r="CJ18" s="44">
        <v>2399</v>
      </c>
      <c r="CK18" s="117">
        <v>-2906</v>
      </c>
      <c r="CL18" s="117">
        <v>-1086</v>
      </c>
      <c r="CM18" s="117">
        <v>-1410</v>
      </c>
      <c r="CN18" s="48">
        <v>21200</v>
      </c>
      <c r="CO18" s="46">
        <v>18583</v>
      </c>
      <c r="CP18" s="130">
        <v>1218</v>
      </c>
      <c r="CQ18" s="46">
        <v>1399</v>
      </c>
      <c r="CR18" s="129">
        <v>21.25</v>
      </c>
      <c r="CS18" s="44">
        <v>25987</v>
      </c>
      <c r="CT18">
        <v>7098</v>
      </c>
      <c r="CU18">
        <v>20806</v>
      </c>
      <c r="CV18">
        <v>22953</v>
      </c>
      <c r="CW18">
        <v>34900</v>
      </c>
      <c r="CX18">
        <v>597</v>
      </c>
      <c r="CY18">
        <v>18139</v>
      </c>
      <c r="CZ18">
        <v>1146</v>
      </c>
      <c r="DA18">
        <v>1521</v>
      </c>
      <c r="DB18">
        <v>855</v>
      </c>
      <c r="DC18">
        <v>-1594</v>
      </c>
      <c r="DD18">
        <v>2405</v>
      </c>
      <c r="DE18">
        <v>27774</v>
      </c>
      <c r="DF18">
        <v>78239</v>
      </c>
      <c r="DG18">
        <v>-1550</v>
      </c>
      <c r="DH18">
        <v>-2961</v>
      </c>
      <c r="DI18">
        <v>22</v>
      </c>
      <c r="DJ18" s="174">
        <v>6970</v>
      </c>
      <c r="DK18" s="34">
        <v>20768</v>
      </c>
      <c r="DL18" s="34">
        <v>23997</v>
      </c>
      <c r="DM18">
        <v>12544</v>
      </c>
      <c r="DN18" s="173">
        <v>8253</v>
      </c>
      <c r="DO18" s="34">
        <v>17804</v>
      </c>
      <c r="DP18" s="173">
        <v>1291</v>
      </c>
      <c r="DQ18" s="34">
        <v>1673</v>
      </c>
      <c r="DR18" s="173">
        <v>3382</v>
      </c>
      <c r="DS18" s="173">
        <v>-2954</v>
      </c>
      <c r="DT18">
        <v>2980</v>
      </c>
      <c r="DU18">
        <v>30900</v>
      </c>
      <c r="DV18" s="173">
        <v>54617</v>
      </c>
      <c r="DW18" s="173">
        <v>7965</v>
      </c>
      <c r="DX18" s="173">
        <v>5004</v>
      </c>
      <c r="DY18" s="57">
        <v>22</v>
      </c>
      <c r="DZ18" s="184">
        <v>340</v>
      </c>
      <c r="EA18" s="116">
        <v>6854</v>
      </c>
      <c r="EB18" s="48">
        <v>20219</v>
      </c>
      <c r="EC18" s="46">
        <v>24524</v>
      </c>
      <c r="ED18" s="90">
        <v>11262</v>
      </c>
      <c r="EE18" s="186">
        <v>-18</v>
      </c>
      <c r="EF18" s="46">
        <v>17246</v>
      </c>
      <c r="EG18" s="130">
        <v>1309</v>
      </c>
      <c r="EH18" s="46">
        <v>1664</v>
      </c>
      <c r="EI18" s="130">
        <v>304</v>
      </c>
      <c r="EJ18" s="48">
        <v>-276</v>
      </c>
      <c r="EK18" s="44">
        <v>1671</v>
      </c>
      <c r="EL18" s="44">
        <v>28246</v>
      </c>
      <c r="EM18" s="130">
        <v>55683</v>
      </c>
      <c r="EN18" s="117">
        <v>-1367</v>
      </c>
      <c r="EO18" s="117">
        <v>3637</v>
      </c>
      <c r="EP18" s="129">
        <v>22</v>
      </c>
    </row>
    <row r="19" spans="1:146" ht="15" x14ac:dyDescent="0.25">
      <c r="A19" s="27">
        <v>72</v>
      </c>
      <c r="B19" s="27" t="s">
        <v>148</v>
      </c>
      <c r="C19" s="27">
        <v>17</v>
      </c>
      <c r="D19" s="27" t="s">
        <v>117</v>
      </c>
      <c r="E19" s="27">
        <v>1</v>
      </c>
      <c r="F19" s="27" t="s">
        <v>103</v>
      </c>
      <c r="G19" s="29" t="s">
        <v>130</v>
      </c>
      <c r="H19" s="27" t="s">
        <v>98</v>
      </c>
      <c r="I19" s="31" t="s">
        <v>117</v>
      </c>
      <c r="J19" s="118">
        <v>224.53088182611722</v>
      </c>
      <c r="K19" s="118">
        <v>224.53088182611722</v>
      </c>
      <c r="L19" s="118">
        <v>217.13061306181075</v>
      </c>
      <c r="M19" s="118">
        <v>209.73034429750427</v>
      </c>
      <c r="N19" s="22">
        <v>385</v>
      </c>
      <c r="O19" s="119">
        <v>370</v>
      </c>
      <c r="P19" s="119">
        <v>698</v>
      </c>
      <c r="Q19" s="120">
        <v>353</v>
      </c>
      <c r="R19" s="22">
        <v>515</v>
      </c>
      <c r="S19" s="22">
        <v>2347</v>
      </c>
      <c r="T19" s="121">
        <v>2819</v>
      </c>
      <c r="U19" s="121">
        <v>2862</v>
      </c>
      <c r="V19" s="121">
        <v>2989</v>
      </c>
      <c r="W19" s="106">
        <v>2995</v>
      </c>
      <c r="X19" s="121">
        <v>3320</v>
      </c>
      <c r="Y19" s="121">
        <v>2587</v>
      </c>
      <c r="Z19" s="121">
        <v>2154</v>
      </c>
      <c r="AA19" s="121">
        <v>2359</v>
      </c>
      <c r="AB19" s="122">
        <v>17.5</v>
      </c>
      <c r="AC19" s="123">
        <v>17.5</v>
      </c>
      <c r="AD19" s="124">
        <v>18</v>
      </c>
      <c r="AE19" s="125">
        <v>18</v>
      </c>
      <c r="AF19" s="126">
        <v>18.75</v>
      </c>
      <c r="AG19" s="123">
        <v>18.75</v>
      </c>
      <c r="AH19" s="123">
        <v>18.75</v>
      </c>
      <c r="AI19" s="127">
        <v>18.75</v>
      </c>
      <c r="AJ19" s="127">
        <v>19.25</v>
      </c>
      <c r="AK19" s="22">
        <v>19.25</v>
      </c>
      <c r="AL19" s="128">
        <v>19.25</v>
      </c>
      <c r="AM19" s="128">
        <v>19.25</v>
      </c>
      <c r="AN19" s="128">
        <v>19.25</v>
      </c>
      <c r="AO19" s="77">
        <v>19.25</v>
      </c>
      <c r="AP19" s="77">
        <v>19.25</v>
      </c>
      <c r="AQ19" s="129">
        <v>19.25</v>
      </c>
      <c r="AR19" s="129">
        <v>19.25</v>
      </c>
      <c r="AS19" s="129">
        <v>20</v>
      </c>
      <c r="AT19" s="116">
        <v>999</v>
      </c>
      <c r="AU19" s="47">
        <v>1384</v>
      </c>
      <c r="AV19" s="47">
        <v>7926</v>
      </c>
      <c r="AW19" s="46">
        <v>3137</v>
      </c>
      <c r="AX19" s="46">
        <v>3153</v>
      </c>
      <c r="AY19" s="92">
        <v>35</v>
      </c>
      <c r="AZ19" s="47">
        <v>-217</v>
      </c>
      <c r="BA19" s="44">
        <v>500</v>
      </c>
      <c r="BB19" s="23">
        <v>-1177</v>
      </c>
      <c r="BC19" s="47">
        <v>-717</v>
      </c>
      <c r="BD19" s="44">
        <v>-616</v>
      </c>
      <c r="BE19" s="47">
        <v>2587</v>
      </c>
      <c r="BF19" s="44">
        <v>3137</v>
      </c>
      <c r="BG19" s="46">
        <v>2815</v>
      </c>
      <c r="BH19" s="130">
        <v>71</v>
      </c>
      <c r="BI19" s="46">
        <v>251</v>
      </c>
      <c r="BJ19" s="129">
        <v>19.25</v>
      </c>
      <c r="BK19" s="44">
        <v>1163</v>
      </c>
      <c r="BL19" s="116">
        <v>997</v>
      </c>
      <c r="BM19" s="47">
        <v>1417</v>
      </c>
      <c r="BN19" s="130">
        <v>7864</v>
      </c>
      <c r="BO19" s="46">
        <v>3267</v>
      </c>
      <c r="BP19" s="46">
        <v>3095</v>
      </c>
      <c r="BQ19" s="46">
        <v>11</v>
      </c>
      <c r="BR19" s="130">
        <v>-74</v>
      </c>
      <c r="BS19" s="44">
        <v>532</v>
      </c>
      <c r="BT19" s="92">
        <v>-690</v>
      </c>
      <c r="BU19" s="117">
        <v>-485</v>
      </c>
      <c r="BV19" s="130">
        <v>2154</v>
      </c>
      <c r="BW19" s="48">
        <v>3267</v>
      </c>
      <c r="BX19" s="46">
        <v>2898</v>
      </c>
      <c r="BY19" s="130">
        <v>83</v>
      </c>
      <c r="BZ19" s="46">
        <v>286</v>
      </c>
      <c r="CA19" s="129">
        <v>19.25</v>
      </c>
      <c r="CB19" s="44">
        <v>1062</v>
      </c>
      <c r="CC19" s="116">
        <v>993</v>
      </c>
      <c r="CD19" s="47">
        <v>1467</v>
      </c>
      <c r="CE19" s="130">
        <v>7814</v>
      </c>
      <c r="CF19" s="46">
        <v>3433</v>
      </c>
      <c r="CG19" s="46">
        <v>3397</v>
      </c>
      <c r="CH19" s="46">
        <v>57</v>
      </c>
      <c r="CI19" s="130">
        <v>533</v>
      </c>
      <c r="CJ19" s="44">
        <v>415</v>
      </c>
      <c r="CK19" s="117">
        <v>-396</v>
      </c>
      <c r="CL19" s="117">
        <v>242</v>
      </c>
      <c r="CM19" s="117">
        <v>2359</v>
      </c>
      <c r="CN19" s="48">
        <v>3433</v>
      </c>
      <c r="CO19" s="46">
        <v>3048</v>
      </c>
      <c r="CP19" s="130">
        <v>94</v>
      </c>
      <c r="CQ19" s="46">
        <v>291</v>
      </c>
      <c r="CR19" s="129">
        <v>20</v>
      </c>
      <c r="CS19" s="44">
        <v>1961</v>
      </c>
      <c r="CT19">
        <v>994</v>
      </c>
      <c r="CU19">
        <v>3335</v>
      </c>
      <c r="CV19">
        <v>3345</v>
      </c>
      <c r="CW19">
        <v>1595</v>
      </c>
      <c r="CX19">
        <v>1</v>
      </c>
      <c r="CY19">
        <v>2916</v>
      </c>
      <c r="CZ19">
        <v>93</v>
      </c>
      <c r="DA19">
        <v>326</v>
      </c>
      <c r="DB19">
        <v>329</v>
      </c>
      <c r="DC19">
        <v>-929</v>
      </c>
      <c r="DD19">
        <v>403</v>
      </c>
      <c r="DE19">
        <v>2508</v>
      </c>
      <c r="DF19">
        <v>7942</v>
      </c>
      <c r="DG19">
        <v>460</v>
      </c>
      <c r="DH19">
        <v>2851</v>
      </c>
      <c r="DI19">
        <v>20</v>
      </c>
      <c r="DJ19" s="174">
        <v>967</v>
      </c>
      <c r="DK19" s="34">
        <v>3691</v>
      </c>
      <c r="DL19" s="34">
        <v>3476</v>
      </c>
      <c r="DM19">
        <v>1747</v>
      </c>
      <c r="DN19" s="173">
        <v>78</v>
      </c>
      <c r="DO19" s="34">
        <v>3245</v>
      </c>
      <c r="DP19" s="173">
        <v>114</v>
      </c>
      <c r="DQ19" s="34">
        <v>332</v>
      </c>
      <c r="DR19" s="173">
        <v>872</v>
      </c>
      <c r="DS19" s="173">
        <v>-76</v>
      </c>
      <c r="DT19">
        <v>409</v>
      </c>
      <c r="DU19">
        <v>2232</v>
      </c>
      <c r="DV19" s="173">
        <v>8120</v>
      </c>
      <c r="DW19" s="173">
        <v>596</v>
      </c>
      <c r="DX19" s="173">
        <v>3447</v>
      </c>
      <c r="DY19" s="57">
        <v>20</v>
      </c>
      <c r="DZ19" s="184">
        <v>330</v>
      </c>
      <c r="EA19" s="116">
        <v>974</v>
      </c>
      <c r="EB19" s="48">
        <v>3469</v>
      </c>
      <c r="EC19" s="46">
        <v>3446</v>
      </c>
      <c r="ED19" s="90">
        <v>1631</v>
      </c>
      <c r="EE19" s="186">
        <v>-13</v>
      </c>
      <c r="EF19" s="46">
        <v>3032</v>
      </c>
      <c r="EG19" s="130">
        <v>98</v>
      </c>
      <c r="EH19" s="46">
        <v>339</v>
      </c>
      <c r="EI19" s="130">
        <v>68</v>
      </c>
      <c r="EJ19" s="48">
        <v>-805</v>
      </c>
      <c r="EK19" s="44">
        <v>398</v>
      </c>
      <c r="EL19" s="44">
        <v>1956</v>
      </c>
      <c r="EM19" s="130">
        <v>8465</v>
      </c>
      <c r="EN19" s="117">
        <v>-71</v>
      </c>
      <c r="EO19" s="117">
        <v>3376</v>
      </c>
      <c r="EP19" s="129">
        <v>20.5</v>
      </c>
    </row>
    <row r="20" spans="1:146" ht="15" x14ac:dyDescent="0.25">
      <c r="A20" s="27">
        <v>74</v>
      </c>
      <c r="B20" s="27" t="s">
        <v>149</v>
      </c>
      <c r="C20" s="27">
        <v>16</v>
      </c>
      <c r="D20" s="27" t="s">
        <v>110</v>
      </c>
      <c r="E20" s="27">
        <v>1</v>
      </c>
      <c r="F20" s="27" t="s">
        <v>103</v>
      </c>
      <c r="G20" s="29" t="s">
        <v>130</v>
      </c>
      <c r="H20" s="27" t="s">
        <v>98</v>
      </c>
      <c r="I20" s="31" t="s">
        <v>110</v>
      </c>
      <c r="J20" s="118">
        <v>-216.62604928242621</v>
      </c>
      <c r="K20" s="118">
        <v>-641.46875152420307</v>
      </c>
      <c r="L20" s="118">
        <v>-756.50929322387663</v>
      </c>
      <c r="M20" s="118">
        <v>-908.04661496569804</v>
      </c>
      <c r="N20" s="22">
        <v>-810</v>
      </c>
      <c r="O20" s="119">
        <v>-894</v>
      </c>
      <c r="P20" s="119">
        <v>-764</v>
      </c>
      <c r="Q20" s="120">
        <v>-940</v>
      </c>
      <c r="R20" s="22">
        <v>-937</v>
      </c>
      <c r="S20" s="22">
        <v>-633</v>
      </c>
      <c r="T20" s="121">
        <v>-454</v>
      </c>
      <c r="U20" s="121">
        <v>-254</v>
      </c>
      <c r="V20" s="121">
        <v>35</v>
      </c>
      <c r="W20" s="106">
        <v>-109</v>
      </c>
      <c r="X20" s="121">
        <v>144</v>
      </c>
      <c r="Y20" s="121">
        <v>154</v>
      </c>
      <c r="Z20" s="121">
        <v>500</v>
      </c>
      <c r="AA20" s="121">
        <v>321</v>
      </c>
      <c r="AB20" s="122">
        <v>19.25</v>
      </c>
      <c r="AC20" s="123">
        <v>19.25</v>
      </c>
      <c r="AD20" s="124">
        <v>19.25</v>
      </c>
      <c r="AE20" s="125">
        <v>19.25</v>
      </c>
      <c r="AF20" s="126">
        <v>19.25</v>
      </c>
      <c r="AG20" s="123">
        <v>19.25</v>
      </c>
      <c r="AH20" s="123">
        <v>19.25</v>
      </c>
      <c r="AI20" s="131">
        <v>19.5</v>
      </c>
      <c r="AJ20" s="131">
        <v>19.5</v>
      </c>
      <c r="AK20" s="22">
        <v>19.75</v>
      </c>
      <c r="AL20" s="128">
        <v>19.75</v>
      </c>
      <c r="AM20" s="128">
        <v>19.75</v>
      </c>
      <c r="AN20" s="128">
        <v>20.5</v>
      </c>
      <c r="AO20" s="77">
        <v>20.5</v>
      </c>
      <c r="AP20" s="77">
        <v>21</v>
      </c>
      <c r="AQ20" s="129">
        <v>21</v>
      </c>
      <c r="AR20" s="129">
        <v>21.5</v>
      </c>
      <c r="AS20" s="129">
        <v>21.5</v>
      </c>
      <c r="AT20" s="116">
        <v>1229</v>
      </c>
      <c r="AU20" s="47">
        <v>811</v>
      </c>
      <c r="AV20" s="47">
        <v>7994</v>
      </c>
      <c r="AW20" s="46">
        <v>3440</v>
      </c>
      <c r="AX20" s="46">
        <v>3970</v>
      </c>
      <c r="AY20" s="92">
        <v>14</v>
      </c>
      <c r="AZ20" s="47">
        <v>140</v>
      </c>
      <c r="BA20" s="44">
        <v>129</v>
      </c>
      <c r="BB20" s="23">
        <v>-99</v>
      </c>
      <c r="BC20" s="47">
        <v>11</v>
      </c>
      <c r="BD20" s="44">
        <v>10</v>
      </c>
      <c r="BE20" s="47">
        <v>154</v>
      </c>
      <c r="BF20" s="44">
        <v>3440</v>
      </c>
      <c r="BG20" s="46">
        <v>2917</v>
      </c>
      <c r="BH20" s="130">
        <v>300</v>
      </c>
      <c r="BI20" s="46">
        <v>223</v>
      </c>
      <c r="BJ20" s="129">
        <v>21</v>
      </c>
      <c r="BK20" s="44">
        <v>3538</v>
      </c>
      <c r="BL20" s="116">
        <v>1222</v>
      </c>
      <c r="BM20" s="47">
        <v>870</v>
      </c>
      <c r="BN20" s="130">
        <v>8282</v>
      </c>
      <c r="BO20" s="46">
        <v>4114</v>
      </c>
      <c r="BP20" s="46">
        <v>3855</v>
      </c>
      <c r="BQ20" s="46">
        <v>0</v>
      </c>
      <c r="BR20" s="130">
        <v>473</v>
      </c>
      <c r="BS20" s="44">
        <v>127</v>
      </c>
      <c r="BT20" s="92">
        <v>-548</v>
      </c>
      <c r="BU20" s="117">
        <v>346</v>
      </c>
      <c r="BV20" s="130">
        <v>500</v>
      </c>
      <c r="BW20" s="48">
        <v>4114</v>
      </c>
      <c r="BX20" s="46">
        <v>3426</v>
      </c>
      <c r="BY20" s="130">
        <v>403</v>
      </c>
      <c r="BZ20" s="46">
        <v>285</v>
      </c>
      <c r="CA20" s="129">
        <v>21.5</v>
      </c>
      <c r="CB20" s="44">
        <v>4011</v>
      </c>
      <c r="CC20" s="116">
        <v>1225</v>
      </c>
      <c r="CD20" s="47">
        <v>890</v>
      </c>
      <c r="CE20" s="130">
        <v>8383</v>
      </c>
      <c r="CF20" s="46">
        <v>3837</v>
      </c>
      <c r="CG20" s="46">
        <v>3645</v>
      </c>
      <c r="CH20" s="46">
        <v>1</v>
      </c>
      <c r="CI20" s="130">
        <v>-59</v>
      </c>
      <c r="CJ20" s="44">
        <v>119</v>
      </c>
      <c r="CK20" s="117">
        <v>-322</v>
      </c>
      <c r="CL20" s="117">
        <v>-178</v>
      </c>
      <c r="CM20" s="117">
        <v>321</v>
      </c>
      <c r="CN20" s="48">
        <v>3837</v>
      </c>
      <c r="CO20" s="46">
        <v>3114</v>
      </c>
      <c r="CP20" s="130">
        <v>428</v>
      </c>
      <c r="CQ20" s="46">
        <v>295</v>
      </c>
      <c r="CR20" s="129">
        <v>21.5</v>
      </c>
      <c r="CS20" s="44">
        <v>3708</v>
      </c>
      <c r="CT20">
        <v>1219</v>
      </c>
      <c r="CU20">
        <v>3649</v>
      </c>
      <c r="CV20">
        <v>3921</v>
      </c>
      <c r="CW20">
        <v>918</v>
      </c>
      <c r="CX20">
        <v>3</v>
      </c>
      <c r="CY20">
        <v>2891</v>
      </c>
      <c r="CZ20">
        <v>315</v>
      </c>
      <c r="DA20">
        <v>443</v>
      </c>
      <c r="DB20">
        <v>-4</v>
      </c>
      <c r="DC20">
        <v>-270</v>
      </c>
      <c r="DD20">
        <v>133</v>
      </c>
      <c r="DE20">
        <v>4054</v>
      </c>
      <c r="DF20">
        <v>8466</v>
      </c>
      <c r="DG20">
        <v>-137</v>
      </c>
      <c r="DH20">
        <v>184</v>
      </c>
      <c r="DI20">
        <v>21.5</v>
      </c>
      <c r="DJ20" s="174">
        <v>1171</v>
      </c>
      <c r="DK20" s="34">
        <v>3712</v>
      </c>
      <c r="DL20" s="34">
        <v>4155</v>
      </c>
      <c r="DM20">
        <v>946</v>
      </c>
      <c r="DN20" s="173">
        <v>-23</v>
      </c>
      <c r="DO20" s="34">
        <v>2805</v>
      </c>
      <c r="DP20" s="173">
        <v>356</v>
      </c>
      <c r="DQ20" s="34">
        <v>551</v>
      </c>
      <c r="DR20" s="173">
        <v>432</v>
      </c>
      <c r="DS20" s="173">
        <v>-197</v>
      </c>
      <c r="DT20">
        <v>147</v>
      </c>
      <c r="DU20">
        <v>3952</v>
      </c>
      <c r="DV20" s="173">
        <v>8358</v>
      </c>
      <c r="DW20" s="173">
        <v>285</v>
      </c>
      <c r="DX20" s="173">
        <v>469</v>
      </c>
      <c r="DY20" s="57">
        <v>22</v>
      </c>
      <c r="DZ20" s="184">
        <v>340</v>
      </c>
      <c r="EA20" s="116">
        <v>1165</v>
      </c>
      <c r="EB20" s="48">
        <v>3411</v>
      </c>
      <c r="EC20" s="46">
        <v>4327</v>
      </c>
      <c r="ED20" s="90">
        <v>1130</v>
      </c>
      <c r="EE20" s="186">
        <v>-21</v>
      </c>
      <c r="EF20" s="46">
        <v>2623</v>
      </c>
      <c r="EG20" s="130">
        <v>432</v>
      </c>
      <c r="EH20" s="46">
        <v>356</v>
      </c>
      <c r="EI20" s="130">
        <v>38</v>
      </c>
      <c r="EJ20" s="48">
        <v>-309</v>
      </c>
      <c r="EK20" s="44">
        <v>129</v>
      </c>
      <c r="EL20" s="44">
        <v>4396</v>
      </c>
      <c r="EM20" s="130">
        <v>8809</v>
      </c>
      <c r="EN20" s="117">
        <v>-144</v>
      </c>
      <c r="EO20" s="117">
        <v>326</v>
      </c>
      <c r="EP20" s="129">
        <v>22</v>
      </c>
    </row>
    <row r="21" spans="1:146" ht="15" x14ac:dyDescent="0.25">
      <c r="A21" s="27">
        <v>75</v>
      </c>
      <c r="B21" s="27" t="s">
        <v>150</v>
      </c>
      <c r="C21" s="27">
        <v>8</v>
      </c>
      <c r="D21" s="27" t="s">
        <v>112</v>
      </c>
      <c r="E21" s="27">
        <v>5</v>
      </c>
      <c r="F21" s="27" t="s">
        <v>101</v>
      </c>
      <c r="G21" s="29" t="s">
        <v>141</v>
      </c>
      <c r="H21" s="27" t="s">
        <v>97</v>
      </c>
      <c r="I21" s="31" t="s">
        <v>112</v>
      </c>
      <c r="J21" s="118">
        <v>10173.014919950956</v>
      </c>
      <c r="K21" s="118">
        <v>12868.058253570209</v>
      </c>
      <c r="L21" s="118">
        <v>17113.794269164595</v>
      </c>
      <c r="M21" s="118">
        <v>17360.862333136556</v>
      </c>
      <c r="N21" s="22">
        <v>17622</v>
      </c>
      <c r="O21" s="119">
        <v>19957</v>
      </c>
      <c r="P21" s="119">
        <v>12737</v>
      </c>
      <c r="Q21" s="120">
        <v>6267</v>
      </c>
      <c r="R21" s="22">
        <v>1505</v>
      </c>
      <c r="S21" s="22">
        <v>-661</v>
      </c>
      <c r="T21" s="121">
        <v>2767</v>
      </c>
      <c r="U21" s="121">
        <v>3567</v>
      </c>
      <c r="V21" s="121">
        <v>3763</v>
      </c>
      <c r="W21" s="106">
        <v>2271</v>
      </c>
      <c r="X21" s="121">
        <v>218</v>
      </c>
      <c r="Y21" s="121">
        <v>-2980</v>
      </c>
      <c r="Z21" s="121">
        <v>-703</v>
      </c>
      <c r="AA21" s="121">
        <v>-1104</v>
      </c>
      <c r="AB21" s="122">
        <v>17.75</v>
      </c>
      <c r="AC21" s="123">
        <v>17.75</v>
      </c>
      <c r="AD21" s="124">
        <v>17.75</v>
      </c>
      <c r="AE21" s="125">
        <v>17.75</v>
      </c>
      <c r="AF21" s="126">
        <v>17.75</v>
      </c>
      <c r="AG21" s="123">
        <v>18</v>
      </c>
      <c r="AH21" s="123">
        <v>18</v>
      </c>
      <c r="AI21" s="127">
        <v>18</v>
      </c>
      <c r="AJ21" s="127">
        <v>19</v>
      </c>
      <c r="AK21" s="22">
        <v>19</v>
      </c>
      <c r="AL21" s="128">
        <v>19.5</v>
      </c>
      <c r="AM21" s="128">
        <v>20</v>
      </c>
      <c r="AN21" s="128">
        <v>20</v>
      </c>
      <c r="AO21" s="77">
        <v>20</v>
      </c>
      <c r="AP21" s="77">
        <v>20.5</v>
      </c>
      <c r="AQ21" s="129">
        <v>20.5</v>
      </c>
      <c r="AR21" s="129">
        <v>21</v>
      </c>
      <c r="AS21" s="129">
        <v>21</v>
      </c>
      <c r="AT21" s="116">
        <v>21203</v>
      </c>
      <c r="AU21" s="47">
        <v>29076</v>
      </c>
      <c r="AV21" s="47">
        <v>133638</v>
      </c>
      <c r="AW21" s="46">
        <v>77426</v>
      </c>
      <c r="AX21" s="46">
        <v>34189</v>
      </c>
      <c r="AY21" s="92">
        <v>2487</v>
      </c>
      <c r="AZ21" s="47">
        <v>8530</v>
      </c>
      <c r="BA21" s="44">
        <v>9392</v>
      </c>
      <c r="BB21" s="23">
        <v>-5534</v>
      </c>
      <c r="BC21" s="47">
        <v>-3198</v>
      </c>
      <c r="BD21" s="44">
        <v>-3198</v>
      </c>
      <c r="BE21" s="47">
        <v>-2980</v>
      </c>
      <c r="BF21" s="44">
        <v>77426</v>
      </c>
      <c r="BG21" s="46">
        <v>68822</v>
      </c>
      <c r="BH21" s="130">
        <v>3929</v>
      </c>
      <c r="BI21" s="46">
        <v>4675</v>
      </c>
      <c r="BJ21" s="129">
        <v>20.5</v>
      </c>
      <c r="BK21" s="44">
        <v>78531</v>
      </c>
      <c r="BL21" s="116">
        <v>21061</v>
      </c>
      <c r="BM21" s="47">
        <v>31564</v>
      </c>
      <c r="BN21" s="130">
        <v>136516</v>
      </c>
      <c r="BO21" s="46">
        <v>80884</v>
      </c>
      <c r="BP21" s="46">
        <v>33996</v>
      </c>
      <c r="BQ21" s="46">
        <v>2095</v>
      </c>
      <c r="BR21" s="130">
        <v>11139</v>
      </c>
      <c r="BS21" s="44">
        <v>8863</v>
      </c>
      <c r="BT21" s="92">
        <v>-7170</v>
      </c>
      <c r="BU21" s="117">
        <v>2276</v>
      </c>
      <c r="BV21" s="130">
        <v>-703</v>
      </c>
      <c r="BW21" s="48">
        <v>80884</v>
      </c>
      <c r="BX21" s="46">
        <v>71382</v>
      </c>
      <c r="BY21" s="130">
        <v>4548</v>
      </c>
      <c r="BZ21" s="46">
        <v>4954</v>
      </c>
      <c r="CA21" s="129">
        <v>21</v>
      </c>
      <c r="CB21" s="44">
        <v>77376</v>
      </c>
      <c r="CC21" s="116">
        <v>20851</v>
      </c>
      <c r="CD21" s="47">
        <v>30981</v>
      </c>
      <c r="CE21" s="130">
        <v>138906</v>
      </c>
      <c r="CF21" s="46">
        <v>83054</v>
      </c>
      <c r="CG21" s="46">
        <v>34183</v>
      </c>
      <c r="CH21" s="46">
        <v>4260</v>
      </c>
      <c r="CI21" s="130">
        <v>10768</v>
      </c>
      <c r="CJ21" s="44">
        <v>9510</v>
      </c>
      <c r="CK21" s="117">
        <v>-10583</v>
      </c>
      <c r="CL21" s="117">
        <v>1258</v>
      </c>
      <c r="CM21" s="117">
        <v>-1104</v>
      </c>
      <c r="CN21" s="48">
        <v>83054</v>
      </c>
      <c r="CO21" s="46">
        <v>72430</v>
      </c>
      <c r="CP21" s="130">
        <v>4856</v>
      </c>
      <c r="CQ21" s="46">
        <v>5768</v>
      </c>
      <c r="CR21" s="129">
        <v>21</v>
      </c>
      <c r="CS21" s="44">
        <v>82199</v>
      </c>
      <c r="CT21">
        <v>20636</v>
      </c>
      <c r="CU21">
        <v>82203</v>
      </c>
      <c r="CV21">
        <v>37167</v>
      </c>
      <c r="CW21">
        <v>30689</v>
      </c>
      <c r="CX21">
        <v>2137</v>
      </c>
      <c r="CY21">
        <v>71144</v>
      </c>
      <c r="CZ21">
        <v>4307</v>
      </c>
      <c r="DA21">
        <v>6752</v>
      </c>
      <c r="DB21">
        <v>11179</v>
      </c>
      <c r="DC21">
        <v>-8959</v>
      </c>
      <c r="DD21">
        <v>9680</v>
      </c>
      <c r="DE21">
        <v>81816</v>
      </c>
      <c r="DF21">
        <v>140546</v>
      </c>
      <c r="DG21">
        <v>1499</v>
      </c>
      <c r="DH21">
        <v>375</v>
      </c>
      <c r="DI21">
        <v>21</v>
      </c>
      <c r="DJ21" s="174">
        <v>20493</v>
      </c>
      <c r="DK21" s="34">
        <v>82553</v>
      </c>
      <c r="DL21" s="34">
        <v>37419</v>
      </c>
      <c r="DM21">
        <v>29928</v>
      </c>
      <c r="DN21" s="173">
        <v>777</v>
      </c>
      <c r="DO21" s="34">
        <v>70564</v>
      </c>
      <c r="DP21" s="173">
        <v>5202</v>
      </c>
      <c r="DQ21" s="34">
        <v>6787</v>
      </c>
      <c r="DR21" s="173">
        <v>15784</v>
      </c>
      <c r="DS21" s="173">
        <v>-10188</v>
      </c>
      <c r="DT21">
        <v>10036</v>
      </c>
      <c r="DU21">
        <v>86021</v>
      </c>
      <c r="DV21" s="173">
        <v>134893</v>
      </c>
      <c r="DW21" s="173">
        <v>5748</v>
      </c>
      <c r="DX21" s="173">
        <v>6124</v>
      </c>
      <c r="DY21" s="57">
        <v>21</v>
      </c>
      <c r="DZ21" s="184">
        <v>130</v>
      </c>
      <c r="EA21" s="116">
        <v>20286</v>
      </c>
      <c r="EB21" s="48">
        <v>81202</v>
      </c>
      <c r="EC21" s="46">
        <v>37357</v>
      </c>
      <c r="ED21" s="90">
        <v>29958</v>
      </c>
      <c r="EE21" s="186">
        <v>2001</v>
      </c>
      <c r="EF21" s="46">
        <v>69190</v>
      </c>
      <c r="EG21" s="130">
        <v>5404</v>
      </c>
      <c r="EH21" s="46">
        <v>6608</v>
      </c>
      <c r="EI21" s="130">
        <v>9370</v>
      </c>
      <c r="EJ21" s="48">
        <v>-14330</v>
      </c>
      <c r="EK21" s="44">
        <v>8918</v>
      </c>
      <c r="EL21" s="44">
        <v>83868</v>
      </c>
      <c r="EM21" s="130">
        <v>141148</v>
      </c>
      <c r="EN21" s="117">
        <v>452</v>
      </c>
      <c r="EO21" s="117">
        <v>6576</v>
      </c>
      <c r="EP21" s="129">
        <v>21</v>
      </c>
    </row>
    <row r="22" spans="1:146" ht="15" x14ac:dyDescent="0.25">
      <c r="A22" s="27">
        <v>77</v>
      </c>
      <c r="B22" s="27" t="s">
        <v>151</v>
      </c>
      <c r="C22" s="27">
        <v>13</v>
      </c>
      <c r="D22" s="27" t="s">
        <v>111</v>
      </c>
      <c r="E22" s="27">
        <v>2</v>
      </c>
      <c r="F22" s="27" t="s">
        <v>744</v>
      </c>
      <c r="G22" s="29" t="s">
        <v>130</v>
      </c>
      <c r="H22" s="27" t="s">
        <v>98</v>
      </c>
      <c r="I22" s="31" t="s">
        <v>111</v>
      </c>
      <c r="J22" s="118">
        <v>-745.74526593033988</v>
      </c>
      <c r="K22" s="118">
        <v>-1066.647829618903</v>
      </c>
      <c r="L22" s="118">
        <v>-2432.8383562657568</v>
      </c>
      <c r="M22" s="118">
        <v>-2895.5233419613737</v>
      </c>
      <c r="N22" s="22">
        <v>-2186</v>
      </c>
      <c r="O22" s="119">
        <v>-1028</v>
      </c>
      <c r="P22" s="119">
        <v>-285</v>
      </c>
      <c r="Q22" s="120">
        <v>-784</v>
      </c>
      <c r="R22" s="22">
        <v>-805</v>
      </c>
      <c r="S22" s="22">
        <v>-1349</v>
      </c>
      <c r="T22" s="121">
        <v>-752</v>
      </c>
      <c r="U22" s="121">
        <v>80</v>
      </c>
      <c r="V22" s="121">
        <v>1027</v>
      </c>
      <c r="W22" s="106">
        <v>-77</v>
      </c>
      <c r="X22" s="121">
        <v>-395</v>
      </c>
      <c r="Y22" s="121">
        <v>-1807</v>
      </c>
      <c r="Z22" s="121">
        <v>-2954</v>
      </c>
      <c r="AA22" s="121">
        <v>-2447</v>
      </c>
      <c r="AB22" s="122">
        <v>17.75</v>
      </c>
      <c r="AC22" s="123">
        <v>17.75</v>
      </c>
      <c r="AD22" s="124">
        <v>18.5</v>
      </c>
      <c r="AE22" s="125">
        <v>18.5</v>
      </c>
      <c r="AF22" s="126">
        <v>18.5</v>
      </c>
      <c r="AG22" s="123">
        <v>19</v>
      </c>
      <c r="AH22" s="123">
        <v>19</v>
      </c>
      <c r="AI22" s="127">
        <v>19</v>
      </c>
      <c r="AJ22" s="127">
        <v>19</v>
      </c>
      <c r="AK22" s="22">
        <v>19</v>
      </c>
      <c r="AL22" s="128">
        <v>20</v>
      </c>
      <c r="AM22" s="128">
        <v>20</v>
      </c>
      <c r="AN22" s="128">
        <v>20</v>
      </c>
      <c r="AO22" s="77">
        <v>20</v>
      </c>
      <c r="AP22" s="77">
        <v>20.5</v>
      </c>
      <c r="AQ22" s="129">
        <v>20.5</v>
      </c>
      <c r="AR22" s="129">
        <v>21.5</v>
      </c>
      <c r="AS22" s="129">
        <v>22</v>
      </c>
      <c r="AT22" s="116">
        <v>5404</v>
      </c>
      <c r="AU22" s="47">
        <v>9384</v>
      </c>
      <c r="AV22" s="47">
        <v>41676</v>
      </c>
      <c r="AW22" s="46">
        <v>14214</v>
      </c>
      <c r="AX22" s="46">
        <v>17821</v>
      </c>
      <c r="AY22" s="92">
        <v>193</v>
      </c>
      <c r="AZ22" s="47">
        <v>-203</v>
      </c>
      <c r="BA22" s="44">
        <v>1230</v>
      </c>
      <c r="BB22" s="23">
        <v>-3210</v>
      </c>
      <c r="BC22" s="47">
        <v>-1433</v>
      </c>
      <c r="BD22" s="44">
        <v>-1412</v>
      </c>
      <c r="BE22" s="47">
        <v>-1807</v>
      </c>
      <c r="BF22" s="44">
        <v>14214</v>
      </c>
      <c r="BG22" s="46">
        <v>12462</v>
      </c>
      <c r="BH22" s="130">
        <v>695</v>
      </c>
      <c r="BI22" s="46">
        <v>1057</v>
      </c>
      <c r="BJ22" s="129">
        <v>20.5</v>
      </c>
      <c r="BK22" s="44">
        <v>6372</v>
      </c>
      <c r="BL22" s="116">
        <v>5307</v>
      </c>
      <c r="BM22" s="47">
        <v>9405</v>
      </c>
      <c r="BN22" s="130">
        <v>42137</v>
      </c>
      <c r="BO22" s="46">
        <v>15093</v>
      </c>
      <c r="BP22" s="46">
        <v>17886</v>
      </c>
      <c r="BQ22" s="46">
        <v>176</v>
      </c>
      <c r="BR22" s="130">
        <v>301</v>
      </c>
      <c r="BS22" s="44">
        <v>1470</v>
      </c>
      <c r="BT22" s="92">
        <v>-2427</v>
      </c>
      <c r="BU22" s="117">
        <v>-1147</v>
      </c>
      <c r="BV22" s="130">
        <v>-2954</v>
      </c>
      <c r="BW22" s="48">
        <v>15093</v>
      </c>
      <c r="BX22" s="46">
        <v>13233</v>
      </c>
      <c r="BY22" s="130">
        <v>700</v>
      </c>
      <c r="BZ22" s="46">
        <v>1160</v>
      </c>
      <c r="CA22" s="129">
        <v>21.5</v>
      </c>
      <c r="CB22" s="44">
        <v>8331</v>
      </c>
      <c r="CC22" s="116">
        <v>5240</v>
      </c>
      <c r="CD22" s="47">
        <v>9340</v>
      </c>
      <c r="CE22" s="130">
        <v>41109</v>
      </c>
      <c r="CF22" s="46">
        <v>15329</v>
      </c>
      <c r="CG22" s="46">
        <v>18516</v>
      </c>
      <c r="CH22" s="46">
        <v>265</v>
      </c>
      <c r="CI22" s="130">
        <v>2120</v>
      </c>
      <c r="CJ22" s="44">
        <v>1634</v>
      </c>
      <c r="CK22" s="117">
        <v>-3151</v>
      </c>
      <c r="CL22" s="117">
        <v>508</v>
      </c>
      <c r="CM22" s="117">
        <v>-2447</v>
      </c>
      <c r="CN22" s="48">
        <v>15329</v>
      </c>
      <c r="CO22" s="46">
        <v>13209</v>
      </c>
      <c r="CP22" s="130">
        <v>790</v>
      </c>
      <c r="CQ22" s="46">
        <v>1330</v>
      </c>
      <c r="CR22" s="129">
        <v>22</v>
      </c>
      <c r="CS22" s="44">
        <v>9185</v>
      </c>
      <c r="CT22">
        <v>5159</v>
      </c>
      <c r="CU22">
        <v>15575</v>
      </c>
      <c r="CV22">
        <v>19893</v>
      </c>
      <c r="CW22">
        <v>8078</v>
      </c>
      <c r="CX22">
        <v>82</v>
      </c>
      <c r="CY22">
        <v>13534</v>
      </c>
      <c r="CZ22">
        <v>1333</v>
      </c>
      <c r="DA22">
        <v>708</v>
      </c>
      <c r="DB22">
        <v>3165</v>
      </c>
      <c r="DC22">
        <v>-3046</v>
      </c>
      <c r="DD22">
        <v>1637</v>
      </c>
      <c r="DE22">
        <v>10417</v>
      </c>
      <c r="DF22">
        <v>40381</v>
      </c>
      <c r="DG22">
        <v>1550</v>
      </c>
      <c r="DH22">
        <v>-897</v>
      </c>
      <c r="DI22">
        <v>22</v>
      </c>
      <c r="DJ22" s="174">
        <v>5019</v>
      </c>
      <c r="DK22" s="34">
        <v>15304</v>
      </c>
      <c r="DL22" s="34">
        <v>19127</v>
      </c>
      <c r="DM22">
        <v>5835</v>
      </c>
      <c r="DN22" s="173">
        <v>77</v>
      </c>
      <c r="DO22" s="34">
        <v>13142</v>
      </c>
      <c r="DP22" s="173">
        <v>854</v>
      </c>
      <c r="DQ22" s="34">
        <v>1308</v>
      </c>
      <c r="DR22" s="173">
        <v>2288</v>
      </c>
      <c r="DS22" s="173">
        <v>-1501</v>
      </c>
      <c r="DT22">
        <v>1578</v>
      </c>
      <c r="DU22">
        <v>11601</v>
      </c>
      <c r="DV22" s="173">
        <v>38055</v>
      </c>
      <c r="DW22" s="173">
        <v>732</v>
      </c>
      <c r="DX22" s="173">
        <v>-165</v>
      </c>
      <c r="DY22" s="57">
        <v>22</v>
      </c>
      <c r="DZ22" s="184">
        <v>340</v>
      </c>
      <c r="EA22" s="116">
        <v>4939</v>
      </c>
      <c r="EB22" s="48">
        <v>14586</v>
      </c>
      <c r="EC22" s="46">
        <v>18812</v>
      </c>
      <c r="ED22" s="90">
        <v>6723</v>
      </c>
      <c r="EE22" s="186">
        <v>112</v>
      </c>
      <c r="EF22" s="46">
        <v>12406</v>
      </c>
      <c r="EG22" s="130">
        <v>873</v>
      </c>
      <c r="EH22" s="46">
        <v>1307</v>
      </c>
      <c r="EI22" s="130">
        <v>1153</v>
      </c>
      <c r="EJ22" s="48">
        <v>-10</v>
      </c>
      <c r="EK22" s="44">
        <v>1661</v>
      </c>
      <c r="EL22" s="44">
        <v>11916</v>
      </c>
      <c r="EM22" s="130">
        <v>39080</v>
      </c>
      <c r="EN22" s="117">
        <v>-486</v>
      </c>
      <c r="EO22" s="117">
        <v>-872</v>
      </c>
      <c r="EP22" s="129">
        <v>22</v>
      </c>
    </row>
    <row r="23" spans="1:146" ht="15" x14ac:dyDescent="0.25">
      <c r="A23" s="27">
        <v>78</v>
      </c>
      <c r="B23" s="27" t="s">
        <v>152</v>
      </c>
      <c r="C23" s="27">
        <v>1</v>
      </c>
      <c r="D23" s="27" t="s">
        <v>121</v>
      </c>
      <c r="E23" s="27">
        <v>3</v>
      </c>
      <c r="F23" s="27" t="s">
        <v>743</v>
      </c>
      <c r="G23" s="29" t="s">
        <v>141</v>
      </c>
      <c r="H23" s="27" t="s">
        <v>97</v>
      </c>
      <c r="I23" s="31" t="s">
        <v>121</v>
      </c>
      <c r="J23" s="118">
        <v>2538.1239982306629</v>
      </c>
      <c r="K23" s="118">
        <v>1969.4806188642942</v>
      </c>
      <c r="L23" s="118">
        <v>-1037.2149424881386</v>
      </c>
      <c r="M23" s="118">
        <v>-3951.2389563602787</v>
      </c>
      <c r="N23" s="177">
        <v>-4780</v>
      </c>
      <c r="O23" s="119">
        <v>-3867</v>
      </c>
      <c r="P23" s="119">
        <v>-4496</v>
      </c>
      <c r="Q23" s="120">
        <v>-3388</v>
      </c>
      <c r="R23" s="177">
        <v>-2991</v>
      </c>
      <c r="S23" s="177">
        <v>-3985</v>
      </c>
      <c r="T23" s="121">
        <v>-6076</v>
      </c>
      <c r="U23" s="121">
        <v>-11512</v>
      </c>
      <c r="V23" s="121">
        <v>-11710</v>
      </c>
      <c r="W23" s="106">
        <v>-9364</v>
      </c>
      <c r="X23" s="121">
        <v>-13710</v>
      </c>
      <c r="Y23" s="121">
        <v>5398</v>
      </c>
      <c r="Z23" s="121">
        <v>3962</v>
      </c>
      <c r="AA23" s="121">
        <v>2169</v>
      </c>
      <c r="AB23" s="122">
        <v>18.25</v>
      </c>
      <c r="AC23" s="123">
        <v>18.25</v>
      </c>
      <c r="AD23" s="124">
        <v>18.25</v>
      </c>
      <c r="AE23" s="125">
        <v>18.25</v>
      </c>
      <c r="AF23" s="126">
        <v>18.25</v>
      </c>
      <c r="AG23" s="123">
        <v>18.75</v>
      </c>
      <c r="AH23" s="123">
        <v>18.75</v>
      </c>
      <c r="AI23" s="127">
        <v>18.75</v>
      </c>
      <c r="AJ23" s="127">
        <v>18.75</v>
      </c>
      <c r="AK23" s="177">
        <v>18.75</v>
      </c>
      <c r="AL23" s="128">
        <v>18.75</v>
      </c>
      <c r="AM23" s="128">
        <v>19.25</v>
      </c>
      <c r="AN23" s="128">
        <v>20.75</v>
      </c>
      <c r="AO23" s="77">
        <v>20.75</v>
      </c>
      <c r="AP23" s="77">
        <v>20.75</v>
      </c>
      <c r="AQ23" s="129">
        <v>21.25</v>
      </c>
      <c r="AR23" s="129">
        <v>21.75</v>
      </c>
      <c r="AS23" s="129">
        <v>21.75</v>
      </c>
      <c r="AT23" s="116">
        <v>9109</v>
      </c>
      <c r="AU23" s="47">
        <v>23467</v>
      </c>
      <c r="AV23" s="47">
        <v>69710</v>
      </c>
      <c r="AW23" s="46">
        <v>38761</v>
      </c>
      <c r="AX23" s="46">
        <v>13227</v>
      </c>
      <c r="AY23" s="92">
        <v>19954</v>
      </c>
      <c r="AZ23" s="47">
        <v>5145</v>
      </c>
      <c r="BA23" s="44">
        <v>5778</v>
      </c>
      <c r="BB23" s="23">
        <v>24121</v>
      </c>
      <c r="BC23" s="47">
        <v>19099</v>
      </c>
      <c r="BD23" s="44">
        <v>19109</v>
      </c>
      <c r="BE23" s="47">
        <v>5398</v>
      </c>
      <c r="BF23" s="44">
        <v>38761</v>
      </c>
      <c r="BG23" s="46">
        <v>34072</v>
      </c>
      <c r="BH23" s="130">
        <v>2661</v>
      </c>
      <c r="BI23" s="46">
        <v>2028</v>
      </c>
      <c r="BJ23" s="129">
        <v>21.25</v>
      </c>
      <c r="BK23" s="44">
        <v>51934</v>
      </c>
      <c r="BL23" s="116">
        <v>9021</v>
      </c>
      <c r="BM23" s="47">
        <v>14615</v>
      </c>
      <c r="BN23" s="130">
        <v>65541</v>
      </c>
      <c r="BO23" s="46">
        <v>39738</v>
      </c>
      <c r="BP23" s="46">
        <v>12503</v>
      </c>
      <c r="BQ23" s="46">
        <v>1076</v>
      </c>
      <c r="BR23" s="130">
        <v>2391</v>
      </c>
      <c r="BS23" s="44">
        <v>3838</v>
      </c>
      <c r="BT23" s="92">
        <v>-12080</v>
      </c>
      <c r="BU23" s="117">
        <v>-1436</v>
      </c>
      <c r="BV23" s="130">
        <v>3962</v>
      </c>
      <c r="BW23" s="48">
        <v>39738</v>
      </c>
      <c r="BX23" s="46">
        <v>34051</v>
      </c>
      <c r="BY23" s="130">
        <v>3111</v>
      </c>
      <c r="BZ23" s="46">
        <v>2576</v>
      </c>
      <c r="CA23" s="129">
        <v>21.75</v>
      </c>
      <c r="CB23" s="44">
        <v>64637</v>
      </c>
      <c r="CC23" s="116">
        <v>8864</v>
      </c>
      <c r="CD23" s="47">
        <v>15872</v>
      </c>
      <c r="CE23" s="130">
        <v>67370</v>
      </c>
      <c r="CF23" s="46">
        <v>40070</v>
      </c>
      <c r="CG23" s="46">
        <v>12103</v>
      </c>
      <c r="CH23" s="46">
        <v>1499</v>
      </c>
      <c r="CI23" s="130">
        <v>1881</v>
      </c>
      <c r="CJ23" s="44">
        <v>3744</v>
      </c>
      <c r="CK23" s="117">
        <v>-2556</v>
      </c>
      <c r="CL23" s="117">
        <v>-1791</v>
      </c>
      <c r="CM23" s="117">
        <v>2169</v>
      </c>
      <c r="CN23" s="48">
        <v>40070</v>
      </c>
      <c r="CO23" s="46">
        <v>34508</v>
      </c>
      <c r="CP23" s="130">
        <v>2842</v>
      </c>
      <c r="CQ23" s="46">
        <v>2720</v>
      </c>
      <c r="CR23" s="129">
        <v>21.75</v>
      </c>
      <c r="CS23" s="44">
        <v>65637</v>
      </c>
      <c r="CT23">
        <v>8663</v>
      </c>
      <c r="CU23">
        <v>38792</v>
      </c>
      <c r="CV23">
        <v>12898</v>
      </c>
      <c r="CW23">
        <v>16503</v>
      </c>
      <c r="CX23">
        <v>1659</v>
      </c>
      <c r="CY23">
        <v>33908</v>
      </c>
      <c r="CZ23">
        <v>2163</v>
      </c>
      <c r="DA23">
        <v>2721</v>
      </c>
      <c r="DB23">
        <v>4113</v>
      </c>
      <c r="DC23">
        <v>-2436</v>
      </c>
      <c r="DD23">
        <v>3662</v>
      </c>
      <c r="DE23">
        <v>65412</v>
      </c>
      <c r="DF23">
        <v>65739</v>
      </c>
      <c r="DG23">
        <v>461</v>
      </c>
      <c r="DH23">
        <v>2760</v>
      </c>
      <c r="DI23">
        <v>21.75</v>
      </c>
      <c r="DJ23" s="174">
        <v>8517</v>
      </c>
      <c r="DK23" s="34">
        <v>39028</v>
      </c>
      <c r="DL23" s="34">
        <v>12668</v>
      </c>
      <c r="DM23">
        <v>17751</v>
      </c>
      <c r="DN23" s="173">
        <v>1974</v>
      </c>
      <c r="DO23" s="34">
        <v>33622</v>
      </c>
      <c r="DP23" s="173">
        <v>2782</v>
      </c>
      <c r="DQ23" s="34">
        <v>2624</v>
      </c>
      <c r="DR23" s="173">
        <v>6964</v>
      </c>
      <c r="DS23" s="173">
        <v>-1529</v>
      </c>
      <c r="DT23">
        <v>3824</v>
      </c>
      <c r="DU23">
        <v>61921</v>
      </c>
      <c r="DV23" s="173">
        <v>64457</v>
      </c>
      <c r="DW23" s="173">
        <v>3150</v>
      </c>
      <c r="DX23" s="173">
        <v>5985</v>
      </c>
      <c r="DY23" s="57">
        <v>21.75</v>
      </c>
      <c r="DZ23" s="184">
        <v>140</v>
      </c>
      <c r="EA23" s="116">
        <v>8379</v>
      </c>
      <c r="EB23" s="48">
        <v>38680</v>
      </c>
      <c r="EC23" s="46">
        <v>12372</v>
      </c>
      <c r="ED23" s="90">
        <v>16376</v>
      </c>
      <c r="EE23" s="186">
        <v>2079</v>
      </c>
      <c r="EF23" s="46">
        <v>33003</v>
      </c>
      <c r="EG23" s="130">
        <v>2734</v>
      </c>
      <c r="EH23" s="46">
        <v>2943</v>
      </c>
      <c r="EI23" s="130">
        <v>3747</v>
      </c>
      <c r="EJ23" s="48">
        <v>-2900</v>
      </c>
      <c r="EK23" s="44">
        <v>3600</v>
      </c>
      <c r="EL23" s="44">
        <v>60350</v>
      </c>
      <c r="EM23" s="130">
        <v>65760</v>
      </c>
      <c r="EN23" s="117">
        <v>157</v>
      </c>
      <c r="EO23" s="117">
        <v>6142</v>
      </c>
      <c r="EP23" s="129">
        <v>21.75</v>
      </c>
    </row>
    <row r="24" spans="1:146" ht="15" x14ac:dyDescent="0.25">
      <c r="A24" s="27">
        <v>79</v>
      </c>
      <c r="B24" s="27" t="s">
        <v>153</v>
      </c>
      <c r="C24" s="27">
        <v>4</v>
      </c>
      <c r="D24" s="27" t="s">
        <v>120</v>
      </c>
      <c r="E24" s="27">
        <v>3</v>
      </c>
      <c r="F24" s="27" t="s">
        <v>743</v>
      </c>
      <c r="G24" s="29" t="s">
        <v>141</v>
      </c>
      <c r="H24" s="27" t="s">
        <v>97</v>
      </c>
      <c r="I24" s="31" t="s">
        <v>120</v>
      </c>
      <c r="J24" s="118">
        <v>-4193.5977583913163</v>
      </c>
      <c r="K24" s="118">
        <v>-3432.5473911529784</v>
      </c>
      <c r="L24" s="118">
        <v>-6047.8696476294754</v>
      </c>
      <c r="M24" s="118">
        <v>-1522.2689224031365</v>
      </c>
      <c r="N24" s="22">
        <v>-278</v>
      </c>
      <c r="O24" s="119">
        <v>121</v>
      </c>
      <c r="P24" s="119">
        <v>903</v>
      </c>
      <c r="Q24" s="120">
        <v>912</v>
      </c>
      <c r="R24" s="22">
        <v>2697</v>
      </c>
      <c r="S24" s="22">
        <v>4622</v>
      </c>
      <c r="T24" s="121">
        <v>8501</v>
      </c>
      <c r="U24" s="121">
        <v>13913</v>
      </c>
      <c r="V24" s="121">
        <v>17696</v>
      </c>
      <c r="W24" s="106">
        <v>14731</v>
      </c>
      <c r="X24" s="121">
        <v>9086</v>
      </c>
      <c r="Y24" s="121">
        <v>8771</v>
      </c>
      <c r="Z24" s="121">
        <v>10556</v>
      </c>
      <c r="AA24" s="121">
        <v>9692</v>
      </c>
      <c r="AB24" s="122">
        <v>17.25</v>
      </c>
      <c r="AC24" s="123">
        <v>18.25</v>
      </c>
      <c r="AD24" s="124">
        <v>18.25</v>
      </c>
      <c r="AE24" s="125">
        <v>18.25</v>
      </c>
      <c r="AF24" s="126">
        <v>18.25</v>
      </c>
      <c r="AG24" s="123">
        <v>18.75</v>
      </c>
      <c r="AH24" s="123">
        <v>18.75</v>
      </c>
      <c r="AI24" s="127">
        <v>18.75</v>
      </c>
      <c r="AJ24" s="127">
        <v>18.75</v>
      </c>
      <c r="AK24" s="22">
        <v>18.75</v>
      </c>
      <c r="AL24" s="128">
        <v>18.75</v>
      </c>
      <c r="AM24" s="128">
        <v>18.75</v>
      </c>
      <c r="AN24" s="128">
        <v>18.75</v>
      </c>
      <c r="AO24" s="77">
        <v>18.75</v>
      </c>
      <c r="AP24" s="77">
        <v>18.75</v>
      </c>
      <c r="AQ24" s="129">
        <v>18.75</v>
      </c>
      <c r="AR24" s="129">
        <v>19.75</v>
      </c>
      <c r="AS24" s="129">
        <v>19.75</v>
      </c>
      <c r="AT24" s="116">
        <v>7407</v>
      </c>
      <c r="AU24" s="47">
        <v>8954</v>
      </c>
      <c r="AV24" s="47">
        <v>49206</v>
      </c>
      <c r="AW24" s="46">
        <v>27742</v>
      </c>
      <c r="AX24" s="46">
        <v>13714</v>
      </c>
      <c r="AY24" s="92">
        <v>59</v>
      </c>
      <c r="AZ24" s="47">
        <v>1199</v>
      </c>
      <c r="BA24" s="44">
        <v>1515</v>
      </c>
      <c r="BB24" s="23">
        <v>-8250</v>
      </c>
      <c r="BC24" s="47">
        <v>-316</v>
      </c>
      <c r="BD24" s="44">
        <v>-315</v>
      </c>
      <c r="BE24" s="47">
        <v>8771</v>
      </c>
      <c r="BF24" s="44">
        <v>27742</v>
      </c>
      <c r="BG24" s="46">
        <v>22592</v>
      </c>
      <c r="BH24" s="130">
        <v>3632</v>
      </c>
      <c r="BI24" s="46">
        <v>1518</v>
      </c>
      <c r="BJ24" s="129">
        <v>18.75</v>
      </c>
      <c r="BK24" s="44">
        <v>13429</v>
      </c>
      <c r="BL24" s="116">
        <v>7366</v>
      </c>
      <c r="BM24" s="47">
        <v>6736</v>
      </c>
      <c r="BN24" s="130">
        <v>47988</v>
      </c>
      <c r="BO24" s="46">
        <v>30822</v>
      </c>
      <c r="BP24" s="46">
        <v>14325</v>
      </c>
      <c r="BQ24" s="46">
        <v>50</v>
      </c>
      <c r="BR24" s="130">
        <v>3804</v>
      </c>
      <c r="BS24" s="44">
        <v>2017</v>
      </c>
      <c r="BT24" s="92">
        <v>-2778</v>
      </c>
      <c r="BU24" s="117">
        <v>1786</v>
      </c>
      <c r="BV24" s="130">
        <v>10556</v>
      </c>
      <c r="BW24" s="48">
        <v>30822</v>
      </c>
      <c r="BX24" s="46">
        <v>23655</v>
      </c>
      <c r="BY24" s="130">
        <v>5575</v>
      </c>
      <c r="BZ24" s="46">
        <v>1592</v>
      </c>
      <c r="CA24" s="129">
        <v>19.75</v>
      </c>
      <c r="CB24" s="44">
        <v>13000</v>
      </c>
      <c r="CC24" s="116">
        <v>7296</v>
      </c>
      <c r="CD24" s="47">
        <v>6204</v>
      </c>
      <c r="CE24" s="130">
        <v>47925</v>
      </c>
      <c r="CF24" s="46">
        <v>30477</v>
      </c>
      <c r="CG24" s="46">
        <v>12673</v>
      </c>
      <c r="CH24" s="46">
        <v>77</v>
      </c>
      <c r="CI24" s="130">
        <v>1315</v>
      </c>
      <c r="CJ24" s="44">
        <v>2180</v>
      </c>
      <c r="CK24" s="117">
        <v>-1721</v>
      </c>
      <c r="CL24" s="117">
        <v>-865</v>
      </c>
      <c r="CM24" s="117">
        <v>9692</v>
      </c>
      <c r="CN24" s="48">
        <v>30477</v>
      </c>
      <c r="CO24" s="46">
        <v>23439</v>
      </c>
      <c r="CP24" s="130">
        <v>5237</v>
      </c>
      <c r="CQ24" s="46">
        <v>1801</v>
      </c>
      <c r="CR24" s="129">
        <v>19.75</v>
      </c>
      <c r="CS24" s="44">
        <v>11857</v>
      </c>
      <c r="CT24">
        <v>7240</v>
      </c>
      <c r="CU24">
        <v>30404</v>
      </c>
      <c r="CV24">
        <v>12147</v>
      </c>
      <c r="CW24">
        <v>6184</v>
      </c>
      <c r="CX24">
        <v>39</v>
      </c>
      <c r="CY24">
        <v>23502</v>
      </c>
      <c r="CZ24">
        <v>5099</v>
      </c>
      <c r="DA24">
        <v>1803</v>
      </c>
      <c r="DB24">
        <v>-782</v>
      </c>
      <c r="DC24">
        <v>-1935</v>
      </c>
      <c r="DD24">
        <v>2245</v>
      </c>
      <c r="DE24">
        <v>15714</v>
      </c>
      <c r="DF24">
        <v>49415</v>
      </c>
      <c r="DG24">
        <v>-3027</v>
      </c>
      <c r="DH24">
        <v>6667</v>
      </c>
      <c r="DI24">
        <v>19.75</v>
      </c>
      <c r="DJ24" s="174">
        <v>7151</v>
      </c>
      <c r="DK24" s="34">
        <v>34748</v>
      </c>
      <c r="DL24" s="34">
        <v>11726</v>
      </c>
      <c r="DM24">
        <v>5622</v>
      </c>
      <c r="DN24" s="173">
        <v>-51</v>
      </c>
      <c r="DO24" s="34">
        <v>24137</v>
      </c>
      <c r="DP24" s="173">
        <v>8740</v>
      </c>
      <c r="DQ24" s="34">
        <v>1871</v>
      </c>
      <c r="DR24" s="173">
        <v>2602</v>
      </c>
      <c r="DS24" s="173">
        <v>-2337</v>
      </c>
      <c r="DT24">
        <v>2314</v>
      </c>
      <c r="DU24">
        <v>16429</v>
      </c>
      <c r="DV24" s="173">
        <v>49443</v>
      </c>
      <c r="DW24" s="173">
        <v>288</v>
      </c>
      <c r="DX24" s="173">
        <v>6955</v>
      </c>
      <c r="DY24" s="57">
        <v>20.75</v>
      </c>
      <c r="DZ24" s="184">
        <v>140</v>
      </c>
      <c r="EA24" s="116">
        <v>7018</v>
      </c>
      <c r="EB24" s="48">
        <v>33349</v>
      </c>
      <c r="EC24" s="46">
        <v>11079</v>
      </c>
      <c r="ED24" s="90">
        <v>5875</v>
      </c>
      <c r="EE24" s="186">
        <v>-31</v>
      </c>
      <c r="EF24" s="46">
        <v>24048</v>
      </c>
      <c r="EG24" s="130">
        <v>7408</v>
      </c>
      <c r="EH24" s="46">
        <v>1893</v>
      </c>
      <c r="EI24" s="130">
        <v>-191</v>
      </c>
      <c r="EJ24" s="48">
        <v>-2083</v>
      </c>
      <c r="EK24" s="44">
        <v>2373</v>
      </c>
      <c r="EL24" s="44">
        <v>17643</v>
      </c>
      <c r="EM24" s="130">
        <v>50463</v>
      </c>
      <c r="EN24" s="117">
        <v>-2564</v>
      </c>
      <c r="EO24" s="117">
        <v>4391</v>
      </c>
      <c r="EP24" s="129">
        <v>20.75</v>
      </c>
    </row>
    <row r="25" spans="1:146" ht="15" x14ac:dyDescent="0.25">
      <c r="A25" s="27">
        <v>81</v>
      </c>
      <c r="B25" s="27" t="s">
        <v>154</v>
      </c>
      <c r="C25" s="27">
        <v>7</v>
      </c>
      <c r="D25" s="27" t="s">
        <v>119</v>
      </c>
      <c r="E25" s="27">
        <v>2</v>
      </c>
      <c r="F25" s="27" t="s">
        <v>744</v>
      </c>
      <c r="G25" s="29" t="s">
        <v>130</v>
      </c>
      <c r="H25" s="27" t="s">
        <v>98</v>
      </c>
      <c r="I25" s="31" t="s">
        <v>119</v>
      </c>
      <c r="J25" s="118">
        <v>-381.78659306763001</v>
      </c>
      <c r="K25" s="118">
        <v>-1140.1459534825833</v>
      </c>
      <c r="L25" s="118">
        <v>-279.86470963195433</v>
      </c>
      <c r="M25" s="118">
        <v>-1375.9454263816217</v>
      </c>
      <c r="N25" s="22">
        <v>-980</v>
      </c>
      <c r="O25" s="119">
        <v>747</v>
      </c>
      <c r="P25" s="119">
        <v>-518</v>
      </c>
      <c r="Q25" s="120">
        <v>-1616</v>
      </c>
      <c r="R25" s="22">
        <v>-2541</v>
      </c>
      <c r="S25" s="22">
        <v>-3612</v>
      </c>
      <c r="T25" s="121">
        <v>-3013</v>
      </c>
      <c r="U25" s="121">
        <v>-2808</v>
      </c>
      <c r="V25" s="121">
        <v>-185</v>
      </c>
      <c r="W25" s="106">
        <v>-140</v>
      </c>
      <c r="X25" s="121">
        <v>-1221</v>
      </c>
      <c r="Y25" s="121">
        <v>-1675</v>
      </c>
      <c r="Z25" s="121">
        <v>-581</v>
      </c>
      <c r="AA25" s="121">
        <v>227</v>
      </c>
      <c r="AB25" s="122">
        <v>18</v>
      </c>
      <c r="AC25" s="123">
        <v>18</v>
      </c>
      <c r="AD25" s="124">
        <v>18.75</v>
      </c>
      <c r="AE25" s="125">
        <v>18.75</v>
      </c>
      <c r="AF25" s="126">
        <v>18.75</v>
      </c>
      <c r="AG25" s="123">
        <v>18.75</v>
      </c>
      <c r="AH25" s="123">
        <v>18.75</v>
      </c>
      <c r="AI25" s="131">
        <v>19</v>
      </c>
      <c r="AJ25" s="131">
        <v>19</v>
      </c>
      <c r="AK25" s="22">
        <v>20.25</v>
      </c>
      <c r="AL25" s="128">
        <v>20.5</v>
      </c>
      <c r="AM25" s="128">
        <v>20.5</v>
      </c>
      <c r="AN25" s="128">
        <v>20.5</v>
      </c>
      <c r="AO25" s="77">
        <v>20.5</v>
      </c>
      <c r="AP25" s="77">
        <v>20.5</v>
      </c>
      <c r="AQ25" s="129">
        <v>21</v>
      </c>
      <c r="AR25" s="129">
        <v>21.5</v>
      </c>
      <c r="AS25" s="129">
        <v>21.5</v>
      </c>
      <c r="AT25" s="116">
        <v>3098</v>
      </c>
      <c r="AU25" s="47">
        <v>2979</v>
      </c>
      <c r="AV25" s="47">
        <v>21127</v>
      </c>
      <c r="AW25" s="46">
        <v>9585</v>
      </c>
      <c r="AX25" s="46">
        <v>9048</v>
      </c>
      <c r="AY25" s="92">
        <v>46</v>
      </c>
      <c r="AZ25" s="47">
        <v>372</v>
      </c>
      <c r="BA25" s="44">
        <v>558</v>
      </c>
      <c r="BB25" s="23">
        <v>-1053</v>
      </c>
      <c r="BC25" s="47">
        <v>-454</v>
      </c>
      <c r="BD25" s="44">
        <v>-454</v>
      </c>
      <c r="BE25" s="47">
        <v>-1675</v>
      </c>
      <c r="BF25" s="44">
        <v>9585</v>
      </c>
      <c r="BG25" s="46">
        <v>7397</v>
      </c>
      <c r="BH25" s="130">
        <v>962</v>
      </c>
      <c r="BI25" s="46">
        <v>1226</v>
      </c>
      <c r="BJ25" s="129">
        <v>21</v>
      </c>
      <c r="BK25" s="44">
        <v>8215</v>
      </c>
      <c r="BL25" s="116">
        <v>3071</v>
      </c>
      <c r="BM25" s="47">
        <v>3092</v>
      </c>
      <c r="BN25" s="130">
        <v>20946</v>
      </c>
      <c r="BO25" s="46">
        <v>10089</v>
      </c>
      <c r="BP25" s="46">
        <v>9398</v>
      </c>
      <c r="BQ25" s="46">
        <v>120</v>
      </c>
      <c r="BR25" s="130">
        <v>1494</v>
      </c>
      <c r="BS25" s="44">
        <v>482</v>
      </c>
      <c r="BT25" s="92">
        <v>-3593</v>
      </c>
      <c r="BU25" s="117">
        <v>1094</v>
      </c>
      <c r="BV25" s="130">
        <v>-581</v>
      </c>
      <c r="BW25" s="48">
        <v>10089</v>
      </c>
      <c r="BX25" s="46">
        <v>7632</v>
      </c>
      <c r="BY25" s="130">
        <v>1126</v>
      </c>
      <c r="BZ25" s="46">
        <v>1331</v>
      </c>
      <c r="CA25" s="129">
        <v>21.5</v>
      </c>
      <c r="CB25" s="44">
        <v>12218</v>
      </c>
      <c r="CC25" s="116">
        <v>2982</v>
      </c>
      <c r="CD25" s="47">
        <v>3039</v>
      </c>
      <c r="CE25" s="130">
        <v>20545</v>
      </c>
      <c r="CF25" s="46">
        <v>10219</v>
      </c>
      <c r="CG25" s="46">
        <v>8788</v>
      </c>
      <c r="CH25" s="46">
        <v>57</v>
      </c>
      <c r="CI25" s="130">
        <v>1364</v>
      </c>
      <c r="CJ25" s="44">
        <v>556</v>
      </c>
      <c r="CK25" s="117">
        <v>-2930</v>
      </c>
      <c r="CL25" s="117">
        <v>808</v>
      </c>
      <c r="CM25" s="117">
        <v>227</v>
      </c>
      <c r="CN25" s="48">
        <v>10219</v>
      </c>
      <c r="CO25" s="46">
        <v>7596</v>
      </c>
      <c r="CP25" s="130">
        <v>1285</v>
      </c>
      <c r="CQ25" s="46">
        <v>1338</v>
      </c>
      <c r="CR25" s="129">
        <v>21.5</v>
      </c>
      <c r="CS25" s="44">
        <v>14152</v>
      </c>
      <c r="CT25">
        <v>2924</v>
      </c>
      <c r="CU25">
        <v>9741</v>
      </c>
      <c r="CV25">
        <v>9062</v>
      </c>
      <c r="CW25">
        <v>3046</v>
      </c>
      <c r="CX25">
        <v>586</v>
      </c>
      <c r="CY25">
        <v>7157</v>
      </c>
      <c r="CZ25">
        <v>1232</v>
      </c>
      <c r="DA25">
        <v>1352</v>
      </c>
      <c r="DB25">
        <v>1637</v>
      </c>
      <c r="DC25">
        <v>-2316</v>
      </c>
      <c r="DD25">
        <v>656</v>
      </c>
      <c r="DE25">
        <v>15397</v>
      </c>
      <c r="DF25">
        <v>20083</v>
      </c>
      <c r="DG25">
        <v>415</v>
      </c>
      <c r="DH25">
        <v>642</v>
      </c>
      <c r="DI25">
        <v>21.5</v>
      </c>
      <c r="DJ25" s="174">
        <v>2882</v>
      </c>
      <c r="DK25" s="34">
        <v>9988</v>
      </c>
      <c r="DL25" s="34">
        <v>9153</v>
      </c>
      <c r="DM25">
        <v>2926</v>
      </c>
      <c r="DN25" s="173">
        <v>637</v>
      </c>
      <c r="DO25" s="34">
        <v>7275</v>
      </c>
      <c r="DP25" s="173">
        <v>1391</v>
      </c>
      <c r="DQ25" s="34">
        <v>1322</v>
      </c>
      <c r="DR25" s="173">
        <v>1353</v>
      </c>
      <c r="DS25" s="173">
        <v>-389</v>
      </c>
      <c r="DT25">
        <v>782</v>
      </c>
      <c r="DU25">
        <v>13468</v>
      </c>
      <c r="DV25" s="173">
        <v>20601</v>
      </c>
      <c r="DW25" s="173">
        <v>321</v>
      </c>
      <c r="DX25" s="173">
        <v>963</v>
      </c>
      <c r="DY25" s="57">
        <v>21.5</v>
      </c>
      <c r="DZ25" s="184">
        <v>340</v>
      </c>
      <c r="EA25" s="116">
        <v>2780</v>
      </c>
      <c r="EB25" s="48">
        <v>9796</v>
      </c>
      <c r="EC25" s="46">
        <v>8888</v>
      </c>
      <c r="ED25" s="90">
        <v>2650</v>
      </c>
      <c r="EE25" s="186">
        <v>-86</v>
      </c>
      <c r="EF25" s="46">
        <v>7218</v>
      </c>
      <c r="EG25" s="130">
        <v>1260</v>
      </c>
      <c r="EH25" s="46">
        <v>1318</v>
      </c>
      <c r="EI25" s="130">
        <v>115</v>
      </c>
      <c r="EJ25" s="48">
        <v>-595</v>
      </c>
      <c r="EK25" s="44">
        <v>786</v>
      </c>
      <c r="EL25" s="44">
        <v>12556</v>
      </c>
      <c r="EM25" s="130">
        <v>21133</v>
      </c>
      <c r="EN25" s="117">
        <v>-671</v>
      </c>
      <c r="EO25" s="117">
        <v>292</v>
      </c>
      <c r="EP25" s="129">
        <v>21.5</v>
      </c>
    </row>
    <row r="26" spans="1:146" ht="15" x14ac:dyDescent="0.25">
      <c r="A26" s="27">
        <v>82</v>
      </c>
      <c r="B26" s="27" t="s">
        <v>155</v>
      </c>
      <c r="C26" s="27">
        <v>5</v>
      </c>
      <c r="D26" s="27" t="s">
        <v>109</v>
      </c>
      <c r="E26" s="27">
        <v>3</v>
      </c>
      <c r="F26" s="27" t="s">
        <v>743</v>
      </c>
      <c r="G26" s="29" t="s">
        <v>132</v>
      </c>
      <c r="H26" s="27" t="s">
        <v>99</v>
      </c>
      <c r="I26" s="31" t="s">
        <v>109</v>
      </c>
      <c r="J26" s="118">
        <v>-1797.7607459470914</v>
      </c>
      <c r="K26" s="118">
        <v>-539.21049223560431</v>
      </c>
      <c r="L26" s="118">
        <v>-320.56618783563999</v>
      </c>
      <c r="M26" s="118">
        <v>7501.349708109854</v>
      </c>
      <c r="N26" s="22">
        <v>10781</v>
      </c>
      <c r="O26" s="119">
        <v>11944</v>
      </c>
      <c r="P26" s="119">
        <v>11871</v>
      </c>
      <c r="Q26" s="120">
        <v>11008</v>
      </c>
      <c r="R26" s="22">
        <v>9140</v>
      </c>
      <c r="S26" s="22">
        <v>7977</v>
      </c>
      <c r="T26" s="121">
        <v>6216</v>
      </c>
      <c r="U26" s="121">
        <v>2526</v>
      </c>
      <c r="V26" s="121">
        <v>3202</v>
      </c>
      <c r="W26" s="106">
        <v>3049</v>
      </c>
      <c r="X26" s="121">
        <v>1242</v>
      </c>
      <c r="Y26" s="121">
        <v>2828</v>
      </c>
      <c r="Z26" s="121">
        <v>4786</v>
      </c>
      <c r="AA26" s="121">
        <v>5039</v>
      </c>
      <c r="AB26" s="122">
        <v>16.75</v>
      </c>
      <c r="AC26" s="123">
        <v>17.75</v>
      </c>
      <c r="AD26" s="124">
        <v>17.75</v>
      </c>
      <c r="AE26" s="125">
        <v>17.75</v>
      </c>
      <c r="AF26" s="126">
        <v>17.75</v>
      </c>
      <c r="AG26" s="123">
        <v>17.75</v>
      </c>
      <c r="AH26" s="123">
        <v>17.75</v>
      </c>
      <c r="AI26" s="127">
        <v>17.75</v>
      </c>
      <c r="AJ26" s="127">
        <v>17.75</v>
      </c>
      <c r="AK26" s="22">
        <v>17.75</v>
      </c>
      <c r="AL26" s="128">
        <v>17.75</v>
      </c>
      <c r="AM26" s="128">
        <v>17.75</v>
      </c>
      <c r="AN26" s="128">
        <v>19.25</v>
      </c>
      <c r="AO26" s="77">
        <v>19.25</v>
      </c>
      <c r="AP26" s="77">
        <v>19.25</v>
      </c>
      <c r="AQ26" s="129">
        <v>20</v>
      </c>
      <c r="AR26" s="129">
        <v>20</v>
      </c>
      <c r="AS26" s="129">
        <v>20</v>
      </c>
      <c r="AT26" s="116">
        <v>9684</v>
      </c>
      <c r="AU26" s="47">
        <v>5001</v>
      </c>
      <c r="AV26" s="47">
        <v>47664</v>
      </c>
      <c r="AW26" s="46">
        <v>35391</v>
      </c>
      <c r="AX26" s="46">
        <v>10621</v>
      </c>
      <c r="AY26" s="92">
        <v>0</v>
      </c>
      <c r="AZ26" s="47">
        <v>3128</v>
      </c>
      <c r="BA26" s="44">
        <v>1543</v>
      </c>
      <c r="BB26" s="23">
        <v>-774</v>
      </c>
      <c r="BC26" s="47">
        <v>1585</v>
      </c>
      <c r="BD26" s="44">
        <v>1586</v>
      </c>
      <c r="BE26" s="47">
        <v>2828</v>
      </c>
      <c r="BF26" s="44">
        <v>35391</v>
      </c>
      <c r="BG26" s="46">
        <v>32727</v>
      </c>
      <c r="BH26" s="130">
        <v>978</v>
      </c>
      <c r="BI26" s="46">
        <v>1686</v>
      </c>
      <c r="BJ26" s="129">
        <v>20</v>
      </c>
      <c r="BK26" s="44">
        <v>23659</v>
      </c>
      <c r="BL26" s="116">
        <v>9738</v>
      </c>
      <c r="BM26" s="47">
        <v>6136</v>
      </c>
      <c r="BN26" s="130">
        <v>48614</v>
      </c>
      <c r="BO26" s="46">
        <v>35322</v>
      </c>
      <c r="BP26" s="46">
        <v>10276</v>
      </c>
      <c r="BQ26" s="46">
        <v>537</v>
      </c>
      <c r="BR26" s="130">
        <v>2970</v>
      </c>
      <c r="BS26" s="44">
        <v>1517</v>
      </c>
      <c r="BT26" s="92">
        <v>-2286</v>
      </c>
      <c r="BU26" s="117">
        <v>1958</v>
      </c>
      <c r="BV26" s="130">
        <v>4786</v>
      </c>
      <c r="BW26" s="48">
        <v>35322</v>
      </c>
      <c r="BX26" s="46">
        <v>32132</v>
      </c>
      <c r="BY26" s="130">
        <v>1081</v>
      </c>
      <c r="BZ26" s="46">
        <v>2109</v>
      </c>
      <c r="CA26" s="129">
        <v>20</v>
      </c>
      <c r="CB26" s="44">
        <v>22411</v>
      </c>
      <c r="CC26" s="116">
        <v>9747</v>
      </c>
      <c r="CD26" s="47">
        <v>6007</v>
      </c>
      <c r="CE26" s="130">
        <v>49058</v>
      </c>
      <c r="CF26" s="46">
        <v>36768</v>
      </c>
      <c r="CG26" s="46">
        <v>9518</v>
      </c>
      <c r="CH26" s="46">
        <v>0</v>
      </c>
      <c r="CI26" s="130">
        <v>3119</v>
      </c>
      <c r="CJ26" s="44">
        <v>1551</v>
      </c>
      <c r="CK26" s="117">
        <v>-7786</v>
      </c>
      <c r="CL26" s="117">
        <v>1568</v>
      </c>
      <c r="CM26" s="117">
        <v>5039</v>
      </c>
      <c r="CN26" s="48">
        <v>36768</v>
      </c>
      <c r="CO26" s="46">
        <v>33308</v>
      </c>
      <c r="CP26" s="130">
        <v>1326</v>
      </c>
      <c r="CQ26" s="46">
        <v>2134</v>
      </c>
      <c r="CR26" s="129">
        <v>20</v>
      </c>
      <c r="CS26" s="44">
        <v>28389</v>
      </c>
      <c r="CT26">
        <v>9682</v>
      </c>
      <c r="CU26">
        <v>36609</v>
      </c>
      <c r="CV26">
        <v>9912</v>
      </c>
      <c r="CW26">
        <v>6061</v>
      </c>
      <c r="CX26">
        <v>26</v>
      </c>
      <c r="CY26">
        <v>33290</v>
      </c>
      <c r="CZ26">
        <v>1127</v>
      </c>
      <c r="DA26">
        <v>2192</v>
      </c>
      <c r="DB26">
        <v>1619</v>
      </c>
      <c r="DC26">
        <v>-9844</v>
      </c>
      <c r="DD26">
        <v>1549</v>
      </c>
      <c r="DE26">
        <v>36148</v>
      </c>
      <c r="DF26">
        <v>50893</v>
      </c>
      <c r="DG26">
        <v>-202</v>
      </c>
      <c r="DH26">
        <v>4838</v>
      </c>
      <c r="DI26">
        <v>20</v>
      </c>
      <c r="DJ26" s="174">
        <v>9610</v>
      </c>
      <c r="DK26" s="34">
        <v>37543</v>
      </c>
      <c r="DL26" s="34">
        <v>9659</v>
      </c>
      <c r="DM26">
        <v>7322</v>
      </c>
      <c r="DN26" s="173">
        <v>-80</v>
      </c>
      <c r="DO26" s="34">
        <v>34090</v>
      </c>
      <c r="DP26" s="173">
        <v>1330</v>
      </c>
      <c r="DQ26" s="34">
        <v>2123</v>
      </c>
      <c r="DR26" s="173">
        <v>2753</v>
      </c>
      <c r="DS26" s="173">
        <v>-647</v>
      </c>
      <c r="DT26">
        <v>2081</v>
      </c>
      <c r="DU26">
        <v>35161</v>
      </c>
      <c r="DV26" s="173">
        <v>51691</v>
      </c>
      <c r="DW26" s="173">
        <v>672</v>
      </c>
      <c r="DX26" s="173">
        <v>5510</v>
      </c>
      <c r="DY26" s="57">
        <v>20.5</v>
      </c>
      <c r="DZ26" s="184">
        <v>240</v>
      </c>
      <c r="EA26" s="116">
        <v>9475</v>
      </c>
      <c r="EB26" s="48">
        <v>37674</v>
      </c>
      <c r="EC26" s="46">
        <v>9329</v>
      </c>
      <c r="ED26" s="90">
        <v>6627</v>
      </c>
      <c r="EE26" s="186">
        <v>52</v>
      </c>
      <c r="EF26" s="46">
        <v>34059</v>
      </c>
      <c r="EG26" s="130">
        <v>1307</v>
      </c>
      <c r="EH26" s="46">
        <v>2308</v>
      </c>
      <c r="EI26" s="130">
        <v>1328</v>
      </c>
      <c r="EJ26" s="48">
        <v>467</v>
      </c>
      <c r="EK26" s="44">
        <v>1985</v>
      </c>
      <c r="EL26" s="44">
        <v>34533</v>
      </c>
      <c r="EM26" s="130">
        <v>52354</v>
      </c>
      <c r="EN26" s="117">
        <v>-657</v>
      </c>
      <c r="EO26" s="117">
        <v>4853</v>
      </c>
      <c r="EP26" s="129">
        <v>20.5</v>
      </c>
    </row>
    <row r="27" spans="1:146" ht="15" x14ac:dyDescent="0.25">
      <c r="A27" s="27">
        <v>86</v>
      </c>
      <c r="B27" s="27" t="s">
        <v>156</v>
      </c>
      <c r="C27" s="27">
        <v>5</v>
      </c>
      <c r="D27" s="27" t="s">
        <v>109</v>
      </c>
      <c r="E27" s="27">
        <v>3</v>
      </c>
      <c r="F27" s="27" t="s">
        <v>743</v>
      </c>
      <c r="G27" s="29" t="s">
        <v>130</v>
      </c>
      <c r="H27" s="27" t="s">
        <v>98</v>
      </c>
      <c r="I27" s="31" t="s">
        <v>109</v>
      </c>
      <c r="J27" s="118">
        <v>-1029.478297870909</v>
      </c>
      <c r="K27" s="118">
        <v>-1140.6505172619677</v>
      </c>
      <c r="L27" s="118">
        <v>-1720.3942997747963</v>
      </c>
      <c r="M27" s="118">
        <v>-57.18389499691375</v>
      </c>
      <c r="N27" s="22">
        <v>1300</v>
      </c>
      <c r="O27" s="119">
        <v>804</v>
      </c>
      <c r="P27" s="119">
        <v>2102</v>
      </c>
      <c r="Q27" s="120">
        <v>330</v>
      </c>
      <c r="R27" s="22">
        <v>-201</v>
      </c>
      <c r="S27" s="22">
        <v>-135</v>
      </c>
      <c r="T27" s="121">
        <v>650</v>
      </c>
      <c r="U27" s="121">
        <v>2617</v>
      </c>
      <c r="V27" s="121">
        <v>4983</v>
      </c>
      <c r="W27" s="106">
        <v>5599</v>
      </c>
      <c r="X27" s="121">
        <v>4231</v>
      </c>
      <c r="Y27" s="121">
        <v>3886</v>
      </c>
      <c r="Z27" s="121">
        <v>4123</v>
      </c>
      <c r="AA27" s="121">
        <v>3127</v>
      </c>
      <c r="AB27" s="122">
        <v>18</v>
      </c>
      <c r="AC27" s="123">
        <v>18</v>
      </c>
      <c r="AD27" s="124">
        <v>18</v>
      </c>
      <c r="AE27" s="125">
        <v>18</v>
      </c>
      <c r="AF27" s="126">
        <v>18</v>
      </c>
      <c r="AG27" s="123">
        <v>18</v>
      </c>
      <c r="AH27" s="123">
        <v>18.5</v>
      </c>
      <c r="AI27" s="127">
        <v>18.5</v>
      </c>
      <c r="AJ27" s="127">
        <v>19.5</v>
      </c>
      <c r="AK27" s="22">
        <v>19.5</v>
      </c>
      <c r="AL27" s="128">
        <v>19.5</v>
      </c>
      <c r="AM27" s="128">
        <v>19.5</v>
      </c>
      <c r="AN27" s="128">
        <v>20</v>
      </c>
      <c r="AO27" s="77">
        <v>20</v>
      </c>
      <c r="AP27" s="77">
        <v>20</v>
      </c>
      <c r="AQ27" s="129">
        <v>20.5</v>
      </c>
      <c r="AR27" s="129">
        <v>21</v>
      </c>
      <c r="AS27" s="129">
        <v>21</v>
      </c>
      <c r="AT27" s="116">
        <v>8808</v>
      </c>
      <c r="AU27" s="47">
        <v>6042</v>
      </c>
      <c r="AV27" s="47">
        <v>47914</v>
      </c>
      <c r="AW27" s="46">
        <v>30986</v>
      </c>
      <c r="AX27" s="46">
        <v>13240</v>
      </c>
      <c r="AY27" s="92">
        <v>0</v>
      </c>
      <c r="AZ27" s="47">
        <v>1866</v>
      </c>
      <c r="BA27" s="44">
        <v>2211</v>
      </c>
      <c r="BB27" s="23">
        <v>-3886</v>
      </c>
      <c r="BC27" s="47">
        <v>-345</v>
      </c>
      <c r="BD27" s="44">
        <v>-345</v>
      </c>
      <c r="BE27" s="47">
        <v>3886</v>
      </c>
      <c r="BF27" s="44">
        <v>30986</v>
      </c>
      <c r="BG27" s="46">
        <v>28574</v>
      </c>
      <c r="BH27" s="130">
        <v>1104</v>
      </c>
      <c r="BI27" s="46">
        <v>1308</v>
      </c>
      <c r="BJ27" s="129">
        <v>20.5</v>
      </c>
      <c r="BK27" s="44">
        <v>25987</v>
      </c>
      <c r="BL27" s="116">
        <v>8815</v>
      </c>
      <c r="BM27" s="47">
        <v>6066</v>
      </c>
      <c r="BN27" s="130">
        <v>47911</v>
      </c>
      <c r="BO27" s="46">
        <v>31781</v>
      </c>
      <c r="BP27" s="46">
        <v>13098</v>
      </c>
      <c r="BQ27" s="46">
        <v>0</v>
      </c>
      <c r="BR27" s="130">
        <v>2518</v>
      </c>
      <c r="BS27" s="44">
        <v>2194</v>
      </c>
      <c r="BT27" s="92">
        <v>-4429</v>
      </c>
      <c r="BU27" s="117">
        <v>237</v>
      </c>
      <c r="BV27" s="130">
        <v>4123</v>
      </c>
      <c r="BW27" s="48">
        <v>31781</v>
      </c>
      <c r="BX27" s="46">
        <v>29055</v>
      </c>
      <c r="BY27" s="130">
        <v>1179</v>
      </c>
      <c r="BZ27" s="46">
        <v>1547</v>
      </c>
      <c r="CA27" s="129">
        <v>21</v>
      </c>
      <c r="CB27" s="44">
        <v>28053</v>
      </c>
      <c r="CC27" s="116">
        <v>8729</v>
      </c>
      <c r="CD27" s="47">
        <v>6398</v>
      </c>
      <c r="CE27" s="130">
        <v>47577</v>
      </c>
      <c r="CF27" s="46">
        <v>32179</v>
      </c>
      <c r="CG27" s="46">
        <v>12542</v>
      </c>
      <c r="CH27" s="46">
        <v>12</v>
      </c>
      <c r="CI27" s="130">
        <v>3043</v>
      </c>
      <c r="CJ27" s="44">
        <v>2386</v>
      </c>
      <c r="CK27" s="117">
        <v>-215</v>
      </c>
      <c r="CL27" s="117">
        <v>657</v>
      </c>
      <c r="CM27" s="117">
        <v>3127</v>
      </c>
      <c r="CN27" s="48">
        <v>32179</v>
      </c>
      <c r="CO27" s="46">
        <v>29259</v>
      </c>
      <c r="CP27" s="130">
        <v>1250</v>
      </c>
      <c r="CQ27" s="46">
        <v>1670</v>
      </c>
      <c r="CR27" s="129">
        <v>21</v>
      </c>
      <c r="CS27" s="44">
        <v>29216</v>
      </c>
      <c r="CT27">
        <v>8641</v>
      </c>
      <c r="CU27">
        <v>32434</v>
      </c>
      <c r="CV27">
        <v>13464</v>
      </c>
      <c r="CW27">
        <v>6490</v>
      </c>
      <c r="CX27">
        <v>6</v>
      </c>
      <c r="CY27">
        <v>29738</v>
      </c>
      <c r="CZ27">
        <v>1121</v>
      </c>
      <c r="DA27">
        <v>1575</v>
      </c>
      <c r="DB27">
        <v>4204</v>
      </c>
      <c r="DC27">
        <v>-1266</v>
      </c>
      <c r="DD27">
        <v>2075</v>
      </c>
      <c r="DE27">
        <v>24309</v>
      </c>
      <c r="DF27">
        <v>47790</v>
      </c>
      <c r="DG27">
        <v>2129</v>
      </c>
      <c r="DH27">
        <v>5256</v>
      </c>
      <c r="DI27">
        <v>21.5</v>
      </c>
      <c r="DJ27" s="174">
        <v>8504</v>
      </c>
      <c r="DK27" s="34">
        <v>32232</v>
      </c>
      <c r="DL27" s="34">
        <v>13575</v>
      </c>
      <c r="DM27">
        <v>6631</v>
      </c>
      <c r="DN27" s="173">
        <v>-405</v>
      </c>
      <c r="DO27" s="34">
        <v>29362</v>
      </c>
      <c r="DP27" s="173">
        <v>1180</v>
      </c>
      <c r="DQ27" s="34">
        <v>1690</v>
      </c>
      <c r="DR27" s="173">
        <v>2999</v>
      </c>
      <c r="DS27" s="173">
        <v>-3366</v>
      </c>
      <c r="DT27">
        <v>2117</v>
      </c>
      <c r="DU27">
        <v>23777</v>
      </c>
      <c r="DV27" s="173">
        <v>49034</v>
      </c>
      <c r="DW27" s="173">
        <v>882</v>
      </c>
      <c r="DX27" s="173">
        <v>6137</v>
      </c>
      <c r="DY27" s="57">
        <v>21.5</v>
      </c>
      <c r="DZ27" s="184">
        <v>340</v>
      </c>
      <c r="EA27" s="116">
        <v>8417</v>
      </c>
      <c r="EB27" s="48">
        <v>31690</v>
      </c>
      <c r="EC27" s="46">
        <v>13374</v>
      </c>
      <c r="ED27" s="90">
        <v>6456</v>
      </c>
      <c r="EE27" s="186">
        <v>-189</v>
      </c>
      <c r="EF27" s="46">
        <v>28947</v>
      </c>
      <c r="EG27" s="130">
        <v>1665</v>
      </c>
      <c r="EH27" s="46">
        <v>1078</v>
      </c>
      <c r="EI27" s="130">
        <v>1553</v>
      </c>
      <c r="EJ27" s="48">
        <v>-1194</v>
      </c>
      <c r="EK27" s="44">
        <v>2479</v>
      </c>
      <c r="EL27" s="44">
        <v>21707</v>
      </c>
      <c r="EM27" s="130">
        <v>49778</v>
      </c>
      <c r="EN27" s="117">
        <v>-926</v>
      </c>
      <c r="EO27" s="117">
        <v>5064</v>
      </c>
      <c r="EP27" s="129">
        <v>21.5</v>
      </c>
    </row>
    <row r="28" spans="1:146" ht="15" x14ac:dyDescent="0.25">
      <c r="A28" s="27">
        <v>111</v>
      </c>
      <c r="B28" s="27" t="s">
        <v>157</v>
      </c>
      <c r="C28" s="27">
        <v>7</v>
      </c>
      <c r="D28" s="27" t="s">
        <v>119</v>
      </c>
      <c r="E28" s="27">
        <v>4</v>
      </c>
      <c r="F28" s="27" t="s">
        <v>100</v>
      </c>
      <c r="G28" s="29" t="s">
        <v>141</v>
      </c>
      <c r="H28" s="27" t="s">
        <v>97</v>
      </c>
      <c r="I28" s="31" t="s">
        <v>119</v>
      </c>
      <c r="J28" s="118">
        <v>18.500671910766211</v>
      </c>
      <c r="K28" s="118">
        <v>28.087383719072342</v>
      </c>
      <c r="L28" s="118">
        <v>-2681.0837357229475</v>
      </c>
      <c r="M28" s="118">
        <v>-3343.4077901283781</v>
      </c>
      <c r="N28" s="22">
        <v>-5367</v>
      </c>
      <c r="O28" s="119">
        <v>-6938</v>
      </c>
      <c r="P28" s="119">
        <v>-11504</v>
      </c>
      <c r="Q28" s="120">
        <v>-13531</v>
      </c>
      <c r="R28" s="22">
        <v>434</v>
      </c>
      <c r="S28" s="22">
        <v>-3477</v>
      </c>
      <c r="T28" s="121">
        <v>7</v>
      </c>
      <c r="U28" s="121">
        <v>5378</v>
      </c>
      <c r="V28" s="121">
        <v>8212</v>
      </c>
      <c r="W28" s="106">
        <v>9950</v>
      </c>
      <c r="X28" s="121">
        <v>10471</v>
      </c>
      <c r="Y28" s="121">
        <v>13256</v>
      </c>
      <c r="Z28" s="121">
        <v>17820</v>
      </c>
      <c r="AA28" s="121">
        <v>16976</v>
      </c>
      <c r="AB28" s="122">
        <v>17.5</v>
      </c>
      <c r="AC28" s="123">
        <v>17.5</v>
      </c>
      <c r="AD28" s="124">
        <v>17.5</v>
      </c>
      <c r="AE28" s="125">
        <v>17.5</v>
      </c>
      <c r="AF28" s="126">
        <v>18</v>
      </c>
      <c r="AG28" s="123">
        <v>18.75</v>
      </c>
      <c r="AH28" s="123">
        <v>18.75</v>
      </c>
      <c r="AI28" s="131">
        <v>19</v>
      </c>
      <c r="AJ28" s="131">
        <v>19</v>
      </c>
      <c r="AK28" s="22">
        <v>19</v>
      </c>
      <c r="AL28" s="128">
        <v>19</v>
      </c>
      <c r="AM28" s="128">
        <v>20</v>
      </c>
      <c r="AN28" s="128">
        <v>21</v>
      </c>
      <c r="AO28" s="77">
        <v>20.5</v>
      </c>
      <c r="AP28" s="77">
        <v>20.5</v>
      </c>
      <c r="AQ28" s="129">
        <v>20.5</v>
      </c>
      <c r="AR28" s="129">
        <v>20.5</v>
      </c>
      <c r="AS28" s="129">
        <v>20.5</v>
      </c>
      <c r="AT28" s="116">
        <v>19979</v>
      </c>
      <c r="AU28" s="47">
        <v>20080</v>
      </c>
      <c r="AV28" s="47">
        <v>122141</v>
      </c>
      <c r="AW28" s="46">
        <v>70867</v>
      </c>
      <c r="AX28" s="46">
        <v>37426</v>
      </c>
      <c r="AY28" s="92">
        <v>2554</v>
      </c>
      <c r="AZ28" s="47">
        <v>7762</v>
      </c>
      <c r="BA28" s="44">
        <v>5257</v>
      </c>
      <c r="BB28" s="23">
        <v>-7106</v>
      </c>
      <c r="BC28" s="47">
        <v>2505</v>
      </c>
      <c r="BD28" s="44">
        <v>2785</v>
      </c>
      <c r="BE28" s="47">
        <v>13256</v>
      </c>
      <c r="BF28" s="44">
        <v>70867</v>
      </c>
      <c r="BG28" s="46">
        <v>61658</v>
      </c>
      <c r="BH28" s="130">
        <v>3421</v>
      </c>
      <c r="BI28" s="46">
        <v>5788</v>
      </c>
      <c r="BJ28" s="129">
        <v>20.5</v>
      </c>
      <c r="BK28" s="44">
        <v>47785</v>
      </c>
      <c r="BL28" s="116">
        <v>19695</v>
      </c>
      <c r="BM28" s="47">
        <v>20778</v>
      </c>
      <c r="BN28" s="130">
        <v>124210</v>
      </c>
      <c r="BO28" s="46">
        <v>71926</v>
      </c>
      <c r="BP28" s="46">
        <v>38384</v>
      </c>
      <c r="BQ28" s="46">
        <v>3451</v>
      </c>
      <c r="BR28" s="130">
        <v>9370</v>
      </c>
      <c r="BS28" s="44">
        <v>5073</v>
      </c>
      <c r="BT28" s="92">
        <v>-3726</v>
      </c>
      <c r="BU28" s="117">
        <v>4564</v>
      </c>
      <c r="BV28" s="130">
        <v>17820</v>
      </c>
      <c r="BW28" s="48">
        <v>71926</v>
      </c>
      <c r="BX28" s="46">
        <v>62538</v>
      </c>
      <c r="BY28" s="130">
        <v>3455</v>
      </c>
      <c r="BZ28" s="46">
        <v>5933</v>
      </c>
      <c r="CA28" s="129">
        <v>20.5</v>
      </c>
      <c r="CB28" s="44">
        <v>45498</v>
      </c>
      <c r="CC28" s="116">
        <v>19575</v>
      </c>
      <c r="CD28" s="47">
        <v>19892</v>
      </c>
      <c r="CE28" s="130">
        <v>127690</v>
      </c>
      <c r="CF28" s="46">
        <v>71054</v>
      </c>
      <c r="CG28" s="46">
        <v>37385</v>
      </c>
      <c r="CH28" s="46">
        <v>4643</v>
      </c>
      <c r="CI28" s="130">
        <v>3187</v>
      </c>
      <c r="CJ28" s="44">
        <v>5487</v>
      </c>
      <c r="CK28" s="117">
        <v>-7214</v>
      </c>
      <c r="CL28" s="117">
        <v>-845</v>
      </c>
      <c r="CM28" s="117">
        <v>16976</v>
      </c>
      <c r="CN28" s="48">
        <v>71054</v>
      </c>
      <c r="CO28" s="46">
        <v>61577</v>
      </c>
      <c r="CP28" s="130">
        <v>3517</v>
      </c>
      <c r="CQ28" s="46">
        <v>5960</v>
      </c>
      <c r="CR28" s="129">
        <v>20.5</v>
      </c>
      <c r="CS28" s="44">
        <v>48212</v>
      </c>
      <c r="CT28">
        <v>19350</v>
      </c>
      <c r="CU28">
        <v>71326</v>
      </c>
      <c r="CV28">
        <v>41022</v>
      </c>
      <c r="CW28">
        <v>20645</v>
      </c>
      <c r="CX28">
        <v>3025</v>
      </c>
      <c r="CY28">
        <v>62084</v>
      </c>
      <c r="CZ28">
        <v>2993</v>
      </c>
      <c r="DA28">
        <v>6249</v>
      </c>
      <c r="DB28">
        <v>6458</v>
      </c>
      <c r="DC28">
        <v>-9358</v>
      </c>
      <c r="DD28">
        <v>7175</v>
      </c>
      <c r="DE28">
        <v>59925</v>
      </c>
      <c r="DF28">
        <v>129065</v>
      </c>
      <c r="DG28">
        <v>-455</v>
      </c>
      <c r="DH28">
        <v>16521</v>
      </c>
      <c r="DI28">
        <v>20.5</v>
      </c>
      <c r="DJ28" s="174">
        <v>19128</v>
      </c>
      <c r="DK28" s="34">
        <v>69812</v>
      </c>
      <c r="DL28" s="34">
        <v>42076</v>
      </c>
      <c r="DM28">
        <v>20060</v>
      </c>
      <c r="DN28" s="173">
        <v>3638</v>
      </c>
      <c r="DO28" s="34">
        <v>60317</v>
      </c>
      <c r="DP28" s="173">
        <v>3231</v>
      </c>
      <c r="DQ28" s="34">
        <v>6264</v>
      </c>
      <c r="DR28" s="173">
        <v>10130</v>
      </c>
      <c r="DS28" s="173">
        <v>-12323</v>
      </c>
      <c r="DT28">
        <v>6771</v>
      </c>
      <c r="DU28">
        <v>66937</v>
      </c>
      <c r="DV28" s="173">
        <v>125456</v>
      </c>
      <c r="DW28" s="173">
        <v>3608</v>
      </c>
      <c r="DX28" s="173">
        <v>20129</v>
      </c>
      <c r="DY28" s="57">
        <v>20.5</v>
      </c>
      <c r="DZ28" s="184">
        <v>140</v>
      </c>
      <c r="EA28" s="116">
        <v>18889</v>
      </c>
      <c r="EB28" s="48">
        <v>68917</v>
      </c>
      <c r="EC28" s="46">
        <v>42965</v>
      </c>
      <c r="ED28" s="90">
        <v>24265</v>
      </c>
      <c r="EE28" s="186">
        <v>243</v>
      </c>
      <c r="EF28" s="46">
        <v>59686</v>
      </c>
      <c r="EG28" s="130">
        <v>2988</v>
      </c>
      <c r="EH28" s="46">
        <v>6243</v>
      </c>
      <c r="EI28" s="130">
        <v>11549</v>
      </c>
      <c r="EJ28" s="48">
        <v>-10845</v>
      </c>
      <c r="EK28" s="44">
        <v>5777</v>
      </c>
      <c r="EL28" s="44">
        <v>66202</v>
      </c>
      <c r="EM28" s="130">
        <v>124841</v>
      </c>
      <c r="EN28" s="117">
        <v>6017</v>
      </c>
      <c r="EO28" s="117">
        <v>26145</v>
      </c>
      <c r="EP28" s="129">
        <v>20.5</v>
      </c>
    </row>
    <row r="29" spans="1:146" ht="15" x14ac:dyDescent="0.25">
      <c r="A29" s="27">
        <v>90</v>
      </c>
      <c r="B29" s="27" t="s">
        <v>158</v>
      </c>
      <c r="C29" s="27">
        <v>10</v>
      </c>
      <c r="D29" s="27" t="s">
        <v>107</v>
      </c>
      <c r="E29" s="27">
        <v>2</v>
      </c>
      <c r="F29" s="27" t="s">
        <v>744</v>
      </c>
      <c r="G29" s="29" t="s">
        <v>130</v>
      </c>
      <c r="H29" s="27" t="s">
        <v>98</v>
      </c>
      <c r="I29" s="31" t="s">
        <v>107</v>
      </c>
      <c r="J29" s="118">
        <v>6401.9052328309554</v>
      </c>
      <c r="K29" s="118">
        <v>6454.3798658869473</v>
      </c>
      <c r="L29" s="118">
        <v>6518.795841721706</v>
      </c>
      <c r="M29" s="118">
        <v>5842.6803773464317</v>
      </c>
      <c r="N29" s="22">
        <v>3246</v>
      </c>
      <c r="O29" s="119">
        <v>2705</v>
      </c>
      <c r="P29" s="119">
        <v>3006</v>
      </c>
      <c r="Q29" s="120">
        <v>2977</v>
      </c>
      <c r="R29" s="22">
        <v>3311</v>
      </c>
      <c r="S29" s="22">
        <v>3766</v>
      </c>
      <c r="T29" s="121">
        <v>3524</v>
      </c>
      <c r="U29" s="121">
        <v>3667</v>
      </c>
      <c r="V29" s="121">
        <v>5238</v>
      </c>
      <c r="W29" s="106">
        <v>3684</v>
      </c>
      <c r="X29" s="121">
        <v>2314</v>
      </c>
      <c r="Y29" s="121">
        <v>2414</v>
      </c>
      <c r="Z29" s="121">
        <v>2078</v>
      </c>
      <c r="AA29" s="121">
        <v>2083</v>
      </c>
      <c r="AB29" s="122">
        <v>18</v>
      </c>
      <c r="AC29" s="123">
        <v>18</v>
      </c>
      <c r="AD29" s="124">
        <v>18</v>
      </c>
      <c r="AE29" s="125">
        <v>18</v>
      </c>
      <c r="AF29" s="126">
        <v>18.5</v>
      </c>
      <c r="AG29" s="123">
        <v>18.5</v>
      </c>
      <c r="AH29" s="123">
        <v>19</v>
      </c>
      <c r="AI29" s="127">
        <v>19</v>
      </c>
      <c r="AJ29" s="127">
        <v>19</v>
      </c>
      <c r="AK29" s="22">
        <v>19</v>
      </c>
      <c r="AL29" s="128">
        <v>19.5</v>
      </c>
      <c r="AM29" s="128">
        <v>19.5</v>
      </c>
      <c r="AN29" s="128">
        <v>20.5</v>
      </c>
      <c r="AO29" s="77">
        <v>20.5</v>
      </c>
      <c r="AP29" s="77">
        <v>20.5</v>
      </c>
      <c r="AQ29" s="129">
        <v>20.75</v>
      </c>
      <c r="AR29" s="129">
        <v>20.75</v>
      </c>
      <c r="AS29" s="129">
        <v>20.75</v>
      </c>
      <c r="AT29" s="116">
        <v>3667</v>
      </c>
      <c r="AU29" s="47">
        <v>4975</v>
      </c>
      <c r="AV29" s="47">
        <v>28084</v>
      </c>
      <c r="AW29" s="46">
        <v>11296</v>
      </c>
      <c r="AX29" s="46">
        <v>12725</v>
      </c>
      <c r="AY29" s="92">
        <v>501</v>
      </c>
      <c r="AZ29" s="47">
        <v>1122</v>
      </c>
      <c r="BA29" s="44">
        <v>1392</v>
      </c>
      <c r="BB29" s="23">
        <v>-3956</v>
      </c>
      <c r="BC29" s="47">
        <v>2</v>
      </c>
      <c r="BD29" s="44">
        <v>100</v>
      </c>
      <c r="BE29" s="47">
        <v>2414</v>
      </c>
      <c r="BF29" s="44">
        <v>11296</v>
      </c>
      <c r="BG29" s="46">
        <v>8669</v>
      </c>
      <c r="BH29" s="130">
        <v>1567</v>
      </c>
      <c r="BI29" s="46">
        <v>1060</v>
      </c>
      <c r="BJ29" s="129">
        <v>20.75</v>
      </c>
      <c r="BK29" s="44">
        <v>15482</v>
      </c>
      <c r="BL29" s="116">
        <v>3638</v>
      </c>
      <c r="BM29" s="47">
        <v>5013</v>
      </c>
      <c r="BN29" s="130">
        <v>29193</v>
      </c>
      <c r="BO29" s="46">
        <v>11960</v>
      </c>
      <c r="BP29" s="46">
        <v>13151</v>
      </c>
      <c r="BQ29" s="46">
        <v>279</v>
      </c>
      <c r="BR29" s="130">
        <v>1210</v>
      </c>
      <c r="BS29" s="44">
        <v>1706</v>
      </c>
      <c r="BT29" s="92">
        <v>-822</v>
      </c>
      <c r="BU29" s="117">
        <v>-335</v>
      </c>
      <c r="BV29" s="130">
        <v>2078</v>
      </c>
      <c r="BW29" s="48">
        <v>11960</v>
      </c>
      <c r="BX29" s="46">
        <v>8889</v>
      </c>
      <c r="BY29" s="130">
        <v>1856</v>
      </c>
      <c r="BZ29" s="46">
        <v>1215</v>
      </c>
      <c r="CA29" s="129">
        <v>20.75</v>
      </c>
      <c r="CB29" s="44">
        <v>14531</v>
      </c>
      <c r="CC29" s="116">
        <v>3574</v>
      </c>
      <c r="CD29" s="47">
        <v>5157</v>
      </c>
      <c r="CE29" s="130">
        <v>29519</v>
      </c>
      <c r="CF29" s="46">
        <v>12039</v>
      </c>
      <c r="CG29" s="46">
        <v>13492</v>
      </c>
      <c r="CH29" s="46">
        <v>612</v>
      </c>
      <c r="CI29" s="130">
        <v>1524</v>
      </c>
      <c r="CJ29" s="44">
        <v>1677</v>
      </c>
      <c r="CK29" s="117">
        <v>-1171</v>
      </c>
      <c r="CL29" s="117">
        <v>4</v>
      </c>
      <c r="CM29" s="117">
        <v>2083</v>
      </c>
      <c r="CN29" s="48">
        <v>12039</v>
      </c>
      <c r="CO29" s="46">
        <v>8630</v>
      </c>
      <c r="CP29" s="130">
        <v>2182</v>
      </c>
      <c r="CQ29" s="46">
        <v>1227</v>
      </c>
      <c r="CR29" s="129">
        <v>20.75</v>
      </c>
      <c r="CS29" s="44">
        <v>14980</v>
      </c>
      <c r="CT29">
        <v>3514</v>
      </c>
      <c r="CU29">
        <v>11892</v>
      </c>
      <c r="CV29">
        <v>13922</v>
      </c>
      <c r="CW29">
        <v>5009</v>
      </c>
      <c r="CX29">
        <v>406</v>
      </c>
      <c r="CY29">
        <v>8640</v>
      </c>
      <c r="CZ29">
        <v>2003</v>
      </c>
      <c r="DA29">
        <v>1249</v>
      </c>
      <c r="DB29">
        <v>1590</v>
      </c>
      <c r="DC29">
        <v>-1152</v>
      </c>
      <c r="DD29">
        <v>1655</v>
      </c>
      <c r="DE29">
        <v>15528</v>
      </c>
      <c r="DF29">
        <v>29639</v>
      </c>
      <c r="DG29">
        <v>92</v>
      </c>
      <c r="DH29">
        <v>2175</v>
      </c>
      <c r="DI29">
        <v>20.75</v>
      </c>
      <c r="DJ29" s="174">
        <v>3455</v>
      </c>
      <c r="DK29" s="34">
        <v>12055</v>
      </c>
      <c r="DL29" s="34">
        <v>13942</v>
      </c>
      <c r="DM29">
        <v>4780</v>
      </c>
      <c r="DN29" s="173">
        <v>189</v>
      </c>
      <c r="DO29" s="34">
        <v>8594</v>
      </c>
      <c r="DP29" s="173">
        <v>2236</v>
      </c>
      <c r="DQ29" s="34">
        <v>1225</v>
      </c>
      <c r="DR29" s="173">
        <v>2350</v>
      </c>
      <c r="DS29" s="173">
        <v>-602</v>
      </c>
      <c r="DT29">
        <v>1888</v>
      </c>
      <c r="DU29">
        <v>17399</v>
      </c>
      <c r="DV29" s="173">
        <v>28416</v>
      </c>
      <c r="DW29" s="173">
        <v>419</v>
      </c>
      <c r="DX29" s="173">
        <v>2595</v>
      </c>
      <c r="DY29" s="57">
        <v>20.75</v>
      </c>
      <c r="DZ29" s="184">
        <v>340</v>
      </c>
      <c r="EA29" s="116">
        <v>3329</v>
      </c>
      <c r="EB29" s="48">
        <v>11515</v>
      </c>
      <c r="EC29" s="46">
        <v>13532</v>
      </c>
      <c r="ED29" s="90">
        <v>4662</v>
      </c>
      <c r="EE29" s="186">
        <v>529</v>
      </c>
      <c r="EF29" s="46">
        <v>8128</v>
      </c>
      <c r="EG29" s="130">
        <v>2051</v>
      </c>
      <c r="EH29" s="46">
        <v>1336</v>
      </c>
      <c r="EI29" s="130">
        <v>1812</v>
      </c>
      <c r="EJ29" s="48">
        <v>-694</v>
      </c>
      <c r="EK29" s="44">
        <v>1373</v>
      </c>
      <c r="EL29" s="44">
        <v>18184</v>
      </c>
      <c r="EM29" s="130">
        <v>28358</v>
      </c>
      <c r="EN29" s="117">
        <v>-1211</v>
      </c>
      <c r="EO29" s="117">
        <v>1385</v>
      </c>
      <c r="EP29" s="129">
        <v>21</v>
      </c>
    </row>
    <row r="30" spans="1:146" ht="15" x14ac:dyDescent="0.25">
      <c r="A30" s="27">
        <v>91</v>
      </c>
      <c r="B30" s="27" t="s">
        <v>159</v>
      </c>
      <c r="C30" s="27">
        <v>1</v>
      </c>
      <c r="D30" s="27" t="s">
        <v>121</v>
      </c>
      <c r="E30" s="27">
        <v>7</v>
      </c>
      <c r="F30" s="27" t="s">
        <v>104</v>
      </c>
      <c r="G30" s="29" t="s">
        <v>141</v>
      </c>
      <c r="H30" s="27" t="s">
        <v>97</v>
      </c>
      <c r="I30" s="31" t="s">
        <v>121</v>
      </c>
      <c r="J30" s="118">
        <v>155657.75775220199</v>
      </c>
      <c r="K30" s="118">
        <v>260292.84881755477</v>
      </c>
      <c r="L30" s="118">
        <v>409783.15530641319</v>
      </c>
      <c r="M30" s="118">
        <v>445030.63543080492</v>
      </c>
      <c r="N30" s="22">
        <v>291089</v>
      </c>
      <c r="O30" s="119">
        <v>392541</v>
      </c>
      <c r="P30" s="119">
        <v>586485</v>
      </c>
      <c r="Q30" s="120">
        <v>746040</v>
      </c>
      <c r="R30" s="22">
        <v>1041926</v>
      </c>
      <c r="S30" s="22">
        <v>1299571</v>
      </c>
      <c r="T30" s="121">
        <v>1591595</v>
      </c>
      <c r="U30" s="121">
        <v>1613470</v>
      </c>
      <c r="V30" s="121">
        <v>2308112</v>
      </c>
      <c r="W30" s="106">
        <v>2595234</v>
      </c>
      <c r="X30" s="121">
        <v>2724095</v>
      </c>
      <c r="Y30" s="121">
        <v>2907440</v>
      </c>
      <c r="Z30" s="121">
        <v>4500420</v>
      </c>
      <c r="AA30" s="121">
        <v>4479253</v>
      </c>
      <c r="AB30" s="122">
        <v>16.5</v>
      </c>
      <c r="AC30" s="123">
        <v>16.5</v>
      </c>
      <c r="AD30" s="124">
        <v>16.5</v>
      </c>
      <c r="AE30" s="125">
        <v>16.5</v>
      </c>
      <c r="AF30" s="126">
        <v>16.5</v>
      </c>
      <c r="AG30" s="123">
        <v>17.5</v>
      </c>
      <c r="AH30" s="123">
        <v>17.5</v>
      </c>
      <c r="AI30" s="127">
        <v>17.5</v>
      </c>
      <c r="AJ30" s="127">
        <v>17.5</v>
      </c>
      <c r="AK30" s="22">
        <v>17.5</v>
      </c>
      <c r="AL30" s="128">
        <v>17.5</v>
      </c>
      <c r="AM30" s="128">
        <v>17.5</v>
      </c>
      <c r="AN30" s="128">
        <v>17.5</v>
      </c>
      <c r="AO30" s="77">
        <v>18.5</v>
      </c>
      <c r="AP30" s="77">
        <v>18.5</v>
      </c>
      <c r="AQ30" s="129">
        <v>18.5</v>
      </c>
      <c r="AR30" s="129">
        <v>18.5</v>
      </c>
      <c r="AS30" s="129">
        <v>18.5</v>
      </c>
      <c r="AT30" s="116">
        <v>612664</v>
      </c>
      <c r="AU30" s="47">
        <v>1901173</v>
      </c>
      <c r="AV30" s="47">
        <v>4673472</v>
      </c>
      <c r="AW30" s="46">
        <v>2906349</v>
      </c>
      <c r="AX30" s="46">
        <v>275737</v>
      </c>
      <c r="AY30" s="92">
        <v>140800</v>
      </c>
      <c r="AZ30" s="47">
        <v>472675</v>
      </c>
      <c r="BA30" s="44">
        <v>403088</v>
      </c>
      <c r="BB30" s="23">
        <v>-527098</v>
      </c>
      <c r="BC30" s="47">
        <v>147063</v>
      </c>
      <c r="BD30" s="44">
        <v>159034</v>
      </c>
      <c r="BE30" s="47">
        <v>2907440</v>
      </c>
      <c r="BF30" s="44">
        <v>2906349</v>
      </c>
      <c r="BG30" s="46">
        <v>2442087</v>
      </c>
      <c r="BH30" s="130">
        <v>268546</v>
      </c>
      <c r="BI30" s="46">
        <v>195275</v>
      </c>
      <c r="BJ30" s="129">
        <v>18.5</v>
      </c>
      <c r="BK30" s="44">
        <v>1498566</v>
      </c>
      <c r="BL30" s="116">
        <v>620715</v>
      </c>
      <c r="BM30" s="47">
        <v>1886495</v>
      </c>
      <c r="BN30" s="130">
        <v>4665124</v>
      </c>
      <c r="BO30" s="46">
        <v>2951932</v>
      </c>
      <c r="BP30" s="46">
        <v>250648</v>
      </c>
      <c r="BQ30" s="46">
        <v>1228835</v>
      </c>
      <c r="BR30" s="130">
        <v>480663</v>
      </c>
      <c r="BS30" s="44">
        <v>408147</v>
      </c>
      <c r="BT30" s="92">
        <v>306789</v>
      </c>
      <c r="BU30" s="117">
        <v>1633201</v>
      </c>
      <c r="BV30" s="130">
        <v>4500420</v>
      </c>
      <c r="BW30" s="48">
        <v>2951932</v>
      </c>
      <c r="BX30" s="46">
        <v>2435075</v>
      </c>
      <c r="BY30" s="130">
        <v>309755</v>
      </c>
      <c r="BZ30" s="46">
        <v>206687</v>
      </c>
      <c r="CA30" s="129">
        <v>18.5</v>
      </c>
      <c r="CB30" s="44">
        <v>1578633</v>
      </c>
      <c r="CC30" s="116">
        <v>628208</v>
      </c>
      <c r="CD30" s="47">
        <v>1156368</v>
      </c>
      <c r="CE30" s="130">
        <v>4302828</v>
      </c>
      <c r="CF30" s="46">
        <v>3067915</v>
      </c>
      <c r="CG30" s="46">
        <v>273172</v>
      </c>
      <c r="CH30" s="46">
        <v>223839</v>
      </c>
      <c r="CI30" s="130">
        <v>265115</v>
      </c>
      <c r="CJ30" s="44">
        <v>385696</v>
      </c>
      <c r="CK30" s="117">
        <v>-418143</v>
      </c>
      <c r="CL30" s="117">
        <v>28834</v>
      </c>
      <c r="CM30" s="117">
        <v>4479253</v>
      </c>
      <c r="CN30" s="48">
        <v>3067915</v>
      </c>
      <c r="CO30" s="46">
        <v>2480765</v>
      </c>
      <c r="CP30" s="130">
        <v>372493</v>
      </c>
      <c r="CQ30" s="46">
        <v>214657</v>
      </c>
      <c r="CR30" s="129">
        <v>18.5</v>
      </c>
      <c r="CS30" s="44">
        <v>1581992</v>
      </c>
      <c r="CT30">
        <v>635181</v>
      </c>
      <c r="CU30">
        <v>3205605</v>
      </c>
      <c r="CV30">
        <v>316331</v>
      </c>
      <c r="CW30">
        <v>1198580</v>
      </c>
      <c r="CX30">
        <v>354457</v>
      </c>
      <c r="CY30">
        <v>2586063</v>
      </c>
      <c r="CZ30">
        <v>397315</v>
      </c>
      <c r="DA30">
        <v>222227</v>
      </c>
      <c r="DB30">
        <v>569378</v>
      </c>
      <c r="DC30">
        <v>-397105</v>
      </c>
      <c r="DD30">
        <v>337209</v>
      </c>
      <c r="DE30">
        <v>1371264</v>
      </c>
      <c r="DF30">
        <v>4266066</v>
      </c>
      <c r="DG30">
        <v>465039</v>
      </c>
      <c r="DH30">
        <v>4944292</v>
      </c>
      <c r="DI30">
        <v>18.5</v>
      </c>
      <c r="DJ30" s="174">
        <v>643272</v>
      </c>
      <c r="DK30" s="34">
        <v>3380795</v>
      </c>
      <c r="DL30" s="34">
        <v>220442</v>
      </c>
      <c r="DM30">
        <v>1314805</v>
      </c>
      <c r="DN30" s="173">
        <v>97024</v>
      </c>
      <c r="DO30" s="34">
        <v>2595152</v>
      </c>
      <c r="DP30" s="173">
        <v>528591</v>
      </c>
      <c r="DQ30" s="34">
        <v>257052</v>
      </c>
      <c r="DR30" s="173">
        <v>837900</v>
      </c>
      <c r="DS30" s="173">
        <v>-419145</v>
      </c>
      <c r="DT30">
        <v>354807</v>
      </c>
      <c r="DU30">
        <v>1205956</v>
      </c>
      <c r="DV30" s="173">
        <v>4175166</v>
      </c>
      <c r="DW30" s="173">
        <v>481390</v>
      </c>
      <c r="DX30" s="173">
        <v>5395682</v>
      </c>
      <c r="DY30" s="57">
        <v>18.5</v>
      </c>
      <c r="DZ30" s="184">
        <v>110</v>
      </c>
      <c r="EA30" s="116">
        <v>648042</v>
      </c>
      <c r="EB30" s="48">
        <v>3416582</v>
      </c>
      <c r="EC30" s="46">
        <v>197308</v>
      </c>
      <c r="ED30" s="90">
        <v>1318252</v>
      </c>
      <c r="EE30" s="186">
        <v>112675</v>
      </c>
      <c r="EF30" s="46">
        <v>2580483</v>
      </c>
      <c r="EG30" s="130">
        <v>574753</v>
      </c>
      <c r="EH30" s="46">
        <v>261346</v>
      </c>
      <c r="EI30" s="130">
        <v>751996</v>
      </c>
      <c r="EJ30" s="48">
        <v>-475687</v>
      </c>
      <c r="EK30" s="44">
        <v>346801</v>
      </c>
      <c r="EL30" s="44">
        <v>1100107</v>
      </c>
      <c r="EM30" s="130">
        <v>4292821</v>
      </c>
      <c r="EN30" s="117">
        <v>406595</v>
      </c>
      <c r="EO30" s="117">
        <v>5752870</v>
      </c>
      <c r="EP30" s="129">
        <v>18</v>
      </c>
    </row>
    <row r="31" spans="1:146" ht="15" x14ac:dyDescent="0.25">
      <c r="A31" s="27">
        <v>97</v>
      </c>
      <c r="B31" s="27" t="s">
        <v>160</v>
      </c>
      <c r="C31" s="27">
        <v>10</v>
      </c>
      <c r="D31" s="27" t="s">
        <v>107</v>
      </c>
      <c r="E31" s="27">
        <v>2</v>
      </c>
      <c r="F31" s="27" t="s">
        <v>744</v>
      </c>
      <c r="G31" s="29" t="s">
        <v>130</v>
      </c>
      <c r="H31" s="27" t="s">
        <v>98</v>
      </c>
      <c r="I31" s="31" t="s">
        <v>107</v>
      </c>
      <c r="J31" s="118">
        <v>31.11476639537954</v>
      </c>
      <c r="K31" s="118">
        <v>37.674095527378469</v>
      </c>
      <c r="L31" s="118">
        <v>39.019598939070562</v>
      </c>
      <c r="M31" s="118">
        <v>-357.2311558042494</v>
      </c>
      <c r="N31" s="22">
        <v>-593</v>
      </c>
      <c r="O31" s="119">
        <v>-525</v>
      </c>
      <c r="P31" s="119">
        <v>-82</v>
      </c>
      <c r="Q31" s="120">
        <v>18</v>
      </c>
      <c r="R31" s="22">
        <v>122</v>
      </c>
      <c r="S31" s="22">
        <v>131</v>
      </c>
      <c r="T31" s="121">
        <v>523</v>
      </c>
      <c r="U31" s="121">
        <v>900</v>
      </c>
      <c r="V31" s="121">
        <v>1503</v>
      </c>
      <c r="W31" s="106">
        <v>1940</v>
      </c>
      <c r="X31" s="121">
        <v>2102</v>
      </c>
      <c r="Y31" s="121">
        <v>3120</v>
      </c>
      <c r="Z31" s="121">
        <v>4087</v>
      </c>
      <c r="AA31" s="121">
        <v>4424</v>
      </c>
      <c r="AB31" s="122">
        <v>17.25</v>
      </c>
      <c r="AC31" s="123">
        <v>17.25</v>
      </c>
      <c r="AD31" s="124">
        <v>17.25</v>
      </c>
      <c r="AE31" s="125">
        <v>17.25</v>
      </c>
      <c r="AF31" s="126">
        <v>17.75</v>
      </c>
      <c r="AG31" s="123">
        <v>18.25</v>
      </c>
      <c r="AH31" s="123">
        <v>18.5</v>
      </c>
      <c r="AI31" s="127">
        <v>18.5</v>
      </c>
      <c r="AJ31" s="127">
        <v>18.5</v>
      </c>
      <c r="AK31" s="22">
        <v>18.5</v>
      </c>
      <c r="AL31" s="128">
        <v>19</v>
      </c>
      <c r="AM31" s="128">
        <v>19</v>
      </c>
      <c r="AN31" s="128">
        <v>19.5</v>
      </c>
      <c r="AO31" s="77">
        <v>19.5</v>
      </c>
      <c r="AP31" s="77">
        <v>19.5</v>
      </c>
      <c r="AQ31" s="129">
        <v>19.5</v>
      </c>
      <c r="AR31" s="129">
        <v>19.5</v>
      </c>
      <c r="AS31" s="129">
        <v>19.5</v>
      </c>
      <c r="AT31" s="116">
        <v>2338</v>
      </c>
      <c r="AU31" s="47">
        <v>3215</v>
      </c>
      <c r="AV31" s="47">
        <v>16037</v>
      </c>
      <c r="AW31" s="46">
        <v>7078</v>
      </c>
      <c r="AX31" s="46">
        <v>7289</v>
      </c>
      <c r="AY31" s="92">
        <v>461</v>
      </c>
      <c r="AZ31" s="47">
        <v>1794</v>
      </c>
      <c r="BA31" s="44">
        <v>987</v>
      </c>
      <c r="BB31" s="23">
        <v>-1003</v>
      </c>
      <c r="BC31" s="47">
        <v>1017</v>
      </c>
      <c r="BD31" s="44">
        <v>1018</v>
      </c>
      <c r="BE31" s="47">
        <v>3120</v>
      </c>
      <c r="BF31" s="44">
        <v>7078</v>
      </c>
      <c r="BG31" s="46">
        <v>5416</v>
      </c>
      <c r="BH31" s="130">
        <v>621</v>
      </c>
      <c r="BI31" s="46">
        <v>1041</v>
      </c>
      <c r="BJ31" s="129">
        <v>19.5</v>
      </c>
      <c r="BK31" s="44">
        <v>967</v>
      </c>
      <c r="BL31" s="116">
        <v>2326</v>
      </c>
      <c r="BM31" s="47">
        <v>2864</v>
      </c>
      <c r="BN31" s="130">
        <v>15994</v>
      </c>
      <c r="BO31" s="46">
        <v>7428</v>
      </c>
      <c r="BP31" s="46">
        <v>7339</v>
      </c>
      <c r="BQ31" s="46">
        <v>195</v>
      </c>
      <c r="BR31" s="130">
        <v>1831</v>
      </c>
      <c r="BS31" s="44">
        <v>714</v>
      </c>
      <c r="BT31" s="92">
        <v>-941</v>
      </c>
      <c r="BU31" s="117">
        <v>1118</v>
      </c>
      <c r="BV31" s="130">
        <v>4087</v>
      </c>
      <c r="BW31" s="48">
        <v>7428</v>
      </c>
      <c r="BX31" s="46">
        <v>5597</v>
      </c>
      <c r="BY31" s="130">
        <v>715</v>
      </c>
      <c r="BZ31" s="46">
        <v>1116</v>
      </c>
      <c r="CA31" s="129">
        <v>19.5</v>
      </c>
      <c r="CB31" s="44">
        <v>833</v>
      </c>
      <c r="CC31" s="116">
        <v>2290</v>
      </c>
      <c r="CD31" s="47">
        <v>3001</v>
      </c>
      <c r="CE31" s="130">
        <v>16518</v>
      </c>
      <c r="CF31" s="46">
        <v>7439</v>
      </c>
      <c r="CG31" s="46">
        <v>7056</v>
      </c>
      <c r="CH31" s="46">
        <v>346</v>
      </c>
      <c r="CI31" s="130">
        <v>1153</v>
      </c>
      <c r="CJ31" s="44">
        <v>816</v>
      </c>
      <c r="CK31" s="117">
        <v>-625</v>
      </c>
      <c r="CL31" s="117">
        <v>337</v>
      </c>
      <c r="CM31" s="117">
        <v>4424</v>
      </c>
      <c r="CN31" s="48">
        <v>7439</v>
      </c>
      <c r="CO31" s="46">
        <v>5421</v>
      </c>
      <c r="CP31" s="130">
        <v>872</v>
      </c>
      <c r="CQ31" s="46">
        <v>1146</v>
      </c>
      <c r="CR31" s="129">
        <v>19.5</v>
      </c>
      <c r="CS31" s="44">
        <v>700</v>
      </c>
      <c r="CT31">
        <v>2274</v>
      </c>
      <c r="CU31">
        <v>7388</v>
      </c>
      <c r="CV31">
        <v>7135</v>
      </c>
      <c r="CW31">
        <v>2975</v>
      </c>
      <c r="CX31">
        <v>110</v>
      </c>
      <c r="CY31">
        <v>5417</v>
      </c>
      <c r="CZ31">
        <v>817</v>
      </c>
      <c r="DA31">
        <v>1154</v>
      </c>
      <c r="DB31">
        <v>907</v>
      </c>
      <c r="DC31">
        <v>-683</v>
      </c>
      <c r="DD31">
        <v>780</v>
      </c>
      <c r="DE31">
        <v>566</v>
      </c>
      <c r="DF31">
        <v>16701</v>
      </c>
      <c r="DG31">
        <v>127</v>
      </c>
      <c r="DH31">
        <v>4552</v>
      </c>
      <c r="DI31">
        <v>19.5</v>
      </c>
      <c r="DJ31" s="174">
        <v>2236</v>
      </c>
      <c r="DK31" s="34">
        <v>7614</v>
      </c>
      <c r="DL31" s="34">
        <v>7348</v>
      </c>
      <c r="DM31">
        <v>2924</v>
      </c>
      <c r="DN31" s="173">
        <v>329</v>
      </c>
      <c r="DO31" s="34">
        <v>5379</v>
      </c>
      <c r="DP31" s="173">
        <v>936</v>
      </c>
      <c r="DQ31" s="34">
        <v>1299</v>
      </c>
      <c r="DR31" s="173">
        <v>1207</v>
      </c>
      <c r="DS31" s="173">
        <v>-78</v>
      </c>
      <c r="DT31">
        <v>751</v>
      </c>
      <c r="DU31">
        <v>433</v>
      </c>
      <c r="DV31" s="173">
        <v>17008</v>
      </c>
      <c r="DW31" s="173">
        <v>456</v>
      </c>
      <c r="DX31" s="173">
        <v>5009</v>
      </c>
      <c r="DY31" s="57">
        <v>20</v>
      </c>
      <c r="DZ31" s="184">
        <v>340</v>
      </c>
      <c r="EA31" s="116">
        <v>2152</v>
      </c>
      <c r="EB31" s="48">
        <v>7628</v>
      </c>
      <c r="EC31" s="46">
        <v>7115</v>
      </c>
      <c r="ED31" s="90">
        <v>3044</v>
      </c>
      <c r="EE31" s="186">
        <v>219</v>
      </c>
      <c r="EF31" s="46">
        <v>5457</v>
      </c>
      <c r="EG31" s="130">
        <v>882</v>
      </c>
      <c r="EH31" s="46">
        <v>1289</v>
      </c>
      <c r="EI31" s="130">
        <v>1735</v>
      </c>
      <c r="EJ31" s="48">
        <v>-230</v>
      </c>
      <c r="EK31" s="44">
        <v>1038</v>
      </c>
      <c r="EL31" s="44">
        <v>300</v>
      </c>
      <c r="EM31" s="130">
        <v>16271</v>
      </c>
      <c r="EN31" s="117">
        <v>697</v>
      </c>
      <c r="EO31" s="117">
        <v>5705</v>
      </c>
      <c r="EP31" s="129">
        <v>20</v>
      </c>
    </row>
    <row r="32" spans="1:146" ht="15" x14ac:dyDescent="0.25">
      <c r="A32" s="27">
        <v>98</v>
      </c>
      <c r="B32" s="27" t="s">
        <v>161</v>
      </c>
      <c r="C32" s="27">
        <v>7</v>
      </c>
      <c r="D32" s="27" t="s">
        <v>119</v>
      </c>
      <c r="E32" s="27">
        <v>5</v>
      </c>
      <c r="F32" s="27" t="s">
        <v>101</v>
      </c>
      <c r="G32" s="29" t="s">
        <v>141</v>
      </c>
      <c r="H32" s="27" t="s">
        <v>97</v>
      </c>
      <c r="I32" s="31" t="s">
        <v>119</v>
      </c>
      <c r="J32" s="132">
        <v>-3727.0444503870845</v>
      </c>
      <c r="K32" s="132">
        <v>-3940.4749290667419</v>
      </c>
      <c r="L32" s="132">
        <v>-4482.3764281257309</v>
      </c>
      <c r="M32" s="132">
        <v>-1757.3956435963287</v>
      </c>
      <c r="N32" s="132">
        <v>4864</v>
      </c>
      <c r="O32" s="132">
        <v>2483</v>
      </c>
      <c r="P32" s="132">
        <v>5537</v>
      </c>
      <c r="Q32" s="132">
        <v>5204</v>
      </c>
      <c r="R32" s="132">
        <v>6771</v>
      </c>
      <c r="S32" s="132">
        <v>5488</v>
      </c>
      <c r="T32" s="132">
        <v>11428</v>
      </c>
      <c r="U32" s="132">
        <v>15644</v>
      </c>
      <c r="V32" s="132">
        <v>20829</v>
      </c>
      <c r="W32" s="106">
        <v>22632</v>
      </c>
      <c r="X32" s="132">
        <v>17780</v>
      </c>
      <c r="Y32" s="132">
        <v>17319</v>
      </c>
      <c r="Z32" s="132">
        <v>15971</v>
      </c>
      <c r="AA32" s="132">
        <v>12577</v>
      </c>
      <c r="AB32" s="133">
        <v>17.5</v>
      </c>
      <c r="AC32" s="134">
        <v>17.5</v>
      </c>
      <c r="AD32" s="135">
        <v>18</v>
      </c>
      <c r="AE32" s="136">
        <v>18</v>
      </c>
      <c r="AF32" s="137">
        <v>18</v>
      </c>
      <c r="AG32" s="134">
        <v>18</v>
      </c>
      <c r="AH32" s="134">
        <v>18.5</v>
      </c>
      <c r="AI32" s="138">
        <v>19</v>
      </c>
      <c r="AJ32" s="138">
        <v>19</v>
      </c>
      <c r="AK32" s="139">
        <v>19</v>
      </c>
      <c r="AL32" s="140">
        <v>19</v>
      </c>
      <c r="AM32" s="140">
        <v>19.5</v>
      </c>
      <c r="AN32" s="140">
        <v>19.75</v>
      </c>
      <c r="AO32" s="83">
        <v>19.75</v>
      </c>
      <c r="AP32" s="83">
        <v>19.75</v>
      </c>
      <c r="AQ32" s="116">
        <v>20.75</v>
      </c>
      <c r="AR32" s="116">
        <v>20.75</v>
      </c>
      <c r="AS32" s="116">
        <v>21</v>
      </c>
      <c r="AT32" s="116">
        <v>24073</v>
      </c>
      <c r="AU32" s="116">
        <v>77755</v>
      </c>
      <c r="AV32" s="116">
        <v>189943</v>
      </c>
      <c r="AW32" s="116">
        <v>89095</v>
      </c>
      <c r="AX32" s="116">
        <v>31535</v>
      </c>
      <c r="AY32" s="116">
        <v>2711</v>
      </c>
      <c r="AZ32" s="116">
        <v>8586</v>
      </c>
      <c r="BA32" s="116">
        <v>10925</v>
      </c>
      <c r="BB32" s="116">
        <v>-16870</v>
      </c>
      <c r="BC32" s="116">
        <v>-466</v>
      </c>
      <c r="BD32" s="116">
        <v>-460</v>
      </c>
      <c r="BE32" s="116">
        <v>17319</v>
      </c>
      <c r="BF32" s="116">
        <v>89095</v>
      </c>
      <c r="BG32" s="116">
        <v>81462</v>
      </c>
      <c r="BH32" s="116">
        <v>2881</v>
      </c>
      <c r="BI32" s="116">
        <v>4752</v>
      </c>
      <c r="BJ32" s="116">
        <v>20.75</v>
      </c>
      <c r="BK32" s="116">
        <v>56296</v>
      </c>
      <c r="BL32" s="116">
        <v>23996</v>
      </c>
      <c r="BM32" s="116">
        <v>99390</v>
      </c>
      <c r="BN32" s="116">
        <v>212408</v>
      </c>
      <c r="BO32" s="116">
        <v>89723</v>
      </c>
      <c r="BP32" s="116">
        <v>31199</v>
      </c>
      <c r="BQ32" s="116">
        <v>711</v>
      </c>
      <c r="BR32" s="116">
        <v>7844</v>
      </c>
      <c r="BS32" s="116">
        <v>9198</v>
      </c>
      <c r="BT32" s="116">
        <v>-11926</v>
      </c>
      <c r="BU32" s="116">
        <v>-1349</v>
      </c>
      <c r="BV32" s="116">
        <v>15971</v>
      </c>
      <c r="BW32" s="116">
        <v>89723</v>
      </c>
      <c r="BX32" s="116">
        <v>81005</v>
      </c>
      <c r="BY32" s="116">
        <v>3599</v>
      </c>
      <c r="BZ32" s="116">
        <v>5119</v>
      </c>
      <c r="CA32" s="116">
        <v>20.75</v>
      </c>
      <c r="CB32" s="116">
        <v>61224</v>
      </c>
      <c r="CC32" s="116">
        <v>23915</v>
      </c>
      <c r="CD32" s="116">
        <v>97885</v>
      </c>
      <c r="CE32" s="116">
        <v>213651</v>
      </c>
      <c r="CF32" s="116">
        <v>90519</v>
      </c>
      <c r="CG32" s="116">
        <v>31957</v>
      </c>
      <c r="CH32" s="116">
        <v>2837</v>
      </c>
      <c r="CI32" s="116">
        <v>7238</v>
      </c>
      <c r="CJ32" s="116">
        <v>10851</v>
      </c>
      <c r="CK32" s="116">
        <v>-14381</v>
      </c>
      <c r="CL32" s="116">
        <v>-3608</v>
      </c>
      <c r="CM32" s="116">
        <v>12577</v>
      </c>
      <c r="CN32" s="116">
        <v>90519</v>
      </c>
      <c r="CO32" s="116">
        <v>81689</v>
      </c>
      <c r="CP32" s="116">
        <v>3578</v>
      </c>
      <c r="CQ32" s="116">
        <v>5252</v>
      </c>
      <c r="CR32" s="116">
        <v>21</v>
      </c>
      <c r="CS32" s="116">
        <v>63062</v>
      </c>
      <c r="CT32">
        <v>23791</v>
      </c>
      <c r="CU32">
        <v>90990</v>
      </c>
      <c r="CV32">
        <v>35755</v>
      </c>
      <c r="CW32">
        <v>85964</v>
      </c>
      <c r="CX32">
        <v>228</v>
      </c>
      <c r="CY32">
        <v>82861</v>
      </c>
      <c r="CZ32">
        <v>2753</v>
      </c>
      <c r="DA32">
        <v>5376</v>
      </c>
      <c r="DB32">
        <v>12716</v>
      </c>
      <c r="DC32">
        <v>-9420</v>
      </c>
      <c r="DD32">
        <v>7407</v>
      </c>
      <c r="DE32">
        <v>62027</v>
      </c>
      <c r="DF32">
        <v>199473</v>
      </c>
      <c r="DG32">
        <v>5314</v>
      </c>
      <c r="DH32">
        <v>17892</v>
      </c>
      <c r="DI32">
        <v>21</v>
      </c>
      <c r="DJ32" s="174">
        <v>23782</v>
      </c>
      <c r="DK32" s="34">
        <v>91983</v>
      </c>
      <c r="DL32" s="34">
        <v>36771</v>
      </c>
      <c r="DM32">
        <v>17236</v>
      </c>
      <c r="DN32" s="173">
        <v>-160</v>
      </c>
      <c r="DO32" s="34">
        <v>83598</v>
      </c>
      <c r="DP32" s="173">
        <v>3008</v>
      </c>
      <c r="DQ32" s="34">
        <v>5377</v>
      </c>
      <c r="DR32" s="173">
        <v>15977</v>
      </c>
      <c r="DS32" s="173">
        <v>-8963</v>
      </c>
      <c r="DT32">
        <v>10915</v>
      </c>
      <c r="DU32">
        <v>53193</v>
      </c>
      <c r="DV32" s="173">
        <v>129853</v>
      </c>
      <c r="DW32" s="173">
        <v>68</v>
      </c>
      <c r="DX32" s="173">
        <v>17959</v>
      </c>
      <c r="DY32" s="57">
        <v>21</v>
      </c>
      <c r="DZ32" s="184">
        <v>130</v>
      </c>
      <c r="EA32" s="116">
        <v>23602</v>
      </c>
      <c r="EB32" s="48">
        <v>89740</v>
      </c>
      <c r="EC32" s="46">
        <v>36417</v>
      </c>
      <c r="ED32" s="90">
        <v>15322</v>
      </c>
      <c r="EE32" s="186">
        <v>-60</v>
      </c>
      <c r="EF32" s="46">
        <v>81565</v>
      </c>
      <c r="EG32" s="130">
        <v>2799</v>
      </c>
      <c r="EH32" s="46">
        <v>5376</v>
      </c>
      <c r="EI32" s="130">
        <v>8905</v>
      </c>
      <c r="EJ32" s="48">
        <v>-3868</v>
      </c>
      <c r="EK32" s="44">
        <v>10437</v>
      </c>
      <c r="EL32" s="44">
        <v>45145</v>
      </c>
      <c r="EM32" s="130">
        <v>132514</v>
      </c>
      <c r="EN32" s="117">
        <v>-2109</v>
      </c>
      <c r="EO32" s="117">
        <v>15851</v>
      </c>
      <c r="EP32" s="129">
        <v>21</v>
      </c>
    </row>
    <row r="33" spans="1:146" ht="15" x14ac:dyDescent="0.25">
      <c r="A33" s="27">
        <v>99</v>
      </c>
      <c r="B33" s="27" t="s">
        <v>162</v>
      </c>
      <c r="C33" s="27">
        <v>4</v>
      </c>
      <c r="D33" s="27" t="s">
        <v>120</v>
      </c>
      <c r="E33" s="27">
        <v>1</v>
      </c>
      <c r="F33" s="27" t="s">
        <v>103</v>
      </c>
      <c r="G33" s="29" t="s">
        <v>130</v>
      </c>
      <c r="H33" s="27" t="s">
        <v>98</v>
      </c>
      <c r="I33" s="31" t="s">
        <v>120</v>
      </c>
      <c r="J33" s="118">
        <v>884.66849318754805</v>
      </c>
      <c r="K33" s="118">
        <v>853.72191471862993</v>
      </c>
      <c r="L33" s="118">
        <v>425.01089016823835</v>
      </c>
      <c r="M33" s="118">
        <v>295.16981093995184</v>
      </c>
      <c r="N33" s="22">
        <v>634</v>
      </c>
      <c r="O33" s="119">
        <v>447</v>
      </c>
      <c r="P33" s="119">
        <v>-241</v>
      </c>
      <c r="Q33" s="120">
        <v>-1013</v>
      </c>
      <c r="R33" s="22">
        <v>-1569</v>
      </c>
      <c r="S33" s="22">
        <v>-1580</v>
      </c>
      <c r="T33" s="121">
        <v>-1684</v>
      </c>
      <c r="U33" s="121">
        <v>-1867</v>
      </c>
      <c r="V33" s="121">
        <v>-1430</v>
      </c>
      <c r="W33" s="106">
        <v>-1655</v>
      </c>
      <c r="X33" s="121">
        <v>-1697</v>
      </c>
      <c r="Y33" s="121">
        <v>-1833</v>
      </c>
      <c r="Z33" s="121">
        <v>-1609</v>
      </c>
      <c r="AA33" s="121">
        <v>-1547</v>
      </c>
      <c r="AB33" s="122">
        <v>19</v>
      </c>
      <c r="AC33" s="123">
        <v>19</v>
      </c>
      <c r="AD33" s="124">
        <v>19</v>
      </c>
      <c r="AE33" s="125">
        <v>19</v>
      </c>
      <c r="AF33" s="126">
        <v>19</v>
      </c>
      <c r="AG33" s="123">
        <v>19</v>
      </c>
      <c r="AH33" s="123">
        <v>19</v>
      </c>
      <c r="AI33" s="127">
        <v>19</v>
      </c>
      <c r="AJ33" s="127">
        <v>19</v>
      </c>
      <c r="AK33" s="22">
        <v>19.5</v>
      </c>
      <c r="AL33" s="128">
        <v>19.75</v>
      </c>
      <c r="AM33" s="128">
        <v>19.75</v>
      </c>
      <c r="AN33" s="128">
        <v>20.25</v>
      </c>
      <c r="AO33" s="77">
        <v>20.25</v>
      </c>
      <c r="AP33" s="77">
        <v>20.75</v>
      </c>
      <c r="AQ33" s="129">
        <v>20.75</v>
      </c>
      <c r="AR33" s="129">
        <v>21.25</v>
      </c>
      <c r="AS33" s="129">
        <v>21.5</v>
      </c>
      <c r="AT33" s="116">
        <v>1819</v>
      </c>
      <c r="AU33" s="47">
        <v>8687</v>
      </c>
      <c r="AV33" s="47">
        <v>18665</v>
      </c>
      <c r="AW33" s="46">
        <v>5476</v>
      </c>
      <c r="AX33" s="46">
        <v>4808</v>
      </c>
      <c r="AY33" s="92">
        <v>10</v>
      </c>
      <c r="AZ33" s="47">
        <v>241</v>
      </c>
      <c r="BA33" s="44">
        <v>382</v>
      </c>
      <c r="BB33" s="23">
        <v>-142</v>
      </c>
      <c r="BC33" s="47">
        <v>-141</v>
      </c>
      <c r="BD33" s="44">
        <v>-135</v>
      </c>
      <c r="BE33" s="47">
        <v>-1833</v>
      </c>
      <c r="BF33" s="44">
        <v>5476</v>
      </c>
      <c r="BG33" s="46">
        <v>4538</v>
      </c>
      <c r="BH33" s="130">
        <v>646</v>
      </c>
      <c r="BI33" s="46">
        <v>292</v>
      </c>
      <c r="BJ33" s="129">
        <v>20.75</v>
      </c>
      <c r="BK33" s="44">
        <v>3894</v>
      </c>
      <c r="BL33" s="116">
        <v>1788</v>
      </c>
      <c r="BM33" s="47">
        <v>7957</v>
      </c>
      <c r="BN33" s="130">
        <v>18097</v>
      </c>
      <c r="BO33" s="46">
        <v>5901</v>
      </c>
      <c r="BP33" s="46">
        <v>4882</v>
      </c>
      <c r="BQ33" s="46">
        <v>9</v>
      </c>
      <c r="BR33" s="130">
        <v>583</v>
      </c>
      <c r="BS33" s="44">
        <v>365</v>
      </c>
      <c r="BT33" s="92">
        <v>-177</v>
      </c>
      <c r="BU33" s="117">
        <v>223</v>
      </c>
      <c r="BV33" s="130">
        <v>-1609</v>
      </c>
      <c r="BW33" s="48">
        <v>5901</v>
      </c>
      <c r="BX33" s="46">
        <v>4648</v>
      </c>
      <c r="BY33" s="130">
        <v>826</v>
      </c>
      <c r="BZ33" s="46">
        <v>427</v>
      </c>
      <c r="CA33" s="129">
        <v>21.25</v>
      </c>
      <c r="CB33" s="44">
        <v>3489</v>
      </c>
      <c r="CC33" s="116">
        <v>1793</v>
      </c>
      <c r="CD33" s="47">
        <v>7538</v>
      </c>
      <c r="CE33" s="130">
        <v>17481</v>
      </c>
      <c r="CF33" s="46">
        <v>6008</v>
      </c>
      <c r="CG33" s="46">
        <v>4392</v>
      </c>
      <c r="CH33" s="46">
        <v>8</v>
      </c>
      <c r="CI33" s="130">
        <v>411</v>
      </c>
      <c r="CJ33" s="44">
        <v>354</v>
      </c>
      <c r="CK33" s="117">
        <v>-135</v>
      </c>
      <c r="CL33" s="117">
        <v>62</v>
      </c>
      <c r="CM33" s="117">
        <v>-1547</v>
      </c>
      <c r="CN33" s="48">
        <v>6008</v>
      </c>
      <c r="CO33" s="46">
        <v>4560</v>
      </c>
      <c r="CP33" s="130">
        <v>951</v>
      </c>
      <c r="CQ33" s="46">
        <v>497</v>
      </c>
      <c r="CR33" s="129">
        <v>21.5</v>
      </c>
      <c r="CS33" s="44">
        <v>2927</v>
      </c>
      <c r="CT33">
        <v>1759</v>
      </c>
      <c r="CU33">
        <v>6153</v>
      </c>
      <c r="CV33">
        <v>4423</v>
      </c>
      <c r="CW33">
        <v>6790</v>
      </c>
      <c r="CX33">
        <v>7</v>
      </c>
      <c r="CY33">
        <v>4835</v>
      </c>
      <c r="CZ33">
        <v>821</v>
      </c>
      <c r="DA33">
        <v>497</v>
      </c>
      <c r="DB33">
        <v>327</v>
      </c>
      <c r="DC33">
        <v>-114</v>
      </c>
      <c r="DD33">
        <v>370</v>
      </c>
      <c r="DE33">
        <v>2676</v>
      </c>
      <c r="DF33">
        <v>17003</v>
      </c>
      <c r="DG33">
        <v>-38</v>
      </c>
      <c r="DH33">
        <v>-1585</v>
      </c>
      <c r="DI33">
        <v>21.5</v>
      </c>
      <c r="DJ33" s="174">
        <v>1707</v>
      </c>
      <c r="DK33" s="34">
        <v>5978</v>
      </c>
      <c r="DL33" s="34">
        <v>4380</v>
      </c>
      <c r="DM33">
        <v>6103</v>
      </c>
      <c r="DN33" s="173">
        <v>-31</v>
      </c>
      <c r="DO33" s="34">
        <v>4596</v>
      </c>
      <c r="DP33" s="173">
        <v>893</v>
      </c>
      <c r="DQ33" s="34">
        <v>489</v>
      </c>
      <c r="DR33" s="173">
        <v>326</v>
      </c>
      <c r="DS33" s="173">
        <v>-136</v>
      </c>
      <c r="DT33">
        <v>322</v>
      </c>
      <c r="DU33">
        <v>3091</v>
      </c>
      <c r="DV33" s="173">
        <v>16104</v>
      </c>
      <c r="DW33" s="173">
        <v>9</v>
      </c>
      <c r="DX33" s="173">
        <v>-1576</v>
      </c>
      <c r="DY33" s="57">
        <v>22</v>
      </c>
      <c r="DZ33" s="184">
        <v>340</v>
      </c>
      <c r="EA33" s="116">
        <v>1666</v>
      </c>
      <c r="EB33" s="48">
        <v>5274</v>
      </c>
      <c r="EC33" s="46">
        <v>4484</v>
      </c>
      <c r="ED33" s="90">
        <v>6131</v>
      </c>
      <c r="EE33" s="186">
        <v>-20</v>
      </c>
      <c r="EF33" s="46">
        <v>3950</v>
      </c>
      <c r="EG33" s="130">
        <v>691</v>
      </c>
      <c r="EH33" s="46">
        <v>633</v>
      </c>
      <c r="EI33" s="130">
        <v>-826</v>
      </c>
      <c r="EJ33" s="48">
        <v>-198</v>
      </c>
      <c r="EK33" s="44">
        <v>286</v>
      </c>
      <c r="EL33" s="44">
        <v>2829</v>
      </c>
      <c r="EM33" s="130">
        <v>16695</v>
      </c>
      <c r="EN33" s="117">
        <v>-1107</v>
      </c>
      <c r="EO33" s="117">
        <v>-2641</v>
      </c>
      <c r="EP33" s="129">
        <v>22</v>
      </c>
    </row>
    <row r="34" spans="1:146" ht="15" x14ac:dyDescent="0.25">
      <c r="A34" s="27">
        <v>102</v>
      </c>
      <c r="B34" s="27" t="s">
        <v>163</v>
      </c>
      <c r="C34" s="27">
        <v>4</v>
      </c>
      <c r="D34" s="27" t="s">
        <v>120</v>
      </c>
      <c r="E34" s="27">
        <v>4</v>
      </c>
      <c r="F34" s="27" t="s">
        <v>100</v>
      </c>
      <c r="G34" s="29" t="s">
        <v>132</v>
      </c>
      <c r="H34" s="27" t="s">
        <v>99</v>
      </c>
      <c r="I34" s="31" t="s">
        <v>120</v>
      </c>
      <c r="J34" s="118">
        <v>708.74392210880751</v>
      </c>
      <c r="K34" s="118">
        <v>6.55932913199893</v>
      </c>
      <c r="L34" s="118">
        <v>-667.2015042728143</v>
      </c>
      <c r="M34" s="118">
        <v>-1478.371873596682</v>
      </c>
      <c r="N34" s="22">
        <v>-1150</v>
      </c>
      <c r="O34" s="119">
        <v>-2120</v>
      </c>
      <c r="P34" s="119">
        <v>-2149</v>
      </c>
      <c r="Q34" s="120">
        <v>-4717</v>
      </c>
      <c r="R34" s="22">
        <v>-5086</v>
      </c>
      <c r="S34" s="22">
        <v>-4491</v>
      </c>
      <c r="T34" s="121">
        <v>-3460</v>
      </c>
      <c r="U34" s="121">
        <v>2680</v>
      </c>
      <c r="V34" s="121">
        <v>6116</v>
      </c>
      <c r="W34" s="106">
        <v>8887</v>
      </c>
      <c r="X34" s="121">
        <v>8696</v>
      </c>
      <c r="Y34" s="121">
        <v>7404</v>
      </c>
      <c r="Z34" s="121">
        <v>6740</v>
      </c>
      <c r="AA34" s="121">
        <v>8063</v>
      </c>
      <c r="AB34" s="122">
        <v>18</v>
      </c>
      <c r="AC34" s="123">
        <v>18</v>
      </c>
      <c r="AD34" s="124">
        <v>18</v>
      </c>
      <c r="AE34" s="125">
        <v>18</v>
      </c>
      <c r="AF34" s="126">
        <v>18</v>
      </c>
      <c r="AG34" s="123">
        <v>18</v>
      </c>
      <c r="AH34" s="123">
        <v>18.75</v>
      </c>
      <c r="AI34" s="127">
        <v>18.75</v>
      </c>
      <c r="AJ34" s="127">
        <v>19.5</v>
      </c>
      <c r="AK34" s="22">
        <v>19.5</v>
      </c>
      <c r="AL34" s="128">
        <v>19.75</v>
      </c>
      <c r="AM34" s="128">
        <v>19.75</v>
      </c>
      <c r="AN34" s="128">
        <v>19.75</v>
      </c>
      <c r="AO34" s="77">
        <v>19.75</v>
      </c>
      <c r="AP34" s="77">
        <v>19.75</v>
      </c>
      <c r="AQ34" s="129">
        <v>19.75</v>
      </c>
      <c r="AR34" s="129">
        <v>20.25</v>
      </c>
      <c r="AS34" s="129">
        <v>20.25</v>
      </c>
      <c r="AT34" s="116">
        <v>10543</v>
      </c>
      <c r="AU34" s="47">
        <v>16206</v>
      </c>
      <c r="AV34" s="47">
        <v>70474</v>
      </c>
      <c r="AW34" s="46">
        <v>30818</v>
      </c>
      <c r="AX34" s="46">
        <v>25659</v>
      </c>
      <c r="AY34" s="92">
        <v>59</v>
      </c>
      <c r="AZ34" s="47">
        <v>2039</v>
      </c>
      <c r="BA34" s="44">
        <v>3366</v>
      </c>
      <c r="BB34" s="23">
        <v>-4507</v>
      </c>
      <c r="BC34" s="47">
        <v>-1327</v>
      </c>
      <c r="BD34" s="44">
        <v>-1292</v>
      </c>
      <c r="BE34" s="47">
        <v>7404</v>
      </c>
      <c r="BF34" s="44">
        <v>30818</v>
      </c>
      <c r="BG34" s="46">
        <v>27424</v>
      </c>
      <c r="BH34" s="130">
        <v>1609</v>
      </c>
      <c r="BI34" s="46">
        <v>1785</v>
      </c>
      <c r="BJ34" s="129">
        <v>19.75</v>
      </c>
      <c r="BK34" s="44">
        <v>14675</v>
      </c>
      <c r="BL34" s="116">
        <v>10487</v>
      </c>
      <c r="BM34" s="47">
        <v>15263</v>
      </c>
      <c r="BN34" s="130">
        <v>70717</v>
      </c>
      <c r="BO34" s="46">
        <v>32248</v>
      </c>
      <c r="BP34" s="46">
        <v>26132</v>
      </c>
      <c r="BQ34" s="46">
        <v>56</v>
      </c>
      <c r="BR34" s="130">
        <v>2721</v>
      </c>
      <c r="BS34" s="44">
        <v>3416</v>
      </c>
      <c r="BT34" s="92">
        <v>-7339</v>
      </c>
      <c r="BU34" s="117">
        <v>-664</v>
      </c>
      <c r="BV34" s="130">
        <v>6740</v>
      </c>
      <c r="BW34" s="48">
        <v>32248</v>
      </c>
      <c r="BX34" s="46">
        <v>28545</v>
      </c>
      <c r="BY34" s="130">
        <v>1673</v>
      </c>
      <c r="BZ34" s="46">
        <v>2030</v>
      </c>
      <c r="CA34" s="129">
        <v>20.25</v>
      </c>
      <c r="CB34" s="44">
        <v>18714</v>
      </c>
      <c r="CC34" s="116">
        <v>10473</v>
      </c>
      <c r="CD34" s="47">
        <v>15770</v>
      </c>
      <c r="CE34" s="130">
        <v>69031</v>
      </c>
      <c r="CF34" s="46">
        <v>32997</v>
      </c>
      <c r="CG34" s="46">
        <v>25202</v>
      </c>
      <c r="CH34" s="46">
        <v>96</v>
      </c>
      <c r="CI34" s="130">
        <v>4779</v>
      </c>
      <c r="CJ34" s="44">
        <v>3485</v>
      </c>
      <c r="CK34" s="117">
        <v>-7523</v>
      </c>
      <c r="CL34" s="117">
        <v>1323</v>
      </c>
      <c r="CM34" s="117">
        <v>8063</v>
      </c>
      <c r="CN34" s="48">
        <v>32997</v>
      </c>
      <c r="CO34" s="46">
        <v>29159</v>
      </c>
      <c r="CP34" s="130">
        <v>1789</v>
      </c>
      <c r="CQ34" s="46">
        <v>2049</v>
      </c>
      <c r="CR34" s="129">
        <v>20.25</v>
      </c>
      <c r="CS34" s="44">
        <v>20361</v>
      </c>
      <c r="CT34">
        <v>10403</v>
      </c>
      <c r="CU34">
        <v>32587</v>
      </c>
      <c r="CV34">
        <v>26258</v>
      </c>
      <c r="CW34">
        <v>12234</v>
      </c>
      <c r="CX34">
        <v>57</v>
      </c>
      <c r="CY34">
        <v>28813</v>
      </c>
      <c r="CZ34">
        <v>1696</v>
      </c>
      <c r="DA34">
        <v>2078</v>
      </c>
      <c r="DB34">
        <v>4033</v>
      </c>
      <c r="DC34">
        <v>-2404</v>
      </c>
      <c r="DD34">
        <v>3748</v>
      </c>
      <c r="DE34">
        <v>21049</v>
      </c>
      <c r="DF34">
        <v>66879</v>
      </c>
      <c r="DG34">
        <v>312</v>
      </c>
      <c r="DH34">
        <v>8375</v>
      </c>
      <c r="DI34">
        <v>20.5</v>
      </c>
      <c r="DJ34" s="174">
        <v>10207</v>
      </c>
      <c r="DK34" s="34">
        <v>33980</v>
      </c>
      <c r="DL34" s="34">
        <v>26010</v>
      </c>
      <c r="DM34">
        <v>11908</v>
      </c>
      <c r="DN34" s="173">
        <v>-89</v>
      </c>
      <c r="DO34" s="34">
        <v>29763</v>
      </c>
      <c r="DP34" s="173">
        <v>1975</v>
      </c>
      <c r="DQ34" s="34">
        <v>2242</v>
      </c>
      <c r="DR34" s="173">
        <v>3511</v>
      </c>
      <c r="DS34" s="173">
        <v>-4658</v>
      </c>
      <c r="DT34">
        <v>3675</v>
      </c>
      <c r="DU34">
        <v>23330</v>
      </c>
      <c r="DV34" s="173">
        <v>68298</v>
      </c>
      <c r="DW34" s="173">
        <v>-139</v>
      </c>
      <c r="DX34" s="173">
        <v>8236</v>
      </c>
      <c r="DY34" s="57">
        <v>20.75</v>
      </c>
      <c r="DZ34" s="184">
        <v>240</v>
      </c>
      <c r="EA34" s="116">
        <v>10091</v>
      </c>
      <c r="EB34" s="48">
        <v>32665</v>
      </c>
      <c r="EC34" s="46">
        <v>26259</v>
      </c>
      <c r="ED34" s="90">
        <v>11583</v>
      </c>
      <c r="EE34" s="186">
        <v>142</v>
      </c>
      <c r="EF34" s="46">
        <v>28530</v>
      </c>
      <c r="EG34" s="130">
        <v>1921</v>
      </c>
      <c r="EH34" s="46">
        <v>2214</v>
      </c>
      <c r="EI34" s="130">
        <v>109</v>
      </c>
      <c r="EJ34" s="48">
        <v>-4602</v>
      </c>
      <c r="EK34" s="44">
        <v>3715</v>
      </c>
      <c r="EL34" s="44">
        <v>25430</v>
      </c>
      <c r="EM34" s="130">
        <v>70540</v>
      </c>
      <c r="EN34" s="117">
        <v>-3589</v>
      </c>
      <c r="EO34" s="117">
        <v>4648</v>
      </c>
      <c r="EP34" s="129">
        <v>20.75</v>
      </c>
    </row>
    <row r="35" spans="1:146" ht="15" x14ac:dyDescent="0.25">
      <c r="A35" s="27">
        <v>103</v>
      </c>
      <c r="B35" s="27" t="s">
        <v>164</v>
      </c>
      <c r="C35" s="27">
        <v>5</v>
      </c>
      <c r="D35" s="27" t="s">
        <v>109</v>
      </c>
      <c r="E35" s="27">
        <v>2</v>
      </c>
      <c r="F35" s="27" t="s">
        <v>744</v>
      </c>
      <c r="G35" s="29" t="s">
        <v>130</v>
      </c>
      <c r="H35" s="27" t="s">
        <v>98</v>
      </c>
      <c r="I35" s="31" t="s">
        <v>109</v>
      </c>
      <c r="J35" s="118">
        <v>228.735579987655</v>
      </c>
      <c r="K35" s="118">
        <v>-365.97692798024798</v>
      </c>
      <c r="L35" s="118">
        <v>-529.4555925008367</v>
      </c>
      <c r="M35" s="118">
        <v>-321.57531539440907</v>
      </c>
      <c r="N35" s="22">
        <v>112</v>
      </c>
      <c r="O35" s="119">
        <v>205</v>
      </c>
      <c r="P35" s="119">
        <v>-269</v>
      </c>
      <c r="Q35" s="120">
        <v>-497</v>
      </c>
      <c r="R35" s="22">
        <v>-756</v>
      </c>
      <c r="S35" s="22">
        <v>-576</v>
      </c>
      <c r="T35" s="121">
        <v>-564</v>
      </c>
      <c r="U35" s="121">
        <v>-604</v>
      </c>
      <c r="V35" s="121">
        <v>-257</v>
      </c>
      <c r="W35" s="106">
        <v>-478</v>
      </c>
      <c r="X35" s="121">
        <v>-696</v>
      </c>
      <c r="Y35" s="121">
        <v>-535</v>
      </c>
      <c r="Z35" s="121">
        <v>-239</v>
      </c>
      <c r="AA35" s="121">
        <v>-21</v>
      </c>
      <c r="AB35" s="122">
        <v>18</v>
      </c>
      <c r="AC35" s="123">
        <v>18</v>
      </c>
      <c r="AD35" s="124">
        <v>18.5</v>
      </c>
      <c r="AE35" s="125">
        <v>18.5</v>
      </c>
      <c r="AF35" s="126">
        <v>18.5</v>
      </c>
      <c r="AG35" s="123">
        <v>18.5</v>
      </c>
      <c r="AH35" s="123">
        <v>18.5</v>
      </c>
      <c r="AI35" s="131">
        <v>19</v>
      </c>
      <c r="AJ35" s="131">
        <v>19.5</v>
      </c>
      <c r="AK35" s="22">
        <v>19.5</v>
      </c>
      <c r="AL35" s="128">
        <v>19.75</v>
      </c>
      <c r="AM35" s="128">
        <v>20.25</v>
      </c>
      <c r="AN35" s="128">
        <v>20.25</v>
      </c>
      <c r="AO35" s="77">
        <v>20.5</v>
      </c>
      <c r="AP35" s="77">
        <v>21</v>
      </c>
      <c r="AQ35" s="129">
        <v>21</v>
      </c>
      <c r="AR35" s="129">
        <v>21</v>
      </c>
      <c r="AS35" s="129">
        <v>21.5</v>
      </c>
      <c r="AT35" s="116">
        <v>2463</v>
      </c>
      <c r="AU35" s="47">
        <v>1826</v>
      </c>
      <c r="AV35" s="47">
        <v>14698</v>
      </c>
      <c r="AW35" s="46">
        <v>7330</v>
      </c>
      <c r="AX35" s="46">
        <v>6379</v>
      </c>
      <c r="AY35" s="92">
        <v>0</v>
      </c>
      <c r="AZ35" s="47">
        <v>512</v>
      </c>
      <c r="BA35" s="44">
        <v>355</v>
      </c>
      <c r="BB35" s="23">
        <v>-159</v>
      </c>
      <c r="BC35" s="47">
        <v>157</v>
      </c>
      <c r="BD35" s="44">
        <v>160</v>
      </c>
      <c r="BE35" s="47">
        <v>-535</v>
      </c>
      <c r="BF35" s="44">
        <v>7330</v>
      </c>
      <c r="BG35" s="46">
        <v>6726</v>
      </c>
      <c r="BH35" s="130">
        <v>266</v>
      </c>
      <c r="BI35" s="46">
        <v>338</v>
      </c>
      <c r="BJ35" s="129">
        <v>21</v>
      </c>
      <c r="BK35" s="44">
        <v>4473</v>
      </c>
      <c r="BL35" s="116">
        <v>2440</v>
      </c>
      <c r="BM35" s="47">
        <v>1424</v>
      </c>
      <c r="BN35" s="130">
        <v>14024</v>
      </c>
      <c r="BO35" s="46">
        <v>7108</v>
      </c>
      <c r="BP35" s="46">
        <v>6224</v>
      </c>
      <c r="BQ35" s="46">
        <v>7</v>
      </c>
      <c r="BR35" s="130">
        <v>711</v>
      </c>
      <c r="BS35" s="44">
        <v>418</v>
      </c>
      <c r="BT35" s="92">
        <v>-381</v>
      </c>
      <c r="BU35" s="117">
        <v>296</v>
      </c>
      <c r="BV35" s="130">
        <v>-239</v>
      </c>
      <c r="BW35" s="48">
        <v>7108</v>
      </c>
      <c r="BX35" s="46">
        <v>6386</v>
      </c>
      <c r="BY35" s="130">
        <v>340</v>
      </c>
      <c r="BZ35" s="46">
        <v>382</v>
      </c>
      <c r="CA35" s="129">
        <v>21</v>
      </c>
      <c r="CB35" s="44">
        <v>3670</v>
      </c>
      <c r="CC35" s="116">
        <v>2388</v>
      </c>
      <c r="CD35" s="47">
        <v>1527</v>
      </c>
      <c r="CE35" s="130">
        <v>14546</v>
      </c>
      <c r="CF35" s="46">
        <v>7559</v>
      </c>
      <c r="CG35" s="46">
        <v>6157</v>
      </c>
      <c r="CH35" s="46">
        <v>18</v>
      </c>
      <c r="CI35" s="130">
        <v>682</v>
      </c>
      <c r="CJ35" s="44">
        <v>424</v>
      </c>
      <c r="CK35" s="117">
        <v>-346</v>
      </c>
      <c r="CL35" s="117">
        <v>260</v>
      </c>
      <c r="CM35" s="117">
        <v>-21</v>
      </c>
      <c r="CN35" s="48">
        <v>7559</v>
      </c>
      <c r="CO35" s="46">
        <v>6755</v>
      </c>
      <c r="CP35" s="130">
        <v>402</v>
      </c>
      <c r="CQ35" s="46">
        <v>402</v>
      </c>
      <c r="CR35" s="129">
        <v>21.5</v>
      </c>
      <c r="CS35" s="44">
        <v>3605</v>
      </c>
      <c r="CT35">
        <v>2345</v>
      </c>
      <c r="CU35">
        <v>7442</v>
      </c>
      <c r="CV35">
        <v>6240</v>
      </c>
      <c r="CW35">
        <v>1472</v>
      </c>
      <c r="CX35">
        <v>6</v>
      </c>
      <c r="CY35">
        <v>6543</v>
      </c>
      <c r="CZ35">
        <v>388</v>
      </c>
      <c r="DA35">
        <v>511</v>
      </c>
      <c r="DB35">
        <v>23</v>
      </c>
      <c r="DC35">
        <v>-475</v>
      </c>
      <c r="DD35">
        <v>420</v>
      </c>
      <c r="DE35">
        <v>3858</v>
      </c>
      <c r="DF35">
        <v>15109</v>
      </c>
      <c r="DG35">
        <v>-395</v>
      </c>
      <c r="DH35">
        <v>-416</v>
      </c>
      <c r="DI35">
        <v>21.5</v>
      </c>
      <c r="DJ35" s="174">
        <v>2290</v>
      </c>
      <c r="DK35" s="34">
        <v>7652</v>
      </c>
      <c r="DL35" s="34">
        <v>6053</v>
      </c>
      <c r="DM35">
        <v>1574</v>
      </c>
      <c r="DN35" s="173">
        <v>-25</v>
      </c>
      <c r="DO35" s="34">
        <v>6683</v>
      </c>
      <c r="DP35" s="173">
        <v>468</v>
      </c>
      <c r="DQ35" s="34">
        <v>501</v>
      </c>
      <c r="DR35" s="173">
        <v>401</v>
      </c>
      <c r="DS35" s="173">
        <v>-577</v>
      </c>
      <c r="DT35">
        <v>380</v>
      </c>
      <c r="DU35">
        <v>4775</v>
      </c>
      <c r="DV35" s="173">
        <v>14853</v>
      </c>
      <c r="DW35" s="173">
        <v>23</v>
      </c>
      <c r="DX35" s="173">
        <v>-393</v>
      </c>
      <c r="DY35" s="57">
        <v>22</v>
      </c>
      <c r="DZ35" s="184">
        <v>340</v>
      </c>
      <c r="EA35" s="116">
        <v>2235</v>
      </c>
      <c r="EB35" s="48">
        <v>7252</v>
      </c>
      <c r="EC35" s="46">
        <v>5821</v>
      </c>
      <c r="ED35" s="90">
        <v>1512</v>
      </c>
      <c r="EE35" s="186">
        <v>638</v>
      </c>
      <c r="EF35" s="46">
        <v>6326</v>
      </c>
      <c r="EG35" s="130">
        <v>379</v>
      </c>
      <c r="EH35" s="46">
        <v>547</v>
      </c>
      <c r="EI35" s="130">
        <v>-226</v>
      </c>
      <c r="EJ35" s="48">
        <v>-2217</v>
      </c>
      <c r="EK35" s="44">
        <v>324</v>
      </c>
      <c r="EL35" s="44">
        <v>6525</v>
      </c>
      <c r="EM35" s="130">
        <v>14787</v>
      </c>
      <c r="EN35" s="117">
        <v>114</v>
      </c>
      <c r="EO35" s="117">
        <v>-278</v>
      </c>
      <c r="EP35" s="129">
        <v>22</v>
      </c>
    </row>
    <row r="36" spans="1:146" ht="15" x14ac:dyDescent="0.25">
      <c r="A36" s="27">
        <v>105</v>
      </c>
      <c r="B36" s="27" t="s">
        <v>165</v>
      </c>
      <c r="C36" s="27">
        <v>18</v>
      </c>
      <c r="D36" s="27" t="s">
        <v>108</v>
      </c>
      <c r="E36" s="27">
        <v>2</v>
      </c>
      <c r="F36" s="27" t="s">
        <v>744</v>
      </c>
      <c r="G36" s="29" t="s">
        <v>130</v>
      </c>
      <c r="H36" s="27" t="s">
        <v>98</v>
      </c>
      <c r="I36" s="31" t="s">
        <v>108</v>
      </c>
      <c r="J36" s="118">
        <v>-455.95746863715641</v>
      </c>
      <c r="K36" s="118">
        <v>-965.39869788907333</v>
      </c>
      <c r="L36" s="118">
        <v>-566.62512424883062</v>
      </c>
      <c r="M36" s="118">
        <v>-1840.9850430476997</v>
      </c>
      <c r="N36" s="22">
        <v>-410</v>
      </c>
      <c r="O36" s="119">
        <v>-804</v>
      </c>
      <c r="P36" s="119">
        <v>-977</v>
      </c>
      <c r="Q36" s="120">
        <v>-1142</v>
      </c>
      <c r="R36" s="22">
        <v>-1496</v>
      </c>
      <c r="S36" s="22">
        <v>-1719</v>
      </c>
      <c r="T36" s="121">
        <v>-2052</v>
      </c>
      <c r="U36" s="121">
        <v>-1857</v>
      </c>
      <c r="V36" s="121">
        <v>-1002</v>
      </c>
      <c r="W36" s="106">
        <v>-1444</v>
      </c>
      <c r="X36" s="121">
        <v>-1604</v>
      </c>
      <c r="Y36" s="121">
        <v>-1959</v>
      </c>
      <c r="Z36" s="121">
        <v>-1320</v>
      </c>
      <c r="AA36" s="121">
        <v>-1113</v>
      </c>
      <c r="AB36" s="122">
        <v>19</v>
      </c>
      <c r="AC36" s="123">
        <v>19</v>
      </c>
      <c r="AD36" s="124">
        <v>19</v>
      </c>
      <c r="AE36" s="125">
        <v>19</v>
      </c>
      <c r="AF36" s="126">
        <v>19</v>
      </c>
      <c r="AG36" s="123">
        <v>19</v>
      </c>
      <c r="AH36" s="123">
        <v>19</v>
      </c>
      <c r="AI36" s="127">
        <v>19</v>
      </c>
      <c r="AJ36" s="127">
        <v>19</v>
      </c>
      <c r="AK36" s="22">
        <v>19</v>
      </c>
      <c r="AL36" s="128">
        <v>19.75</v>
      </c>
      <c r="AM36" s="128">
        <v>19.75</v>
      </c>
      <c r="AN36" s="128">
        <v>20.25</v>
      </c>
      <c r="AO36" s="77">
        <v>20.25</v>
      </c>
      <c r="AP36" s="77">
        <v>20.25</v>
      </c>
      <c r="AQ36" s="129">
        <v>21</v>
      </c>
      <c r="AR36" s="129">
        <v>21.75</v>
      </c>
      <c r="AS36" s="129">
        <v>21.75</v>
      </c>
      <c r="AT36" s="116">
        <v>2565</v>
      </c>
      <c r="AU36" s="47">
        <v>2502</v>
      </c>
      <c r="AV36" s="47">
        <v>19945</v>
      </c>
      <c r="AW36" s="46">
        <v>7425</v>
      </c>
      <c r="AX36" s="46">
        <v>10060</v>
      </c>
      <c r="AY36" s="92">
        <v>42</v>
      </c>
      <c r="AZ36" s="47">
        <v>15</v>
      </c>
      <c r="BA36" s="44">
        <v>447</v>
      </c>
      <c r="BB36" s="23">
        <v>-795</v>
      </c>
      <c r="BC36" s="47">
        <v>-432</v>
      </c>
      <c r="BD36" s="44">
        <v>-355</v>
      </c>
      <c r="BE36" s="47">
        <v>-1959</v>
      </c>
      <c r="BF36" s="44">
        <v>7425</v>
      </c>
      <c r="BG36" s="46">
        <v>6156</v>
      </c>
      <c r="BH36" s="130">
        <v>578</v>
      </c>
      <c r="BI36" s="46">
        <v>691</v>
      </c>
      <c r="BJ36" s="129">
        <v>21</v>
      </c>
      <c r="BK36" s="44">
        <v>7036</v>
      </c>
      <c r="BL36" s="116">
        <v>2490</v>
      </c>
      <c r="BM36" s="47">
        <v>2357</v>
      </c>
      <c r="BN36" s="130">
        <v>19617</v>
      </c>
      <c r="BO36" s="46">
        <v>7851</v>
      </c>
      <c r="BP36" s="46">
        <v>10573</v>
      </c>
      <c r="BQ36" s="46">
        <v>8</v>
      </c>
      <c r="BR36" s="130">
        <v>1105</v>
      </c>
      <c r="BS36" s="44">
        <v>539</v>
      </c>
      <c r="BT36" s="92">
        <v>-627</v>
      </c>
      <c r="BU36" s="117">
        <v>638</v>
      </c>
      <c r="BV36" s="130">
        <v>-1320</v>
      </c>
      <c r="BW36" s="48">
        <v>7851</v>
      </c>
      <c r="BX36" s="46">
        <v>6378</v>
      </c>
      <c r="BY36" s="130">
        <v>666</v>
      </c>
      <c r="BZ36" s="46">
        <v>807</v>
      </c>
      <c r="CA36" s="129">
        <v>21.75</v>
      </c>
      <c r="CB36" s="44">
        <v>6212</v>
      </c>
      <c r="CC36" s="116">
        <v>2422</v>
      </c>
      <c r="CD36" s="47">
        <v>2171</v>
      </c>
      <c r="CE36" s="130">
        <v>20030</v>
      </c>
      <c r="CF36" s="46">
        <v>8278</v>
      </c>
      <c r="CG36" s="46">
        <v>10303</v>
      </c>
      <c r="CH36" s="46">
        <v>8</v>
      </c>
      <c r="CI36" s="130">
        <v>689</v>
      </c>
      <c r="CJ36" s="44">
        <v>535</v>
      </c>
      <c r="CK36" s="117">
        <v>-166</v>
      </c>
      <c r="CL36" s="117">
        <v>208</v>
      </c>
      <c r="CM36" s="117">
        <v>-1113</v>
      </c>
      <c r="CN36" s="48">
        <v>8278</v>
      </c>
      <c r="CO36" s="46">
        <v>6711</v>
      </c>
      <c r="CP36" s="130">
        <v>763</v>
      </c>
      <c r="CQ36" s="46">
        <v>804</v>
      </c>
      <c r="CR36" s="129">
        <v>21.75</v>
      </c>
      <c r="CS36" s="44">
        <v>5419</v>
      </c>
      <c r="CT36">
        <v>2406</v>
      </c>
      <c r="CU36">
        <v>7599</v>
      </c>
      <c r="CV36">
        <v>10106</v>
      </c>
      <c r="CW36">
        <v>2109</v>
      </c>
      <c r="CX36">
        <v>5</v>
      </c>
      <c r="CY36">
        <v>6069</v>
      </c>
      <c r="CZ36">
        <v>703</v>
      </c>
      <c r="DA36">
        <v>827</v>
      </c>
      <c r="DB36">
        <v>301</v>
      </c>
      <c r="DC36">
        <v>-150</v>
      </c>
      <c r="DD36">
        <v>482</v>
      </c>
      <c r="DE36">
        <v>4815</v>
      </c>
      <c r="DF36">
        <v>19493</v>
      </c>
      <c r="DG36">
        <v>-129</v>
      </c>
      <c r="DH36">
        <v>-1242</v>
      </c>
      <c r="DI36">
        <v>21.75</v>
      </c>
      <c r="DJ36" s="174">
        <v>2326</v>
      </c>
      <c r="DK36" s="34">
        <v>7899</v>
      </c>
      <c r="DL36" s="34">
        <v>11169</v>
      </c>
      <c r="DM36">
        <v>2121</v>
      </c>
      <c r="DN36" s="173">
        <v>-98</v>
      </c>
      <c r="DO36" s="34">
        <v>6247</v>
      </c>
      <c r="DP36" s="173">
        <v>801</v>
      </c>
      <c r="DQ36" s="34">
        <v>851</v>
      </c>
      <c r="DR36" s="173">
        <v>1805</v>
      </c>
      <c r="DS36" s="173">
        <v>-259</v>
      </c>
      <c r="DT36">
        <v>474</v>
      </c>
      <c r="DU36">
        <v>4189</v>
      </c>
      <c r="DV36" s="173">
        <v>19286</v>
      </c>
      <c r="DW36" s="173">
        <v>1383</v>
      </c>
      <c r="DX36" s="173">
        <v>141</v>
      </c>
      <c r="DY36" s="57">
        <v>21.75</v>
      </c>
      <c r="DZ36" s="184">
        <v>340</v>
      </c>
      <c r="EA36" s="116">
        <v>2287</v>
      </c>
      <c r="EB36" s="48">
        <v>7717</v>
      </c>
      <c r="EC36" s="46">
        <v>11343</v>
      </c>
      <c r="ED36" s="90">
        <v>2063</v>
      </c>
      <c r="EE36" s="186">
        <v>-12</v>
      </c>
      <c r="EF36" s="46">
        <v>5826</v>
      </c>
      <c r="EG36" s="130">
        <v>701</v>
      </c>
      <c r="EH36" s="46">
        <v>1190</v>
      </c>
      <c r="EI36" s="130">
        <v>873</v>
      </c>
      <c r="EJ36" s="48">
        <v>-710</v>
      </c>
      <c r="EK36" s="44">
        <v>486</v>
      </c>
      <c r="EL36" s="44">
        <v>3710</v>
      </c>
      <c r="EM36" s="130">
        <v>20238</v>
      </c>
      <c r="EN36" s="117">
        <v>439</v>
      </c>
      <c r="EO36" s="117">
        <v>580</v>
      </c>
      <c r="EP36" s="129">
        <v>21.75</v>
      </c>
    </row>
    <row r="37" spans="1:146" ht="15" x14ac:dyDescent="0.25">
      <c r="A37" s="27">
        <v>106</v>
      </c>
      <c r="B37" s="27" t="s">
        <v>166</v>
      </c>
      <c r="C37" s="27">
        <v>1</v>
      </c>
      <c r="D37" s="27" t="s">
        <v>121</v>
      </c>
      <c r="E37" s="27">
        <v>6</v>
      </c>
      <c r="F37" s="27" t="s">
        <v>102</v>
      </c>
      <c r="G37" s="29" t="s">
        <v>141</v>
      </c>
      <c r="H37" s="27" t="s">
        <v>97</v>
      </c>
      <c r="I37" s="31" t="s">
        <v>121</v>
      </c>
      <c r="J37" s="118">
        <v>30.610202615995007</v>
      </c>
      <c r="K37" s="118">
        <v>4200.9980271556224</v>
      </c>
      <c r="L37" s="118">
        <v>5120.8177969736262</v>
      </c>
      <c r="M37" s="118">
        <v>7005.1953250483957</v>
      </c>
      <c r="N37" s="22">
        <v>18174</v>
      </c>
      <c r="O37" s="119">
        <v>18932</v>
      </c>
      <c r="P37" s="119">
        <v>15005</v>
      </c>
      <c r="Q37" s="120">
        <v>12648</v>
      </c>
      <c r="R37" s="22">
        <v>11846</v>
      </c>
      <c r="S37" s="22">
        <v>14789</v>
      </c>
      <c r="T37" s="121">
        <v>29732</v>
      </c>
      <c r="U37" s="121">
        <v>25131</v>
      </c>
      <c r="V37" s="121">
        <v>32249</v>
      </c>
      <c r="W37" s="106">
        <v>35602</v>
      </c>
      <c r="X37" s="121">
        <v>31390</v>
      </c>
      <c r="Y37" s="121">
        <v>31211</v>
      </c>
      <c r="Z37" s="121">
        <v>28870</v>
      </c>
      <c r="AA37" s="121">
        <v>25553</v>
      </c>
      <c r="AB37" s="122">
        <v>17.5</v>
      </c>
      <c r="AC37" s="123">
        <v>17.5</v>
      </c>
      <c r="AD37" s="124">
        <v>17.5</v>
      </c>
      <c r="AE37" s="125">
        <v>17.5</v>
      </c>
      <c r="AF37" s="126">
        <v>18</v>
      </c>
      <c r="AG37" s="123">
        <v>18</v>
      </c>
      <c r="AH37" s="123">
        <v>18</v>
      </c>
      <c r="AI37" s="127">
        <v>18</v>
      </c>
      <c r="AJ37" s="127">
        <v>18</v>
      </c>
      <c r="AK37" s="22">
        <v>18.5</v>
      </c>
      <c r="AL37" s="128">
        <v>18.5</v>
      </c>
      <c r="AM37" s="128">
        <v>18.5</v>
      </c>
      <c r="AN37" s="128">
        <v>19.25</v>
      </c>
      <c r="AO37" s="77">
        <v>19.25</v>
      </c>
      <c r="AP37" s="77">
        <v>19.25</v>
      </c>
      <c r="AQ37" s="129">
        <v>19.25</v>
      </c>
      <c r="AR37" s="129">
        <v>19.75</v>
      </c>
      <c r="AS37" s="129">
        <v>19.75</v>
      </c>
      <c r="AT37" s="116">
        <v>46188</v>
      </c>
      <c r="AU37" s="47">
        <v>60301</v>
      </c>
      <c r="AV37" s="47">
        <v>283957</v>
      </c>
      <c r="AW37" s="46">
        <v>191585</v>
      </c>
      <c r="AX37" s="46">
        <v>49692</v>
      </c>
      <c r="AY37" s="92">
        <v>551</v>
      </c>
      <c r="AZ37" s="47">
        <v>16098</v>
      </c>
      <c r="BA37" s="44">
        <v>16276</v>
      </c>
      <c r="BB37" s="23">
        <v>-18209</v>
      </c>
      <c r="BC37" s="47">
        <v>-178</v>
      </c>
      <c r="BD37" s="44">
        <v>-179</v>
      </c>
      <c r="BE37" s="47">
        <v>31211</v>
      </c>
      <c r="BF37" s="44">
        <v>191585</v>
      </c>
      <c r="BG37" s="46">
        <v>164820</v>
      </c>
      <c r="BH37" s="130">
        <v>17617</v>
      </c>
      <c r="BI37" s="46">
        <v>9148</v>
      </c>
      <c r="BJ37" s="129">
        <v>19.25</v>
      </c>
      <c r="BK37" s="44">
        <v>111283</v>
      </c>
      <c r="BL37" s="116">
        <v>46366</v>
      </c>
      <c r="BM37" s="47">
        <v>67219</v>
      </c>
      <c r="BN37" s="130">
        <v>287933</v>
      </c>
      <c r="BO37" s="46">
        <v>191546</v>
      </c>
      <c r="BP37" s="46">
        <v>48012</v>
      </c>
      <c r="BQ37" s="46">
        <v>641</v>
      </c>
      <c r="BR37" s="130">
        <v>17296</v>
      </c>
      <c r="BS37" s="44">
        <v>19634</v>
      </c>
      <c r="BT37" s="92">
        <v>-9695</v>
      </c>
      <c r="BU37" s="117">
        <v>-2340</v>
      </c>
      <c r="BV37" s="130">
        <v>28870</v>
      </c>
      <c r="BW37" s="48">
        <v>191546</v>
      </c>
      <c r="BX37" s="46">
        <v>169086</v>
      </c>
      <c r="BY37" s="130">
        <v>13035</v>
      </c>
      <c r="BZ37" s="46">
        <v>9425</v>
      </c>
      <c r="CA37" s="129">
        <v>19.75</v>
      </c>
      <c r="CB37" s="44">
        <v>119426</v>
      </c>
      <c r="CC37" s="116">
        <v>46463</v>
      </c>
      <c r="CD37" s="47">
        <v>58597</v>
      </c>
      <c r="CE37" s="130">
        <v>284673</v>
      </c>
      <c r="CF37" s="46">
        <v>195453</v>
      </c>
      <c r="CG37" s="46">
        <v>46981</v>
      </c>
      <c r="CH37" s="46">
        <v>1121</v>
      </c>
      <c r="CI37" s="130">
        <v>15104</v>
      </c>
      <c r="CJ37" s="44">
        <v>19721</v>
      </c>
      <c r="CK37" s="117">
        <v>-11185</v>
      </c>
      <c r="CL37" s="117">
        <v>-4617</v>
      </c>
      <c r="CM37" s="117">
        <v>25553</v>
      </c>
      <c r="CN37" s="48">
        <v>195453</v>
      </c>
      <c r="CO37" s="46">
        <v>168042</v>
      </c>
      <c r="CP37" s="130">
        <v>14262</v>
      </c>
      <c r="CQ37" s="46">
        <v>13149</v>
      </c>
      <c r="CR37" s="129">
        <v>19.75</v>
      </c>
      <c r="CS37" s="44">
        <v>114481</v>
      </c>
      <c r="CT37">
        <v>46596</v>
      </c>
      <c r="CU37">
        <v>198502</v>
      </c>
      <c r="CV37">
        <v>53470</v>
      </c>
      <c r="CW37">
        <v>59731</v>
      </c>
      <c r="CX37">
        <v>866</v>
      </c>
      <c r="CY37">
        <v>173918</v>
      </c>
      <c r="CZ37">
        <v>11167</v>
      </c>
      <c r="DA37">
        <v>13417</v>
      </c>
      <c r="DB37">
        <v>28761</v>
      </c>
      <c r="DC37">
        <v>-13863</v>
      </c>
      <c r="DD37">
        <v>20178</v>
      </c>
      <c r="DE37">
        <v>113497</v>
      </c>
      <c r="DF37">
        <v>281798</v>
      </c>
      <c r="DG37">
        <v>2333</v>
      </c>
      <c r="DH37">
        <v>27885</v>
      </c>
      <c r="DI37">
        <v>19.75</v>
      </c>
      <c r="DJ37" s="174">
        <v>46739</v>
      </c>
      <c r="DK37" s="34">
        <v>198343</v>
      </c>
      <c r="DL37" s="34">
        <v>51169</v>
      </c>
      <c r="DM37">
        <v>62570</v>
      </c>
      <c r="DN37" s="173">
        <v>-1083</v>
      </c>
      <c r="DO37" s="34">
        <v>173516</v>
      </c>
      <c r="DP37" s="173">
        <v>11471</v>
      </c>
      <c r="DQ37" s="34">
        <v>13356</v>
      </c>
      <c r="DR37" s="173">
        <v>26746</v>
      </c>
      <c r="DS37" s="173">
        <v>-10992</v>
      </c>
      <c r="DT37">
        <v>19221</v>
      </c>
      <c r="DU37">
        <v>104740</v>
      </c>
      <c r="DV37" s="173">
        <v>284253</v>
      </c>
      <c r="DW37" s="173">
        <v>2275</v>
      </c>
      <c r="DX37" s="173">
        <v>30160</v>
      </c>
      <c r="DY37" s="57">
        <v>19.75</v>
      </c>
      <c r="DZ37" s="184">
        <v>130</v>
      </c>
      <c r="EA37" s="116">
        <v>46504</v>
      </c>
      <c r="EB37" s="48">
        <v>199497</v>
      </c>
      <c r="EC37" s="46">
        <v>51806</v>
      </c>
      <c r="ED37" s="90">
        <v>145372</v>
      </c>
      <c r="EE37" s="186">
        <v>-775</v>
      </c>
      <c r="EF37" s="46">
        <v>174257</v>
      </c>
      <c r="EG37" s="130">
        <v>13476</v>
      </c>
      <c r="EH37" s="46">
        <v>11764</v>
      </c>
      <c r="EI37" s="130">
        <v>16909</v>
      </c>
      <c r="EJ37" s="48">
        <v>-8858</v>
      </c>
      <c r="EK37" s="44">
        <v>19199</v>
      </c>
      <c r="EL37" s="44">
        <v>111782</v>
      </c>
      <c r="EM37" s="130">
        <v>378991</v>
      </c>
      <c r="EN37" s="117">
        <v>-2290</v>
      </c>
      <c r="EO37" s="117">
        <v>27870</v>
      </c>
      <c r="EP37" s="129">
        <v>19.75</v>
      </c>
    </row>
    <row r="38" spans="1:146" ht="15" x14ac:dyDescent="0.25">
      <c r="A38" s="27">
        <v>108</v>
      </c>
      <c r="B38" s="27" t="s">
        <v>167</v>
      </c>
      <c r="C38" s="27">
        <v>6</v>
      </c>
      <c r="D38" s="27" t="s">
        <v>114</v>
      </c>
      <c r="E38" s="27">
        <v>4</v>
      </c>
      <c r="F38" s="27" t="s">
        <v>100</v>
      </c>
      <c r="G38" s="29" t="s">
        <v>132</v>
      </c>
      <c r="H38" s="27" t="s">
        <v>99</v>
      </c>
      <c r="I38" s="31" t="s">
        <v>114</v>
      </c>
      <c r="J38" s="118">
        <v>-1838.6304120772386</v>
      </c>
      <c r="K38" s="118">
        <v>979.69467163830177</v>
      </c>
      <c r="L38" s="118">
        <v>-1286.8058253570209</v>
      </c>
      <c r="M38" s="118">
        <v>123.78631387567202</v>
      </c>
      <c r="N38" s="22">
        <v>-37</v>
      </c>
      <c r="O38" s="119">
        <v>3088</v>
      </c>
      <c r="P38" s="119">
        <v>4758</v>
      </c>
      <c r="Q38" s="120">
        <v>1641</v>
      </c>
      <c r="R38" s="22">
        <v>2314</v>
      </c>
      <c r="S38" s="22">
        <v>2138</v>
      </c>
      <c r="T38" s="121">
        <v>906</v>
      </c>
      <c r="U38" s="121">
        <v>1889</v>
      </c>
      <c r="V38" s="121">
        <v>5203</v>
      </c>
      <c r="W38" s="106">
        <v>5894</v>
      </c>
      <c r="X38" s="121">
        <v>2781</v>
      </c>
      <c r="Y38" s="121">
        <v>2424</v>
      </c>
      <c r="Z38" s="121">
        <v>3700</v>
      </c>
      <c r="AA38" s="121">
        <v>2536</v>
      </c>
      <c r="AB38" s="122">
        <v>16.75</v>
      </c>
      <c r="AC38" s="123">
        <v>17.25</v>
      </c>
      <c r="AD38" s="124">
        <v>17.25</v>
      </c>
      <c r="AE38" s="125">
        <v>17.25</v>
      </c>
      <c r="AF38" s="126">
        <v>17.75</v>
      </c>
      <c r="AG38" s="123">
        <v>17.75</v>
      </c>
      <c r="AH38" s="123">
        <v>17.75</v>
      </c>
      <c r="AI38" s="131">
        <v>18.25</v>
      </c>
      <c r="AJ38" s="131">
        <v>18.75</v>
      </c>
      <c r="AK38" s="22">
        <v>18.75</v>
      </c>
      <c r="AL38" s="128">
        <v>19</v>
      </c>
      <c r="AM38" s="128">
        <v>19.5</v>
      </c>
      <c r="AN38" s="128">
        <v>20</v>
      </c>
      <c r="AO38" s="77">
        <v>20</v>
      </c>
      <c r="AP38" s="77">
        <v>20</v>
      </c>
      <c r="AQ38" s="129">
        <v>20</v>
      </c>
      <c r="AR38" s="129">
        <v>21</v>
      </c>
      <c r="AS38" s="129">
        <v>21</v>
      </c>
      <c r="AT38" s="116">
        <v>10582</v>
      </c>
      <c r="AU38" s="47">
        <v>10803</v>
      </c>
      <c r="AV38" s="47">
        <v>63932</v>
      </c>
      <c r="AW38" s="46">
        <v>33642</v>
      </c>
      <c r="AX38" s="46">
        <v>21341</v>
      </c>
      <c r="AY38" s="92">
        <v>148</v>
      </c>
      <c r="AZ38" s="47">
        <v>1898</v>
      </c>
      <c r="BA38" s="44">
        <v>2332</v>
      </c>
      <c r="BB38" s="23">
        <v>-4806</v>
      </c>
      <c r="BC38" s="47">
        <v>-434</v>
      </c>
      <c r="BD38" s="44">
        <v>-357</v>
      </c>
      <c r="BE38" s="47">
        <v>2424</v>
      </c>
      <c r="BF38" s="44">
        <v>33642</v>
      </c>
      <c r="BG38" s="46">
        <v>30792</v>
      </c>
      <c r="BH38" s="130">
        <v>835</v>
      </c>
      <c r="BI38" s="46">
        <v>2015</v>
      </c>
      <c r="BJ38" s="129">
        <v>20</v>
      </c>
      <c r="BK38" s="44">
        <v>16310</v>
      </c>
      <c r="BL38" s="116">
        <v>10610</v>
      </c>
      <c r="BM38" s="47">
        <v>10594</v>
      </c>
      <c r="BN38" s="130">
        <v>63799</v>
      </c>
      <c r="BO38" s="46">
        <v>35801</v>
      </c>
      <c r="BP38" s="46">
        <v>21083</v>
      </c>
      <c r="BQ38" s="46">
        <v>75</v>
      </c>
      <c r="BR38" s="130">
        <v>3620</v>
      </c>
      <c r="BS38" s="44">
        <v>2864</v>
      </c>
      <c r="BT38" s="92">
        <v>-13698</v>
      </c>
      <c r="BU38" s="117">
        <v>833</v>
      </c>
      <c r="BV38" s="130">
        <v>3700</v>
      </c>
      <c r="BW38" s="48">
        <v>35801</v>
      </c>
      <c r="BX38" s="46">
        <v>32452</v>
      </c>
      <c r="BY38" s="130">
        <v>1106</v>
      </c>
      <c r="BZ38" s="46">
        <v>2243</v>
      </c>
      <c r="CA38" s="129">
        <v>21</v>
      </c>
      <c r="CB38" s="44">
        <v>22975</v>
      </c>
      <c r="CC38" s="116">
        <v>10667</v>
      </c>
      <c r="CD38" s="47">
        <v>10928</v>
      </c>
      <c r="CE38" s="130">
        <v>65515</v>
      </c>
      <c r="CF38" s="46">
        <v>35767</v>
      </c>
      <c r="CG38" s="46">
        <v>21185</v>
      </c>
      <c r="CH38" s="46">
        <v>180</v>
      </c>
      <c r="CI38" s="130">
        <v>2388</v>
      </c>
      <c r="CJ38" s="44">
        <v>3629</v>
      </c>
      <c r="CK38" s="117">
        <v>-19469</v>
      </c>
      <c r="CL38" s="117">
        <v>-1164</v>
      </c>
      <c r="CM38" s="117">
        <v>2536</v>
      </c>
      <c r="CN38" s="48">
        <v>35767</v>
      </c>
      <c r="CO38" s="46">
        <v>32309</v>
      </c>
      <c r="CP38" s="130">
        <v>1208</v>
      </c>
      <c r="CQ38" s="46">
        <v>2250</v>
      </c>
      <c r="CR38" s="129">
        <v>21</v>
      </c>
      <c r="CS38" s="44">
        <v>38638</v>
      </c>
      <c r="CT38">
        <v>10681</v>
      </c>
      <c r="CU38">
        <v>36125</v>
      </c>
      <c r="CV38">
        <v>22307</v>
      </c>
      <c r="CW38">
        <v>11662</v>
      </c>
      <c r="CX38">
        <v>127</v>
      </c>
      <c r="CY38">
        <v>32559</v>
      </c>
      <c r="CZ38">
        <v>1264</v>
      </c>
      <c r="DA38">
        <v>2302</v>
      </c>
      <c r="DB38">
        <v>3303</v>
      </c>
      <c r="DC38">
        <v>-8969</v>
      </c>
      <c r="DD38">
        <v>6022</v>
      </c>
      <c r="DE38">
        <v>44299</v>
      </c>
      <c r="DF38">
        <v>66736</v>
      </c>
      <c r="DG38">
        <v>-2642</v>
      </c>
      <c r="DH38">
        <v>-106</v>
      </c>
      <c r="DI38">
        <v>21</v>
      </c>
      <c r="DJ38" s="174">
        <v>10599</v>
      </c>
      <c r="DK38" s="34">
        <v>38239</v>
      </c>
      <c r="DL38" s="34">
        <v>21765</v>
      </c>
      <c r="DM38">
        <v>12719</v>
      </c>
      <c r="DN38" s="173">
        <v>289</v>
      </c>
      <c r="DO38" s="34">
        <v>34472</v>
      </c>
      <c r="DP38" s="173">
        <v>1636</v>
      </c>
      <c r="DQ38" s="34">
        <v>2131</v>
      </c>
      <c r="DR38" s="173">
        <v>5452</v>
      </c>
      <c r="DS38" s="173">
        <v>-6944</v>
      </c>
      <c r="DT38">
        <v>5113</v>
      </c>
      <c r="DU38">
        <v>47727</v>
      </c>
      <c r="DV38" s="173">
        <v>67560</v>
      </c>
      <c r="DW38" s="173">
        <v>416</v>
      </c>
      <c r="DX38" s="173">
        <v>310</v>
      </c>
      <c r="DY38" s="57">
        <v>22</v>
      </c>
      <c r="DZ38" s="184">
        <v>230</v>
      </c>
      <c r="EA38" s="116">
        <v>10510</v>
      </c>
      <c r="EB38" s="48">
        <v>37419</v>
      </c>
      <c r="EC38" s="46">
        <v>21575</v>
      </c>
      <c r="ED38" s="90">
        <v>13513</v>
      </c>
      <c r="EE38" s="186">
        <v>305</v>
      </c>
      <c r="EF38" s="46">
        <v>33656</v>
      </c>
      <c r="EG38" s="130">
        <v>1656</v>
      </c>
      <c r="EH38" s="46">
        <v>2107</v>
      </c>
      <c r="EI38" s="130">
        <v>5774</v>
      </c>
      <c r="EJ38" s="48">
        <v>-9305</v>
      </c>
      <c r="EK38" s="44">
        <v>5352</v>
      </c>
      <c r="EL38" s="44">
        <v>51471</v>
      </c>
      <c r="EM38" s="130">
        <v>67038</v>
      </c>
      <c r="EN38" s="117">
        <v>499</v>
      </c>
      <c r="EO38" s="117">
        <v>808</v>
      </c>
      <c r="EP38" s="129">
        <v>22</v>
      </c>
    </row>
    <row r="39" spans="1:146" ht="15" x14ac:dyDescent="0.25">
      <c r="A39" s="27">
        <v>109</v>
      </c>
      <c r="B39" s="27" t="s">
        <v>168</v>
      </c>
      <c r="C39" s="27">
        <v>5</v>
      </c>
      <c r="D39" s="27" t="s">
        <v>109</v>
      </c>
      <c r="E39" s="27">
        <v>6</v>
      </c>
      <c r="F39" s="27" t="s">
        <v>102</v>
      </c>
      <c r="G39" s="29" t="s">
        <v>141</v>
      </c>
      <c r="H39" s="27" t="s">
        <v>97</v>
      </c>
      <c r="I39" s="31" t="s">
        <v>109</v>
      </c>
      <c r="J39" s="118">
        <v>-3940.4749290667419</v>
      </c>
      <c r="K39" s="118">
        <v>-860.44943177709047</v>
      </c>
      <c r="L39" s="118">
        <v>-617.58606596666846</v>
      </c>
      <c r="M39" s="118">
        <v>40753.616460888741</v>
      </c>
      <c r="N39" s="22">
        <v>3517</v>
      </c>
      <c r="O39" s="119">
        <v>4252</v>
      </c>
      <c r="P39" s="119">
        <v>3377</v>
      </c>
      <c r="Q39" s="120">
        <v>2933</v>
      </c>
      <c r="R39" s="22">
        <v>3895</v>
      </c>
      <c r="S39" s="22">
        <v>8586</v>
      </c>
      <c r="T39" s="121">
        <v>5269</v>
      </c>
      <c r="U39" s="121">
        <v>105</v>
      </c>
      <c r="V39" s="121">
        <v>-4564</v>
      </c>
      <c r="W39" s="106">
        <v>-16774</v>
      </c>
      <c r="X39" s="121">
        <v>-20370</v>
      </c>
      <c r="Y39" s="121">
        <v>-13315</v>
      </c>
      <c r="Z39" s="121">
        <v>4644</v>
      </c>
      <c r="AA39" s="121">
        <v>-1355</v>
      </c>
      <c r="AB39" s="122">
        <v>17.5</v>
      </c>
      <c r="AC39" s="123">
        <v>17.5</v>
      </c>
      <c r="AD39" s="124">
        <v>17.5</v>
      </c>
      <c r="AE39" s="125">
        <v>17.5</v>
      </c>
      <c r="AF39" s="126">
        <v>17.5</v>
      </c>
      <c r="AG39" s="123">
        <v>18</v>
      </c>
      <c r="AH39" s="123">
        <v>18</v>
      </c>
      <c r="AI39" s="127">
        <v>18</v>
      </c>
      <c r="AJ39" s="127">
        <v>18</v>
      </c>
      <c r="AK39" s="22">
        <v>18</v>
      </c>
      <c r="AL39" s="128">
        <v>18</v>
      </c>
      <c r="AM39" s="128">
        <v>18</v>
      </c>
      <c r="AN39" s="128">
        <v>19</v>
      </c>
      <c r="AO39" s="77">
        <v>19</v>
      </c>
      <c r="AP39" s="77">
        <v>19.5</v>
      </c>
      <c r="AQ39" s="129">
        <v>19.5</v>
      </c>
      <c r="AR39" s="129">
        <v>20.25</v>
      </c>
      <c r="AS39" s="129">
        <v>20.5</v>
      </c>
      <c r="AT39" s="116">
        <v>67806</v>
      </c>
      <c r="AU39" s="47">
        <v>93869</v>
      </c>
      <c r="AV39" s="47">
        <v>421598</v>
      </c>
      <c r="AW39" s="46">
        <v>254291</v>
      </c>
      <c r="AX39" s="46">
        <v>92495</v>
      </c>
      <c r="AY39" s="92">
        <v>4943</v>
      </c>
      <c r="AZ39" s="47">
        <v>21781</v>
      </c>
      <c r="BA39" s="44">
        <v>14405</v>
      </c>
      <c r="BB39" s="23">
        <v>-17882</v>
      </c>
      <c r="BC39" s="47">
        <v>7376</v>
      </c>
      <c r="BD39" s="44">
        <v>7474</v>
      </c>
      <c r="BE39" s="47">
        <v>-13315</v>
      </c>
      <c r="BF39" s="44">
        <v>254291</v>
      </c>
      <c r="BG39" s="46">
        <v>223427</v>
      </c>
      <c r="BH39" s="130">
        <v>12226</v>
      </c>
      <c r="BI39" s="46">
        <v>18638</v>
      </c>
      <c r="BJ39" s="129">
        <v>19.5</v>
      </c>
      <c r="BK39" s="44">
        <v>194881</v>
      </c>
      <c r="BL39" s="116">
        <v>67976</v>
      </c>
      <c r="BM39" s="47">
        <v>89821</v>
      </c>
      <c r="BN39" s="130">
        <v>435692</v>
      </c>
      <c r="BO39" s="46">
        <v>268665</v>
      </c>
      <c r="BP39" s="46">
        <v>91585</v>
      </c>
      <c r="BQ39" s="46">
        <v>22950</v>
      </c>
      <c r="BR39" s="130">
        <v>17347</v>
      </c>
      <c r="BS39" s="44">
        <v>18180</v>
      </c>
      <c r="BT39" s="92">
        <v>-24454</v>
      </c>
      <c r="BU39" s="117">
        <v>17497</v>
      </c>
      <c r="BV39" s="130">
        <v>4644</v>
      </c>
      <c r="BW39" s="48">
        <v>268665</v>
      </c>
      <c r="BX39" s="46">
        <v>232535</v>
      </c>
      <c r="BY39" s="130">
        <v>13987</v>
      </c>
      <c r="BZ39" s="46">
        <v>22143</v>
      </c>
      <c r="CA39" s="129">
        <v>20.25</v>
      </c>
      <c r="CB39" s="44">
        <v>201350</v>
      </c>
      <c r="CC39" s="116">
        <v>68011</v>
      </c>
      <c r="CD39" s="47">
        <v>95638</v>
      </c>
      <c r="CE39" s="130">
        <v>445832</v>
      </c>
      <c r="CF39" s="46">
        <v>278118</v>
      </c>
      <c r="CG39" s="46">
        <v>87268</v>
      </c>
      <c r="CH39" s="46">
        <v>7608</v>
      </c>
      <c r="CI39" s="130">
        <v>19472</v>
      </c>
      <c r="CJ39" s="44">
        <v>17467</v>
      </c>
      <c r="CK39" s="117">
        <v>-12301</v>
      </c>
      <c r="CL39" s="117">
        <v>4122</v>
      </c>
      <c r="CM39" s="117">
        <v>-1355</v>
      </c>
      <c r="CN39" s="48">
        <v>278118</v>
      </c>
      <c r="CO39" s="46">
        <v>238409</v>
      </c>
      <c r="CP39" s="130">
        <v>15526</v>
      </c>
      <c r="CQ39" s="46">
        <v>24183</v>
      </c>
      <c r="CR39" s="129">
        <v>20.5</v>
      </c>
      <c r="CS39" s="44">
        <v>199421</v>
      </c>
      <c r="CT39">
        <v>67850</v>
      </c>
      <c r="CU39">
        <v>274856</v>
      </c>
      <c r="CV39">
        <v>91435</v>
      </c>
      <c r="CW39">
        <v>91952</v>
      </c>
      <c r="CX39">
        <v>5737</v>
      </c>
      <c r="CY39">
        <v>237193</v>
      </c>
      <c r="CZ39">
        <v>13444</v>
      </c>
      <c r="DA39">
        <v>24219</v>
      </c>
      <c r="DB39">
        <v>13723</v>
      </c>
      <c r="DC39">
        <v>-26087</v>
      </c>
      <c r="DD39">
        <v>17472</v>
      </c>
      <c r="DE39">
        <v>230609</v>
      </c>
      <c r="DF39">
        <v>447155</v>
      </c>
      <c r="DG39">
        <v>-3482</v>
      </c>
      <c r="DH39">
        <v>-4836</v>
      </c>
      <c r="DI39">
        <v>20.5</v>
      </c>
      <c r="DJ39" s="174">
        <v>67662</v>
      </c>
      <c r="DK39" s="34">
        <v>281071</v>
      </c>
      <c r="DL39" s="34">
        <v>90782</v>
      </c>
      <c r="DM39">
        <v>91374</v>
      </c>
      <c r="DN39" s="173">
        <v>1147</v>
      </c>
      <c r="DO39" s="34">
        <v>238140</v>
      </c>
      <c r="DP39" s="173">
        <v>16011</v>
      </c>
      <c r="DQ39" s="34">
        <v>26920</v>
      </c>
      <c r="DR39" s="173">
        <v>23432</v>
      </c>
      <c r="DS39" s="173">
        <v>-13614</v>
      </c>
      <c r="DT39">
        <v>18108</v>
      </c>
      <c r="DU39">
        <v>222264</v>
      </c>
      <c r="DV39" s="173">
        <v>440942</v>
      </c>
      <c r="DW39" s="173">
        <v>5513</v>
      </c>
      <c r="DX39" s="173">
        <v>677</v>
      </c>
      <c r="DY39" s="57">
        <v>20.75</v>
      </c>
      <c r="DZ39" s="184">
        <v>130</v>
      </c>
      <c r="EA39" s="116">
        <v>67532</v>
      </c>
      <c r="EB39" s="48">
        <v>281231</v>
      </c>
      <c r="EC39" s="46">
        <v>91264</v>
      </c>
      <c r="ED39" s="90">
        <v>99058</v>
      </c>
      <c r="EE39" s="186">
        <v>-2287</v>
      </c>
      <c r="EF39" s="46">
        <v>237794</v>
      </c>
      <c r="EG39" s="130">
        <v>15868</v>
      </c>
      <c r="EH39" s="46">
        <v>27569</v>
      </c>
      <c r="EI39" s="130">
        <v>13711</v>
      </c>
      <c r="EJ39" s="48">
        <v>-20636</v>
      </c>
      <c r="EK39" s="44">
        <v>25569</v>
      </c>
      <c r="EL39" s="44">
        <v>237865</v>
      </c>
      <c r="EM39" s="130">
        <v>455555</v>
      </c>
      <c r="EN39" s="117">
        <v>-4170</v>
      </c>
      <c r="EO39" s="117">
        <v>-2233</v>
      </c>
      <c r="EP39" s="129">
        <v>20.75</v>
      </c>
    </row>
    <row r="40" spans="1:146" ht="15" x14ac:dyDescent="0.25">
      <c r="A40" s="27">
        <v>139</v>
      </c>
      <c r="B40" s="27" t="s">
        <v>169</v>
      </c>
      <c r="C40" s="27">
        <v>17</v>
      </c>
      <c r="D40" s="27" t="s">
        <v>117</v>
      </c>
      <c r="E40" s="27">
        <v>3</v>
      </c>
      <c r="F40" s="27" t="s">
        <v>743</v>
      </c>
      <c r="G40" s="29" t="s">
        <v>132</v>
      </c>
      <c r="H40" s="27" t="s">
        <v>99</v>
      </c>
      <c r="I40" s="31" t="s">
        <v>117</v>
      </c>
      <c r="J40" s="118">
        <v>-722.70352000511286</v>
      </c>
      <c r="K40" s="118">
        <v>-608.33573001128536</v>
      </c>
      <c r="L40" s="118">
        <v>-896.60983596631525</v>
      </c>
      <c r="M40" s="118">
        <v>-985.5812490644546</v>
      </c>
      <c r="N40" s="22">
        <v>-393</v>
      </c>
      <c r="O40" s="119">
        <v>-884</v>
      </c>
      <c r="P40" s="119">
        <v>-1455</v>
      </c>
      <c r="Q40" s="120">
        <v>-3338</v>
      </c>
      <c r="R40" s="22">
        <v>-4600</v>
      </c>
      <c r="S40" s="22">
        <v>-3910</v>
      </c>
      <c r="T40" s="121">
        <v>-3582</v>
      </c>
      <c r="U40" s="121">
        <v>-3247</v>
      </c>
      <c r="V40" s="121">
        <v>-1857</v>
      </c>
      <c r="W40" s="106">
        <v>848</v>
      </c>
      <c r="X40" s="121">
        <v>1419</v>
      </c>
      <c r="Y40" s="121">
        <v>3568</v>
      </c>
      <c r="Z40" s="121">
        <v>5459</v>
      </c>
      <c r="AA40" s="121">
        <v>5548</v>
      </c>
      <c r="AB40" s="122">
        <v>19</v>
      </c>
      <c r="AC40" s="123">
        <v>19</v>
      </c>
      <c r="AD40" s="124">
        <v>19</v>
      </c>
      <c r="AE40" s="125">
        <v>19</v>
      </c>
      <c r="AF40" s="126">
        <v>19</v>
      </c>
      <c r="AG40" s="123">
        <v>19</v>
      </c>
      <c r="AH40" s="123">
        <v>19</v>
      </c>
      <c r="AI40" s="127">
        <v>19</v>
      </c>
      <c r="AJ40" s="127">
        <v>19.5</v>
      </c>
      <c r="AK40" s="22">
        <v>19.75</v>
      </c>
      <c r="AL40" s="128">
        <v>19.75</v>
      </c>
      <c r="AM40" s="128">
        <v>20.25</v>
      </c>
      <c r="AN40" s="128">
        <v>20.5</v>
      </c>
      <c r="AO40" s="77">
        <v>20.5</v>
      </c>
      <c r="AP40" s="77">
        <v>20.5</v>
      </c>
      <c r="AQ40" s="129">
        <v>20.5</v>
      </c>
      <c r="AR40" s="129">
        <v>21.25</v>
      </c>
      <c r="AS40" s="129">
        <v>21.25</v>
      </c>
      <c r="AT40" s="116">
        <v>9610</v>
      </c>
      <c r="AU40" s="47">
        <v>7205</v>
      </c>
      <c r="AV40" s="47">
        <v>57926</v>
      </c>
      <c r="AW40" s="46">
        <v>28935</v>
      </c>
      <c r="AX40" s="46">
        <v>26239</v>
      </c>
      <c r="AY40" s="92">
        <v>460</v>
      </c>
      <c r="AZ40" s="47">
        <v>4252</v>
      </c>
      <c r="BA40" s="44">
        <v>2179</v>
      </c>
      <c r="BB40" s="23">
        <v>-4639</v>
      </c>
      <c r="BC40" s="47">
        <v>2073</v>
      </c>
      <c r="BD40" s="44">
        <v>2149</v>
      </c>
      <c r="BE40" s="47">
        <v>3568</v>
      </c>
      <c r="BF40" s="44">
        <v>28935</v>
      </c>
      <c r="BG40" s="46">
        <v>25096</v>
      </c>
      <c r="BH40" s="130">
        <v>1175</v>
      </c>
      <c r="BI40" s="46">
        <v>2664</v>
      </c>
      <c r="BJ40" s="129">
        <v>20.5</v>
      </c>
      <c r="BK40" s="44">
        <v>27073</v>
      </c>
      <c r="BL40" s="116">
        <v>9666</v>
      </c>
      <c r="BM40" s="47">
        <v>8127</v>
      </c>
      <c r="BN40" s="130">
        <v>60259</v>
      </c>
      <c r="BO40" s="46">
        <v>30307</v>
      </c>
      <c r="BP40" s="46">
        <v>26464</v>
      </c>
      <c r="BQ40" s="46">
        <v>31</v>
      </c>
      <c r="BR40" s="130">
        <v>4249</v>
      </c>
      <c r="BS40" s="44">
        <v>2433</v>
      </c>
      <c r="BT40" s="92">
        <v>-3074</v>
      </c>
      <c r="BU40" s="117">
        <v>1891</v>
      </c>
      <c r="BV40" s="130">
        <v>5459</v>
      </c>
      <c r="BW40" s="48">
        <v>30307</v>
      </c>
      <c r="BX40" s="46">
        <v>25868</v>
      </c>
      <c r="BY40" s="130">
        <v>1384</v>
      </c>
      <c r="BZ40" s="46">
        <v>3055</v>
      </c>
      <c r="CA40" s="129">
        <v>21.25</v>
      </c>
      <c r="CB40" s="44">
        <v>24892</v>
      </c>
      <c r="CC40" s="116">
        <v>9663</v>
      </c>
      <c r="CD40" s="47">
        <v>6765</v>
      </c>
      <c r="CE40" s="130">
        <v>61209</v>
      </c>
      <c r="CF40" s="46">
        <v>31633</v>
      </c>
      <c r="CG40" s="46">
        <v>26315</v>
      </c>
      <c r="CH40" s="46">
        <v>49</v>
      </c>
      <c r="CI40" s="130">
        <v>3086</v>
      </c>
      <c r="CJ40" s="44">
        <v>2603</v>
      </c>
      <c r="CK40" s="117">
        <v>-6056</v>
      </c>
      <c r="CL40" s="117">
        <v>89</v>
      </c>
      <c r="CM40" s="117">
        <v>5548</v>
      </c>
      <c r="CN40" s="48">
        <v>31633</v>
      </c>
      <c r="CO40" s="46">
        <v>27149</v>
      </c>
      <c r="CP40" s="130">
        <v>1429</v>
      </c>
      <c r="CQ40" s="46">
        <v>3055</v>
      </c>
      <c r="CR40" s="129">
        <v>21.25</v>
      </c>
      <c r="CS40" s="44">
        <v>27587</v>
      </c>
      <c r="CT40">
        <v>9628</v>
      </c>
      <c r="CU40">
        <v>31222</v>
      </c>
      <c r="CV40">
        <v>27663</v>
      </c>
      <c r="CW40">
        <v>7088</v>
      </c>
      <c r="CX40">
        <v>28</v>
      </c>
      <c r="CY40">
        <v>26309</v>
      </c>
      <c r="CZ40">
        <v>1318</v>
      </c>
      <c r="DA40">
        <v>3595</v>
      </c>
      <c r="DB40">
        <v>3148</v>
      </c>
      <c r="DC40">
        <v>-7225</v>
      </c>
      <c r="DD40">
        <v>2971</v>
      </c>
      <c r="DE40">
        <v>29718</v>
      </c>
      <c r="DF40">
        <v>62478</v>
      </c>
      <c r="DG40">
        <v>250</v>
      </c>
      <c r="DH40">
        <v>5796</v>
      </c>
      <c r="DI40">
        <v>21.25</v>
      </c>
      <c r="DJ40" s="174">
        <v>9966</v>
      </c>
      <c r="DK40" s="34">
        <v>31638</v>
      </c>
      <c r="DL40" s="34">
        <v>27677</v>
      </c>
      <c r="DM40">
        <v>7507</v>
      </c>
      <c r="DN40" s="173">
        <v>-155</v>
      </c>
      <c r="DO40" s="34">
        <v>26592</v>
      </c>
      <c r="DP40" s="173">
        <v>1526</v>
      </c>
      <c r="DQ40" s="34">
        <v>3520</v>
      </c>
      <c r="DR40" s="173">
        <v>3834</v>
      </c>
      <c r="DS40" s="173">
        <v>-6875</v>
      </c>
      <c r="DT40">
        <v>3075</v>
      </c>
      <c r="DU40">
        <v>35135</v>
      </c>
      <c r="DV40" s="173">
        <v>62833</v>
      </c>
      <c r="DW40" s="173">
        <v>142</v>
      </c>
      <c r="DX40" s="173">
        <v>5939</v>
      </c>
      <c r="DY40" s="57">
        <v>21.25</v>
      </c>
      <c r="DZ40" s="184">
        <v>210</v>
      </c>
      <c r="EA40" s="116">
        <v>9862</v>
      </c>
      <c r="EB40" s="48">
        <v>32090</v>
      </c>
      <c r="EC40" s="46">
        <v>27439</v>
      </c>
      <c r="ED40" s="90">
        <v>7955</v>
      </c>
      <c r="EE40" s="186">
        <v>-173</v>
      </c>
      <c r="EF40" s="46">
        <v>26489</v>
      </c>
      <c r="EG40" s="130">
        <v>1373</v>
      </c>
      <c r="EH40" s="46">
        <v>4228</v>
      </c>
      <c r="EI40" s="130">
        <v>1215</v>
      </c>
      <c r="EJ40" s="48">
        <v>-5763</v>
      </c>
      <c r="EK40" s="44">
        <v>3148</v>
      </c>
      <c r="EL40" s="44">
        <v>38285</v>
      </c>
      <c r="EM40" s="130">
        <v>66096</v>
      </c>
      <c r="EN40" s="117">
        <v>-1850</v>
      </c>
      <c r="EO40" s="117">
        <v>4089</v>
      </c>
      <c r="EP40" s="129">
        <v>21.25</v>
      </c>
    </row>
    <row r="41" spans="1:146" ht="15" x14ac:dyDescent="0.25">
      <c r="A41" s="27">
        <v>140</v>
      </c>
      <c r="B41" s="27" t="s">
        <v>170</v>
      </c>
      <c r="C41" s="27">
        <v>11</v>
      </c>
      <c r="D41" s="27" t="s">
        <v>118</v>
      </c>
      <c r="E41" s="27">
        <v>5</v>
      </c>
      <c r="F41" s="27" t="s">
        <v>101</v>
      </c>
      <c r="G41" s="29" t="s">
        <v>141</v>
      </c>
      <c r="H41" s="27" t="s">
        <v>97</v>
      </c>
      <c r="I41" s="31" t="s">
        <v>118</v>
      </c>
      <c r="J41" s="118">
        <v>-1770.3461139338651</v>
      </c>
      <c r="K41" s="118">
        <v>-617.24969011374549</v>
      </c>
      <c r="L41" s="118">
        <v>627.67734155435915</v>
      </c>
      <c r="M41" s="118">
        <v>566.1205604694461</v>
      </c>
      <c r="N41" s="22">
        <v>5840</v>
      </c>
      <c r="O41" s="119">
        <v>5338</v>
      </c>
      <c r="P41" s="119">
        <v>2615</v>
      </c>
      <c r="Q41" s="120">
        <v>-359</v>
      </c>
      <c r="R41" s="22">
        <v>-1737</v>
      </c>
      <c r="S41" s="22">
        <v>-255</v>
      </c>
      <c r="T41" s="121">
        <v>-289</v>
      </c>
      <c r="U41" s="121">
        <v>-1144</v>
      </c>
      <c r="V41" s="121">
        <v>-477</v>
      </c>
      <c r="W41" s="106">
        <v>-275</v>
      </c>
      <c r="X41" s="121">
        <v>-789</v>
      </c>
      <c r="Y41" s="121">
        <v>455</v>
      </c>
      <c r="Z41" s="121">
        <v>3442</v>
      </c>
      <c r="AA41" s="121">
        <v>5441</v>
      </c>
      <c r="AB41" s="122">
        <v>18</v>
      </c>
      <c r="AC41" s="123">
        <v>18.5</v>
      </c>
      <c r="AD41" s="124">
        <v>18.5</v>
      </c>
      <c r="AE41" s="125">
        <v>18.5</v>
      </c>
      <c r="AF41" s="126">
        <v>18.5</v>
      </c>
      <c r="AG41" s="123">
        <v>18.5</v>
      </c>
      <c r="AH41" s="123">
        <v>18.5</v>
      </c>
      <c r="AI41" s="127">
        <v>18.5</v>
      </c>
      <c r="AJ41" s="127">
        <v>19</v>
      </c>
      <c r="AK41" s="22">
        <v>19</v>
      </c>
      <c r="AL41" s="128">
        <v>19</v>
      </c>
      <c r="AM41" s="128">
        <v>19.25</v>
      </c>
      <c r="AN41" s="128">
        <v>19.5</v>
      </c>
      <c r="AO41" s="77">
        <v>19.5</v>
      </c>
      <c r="AP41" s="77">
        <v>19.75</v>
      </c>
      <c r="AQ41" s="129">
        <v>19.75</v>
      </c>
      <c r="AR41" s="129">
        <v>20.5</v>
      </c>
      <c r="AS41" s="129">
        <v>20.5</v>
      </c>
      <c r="AT41" s="116">
        <v>22171</v>
      </c>
      <c r="AU41" s="47">
        <v>30037</v>
      </c>
      <c r="AV41" s="47">
        <v>141233</v>
      </c>
      <c r="AW41" s="46">
        <v>73141</v>
      </c>
      <c r="AX41" s="46">
        <v>43666</v>
      </c>
      <c r="AY41" s="92">
        <v>1450</v>
      </c>
      <c r="AZ41" s="47">
        <v>6827</v>
      </c>
      <c r="BA41" s="44">
        <v>6238</v>
      </c>
      <c r="BB41" s="23">
        <v>-10068</v>
      </c>
      <c r="BC41" s="47">
        <v>589</v>
      </c>
      <c r="BD41" s="44">
        <v>995</v>
      </c>
      <c r="BE41" s="47">
        <v>455</v>
      </c>
      <c r="BF41" s="44">
        <v>73141</v>
      </c>
      <c r="BG41" s="46">
        <v>63237</v>
      </c>
      <c r="BH41" s="130">
        <v>4759</v>
      </c>
      <c r="BI41" s="46">
        <v>5145</v>
      </c>
      <c r="BJ41" s="129">
        <v>19.75</v>
      </c>
      <c r="BK41" s="44">
        <v>42667</v>
      </c>
      <c r="BL41" s="116">
        <v>22115</v>
      </c>
      <c r="BM41" s="47">
        <v>29148</v>
      </c>
      <c r="BN41" s="130">
        <v>142225</v>
      </c>
      <c r="BO41" s="46">
        <v>77418</v>
      </c>
      <c r="BP41" s="46">
        <v>42830</v>
      </c>
      <c r="BQ41" s="46">
        <v>6879</v>
      </c>
      <c r="BR41" s="130">
        <v>9040</v>
      </c>
      <c r="BS41" s="44">
        <v>6593</v>
      </c>
      <c r="BT41" s="92">
        <v>-13184</v>
      </c>
      <c r="BU41" s="117">
        <v>2987</v>
      </c>
      <c r="BV41" s="130">
        <v>3442</v>
      </c>
      <c r="BW41" s="48">
        <v>77418</v>
      </c>
      <c r="BX41" s="46">
        <v>65664</v>
      </c>
      <c r="BY41" s="130">
        <v>6030</v>
      </c>
      <c r="BZ41" s="46">
        <v>5724</v>
      </c>
      <c r="CA41" s="129">
        <v>20.5</v>
      </c>
      <c r="CB41" s="44">
        <v>42237</v>
      </c>
      <c r="CC41" s="116">
        <v>21945</v>
      </c>
      <c r="CD41" s="47">
        <v>28348</v>
      </c>
      <c r="CE41" s="130">
        <v>143578</v>
      </c>
      <c r="CF41" s="46">
        <v>77806</v>
      </c>
      <c r="CG41" s="46">
        <v>44894</v>
      </c>
      <c r="CH41" s="46">
        <v>1942</v>
      </c>
      <c r="CI41" s="130">
        <v>8631</v>
      </c>
      <c r="CJ41" s="44">
        <v>7199</v>
      </c>
      <c r="CK41" s="117">
        <v>-7937</v>
      </c>
      <c r="CL41" s="117">
        <v>1999</v>
      </c>
      <c r="CM41" s="117">
        <v>5441</v>
      </c>
      <c r="CN41" s="48">
        <v>77806</v>
      </c>
      <c r="CO41" s="46">
        <v>65900</v>
      </c>
      <c r="CP41" s="130">
        <v>6100</v>
      </c>
      <c r="CQ41" s="46">
        <v>5806</v>
      </c>
      <c r="CR41" s="129">
        <v>20.5</v>
      </c>
      <c r="CS41" s="44">
        <v>36027</v>
      </c>
      <c r="CT41">
        <v>21767</v>
      </c>
      <c r="CU41">
        <v>75106</v>
      </c>
      <c r="CV41">
        <v>48618</v>
      </c>
      <c r="CW41">
        <v>26690</v>
      </c>
      <c r="CX41">
        <v>2774</v>
      </c>
      <c r="CY41">
        <v>64796</v>
      </c>
      <c r="CZ41">
        <v>4535</v>
      </c>
      <c r="DA41">
        <v>5775</v>
      </c>
      <c r="DB41">
        <v>7853</v>
      </c>
      <c r="DC41">
        <v>-18800</v>
      </c>
      <c r="DD41">
        <v>6884</v>
      </c>
      <c r="DE41">
        <v>46867</v>
      </c>
      <c r="DF41">
        <v>143517</v>
      </c>
      <c r="DG41">
        <v>1739</v>
      </c>
      <c r="DH41">
        <v>7180</v>
      </c>
      <c r="DI41">
        <v>20.5</v>
      </c>
      <c r="DJ41" s="174">
        <v>21639</v>
      </c>
      <c r="DK41" s="34">
        <v>75573</v>
      </c>
      <c r="DL41" s="34">
        <v>51456</v>
      </c>
      <c r="DM41">
        <v>28489</v>
      </c>
      <c r="DN41" s="173">
        <v>1640</v>
      </c>
      <c r="DO41" s="34">
        <v>64544</v>
      </c>
      <c r="DP41" s="173">
        <v>5255</v>
      </c>
      <c r="DQ41" s="34">
        <v>5774</v>
      </c>
      <c r="DR41" s="173">
        <v>11740</v>
      </c>
      <c r="DS41" s="173">
        <v>-15867</v>
      </c>
      <c r="DT41">
        <v>8526</v>
      </c>
      <c r="DU41">
        <v>53965</v>
      </c>
      <c r="DV41" s="173">
        <v>145418</v>
      </c>
      <c r="DW41" s="173">
        <v>2198</v>
      </c>
      <c r="DX41" s="173">
        <v>9378</v>
      </c>
      <c r="DY41" s="57">
        <v>20.5</v>
      </c>
      <c r="DZ41" s="184">
        <v>130</v>
      </c>
      <c r="EA41" s="116">
        <v>21472</v>
      </c>
      <c r="EB41" s="48">
        <v>75247</v>
      </c>
      <c r="EC41" s="46">
        <v>53714</v>
      </c>
      <c r="ED41" s="90">
        <v>29285</v>
      </c>
      <c r="EE41" s="186">
        <v>623</v>
      </c>
      <c r="EF41" s="46">
        <v>63744</v>
      </c>
      <c r="EG41" s="130">
        <v>5766</v>
      </c>
      <c r="EH41" s="46">
        <v>5737</v>
      </c>
      <c r="EI41" s="130">
        <v>11564</v>
      </c>
      <c r="EJ41" s="48">
        <v>-12790</v>
      </c>
      <c r="EK41" s="44">
        <v>9398</v>
      </c>
      <c r="EL41" s="44">
        <v>61618</v>
      </c>
      <c r="EM41" s="130">
        <v>147305</v>
      </c>
      <c r="EN41" s="117">
        <v>1778</v>
      </c>
      <c r="EO41" s="117">
        <v>11156</v>
      </c>
      <c r="EP41" s="129">
        <v>20.5</v>
      </c>
    </row>
    <row r="42" spans="1:146" ht="15" x14ac:dyDescent="0.25">
      <c r="A42" s="27">
        <v>142</v>
      </c>
      <c r="B42" s="27" t="s">
        <v>171</v>
      </c>
      <c r="C42" s="27">
        <v>8</v>
      </c>
      <c r="D42" s="27" t="s">
        <v>112</v>
      </c>
      <c r="E42" s="27">
        <v>3</v>
      </c>
      <c r="F42" s="27" t="s">
        <v>743</v>
      </c>
      <c r="G42" s="29" t="s">
        <v>130</v>
      </c>
      <c r="H42" s="27" t="s">
        <v>98</v>
      </c>
      <c r="I42" s="31" t="s">
        <v>112</v>
      </c>
      <c r="J42" s="118">
        <v>1304.2973697090181</v>
      </c>
      <c r="K42" s="118">
        <v>291.97424033718312</v>
      </c>
      <c r="L42" s="118">
        <v>-1303.1200542237875</v>
      </c>
      <c r="M42" s="118">
        <v>-1015.1823241216807</v>
      </c>
      <c r="N42" s="22">
        <v>16</v>
      </c>
      <c r="O42" s="119">
        <v>17</v>
      </c>
      <c r="P42" s="119">
        <v>-573</v>
      </c>
      <c r="Q42" s="120">
        <v>-61</v>
      </c>
      <c r="R42" s="22">
        <v>426</v>
      </c>
      <c r="S42" s="22">
        <v>1037</v>
      </c>
      <c r="T42" s="121">
        <v>1704</v>
      </c>
      <c r="U42" s="121">
        <v>2957</v>
      </c>
      <c r="V42" s="121">
        <v>3076</v>
      </c>
      <c r="W42" s="106">
        <v>1732</v>
      </c>
      <c r="X42" s="121">
        <v>1067</v>
      </c>
      <c r="Y42" s="121">
        <v>1402</v>
      </c>
      <c r="Z42" s="121">
        <v>2150</v>
      </c>
      <c r="AA42" s="121">
        <v>2637</v>
      </c>
      <c r="AB42" s="122">
        <v>17</v>
      </c>
      <c r="AC42" s="123">
        <v>17</v>
      </c>
      <c r="AD42" s="124">
        <v>18</v>
      </c>
      <c r="AE42" s="125">
        <v>18</v>
      </c>
      <c r="AF42" s="126">
        <v>18</v>
      </c>
      <c r="AG42" s="123">
        <v>18</v>
      </c>
      <c r="AH42" s="123">
        <v>18</v>
      </c>
      <c r="AI42" s="131">
        <v>18.5</v>
      </c>
      <c r="AJ42" s="131">
        <v>18.5</v>
      </c>
      <c r="AK42" s="22">
        <v>18.5</v>
      </c>
      <c r="AL42" s="128">
        <v>18.5</v>
      </c>
      <c r="AM42" s="128">
        <v>18.5</v>
      </c>
      <c r="AN42" s="128">
        <v>18.5</v>
      </c>
      <c r="AO42" s="77">
        <v>18.5</v>
      </c>
      <c r="AP42" s="77">
        <v>19</v>
      </c>
      <c r="AQ42" s="129">
        <v>19.75</v>
      </c>
      <c r="AR42" s="129">
        <v>19.75</v>
      </c>
      <c r="AS42" s="129">
        <v>20.25</v>
      </c>
      <c r="AT42" s="116">
        <v>6981</v>
      </c>
      <c r="AU42" s="47">
        <v>4583</v>
      </c>
      <c r="AV42" s="47">
        <v>40448</v>
      </c>
      <c r="AW42" s="46">
        <v>22472</v>
      </c>
      <c r="AX42" s="46">
        <v>14742</v>
      </c>
      <c r="AY42" s="92">
        <v>775</v>
      </c>
      <c r="AZ42" s="47">
        <v>1238</v>
      </c>
      <c r="BA42" s="44">
        <v>1717</v>
      </c>
      <c r="BB42" s="23">
        <v>215</v>
      </c>
      <c r="BC42" s="47">
        <v>266</v>
      </c>
      <c r="BD42" s="44">
        <v>336</v>
      </c>
      <c r="BE42" s="47">
        <v>1402</v>
      </c>
      <c r="BF42" s="44">
        <v>22472</v>
      </c>
      <c r="BG42" s="46">
        <v>19224</v>
      </c>
      <c r="BH42" s="130">
        <v>1006</v>
      </c>
      <c r="BI42" s="46">
        <v>2242</v>
      </c>
      <c r="BJ42" s="129">
        <v>19.75</v>
      </c>
      <c r="BK42" s="44">
        <v>11610</v>
      </c>
      <c r="BL42" s="116">
        <v>6950</v>
      </c>
      <c r="BM42" s="47">
        <v>4501</v>
      </c>
      <c r="BN42" s="130">
        <v>40285</v>
      </c>
      <c r="BO42" s="46">
        <v>23121</v>
      </c>
      <c r="BP42" s="46">
        <v>15257</v>
      </c>
      <c r="BQ42" s="46">
        <v>25</v>
      </c>
      <c r="BR42" s="130">
        <v>2466</v>
      </c>
      <c r="BS42" s="44">
        <v>1788</v>
      </c>
      <c r="BT42" s="92">
        <v>-1736</v>
      </c>
      <c r="BU42" s="117">
        <v>748</v>
      </c>
      <c r="BV42" s="130">
        <v>2150</v>
      </c>
      <c r="BW42" s="48">
        <v>23121</v>
      </c>
      <c r="BX42" s="46">
        <v>19494</v>
      </c>
      <c r="BY42" s="130">
        <v>1151</v>
      </c>
      <c r="BZ42" s="46">
        <v>2476</v>
      </c>
      <c r="CA42" s="129">
        <v>19.75</v>
      </c>
      <c r="CB42" s="44">
        <v>11002</v>
      </c>
      <c r="CC42" s="116">
        <v>6910</v>
      </c>
      <c r="CD42" s="47">
        <v>3610</v>
      </c>
      <c r="CE42" s="130">
        <v>39978</v>
      </c>
      <c r="CF42" s="46">
        <v>23519</v>
      </c>
      <c r="CG42" s="46">
        <v>15033</v>
      </c>
      <c r="CH42" s="46">
        <v>158</v>
      </c>
      <c r="CI42" s="130">
        <v>2117</v>
      </c>
      <c r="CJ42" s="44">
        <v>1810</v>
      </c>
      <c r="CK42" s="117">
        <v>-1102</v>
      </c>
      <c r="CL42" s="117">
        <v>487</v>
      </c>
      <c r="CM42" s="117">
        <v>2637</v>
      </c>
      <c r="CN42" s="48">
        <v>23519</v>
      </c>
      <c r="CO42" s="46">
        <v>19743</v>
      </c>
      <c r="CP42" s="130">
        <v>1280</v>
      </c>
      <c r="CQ42" s="46">
        <v>2496</v>
      </c>
      <c r="CR42" s="129">
        <v>20.25</v>
      </c>
      <c r="CS42" s="44">
        <v>9814</v>
      </c>
      <c r="CT42">
        <v>6889</v>
      </c>
      <c r="CU42">
        <v>23613</v>
      </c>
      <c r="CV42">
        <v>15648</v>
      </c>
      <c r="CW42">
        <v>3336</v>
      </c>
      <c r="CX42">
        <v>195</v>
      </c>
      <c r="CY42">
        <v>19968</v>
      </c>
      <c r="CZ42">
        <v>1319</v>
      </c>
      <c r="DA42">
        <v>2326</v>
      </c>
      <c r="DB42">
        <v>973</v>
      </c>
      <c r="DC42">
        <v>-909</v>
      </c>
      <c r="DD42">
        <v>1691</v>
      </c>
      <c r="DE42">
        <v>8746</v>
      </c>
      <c r="DF42">
        <v>41619</v>
      </c>
      <c r="DG42">
        <v>-533</v>
      </c>
      <c r="DH42">
        <v>2104</v>
      </c>
      <c r="DI42">
        <v>20.25</v>
      </c>
      <c r="DJ42" s="174">
        <v>6820</v>
      </c>
      <c r="DK42" s="34">
        <v>24167</v>
      </c>
      <c r="DL42" s="34">
        <v>15180</v>
      </c>
      <c r="DM42">
        <v>3364</v>
      </c>
      <c r="DN42" s="173">
        <v>14</v>
      </c>
      <c r="DO42" s="34">
        <v>20213</v>
      </c>
      <c r="DP42" s="173">
        <v>2463</v>
      </c>
      <c r="DQ42" s="34">
        <v>1491</v>
      </c>
      <c r="DR42" s="173">
        <v>1280</v>
      </c>
      <c r="DS42" s="173">
        <v>-1030</v>
      </c>
      <c r="DT42">
        <v>1633</v>
      </c>
      <c r="DU42">
        <v>8977</v>
      </c>
      <c r="DV42" s="173">
        <v>41445</v>
      </c>
      <c r="DW42" s="173">
        <v>-283</v>
      </c>
      <c r="DX42" s="173">
        <v>1821</v>
      </c>
      <c r="DY42" s="57">
        <v>20.25</v>
      </c>
      <c r="DZ42" s="184">
        <v>330</v>
      </c>
      <c r="EA42" s="116">
        <v>6765</v>
      </c>
      <c r="EB42" s="48">
        <v>23236</v>
      </c>
      <c r="EC42" s="46">
        <v>14934</v>
      </c>
      <c r="ED42" s="90">
        <v>3652</v>
      </c>
      <c r="EE42" s="186">
        <v>255</v>
      </c>
      <c r="EF42" s="46">
        <v>19362</v>
      </c>
      <c r="EG42" s="130">
        <v>1421</v>
      </c>
      <c r="EH42" s="46">
        <v>2453</v>
      </c>
      <c r="EI42" s="130">
        <v>498</v>
      </c>
      <c r="EJ42" s="48">
        <v>-845</v>
      </c>
      <c r="EK42" s="44">
        <v>1625</v>
      </c>
      <c r="EL42" s="44">
        <v>9577</v>
      </c>
      <c r="EM42" s="130">
        <v>41517</v>
      </c>
      <c r="EN42" s="117">
        <v>-995</v>
      </c>
      <c r="EO42" s="117">
        <v>825</v>
      </c>
      <c r="EP42" s="129">
        <v>20.75</v>
      </c>
    </row>
    <row r="43" spans="1:146" ht="15" x14ac:dyDescent="0.25">
      <c r="A43" s="27">
        <v>143</v>
      </c>
      <c r="B43" s="27" t="s">
        <v>172</v>
      </c>
      <c r="C43" s="27">
        <v>6</v>
      </c>
      <c r="D43" s="27" t="s">
        <v>114</v>
      </c>
      <c r="E43" s="27">
        <v>3</v>
      </c>
      <c r="F43" s="27" t="s">
        <v>743</v>
      </c>
      <c r="G43" s="29">
        <v>2</v>
      </c>
      <c r="H43" s="27" t="s">
        <v>99</v>
      </c>
      <c r="I43" s="31" t="s">
        <v>114</v>
      </c>
      <c r="J43" s="118">
        <v>-1375.2726746757758</v>
      </c>
      <c r="K43" s="118">
        <v>-2004.6318954947499</v>
      </c>
      <c r="L43" s="118">
        <v>-4061.7384240454912</v>
      </c>
      <c r="M43" s="118">
        <v>-5595.7805013009329</v>
      </c>
      <c r="N43" s="177">
        <v>-4223</v>
      </c>
      <c r="O43" s="119">
        <v>-3630</v>
      </c>
      <c r="P43" s="119">
        <v>-3563</v>
      </c>
      <c r="Q43" s="120">
        <v>-4836</v>
      </c>
      <c r="R43" s="177">
        <v>-4431</v>
      </c>
      <c r="S43" s="177">
        <v>-4606</v>
      </c>
      <c r="T43" s="121">
        <v>-3398</v>
      </c>
      <c r="U43" s="121">
        <v>-1705</v>
      </c>
      <c r="V43" s="121">
        <v>-1299</v>
      </c>
      <c r="W43" s="106">
        <v>-1336</v>
      </c>
      <c r="X43" s="121">
        <v>-1311</v>
      </c>
      <c r="Y43" s="121">
        <v>-994</v>
      </c>
      <c r="Z43" s="121">
        <v>-2225</v>
      </c>
      <c r="AA43" s="121">
        <v>-1199</v>
      </c>
      <c r="AB43" s="122">
        <v>18</v>
      </c>
      <c r="AC43" s="123">
        <v>18.25</v>
      </c>
      <c r="AD43" s="124">
        <v>18.25</v>
      </c>
      <c r="AE43" s="125">
        <v>18.25</v>
      </c>
      <c r="AF43" s="126">
        <v>18.25</v>
      </c>
      <c r="AG43" s="123">
        <v>18.75</v>
      </c>
      <c r="AH43" s="123">
        <v>18.75</v>
      </c>
      <c r="AI43" s="131">
        <v>19.25</v>
      </c>
      <c r="AJ43" s="131">
        <v>19.25</v>
      </c>
      <c r="AK43" s="177">
        <v>19.25</v>
      </c>
      <c r="AL43" s="128">
        <v>19.75</v>
      </c>
      <c r="AM43" s="128">
        <v>19.75</v>
      </c>
      <c r="AN43" s="128">
        <v>19.75</v>
      </c>
      <c r="AO43" s="77">
        <v>19.75</v>
      </c>
      <c r="AP43" s="77">
        <v>20.25</v>
      </c>
      <c r="AQ43" s="129">
        <v>20.75</v>
      </c>
      <c r="AR43" s="129">
        <v>20.75</v>
      </c>
      <c r="AS43" s="129">
        <v>21.25</v>
      </c>
      <c r="AT43" s="116">
        <v>7303</v>
      </c>
      <c r="AU43" s="47">
        <v>6712</v>
      </c>
      <c r="AV43" s="47">
        <v>46672</v>
      </c>
      <c r="AW43" s="46">
        <v>24363</v>
      </c>
      <c r="AX43" s="46">
        <v>17124</v>
      </c>
      <c r="AY43" s="92">
        <v>94</v>
      </c>
      <c r="AZ43" s="47">
        <v>1606</v>
      </c>
      <c r="BA43" s="44">
        <v>1292</v>
      </c>
      <c r="BB43" s="23">
        <v>-5277</v>
      </c>
      <c r="BC43" s="47">
        <v>314</v>
      </c>
      <c r="BD43" s="44">
        <v>317</v>
      </c>
      <c r="BE43" s="47">
        <v>-994</v>
      </c>
      <c r="BF43" s="44">
        <v>24363</v>
      </c>
      <c r="BG43" s="46">
        <v>20590</v>
      </c>
      <c r="BH43" s="130">
        <v>1304</v>
      </c>
      <c r="BI43" s="46">
        <v>2469</v>
      </c>
      <c r="BJ43" s="129">
        <v>20.75</v>
      </c>
      <c r="BK43" s="44">
        <v>25996</v>
      </c>
      <c r="BL43" s="116">
        <v>7298</v>
      </c>
      <c r="BM43" s="47">
        <v>6946</v>
      </c>
      <c r="BN43" s="130">
        <v>48149</v>
      </c>
      <c r="BO43" s="46">
        <v>23919</v>
      </c>
      <c r="BP43" s="46">
        <v>17568</v>
      </c>
      <c r="BQ43" s="46">
        <v>110</v>
      </c>
      <c r="BR43" s="130">
        <v>394</v>
      </c>
      <c r="BS43" s="44">
        <v>1627</v>
      </c>
      <c r="BT43" s="92">
        <v>-1815</v>
      </c>
      <c r="BU43" s="117">
        <v>-1231</v>
      </c>
      <c r="BV43" s="130">
        <v>-2225</v>
      </c>
      <c r="BW43" s="48">
        <v>23919</v>
      </c>
      <c r="BX43" s="46">
        <v>19794</v>
      </c>
      <c r="BY43" s="130">
        <v>1401</v>
      </c>
      <c r="BZ43" s="46">
        <v>2724</v>
      </c>
      <c r="CA43" s="129">
        <v>20.75</v>
      </c>
      <c r="CB43" s="44">
        <v>27600</v>
      </c>
      <c r="CC43" s="116">
        <v>7207</v>
      </c>
      <c r="CD43" s="47">
        <v>7216</v>
      </c>
      <c r="CE43" s="130">
        <v>47615</v>
      </c>
      <c r="CF43" s="46">
        <v>25679</v>
      </c>
      <c r="CG43" s="46">
        <v>18044</v>
      </c>
      <c r="CH43" s="46">
        <v>117</v>
      </c>
      <c r="CI43" s="130">
        <v>3411</v>
      </c>
      <c r="CJ43" s="44">
        <v>2387</v>
      </c>
      <c r="CK43" s="117">
        <v>-176</v>
      </c>
      <c r="CL43" s="117">
        <v>1026</v>
      </c>
      <c r="CM43" s="117">
        <v>-1199</v>
      </c>
      <c r="CN43" s="48">
        <v>25679</v>
      </c>
      <c r="CO43" s="46">
        <v>21098</v>
      </c>
      <c r="CP43" s="130">
        <v>1621</v>
      </c>
      <c r="CQ43" s="46">
        <v>2960</v>
      </c>
      <c r="CR43" s="129">
        <v>21.25</v>
      </c>
      <c r="CS43" s="44">
        <v>20943</v>
      </c>
      <c r="CT43">
        <v>7128</v>
      </c>
      <c r="CU43">
        <v>25145</v>
      </c>
      <c r="CV43">
        <v>18750</v>
      </c>
      <c r="CW43">
        <v>7860</v>
      </c>
      <c r="CX43">
        <v>97</v>
      </c>
      <c r="CY43">
        <v>20666</v>
      </c>
      <c r="CZ43">
        <v>1498</v>
      </c>
      <c r="DA43">
        <v>2981</v>
      </c>
      <c r="DB43">
        <v>3083</v>
      </c>
      <c r="DC43">
        <v>-5945</v>
      </c>
      <c r="DD43">
        <v>1799</v>
      </c>
      <c r="DE43">
        <v>25986</v>
      </c>
      <c r="DF43">
        <v>48749</v>
      </c>
      <c r="DG43">
        <v>1286</v>
      </c>
      <c r="DH43">
        <v>87</v>
      </c>
      <c r="DI43">
        <v>21.25</v>
      </c>
      <c r="DJ43" s="174">
        <v>7119</v>
      </c>
      <c r="DK43" s="34">
        <v>25376</v>
      </c>
      <c r="DL43" s="34">
        <v>18067</v>
      </c>
      <c r="DM43">
        <v>6452</v>
      </c>
      <c r="DN43" s="173">
        <v>428</v>
      </c>
      <c r="DO43" s="34">
        <v>20748</v>
      </c>
      <c r="DP43" s="173">
        <v>1732</v>
      </c>
      <c r="DQ43" s="34">
        <v>2896</v>
      </c>
      <c r="DR43" s="173">
        <v>1922</v>
      </c>
      <c r="DS43" s="173">
        <v>-3066</v>
      </c>
      <c r="DT43">
        <v>1799</v>
      </c>
      <c r="DU43">
        <v>26928</v>
      </c>
      <c r="DV43" s="173">
        <v>48401</v>
      </c>
      <c r="DW43" s="173">
        <v>125</v>
      </c>
      <c r="DX43" s="173">
        <v>212</v>
      </c>
      <c r="DY43" s="57">
        <v>21.25</v>
      </c>
      <c r="DZ43" s="184">
        <v>230</v>
      </c>
      <c r="EA43" s="116">
        <v>7003</v>
      </c>
      <c r="EB43" s="48">
        <v>24827</v>
      </c>
      <c r="EC43" s="46">
        <v>17767</v>
      </c>
      <c r="ED43" s="90">
        <v>6913</v>
      </c>
      <c r="EE43" s="186">
        <v>396</v>
      </c>
      <c r="EF43" s="46">
        <v>20257</v>
      </c>
      <c r="EG43" s="130">
        <v>1663</v>
      </c>
      <c r="EH43" s="46">
        <v>2907</v>
      </c>
      <c r="EI43" s="130">
        <v>735</v>
      </c>
      <c r="EJ43" s="48">
        <v>-3499</v>
      </c>
      <c r="EK43" s="44">
        <v>2326</v>
      </c>
      <c r="EL43" s="44">
        <v>28771</v>
      </c>
      <c r="EM43" s="130">
        <v>49168</v>
      </c>
      <c r="EN43" s="117">
        <v>-1589</v>
      </c>
      <c r="EO43" s="117">
        <v>-1377</v>
      </c>
      <c r="EP43" s="129">
        <v>21.25</v>
      </c>
    </row>
    <row r="44" spans="1:146" ht="15" x14ac:dyDescent="0.25">
      <c r="A44" s="27">
        <v>145</v>
      </c>
      <c r="B44" s="27" t="s">
        <v>173</v>
      </c>
      <c r="C44" s="27">
        <v>14</v>
      </c>
      <c r="D44" s="27" t="s">
        <v>106</v>
      </c>
      <c r="E44" s="27">
        <v>4</v>
      </c>
      <c r="F44" s="27" t="s">
        <v>100</v>
      </c>
      <c r="G44" s="29" t="s">
        <v>132</v>
      </c>
      <c r="H44" s="27" t="s">
        <v>99</v>
      </c>
      <c r="I44" s="31" t="s">
        <v>106</v>
      </c>
      <c r="J44" s="118">
        <v>5618.6540592996989</v>
      </c>
      <c r="K44" s="118">
        <v>5014.6912153764124</v>
      </c>
      <c r="L44" s="118">
        <v>4265.4140029903811</v>
      </c>
      <c r="M44" s="118">
        <v>6383.4045609201894</v>
      </c>
      <c r="N44" s="22">
        <v>7626</v>
      </c>
      <c r="O44" s="119">
        <v>8295</v>
      </c>
      <c r="P44" s="119">
        <v>9811</v>
      </c>
      <c r="Q44" s="120">
        <v>9615</v>
      </c>
      <c r="R44" s="22">
        <v>12073</v>
      </c>
      <c r="S44" s="22">
        <v>11046</v>
      </c>
      <c r="T44" s="121">
        <v>11040</v>
      </c>
      <c r="U44" s="121">
        <v>11756</v>
      </c>
      <c r="V44" s="121">
        <v>12891</v>
      </c>
      <c r="W44" s="106">
        <v>11228</v>
      </c>
      <c r="X44" s="121">
        <v>10367</v>
      </c>
      <c r="Y44" s="121">
        <v>9081</v>
      </c>
      <c r="Z44" s="121">
        <v>7745</v>
      </c>
      <c r="AA44" s="121">
        <v>7223</v>
      </c>
      <c r="AB44" s="122">
        <v>17.75</v>
      </c>
      <c r="AC44" s="123">
        <v>18.5</v>
      </c>
      <c r="AD44" s="124">
        <v>18.5</v>
      </c>
      <c r="AE44" s="125">
        <v>18.5</v>
      </c>
      <c r="AF44" s="126">
        <v>18.5</v>
      </c>
      <c r="AG44" s="123">
        <v>18.5</v>
      </c>
      <c r="AH44" s="123">
        <v>18.5</v>
      </c>
      <c r="AI44" s="131">
        <v>19</v>
      </c>
      <c r="AJ44" s="131">
        <v>19</v>
      </c>
      <c r="AK44" s="22">
        <v>19</v>
      </c>
      <c r="AL44" s="128">
        <v>19</v>
      </c>
      <c r="AM44" s="128">
        <v>19.5</v>
      </c>
      <c r="AN44" s="128">
        <v>19.5</v>
      </c>
      <c r="AO44" s="77">
        <v>19.5</v>
      </c>
      <c r="AP44" s="77">
        <v>19.75</v>
      </c>
      <c r="AQ44" s="129">
        <v>19.75</v>
      </c>
      <c r="AR44" s="129">
        <v>19.75</v>
      </c>
      <c r="AS44" s="129">
        <v>20.25</v>
      </c>
      <c r="AT44" s="116">
        <v>12099</v>
      </c>
      <c r="AU44" s="47">
        <v>10079</v>
      </c>
      <c r="AV44" s="47">
        <v>69901</v>
      </c>
      <c r="AW44" s="46">
        <v>36254</v>
      </c>
      <c r="AX44" s="46">
        <v>25862</v>
      </c>
      <c r="AY44" s="92">
        <v>53</v>
      </c>
      <c r="AZ44" s="47">
        <v>1725</v>
      </c>
      <c r="BA44" s="44">
        <v>3011</v>
      </c>
      <c r="BB44" s="23">
        <v>-6263</v>
      </c>
      <c r="BC44" s="47">
        <v>-1286</v>
      </c>
      <c r="BD44" s="44">
        <v>-1286</v>
      </c>
      <c r="BE44" s="47">
        <v>9081</v>
      </c>
      <c r="BF44" s="44">
        <v>36254</v>
      </c>
      <c r="BG44" s="46">
        <v>33455</v>
      </c>
      <c r="BH44" s="130">
        <v>1100</v>
      </c>
      <c r="BI44" s="46">
        <v>1699</v>
      </c>
      <c r="BJ44" s="129">
        <v>19.75</v>
      </c>
      <c r="BK44" s="44">
        <v>41114</v>
      </c>
      <c r="BL44" s="116">
        <v>12181</v>
      </c>
      <c r="BM44" s="47">
        <v>9404</v>
      </c>
      <c r="BN44" s="130">
        <v>70566</v>
      </c>
      <c r="BO44" s="46">
        <v>36995</v>
      </c>
      <c r="BP44" s="46">
        <v>26256</v>
      </c>
      <c r="BQ44" s="46">
        <v>74</v>
      </c>
      <c r="BR44" s="130">
        <v>1578</v>
      </c>
      <c r="BS44" s="44">
        <v>3109</v>
      </c>
      <c r="BT44" s="92">
        <v>-5754</v>
      </c>
      <c r="BU44" s="117">
        <v>-1531</v>
      </c>
      <c r="BV44" s="130">
        <v>7745</v>
      </c>
      <c r="BW44" s="48">
        <v>36995</v>
      </c>
      <c r="BX44" s="46">
        <v>33862</v>
      </c>
      <c r="BY44" s="130">
        <v>1263</v>
      </c>
      <c r="BZ44" s="46">
        <v>1870</v>
      </c>
      <c r="CA44" s="129">
        <v>19.75</v>
      </c>
      <c r="CB44" s="44">
        <v>45363</v>
      </c>
      <c r="CC44" s="116">
        <v>12159</v>
      </c>
      <c r="CD44" s="47">
        <v>9622</v>
      </c>
      <c r="CE44" s="130">
        <v>72246</v>
      </c>
      <c r="CF44" s="46">
        <v>39043</v>
      </c>
      <c r="CG44" s="46">
        <v>26558</v>
      </c>
      <c r="CH44" s="46">
        <v>125</v>
      </c>
      <c r="CI44" s="130">
        <v>2537</v>
      </c>
      <c r="CJ44" s="44">
        <v>3059</v>
      </c>
      <c r="CK44" s="117">
        <v>-3284</v>
      </c>
      <c r="CL44" s="117">
        <v>-522</v>
      </c>
      <c r="CM44" s="117">
        <v>7223</v>
      </c>
      <c r="CN44" s="48">
        <v>39043</v>
      </c>
      <c r="CO44" s="46">
        <v>35628</v>
      </c>
      <c r="CP44" s="130">
        <v>1301</v>
      </c>
      <c r="CQ44" s="46">
        <v>2114</v>
      </c>
      <c r="CR44" s="129">
        <v>20.25</v>
      </c>
      <c r="CS44" s="44">
        <v>45927</v>
      </c>
      <c r="CT44">
        <v>12167</v>
      </c>
      <c r="CU44">
        <v>38466</v>
      </c>
      <c r="CV44">
        <v>28531</v>
      </c>
      <c r="CW44">
        <v>10290</v>
      </c>
      <c r="CX44">
        <v>45</v>
      </c>
      <c r="CY44">
        <v>35072</v>
      </c>
      <c r="CZ44">
        <v>1266</v>
      </c>
      <c r="DA44">
        <v>2128</v>
      </c>
      <c r="DB44">
        <v>4211</v>
      </c>
      <c r="DC44">
        <v>-3726</v>
      </c>
      <c r="DD44">
        <v>3010</v>
      </c>
      <c r="DE44">
        <v>44648</v>
      </c>
      <c r="DF44">
        <v>72712</v>
      </c>
      <c r="DG44">
        <v>1201</v>
      </c>
      <c r="DH44">
        <v>8423</v>
      </c>
      <c r="DI44">
        <v>20.25</v>
      </c>
      <c r="DJ44" s="174">
        <v>12205</v>
      </c>
      <c r="DK44" s="34">
        <v>38942</v>
      </c>
      <c r="DL44" s="34">
        <v>29014</v>
      </c>
      <c r="DM44">
        <v>9395</v>
      </c>
      <c r="DN44" s="173">
        <v>-316</v>
      </c>
      <c r="DO44" s="34">
        <v>35206</v>
      </c>
      <c r="DP44" s="173">
        <v>1430</v>
      </c>
      <c r="DQ44" s="34">
        <v>2306</v>
      </c>
      <c r="DR44" s="173">
        <v>4357</v>
      </c>
      <c r="DS44" s="173">
        <v>-2913</v>
      </c>
      <c r="DT44">
        <v>3072</v>
      </c>
      <c r="DU44">
        <v>43630</v>
      </c>
      <c r="DV44" s="173">
        <v>72678</v>
      </c>
      <c r="DW44" s="173">
        <v>1285</v>
      </c>
      <c r="DX44" s="173">
        <v>9708</v>
      </c>
      <c r="DY44" s="57">
        <v>20.25</v>
      </c>
      <c r="DZ44" s="184">
        <v>220</v>
      </c>
      <c r="EA44" s="116">
        <v>12187</v>
      </c>
      <c r="EB44" s="48">
        <v>39149</v>
      </c>
      <c r="EC44" s="46">
        <v>28873</v>
      </c>
      <c r="ED44" s="90">
        <v>10214</v>
      </c>
      <c r="EE44" s="186">
        <v>-223</v>
      </c>
      <c r="EF44" s="46">
        <v>35062</v>
      </c>
      <c r="EG44" s="130">
        <v>1571</v>
      </c>
      <c r="EH44" s="46">
        <v>2516</v>
      </c>
      <c r="EI44" s="130">
        <v>2248</v>
      </c>
      <c r="EJ44" s="48">
        <v>-2727</v>
      </c>
      <c r="EK44" s="44">
        <v>3023</v>
      </c>
      <c r="EL44" s="44">
        <v>43476</v>
      </c>
      <c r="EM44" s="130">
        <v>75765</v>
      </c>
      <c r="EN44" s="117">
        <v>-775</v>
      </c>
      <c r="EO44" s="117">
        <v>8934</v>
      </c>
      <c r="EP44" s="129">
        <v>20.75</v>
      </c>
    </row>
    <row r="45" spans="1:146" ht="15" x14ac:dyDescent="0.25">
      <c r="A45" s="27">
        <v>146</v>
      </c>
      <c r="B45" s="27" t="s">
        <v>174</v>
      </c>
      <c r="C45" s="27">
        <v>12</v>
      </c>
      <c r="D45" s="27" t="s">
        <v>116</v>
      </c>
      <c r="E45" s="27">
        <v>2</v>
      </c>
      <c r="F45" s="27" t="s">
        <v>744</v>
      </c>
      <c r="G45" s="29" t="s">
        <v>130</v>
      </c>
      <c r="H45" s="27" t="s">
        <v>98</v>
      </c>
      <c r="I45" s="31" t="s">
        <v>116</v>
      </c>
      <c r="J45" s="118">
        <v>496.15438306145751</v>
      </c>
      <c r="K45" s="118">
        <v>-57.856646702759797</v>
      </c>
      <c r="L45" s="118">
        <v>-645.84163761220236</v>
      </c>
      <c r="M45" s="118">
        <v>84.430339083678518</v>
      </c>
      <c r="N45" s="22">
        <v>603</v>
      </c>
      <c r="O45" s="119">
        <v>662</v>
      </c>
      <c r="P45" s="119">
        <v>883</v>
      </c>
      <c r="Q45" s="120">
        <v>574</v>
      </c>
      <c r="R45" s="22">
        <v>1875</v>
      </c>
      <c r="S45" s="22">
        <v>2586</v>
      </c>
      <c r="T45" s="121">
        <v>4090</v>
      </c>
      <c r="U45" s="121">
        <v>4110</v>
      </c>
      <c r="V45" s="121">
        <v>4651</v>
      </c>
      <c r="W45" s="106">
        <v>4924</v>
      </c>
      <c r="X45" s="121">
        <v>4970</v>
      </c>
      <c r="Y45" s="121">
        <v>4827</v>
      </c>
      <c r="Z45" s="121">
        <v>5344</v>
      </c>
      <c r="AA45" s="121">
        <v>5368</v>
      </c>
      <c r="AB45" s="122">
        <v>18.25</v>
      </c>
      <c r="AC45" s="123">
        <v>18.25</v>
      </c>
      <c r="AD45" s="124">
        <v>18.5</v>
      </c>
      <c r="AE45" s="125">
        <v>18.5</v>
      </c>
      <c r="AF45" s="126">
        <v>18.5</v>
      </c>
      <c r="AG45" s="123">
        <v>18.5</v>
      </c>
      <c r="AH45" s="123">
        <v>18.5</v>
      </c>
      <c r="AI45" s="131">
        <v>19</v>
      </c>
      <c r="AJ45" s="131">
        <v>19</v>
      </c>
      <c r="AK45" s="22">
        <v>19.25</v>
      </c>
      <c r="AL45" s="128">
        <v>19.25</v>
      </c>
      <c r="AM45" s="128">
        <v>19.25</v>
      </c>
      <c r="AN45" s="128">
        <v>19.75</v>
      </c>
      <c r="AO45" s="77">
        <v>19.75</v>
      </c>
      <c r="AP45" s="77">
        <v>20.25</v>
      </c>
      <c r="AQ45" s="129">
        <v>20.25</v>
      </c>
      <c r="AR45" s="129">
        <v>20.25</v>
      </c>
      <c r="AS45" s="129">
        <v>20.75</v>
      </c>
      <c r="AT45" s="116">
        <v>5614</v>
      </c>
      <c r="AU45" s="47">
        <v>8768</v>
      </c>
      <c r="AV45" s="47">
        <v>46161</v>
      </c>
      <c r="AW45" s="46">
        <v>16854</v>
      </c>
      <c r="AX45" s="46">
        <v>21892</v>
      </c>
      <c r="AY45" s="92">
        <v>392</v>
      </c>
      <c r="AZ45" s="47">
        <v>1601</v>
      </c>
      <c r="BA45" s="44">
        <v>1523</v>
      </c>
      <c r="BB45" s="23">
        <v>-2137</v>
      </c>
      <c r="BC45" s="47">
        <v>78</v>
      </c>
      <c r="BD45" s="44">
        <v>127</v>
      </c>
      <c r="BE45" s="47">
        <v>4827</v>
      </c>
      <c r="BF45" s="44">
        <v>16854</v>
      </c>
      <c r="BG45" s="46">
        <v>13474</v>
      </c>
      <c r="BH45" s="130">
        <v>2257</v>
      </c>
      <c r="BI45" s="46">
        <v>1123</v>
      </c>
      <c r="BJ45" s="129">
        <v>20.25</v>
      </c>
      <c r="BK45" s="44">
        <v>6839</v>
      </c>
      <c r="BL45" s="116">
        <v>5504</v>
      </c>
      <c r="BM45" s="47">
        <v>8309</v>
      </c>
      <c r="BN45" s="130">
        <v>46627</v>
      </c>
      <c r="BO45" s="46">
        <v>18081</v>
      </c>
      <c r="BP45" s="46">
        <v>22328</v>
      </c>
      <c r="BQ45" s="46">
        <v>454</v>
      </c>
      <c r="BR45" s="130">
        <v>2422</v>
      </c>
      <c r="BS45" s="44">
        <v>1954</v>
      </c>
      <c r="BT45" s="92">
        <v>-2386</v>
      </c>
      <c r="BU45" s="117">
        <v>517</v>
      </c>
      <c r="BV45" s="130">
        <v>5344</v>
      </c>
      <c r="BW45" s="48">
        <v>18081</v>
      </c>
      <c r="BX45" s="46">
        <v>14038</v>
      </c>
      <c r="BY45" s="130">
        <v>2751</v>
      </c>
      <c r="BZ45" s="46">
        <v>1292</v>
      </c>
      <c r="CA45" s="129">
        <v>20.25</v>
      </c>
      <c r="CB45" s="44">
        <v>8682</v>
      </c>
      <c r="CC45" s="116">
        <v>5336</v>
      </c>
      <c r="CD45" s="47">
        <v>8105</v>
      </c>
      <c r="CE45" s="130">
        <v>47070</v>
      </c>
      <c r="CF45" s="46">
        <v>18491</v>
      </c>
      <c r="CG45" s="46">
        <v>21931</v>
      </c>
      <c r="CH45" s="46">
        <v>552</v>
      </c>
      <c r="CI45" s="130">
        <v>1745</v>
      </c>
      <c r="CJ45" s="44">
        <v>1770</v>
      </c>
      <c r="CK45" s="117">
        <v>-4571</v>
      </c>
      <c r="CL45" s="117">
        <v>24</v>
      </c>
      <c r="CM45" s="117">
        <v>5368</v>
      </c>
      <c r="CN45" s="48">
        <v>18491</v>
      </c>
      <c r="CO45" s="46">
        <v>14038</v>
      </c>
      <c r="CP45" s="130">
        <v>3155</v>
      </c>
      <c r="CQ45" s="46">
        <v>1298</v>
      </c>
      <c r="CR45" s="129">
        <v>20.75</v>
      </c>
      <c r="CS45" s="44">
        <v>7999</v>
      </c>
      <c r="CT45">
        <v>5237</v>
      </c>
      <c r="CU45">
        <v>17868</v>
      </c>
      <c r="CV45">
        <v>22543</v>
      </c>
      <c r="CW45">
        <v>7817</v>
      </c>
      <c r="CX45">
        <v>456</v>
      </c>
      <c r="CY45">
        <v>13587</v>
      </c>
      <c r="CZ45">
        <v>2960</v>
      </c>
      <c r="DA45">
        <v>1321</v>
      </c>
      <c r="DB45">
        <v>2689</v>
      </c>
      <c r="DC45">
        <v>-2516</v>
      </c>
      <c r="DD45">
        <v>1890</v>
      </c>
      <c r="DE45">
        <v>10650</v>
      </c>
      <c r="DF45">
        <v>45862</v>
      </c>
      <c r="DG45">
        <v>848</v>
      </c>
      <c r="DH45">
        <v>6216</v>
      </c>
      <c r="DI45">
        <v>20.75</v>
      </c>
      <c r="DJ45" s="174">
        <v>5128</v>
      </c>
      <c r="DK45" s="34">
        <v>18359</v>
      </c>
      <c r="DL45" s="34">
        <v>21915</v>
      </c>
      <c r="DM45">
        <v>6158</v>
      </c>
      <c r="DN45" s="173">
        <v>510</v>
      </c>
      <c r="DO45" s="34">
        <v>13573</v>
      </c>
      <c r="DP45" s="173">
        <v>3414</v>
      </c>
      <c r="DQ45" s="34">
        <v>1372</v>
      </c>
      <c r="DR45" s="173">
        <v>2707</v>
      </c>
      <c r="DS45" s="173">
        <v>-2258</v>
      </c>
      <c r="DT45">
        <v>2653</v>
      </c>
      <c r="DU45">
        <v>11641</v>
      </c>
      <c r="DV45" s="173">
        <v>43979</v>
      </c>
      <c r="DW45" s="173">
        <v>359</v>
      </c>
      <c r="DX45" s="173">
        <v>6201</v>
      </c>
      <c r="DY45" s="57">
        <v>20.75</v>
      </c>
      <c r="DZ45" s="184">
        <v>340</v>
      </c>
      <c r="EA45" s="116">
        <v>4973</v>
      </c>
      <c r="EB45" s="48">
        <v>17060</v>
      </c>
      <c r="EC45" s="46">
        <v>21278</v>
      </c>
      <c r="ED45" s="90">
        <v>6019</v>
      </c>
      <c r="EE45" s="186">
        <v>213</v>
      </c>
      <c r="EF45" s="46">
        <v>12588</v>
      </c>
      <c r="EG45" s="130">
        <v>3121</v>
      </c>
      <c r="EH45" s="46">
        <v>1351</v>
      </c>
      <c r="EI45" s="130">
        <v>995</v>
      </c>
      <c r="EJ45" s="48">
        <v>-983</v>
      </c>
      <c r="EK45" s="44">
        <v>2083</v>
      </c>
      <c r="EL45" s="44">
        <v>10864</v>
      </c>
      <c r="EM45" s="130">
        <v>43575</v>
      </c>
      <c r="EN45" s="117">
        <v>-1039</v>
      </c>
      <c r="EO45" s="117">
        <v>5163</v>
      </c>
      <c r="EP45" s="129">
        <v>20.75</v>
      </c>
    </row>
    <row r="46" spans="1:146" ht="15" x14ac:dyDescent="0.25">
      <c r="A46" s="27">
        <v>153</v>
      </c>
      <c r="B46" s="27" t="s">
        <v>175</v>
      </c>
      <c r="C46" s="27">
        <v>9</v>
      </c>
      <c r="D46" s="27" t="s">
        <v>105</v>
      </c>
      <c r="E46" s="27">
        <v>5</v>
      </c>
      <c r="F46" s="27" t="s">
        <v>101</v>
      </c>
      <c r="G46" s="29" t="s">
        <v>141</v>
      </c>
      <c r="H46" s="27" t="s">
        <v>97</v>
      </c>
      <c r="I46" s="31" t="s">
        <v>105</v>
      </c>
      <c r="J46" s="118">
        <v>11052.133211565275</v>
      </c>
      <c r="K46" s="118">
        <v>14471.898320307178</v>
      </c>
      <c r="L46" s="118">
        <v>20691.656028780319</v>
      </c>
      <c r="M46" s="118">
        <v>30211.260854428307</v>
      </c>
      <c r="N46" s="22">
        <v>50463</v>
      </c>
      <c r="O46" s="119">
        <v>40191</v>
      </c>
      <c r="P46" s="119">
        <v>35846</v>
      </c>
      <c r="Q46" s="120">
        <v>24074</v>
      </c>
      <c r="R46" s="22">
        <v>14853</v>
      </c>
      <c r="S46" s="22">
        <v>10920</v>
      </c>
      <c r="T46" s="121">
        <v>14360</v>
      </c>
      <c r="U46" s="121">
        <v>16887</v>
      </c>
      <c r="V46" s="121">
        <v>27483</v>
      </c>
      <c r="W46" s="106">
        <v>33120</v>
      </c>
      <c r="X46" s="121">
        <v>37014</v>
      </c>
      <c r="Y46" s="121">
        <v>39626</v>
      </c>
      <c r="Z46" s="121">
        <v>50273</v>
      </c>
      <c r="AA46" s="121">
        <v>53629</v>
      </c>
      <c r="AB46" s="122">
        <v>18</v>
      </c>
      <c r="AC46" s="123">
        <v>18</v>
      </c>
      <c r="AD46" s="124">
        <v>18</v>
      </c>
      <c r="AE46" s="125">
        <v>18</v>
      </c>
      <c r="AF46" s="126">
        <v>18</v>
      </c>
      <c r="AG46" s="123">
        <v>18</v>
      </c>
      <c r="AH46" s="123">
        <v>18</v>
      </c>
      <c r="AI46" s="127">
        <v>18</v>
      </c>
      <c r="AJ46" s="127">
        <v>18</v>
      </c>
      <c r="AK46" s="22">
        <v>18</v>
      </c>
      <c r="AL46" s="128">
        <v>18.75</v>
      </c>
      <c r="AM46" s="128">
        <v>18.75</v>
      </c>
      <c r="AN46" s="128">
        <v>19.5</v>
      </c>
      <c r="AO46" s="77">
        <v>19.5</v>
      </c>
      <c r="AP46" s="77">
        <v>19.5</v>
      </c>
      <c r="AQ46" s="129">
        <v>19.5</v>
      </c>
      <c r="AR46" s="129">
        <v>19.5</v>
      </c>
      <c r="AS46" s="129">
        <v>20</v>
      </c>
      <c r="AT46" s="116">
        <v>28219</v>
      </c>
      <c r="AU46" s="47">
        <v>48953</v>
      </c>
      <c r="AV46" s="47">
        <v>187041</v>
      </c>
      <c r="AW46" s="46">
        <v>103610</v>
      </c>
      <c r="AX46" s="46">
        <v>48945</v>
      </c>
      <c r="AY46" s="92">
        <v>984</v>
      </c>
      <c r="AZ46" s="47">
        <v>14466</v>
      </c>
      <c r="BA46" s="44">
        <v>11618</v>
      </c>
      <c r="BB46" s="23">
        <v>-10762</v>
      </c>
      <c r="BC46" s="47">
        <v>2848</v>
      </c>
      <c r="BD46" s="44">
        <v>2612</v>
      </c>
      <c r="BE46" s="47">
        <v>39626</v>
      </c>
      <c r="BF46" s="44">
        <v>103610</v>
      </c>
      <c r="BG46" s="46">
        <v>90633</v>
      </c>
      <c r="BH46" s="130">
        <v>6113</v>
      </c>
      <c r="BI46" s="46">
        <v>6864</v>
      </c>
      <c r="BJ46" s="129">
        <v>19.5</v>
      </c>
      <c r="BK46" s="44">
        <v>48241</v>
      </c>
      <c r="BL46" s="116">
        <v>28037</v>
      </c>
      <c r="BM46" s="47">
        <v>33518</v>
      </c>
      <c r="BN46" s="130">
        <v>175853</v>
      </c>
      <c r="BO46" s="46">
        <v>104484</v>
      </c>
      <c r="BP46" s="46">
        <v>48827</v>
      </c>
      <c r="BQ46" s="46">
        <v>9770</v>
      </c>
      <c r="BR46" s="130">
        <v>10440</v>
      </c>
      <c r="BS46" s="44">
        <v>9017</v>
      </c>
      <c r="BT46" s="92">
        <v>-3488</v>
      </c>
      <c r="BU46" s="117">
        <v>10646</v>
      </c>
      <c r="BV46" s="130">
        <v>50273</v>
      </c>
      <c r="BW46" s="48">
        <v>104484</v>
      </c>
      <c r="BX46" s="46">
        <v>91339</v>
      </c>
      <c r="BY46" s="130">
        <v>5480</v>
      </c>
      <c r="BZ46" s="46">
        <v>7665</v>
      </c>
      <c r="CA46" s="129">
        <v>19.5</v>
      </c>
      <c r="CB46" s="44">
        <v>46484</v>
      </c>
      <c r="CC46" s="116">
        <v>27835</v>
      </c>
      <c r="CD46" s="47">
        <v>31035</v>
      </c>
      <c r="CE46" s="130">
        <v>175318</v>
      </c>
      <c r="CF46" s="46">
        <v>107621</v>
      </c>
      <c r="CG46" s="46">
        <v>49046</v>
      </c>
      <c r="CH46" s="46">
        <v>180</v>
      </c>
      <c r="CI46" s="130">
        <v>11933</v>
      </c>
      <c r="CJ46" s="44">
        <v>8437</v>
      </c>
      <c r="CK46" s="117">
        <v>-21573</v>
      </c>
      <c r="CL46" s="117">
        <v>3356</v>
      </c>
      <c r="CM46" s="117">
        <v>53629</v>
      </c>
      <c r="CN46" s="48">
        <v>107621</v>
      </c>
      <c r="CO46" s="46">
        <v>93785</v>
      </c>
      <c r="CP46" s="130">
        <v>4831</v>
      </c>
      <c r="CQ46" s="46">
        <v>9005</v>
      </c>
      <c r="CR46" s="129">
        <v>20</v>
      </c>
      <c r="CS46" s="44">
        <v>60770</v>
      </c>
      <c r="CT46">
        <v>27517</v>
      </c>
      <c r="CU46">
        <v>106688</v>
      </c>
      <c r="CV46">
        <v>53738</v>
      </c>
      <c r="CW46">
        <v>24594</v>
      </c>
      <c r="CX46">
        <v>158</v>
      </c>
      <c r="CY46">
        <v>93467</v>
      </c>
      <c r="CZ46">
        <v>9262</v>
      </c>
      <c r="DA46">
        <v>3959</v>
      </c>
      <c r="DB46">
        <v>14286</v>
      </c>
      <c r="DC46">
        <v>-8159</v>
      </c>
      <c r="DD46">
        <v>9379</v>
      </c>
      <c r="DE46">
        <v>61153</v>
      </c>
      <c r="DF46">
        <v>170334</v>
      </c>
      <c r="DG46">
        <v>5227</v>
      </c>
      <c r="DH46">
        <v>58856</v>
      </c>
      <c r="DI46">
        <v>20</v>
      </c>
      <c r="DJ46" s="174">
        <v>27269</v>
      </c>
      <c r="DK46" s="34">
        <v>105590</v>
      </c>
      <c r="DL46" s="34">
        <v>55631</v>
      </c>
      <c r="DM46">
        <v>24478</v>
      </c>
      <c r="DN46" s="173">
        <v>584</v>
      </c>
      <c r="DO46" s="34">
        <v>91183</v>
      </c>
      <c r="DP46" s="173">
        <v>4487</v>
      </c>
      <c r="DQ46" s="34">
        <v>9920</v>
      </c>
      <c r="DR46" s="173">
        <v>15951</v>
      </c>
      <c r="DS46" s="173">
        <v>-2738</v>
      </c>
      <c r="DT46">
        <v>10002</v>
      </c>
      <c r="DU46">
        <v>61146</v>
      </c>
      <c r="DV46" s="173">
        <v>169478</v>
      </c>
      <c r="DW46" s="173">
        <v>6926</v>
      </c>
      <c r="DX46" s="173">
        <v>65782</v>
      </c>
      <c r="DY46" s="57">
        <v>20</v>
      </c>
      <c r="DZ46" s="184">
        <v>140</v>
      </c>
      <c r="EA46" s="116">
        <v>26932</v>
      </c>
      <c r="EB46" s="48">
        <v>103034</v>
      </c>
      <c r="EC46" s="46">
        <v>56039</v>
      </c>
      <c r="ED46" s="90">
        <v>20345</v>
      </c>
      <c r="EE46" s="186">
        <v>-206</v>
      </c>
      <c r="EF46" s="46">
        <v>89509</v>
      </c>
      <c r="EG46" s="130">
        <v>3740</v>
      </c>
      <c r="EH46" s="46">
        <v>9785</v>
      </c>
      <c r="EI46" s="130">
        <v>8093</v>
      </c>
      <c r="EJ46" s="48">
        <v>-19414</v>
      </c>
      <c r="EK46" s="44">
        <v>8355</v>
      </c>
      <c r="EL46" s="44">
        <v>63108</v>
      </c>
      <c r="EM46" s="130">
        <v>171119</v>
      </c>
      <c r="EN46" s="117">
        <v>118</v>
      </c>
      <c r="EO46" s="117">
        <v>65900</v>
      </c>
      <c r="EP46" s="129">
        <v>20</v>
      </c>
    </row>
    <row r="47" spans="1:146" ht="15" x14ac:dyDescent="0.25">
      <c r="A47" s="27">
        <v>148</v>
      </c>
      <c r="B47" s="27" t="s">
        <v>176</v>
      </c>
      <c r="C47" s="27">
        <v>19</v>
      </c>
      <c r="D47" s="27" t="s">
        <v>113</v>
      </c>
      <c r="E47" s="27">
        <v>3</v>
      </c>
      <c r="F47" s="27" t="s">
        <v>743</v>
      </c>
      <c r="G47" s="29" t="s">
        <v>130</v>
      </c>
      <c r="H47" s="27" t="s">
        <v>98</v>
      </c>
      <c r="I47" s="31" t="s">
        <v>113</v>
      </c>
      <c r="J47" s="118">
        <v>2229.3309652473285</v>
      </c>
      <c r="K47" s="118">
        <v>1438.1749591723808</v>
      </c>
      <c r="L47" s="118">
        <v>-462.85317362207837</v>
      </c>
      <c r="M47" s="118">
        <v>-1140.3141414090449</v>
      </c>
      <c r="N47" s="22">
        <v>-752</v>
      </c>
      <c r="O47" s="119">
        <v>-441</v>
      </c>
      <c r="P47" s="119">
        <v>11</v>
      </c>
      <c r="Q47" s="120">
        <v>26</v>
      </c>
      <c r="R47" s="22">
        <v>1234</v>
      </c>
      <c r="S47" s="22">
        <v>1252</v>
      </c>
      <c r="T47" s="121">
        <v>2260</v>
      </c>
      <c r="U47" s="121">
        <v>2521</v>
      </c>
      <c r="V47" s="121">
        <v>4645</v>
      </c>
      <c r="W47" s="106">
        <v>3035</v>
      </c>
      <c r="X47" s="121">
        <v>2086</v>
      </c>
      <c r="Y47" s="121">
        <v>3445</v>
      </c>
      <c r="Z47" s="121">
        <v>6640</v>
      </c>
      <c r="AA47" s="121">
        <v>4689</v>
      </c>
      <c r="AB47" s="122">
        <v>18</v>
      </c>
      <c r="AC47" s="123">
        <v>18</v>
      </c>
      <c r="AD47" s="124">
        <v>18.5</v>
      </c>
      <c r="AE47" s="125">
        <v>18.5</v>
      </c>
      <c r="AF47" s="126">
        <v>18.5</v>
      </c>
      <c r="AG47" s="123">
        <v>18.5</v>
      </c>
      <c r="AH47" s="123">
        <v>19</v>
      </c>
      <c r="AI47" s="127">
        <v>19</v>
      </c>
      <c r="AJ47" s="127">
        <v>19</v>
      </c>
      <c r="AK47" s="22">
        <v>19</v>
      </c>
      <c r="AL47" s="128">
        <v>19</v>
      </c>
      <c r="AM47" s="128">
        <v>19</v>
      </c>
      <c r="AN47" s="128">
        <v>19</v>
      </c>
      <c r="AO47" s="77">
        <v>19</v>
      </c>
      <c r="AP47" s="77">
        <v>19</v>
      </c>
      <c r="AQ47" s="129">
        <v>19</v>
      </c>
      <c r="AR47" s="129">
        <v>19</v>
      </c>
      <c r="AS47" s="129">
        <v>19</v>
      </c>
      <c r="AT47" s="116">
        <v>6794</v>
      </c>
      <c r="AU47" s="47">
        <v>7705</v>
      </c>
      <c r="AV47" s="47">
        <v>50062</v>
      </c>
      <c r="AW47" s="46">
        <v>24467</v>
      </c>
      <c r="AX47" s="46">
        <v>22165</v>
      </c>
      <c r="AY47" s="92">
        <v>732</v>
      </c>
      <c r="AZ47" s="47">
        <v>4724</v>
      </c>
      <c r="BA47" s="44">
        <v>1811</v>
      </c>
      <c r="BB47" s="23">
        <v>-3401</v>
      </c>
      <c r="BC47" s="47">
        <v>2820</v>
      </c>
      <c r="BD47" s="44">
        <v>3136</v>
      </c>
      <c r="BE47" s="47">
        <v>3445</v>
      </c>
      <c r="BF47" s="44">
        <v>24467</v>
      </c>
      <c r="BG47" s="46">
        <v>18821</v>
      </c>
      <c r="BH47" s="130">
        <v>1809</v>
      </c>
      <c r="BI47" s="46">
        <v>3837</v>
      </c>
      <c r="BJ47" s="129">
        <v>19</v>
      </c>
      <c r="BK47" s="44">
        <v>14137</v>
      </c>
      <c r="BL47" s="116">
        <v>6814</v>
      </c>
      <c r="BM47" s="47">
        <v>8594</v>
      </c>
      <c r="BN47" s="130">
        <v>51240</v>
      </c>
      <c r="BO47" s="46">
        <v>25038</v>
      </c>
      <c r="BP47" s="46">
        <v>22025</v>
      </c>
      <c r="BQ47" s="46">
        <v>728</v>
      </c>
      <c r="BR47" s="130">
        <v>4907</v>
      </c>
      <c r="BS47" s="44">
        <v>1724</v>
      </c>
      <c r="BT47" s="92">
        <v>-6013</v>
      </c>
      <c r="BU47" s="117">
        <v>3195</v>
      </c>
      <c r="BV47" s="130">
        <v>6640</v>
      </c>
      <c r="BW47" s="48">
        <v>25038</v>
      </c>
      <c r="BX47" s="46">
        <v>18946</v>
      </c>
      <c r="BY47" s="130">
        <v>2063</v>
      </c>
      <c r="BZ47" s="46">
        <v>4029</v>
      </c>
      <c r="CA47" s="129">
        <v>19</v>
      </c>
      <c r="CB47" s="44">
        <v>14430</v>
      </c>
      <c r="CC47" s="116">
        <v>6804</v>
      </c>
      <c r="CD47" s="47">
        <v>8426</v>
      </c>
      <c r="CE47" s="130">
        <v>53885</v>
      </c>
      <c r="CF47" s="46">
        <v>25281</v>
      </c>
      <c r="CG47" s="46">
        <v>22731</v>
      </c>
      <c r="CH47" s="46">
        <v>1670</v>
      </c>
      <c r="CI47" s="130">
        <v>3234</v>
      </c>
      <c r="CJ47" s="44">
        <v>1851</v>
      </c>
      <c r="CK47" s="117">
        <v>-3855</v>
      </c>
      <c r="CL47" s="117">
        <v>1247</v>
      </c>
      <c r="CM47" s="117">
        <v>4689</v>
      </c>
      <c r="CN47" s="48">
        <v>25281</v>
      </c>
      <c r="CO47" s="46">
        <v>18850</v>
      </c>
      <c r="CP47" s="130">
        <v>2363</v>
      </c>
      <c r="CQ47" s="46">
        <v>4068</v>
      </c>
      <c r="CR47" s="129">
        <v>19</v>
      </c>
      <c r="CS47" s="44">
        <v>14244</v>
      </c>
      <c r="CT47">
        <v>6825</v>
      </c>
      <c r="CU47">
        <v>26169</v>
      </c>
      <c r="CV47">
        <v>23792</v>
      </c>
      <c r="CW47">
        <v>8614</v>
      </c>
      <c r="CX47">
        <v>809</v>
      </c>
      <c r="CY47">
        <v>19749</v>
      </c>
      <c r="CZ47">
        <v>2161</v>
      </c>
      <c r="DA47">
        <v>4259</v>
      </c>
      <c r="DB47">
        <v>3590</v>
      </c>
      <c r="DC47">
        <v>-1824</v>
      </c>
      <c r="DD47">
        <v>1872</v>
      </c>
      <c r="DE47">
        <v>15030</v>
      </c>
      <c r="DF47">
        <v>55520</v>
      </c>
      <c r="DG47">
        <v>1785</v>
      </c>
      <c r="DH47">
        <v>6475</v>
      </c>
      <c r="DI47">
        <v>19</v>
      </c>
      <c r="DJ47" s="174">
        <v>6869</v>
      </c>
      <c r="DK47" s="34">
        <v>26677</v>
      </c>
      <c r="DL47" s="34">
        <v>23456</v>
      </c>
      <c r="DM47">
        <v>9433</v>
      </c>
      <c r="DN47" s="173">
        <v>690</v>
      </c>
      <c r="DO47" s="34">
        <v>19854</v>
      </c>
      <c r="DP47" s="173">
        <v>2578</v>
      </c>
      <c r="DQ47" s="34">
        <v>4245</v>
      </c>
      <c r="DR47" s="173">
        <v>4919</v>
      </c>
      <c r="DS47" s="173">
        <v>-2429</v>
      </c>
      <c r="DT47">
        <v>2050</v>
      </c>
      <c r="DU47">
        <v>13833</v>
      </c>
      <c r="DV47" s="173">
        <v>55337</v>
      </c>
      <c r="DW47" s="173">
        <v>2839</v>
      </c>
      <c r="DX47" s="173">
        <v>9313</v>
      </c>
      <c r="DY47" s="57">
        <v>19</v>
      </c>
      <c r="DZ47" s="184">
        <v>320</v>
      </c>
      <c r="EA47" s="116">
        <v>6930</v>
      </c>
      <c r="EB47" s="48">
        <v>27992</v>
      </c>
      <c r="EC47" s="46">
        <v>23428</v>
      </c>
      <c r="ED47" s="90">
        <v>8901</v>
      </c>
      <c r="EE47" s="186">
        <v>723</v>
      </c>
      <c r="EF47" s="46">
        <v>21115</v>
      </c>
      <c r="EG47" s="130">
        <v>2487</v>
      </c>
      <c r="EH47" s="46">
        <v>4390</v>
      </c>
      <c r="EI47" s="130">
        <v>3597</v>
      </c>
      <c r="EJ47" s="48">
        <v>-1906</v>
      </c>
      <c r="EK47" s="44">
        <v>1967</v>
      </c>
      <c r="EL47" s="44">
        <v>13119</v>
      </c>
      <c r="EM47" s="130">
        <v>57447</v>
      </c>
      <c r="EN47" s="117">
        <v>1653</v>
      </c>
      <c r="EO47" s="117">
        <v>10966</v>
      </c>
      <c r="EP47" s="129">
        <v>19</v>
      </c>
    </row>
    <row r="48" spans="1:146" ht="15" x14ac:dyDescent="0.25">
      <c r="A48" s="27">
        <v>149</v>
      </c>
      <c r="B48" s="27" t="s">
        <v>177</v>
      </c>
      <c r="C48" s="27">
        <v>1</v>
      </c>
      <c r="D48" s="27" t="s">
        <v>121</v>
      </c>
      <c r="E48" s="27">
        <v>3</v>
      </c>
      <c r="F48" s="27" t="s">
        <v>743</v>
      </c>
      <c r="G48" s="29" t="s">
        <v>130</v>
      </c>
      <c r="H48" s="27" t="s">
        <v>98</v>
      </c>
      <c r="I48" s="31" t="s">
        <v>121</v>
      </c>
      <c r="J48" s="118">
        <v>-1874.6226283400019</v>
      </c>
      <c r="K48" s="118">
        <v>-1000.3817865930675</v>
      </c>
      <c r="L48" s="118">
        <v>-468.23518726884669</v>
      </c>
      <c r="M48" s="118">
        <v>-1481.062880420066</v>
      </c>
      <c r="N48" s="22">
        <v>-211</v>
      </c>
      <c r="O48" s="119">
        <v>-1299</v>
      </c>
      <c r="P48" s="119">
        <v>-375</v>
      </c>
      <c r="Q48" s="120">
        <v>-426</v>
      </c>
      <c r="R48" s="22">
        <v>-606</v>
      </c>
      <c r="S48" s="22">
        <v>-476</v>
      </c>
      <c r="T48" s="121">
        <v>-2424</v>
      </c>
      <c r="U48" s="121">
        <v>-1189</v>
      </c>
      <c r="V48" s="121">
        <v>1094</v>
      </c>
      <c r="W48" s="106">
        <v>2889</v>
      </c>
      <c r="X48" s="121">
        <v>4772</v>
      </c>
      <c r="Y48" s="121">
        <v>5375</v>
      </c>
      <c r="Z48" s="121">
        <v>6110</v>
      </c>
      <c r="AA48" s="121">
        <v>6919</v>
      </c>
      <c r="AB48" s="122">
        <v>18</v>
      </c>
      <c r="AC48" s="123">
        <v>18.5</v>
      </c>
      <c r="AD48" s="124">
        <v>18.5</v>
      </c>
      <c r="AE48" s="125">
        <v>18.5</v>
      </c>
      <c r="AF48" s="126">
        <v>18.75</v>
      </c>
      <c r="AG48" s="123">
        <v>18.75</v>
      </c>
      <c r="AH48" s="123">
        <v>18.75</v>
      </c>
      <c r="AI48" s="127">
        <v>19.25</v>
      </c>
      <c r="AJ48" s="127">
        <v>19.25</v>
      </c>
      <c r="AK48" s="22">
        <v>19.25</v>
      </c>
      <c r="AL48" s="128">
        <v>19.25</v>
      </c>
      <c r="AM48" s="128">
        <v>20</v>
      </c>
      <c r="AN48" s="128">
        <v>20.75</v>
      </c>
      <c r="AO48" s="77">
        <v>20.75</v>
      </c>
      <c r="AP48" s="77">
        <v>20.75</v>
      </c>
      <c r="AQ48" s="129">
        <v>20.75</v>
      </c>
      <c r="AR48" s="129">
        <v>20.75</v>
      </c>
      <c r="AS48" s="129">
        <v>20.75</v>
      </c>
      <c r="AT48" s="116">
        <v>5562</v>
      </c>
      <c r="AU48" s="47">
        <v>3763</v>
      </c>
      <c r="AV48" s="47">
        <v>32508</v>
      </c>
      <c r="AW48" s="46">
        <v>25402</v>
      </c>
      <c r="AX48" s="46">
        <v>5387</v>
      </c>
      <c r="AY48" s="92">
        <v>105</v>
      </c>
      <c r="AZ48" s="47">
        <v>1987</v>
      </c>
      <c r="BA48" s="44">
        <v>1375</v>
      </c>
      <c r="BB48" s="23">
        <v>-1556</v>
      </c>
      <c r="BC48" s="47">
        <v>612</v>
      </c>
      <c r="BD48" s="44">
        <v>612</v>
      </c>
      <c r="BE48" s="47">
        <v>5375</v>
      </c>
      <c r="BF48" s="44">
        <v>25402</v>
      </c>
      <c r="BG48" s="46">
        <v>21102</v>
      </c>
      <c r="BH48" s="130">
        <v>2340</v>
      </c>
      <c r="BI48" s="46">
        <v>1960</v>
      </c>
      <c r="BJ48" s="129">
        <v>20.75</v>
      </c>
      <c r="BK48" s="44">
        <v>14359</v>
      </c>
      <c r="BL48" s="116">
        <v>5560</v>
      </c>
      <c r="BM48" s="47">
        <v>4035</v>
      </c>
      <c r="BN48" s="130">
        <v>32256</v>
      </c>
      <c r="BO48" s="46">
        <v>25477</v>
      </c>
      <c r="BP48" s="46">
        <v>5022</v>
      </c>
      <c r="BQ48" s="46">
        <v>77</v>
      </c>
      <c r="BR48" s="130">
        <v>2199</v>
      </c>
      <c r="BS48" s="44">
        <v>1445</v>
      </c>
      <c r="BT48" s="92">
        <v>-5324</v>
      </c>
      <c r="BU48" s="117">
        <v>735</v>
      </c>
      <c r="BV48" s="130">
        <v>6110</v>
      </c>
      <c r="BW48" s="48">
        <v>25477</v>
      </c>
      <c r="BX48" s="46">
        <v>20654</v>
      </c>
      <c r="BY48" s="130">
        <v>1916</v>
      </c>
      <c r="BZ48" s="46">
        <v>2907</v>
      </c>
      <c r="CA48" s="129">
        <v>20.75</v>
      </c>
      <c r="CB48" s="44">
        <v>17680</v>
      </c>
      <c r="CC48" s="116">
        <v>5541</v>
      </c>
      <c r="CD48" s="47">
        <v>4944</v>
      </c>
      <c r="CE48" s="130">
        <v>33966</v>
      </c>
      <c r="CF48" s="46">
        <v>26367</v>
      </c>
      <c r="CG48" s="46">
        <v>5060</v>
      </c>
      <c r="CH48" s="46">
        <v>47</v>
      </c>
      <c r="CI48" s="130">
        <v>2262</v>
      </c>
      <c r="CJ48" s="44">
        <v>1440</v>
      </c>
      <c r="CK48" s="117">
        <v>-1213</v>
      </c>
      <c r="CL48" s="117">
        <v>811</v>
      </c>
      <c r="CM48" s="117">
        <v>6919</v>
      </c>
      <c r="CN48" s="48">
        <v>26367</v>
      </c>
      <c r="CO48" s="46">
        <v>21376</v>
      </c>
      <c r="CP48" s="130">
        <v>2069</v>
      </c>
      <c r="CQ48" s="46">
        <v>2922</v>
      </c>
      <c r="CR48" s="129">
        <v>20.75</v>
      </c>
      <c r="CS48" s="44">
        <v>17573</v>
      </c>
      <c r="CT48">
        <v>5585</v>
      </c>
      <c r="CU48">
        <v>25763</v>
      </c>
      <c r="CV48">
        <v>5805</v>
      </c>
      <c r="CW48">
        <v>4124</v>
      </c>
      <c r="CX48">
        <v>51</v>
      </c>
      <c r="CY48">
        <v>21280</v>
      </c>
      <c r="CZ48">
        <v>1397</v>
      </c>
      <c r="DA48">
        <v>3086</v>
      </c>
      <c r="DB48">
        <v>1808</v>
      </c>
      <c r="DC48">
        <v>-470</v>
      </c>
      <c r="DD48">
        <v>1550</v>
      </c>
      <c r="DE48">
        <v>15899</v>
      </c>
      <c r="DF48">
        <v>33754</v>
      </c>
      <c r="DG48">
        <v>243</v>
      </c>
      <c r="DH48">
        <v>7060</v>
      </c>
      <c r="DI48">
        <v>20.75</v>
      </c>
      <c r="DJ48" s="174">
        <v>5481</v>
      </c>
      <c r="DK48" s="34">
        <v>25578</v>
      </c>
      <c r="DL48" s="34">
        <v>6118</v>
      </c>
      <c r="DM48">
        <v>5397</v>
      </c>
      <c r="DN48" s="173">
        <v>-80</v>
      </c>
      <c r="DO48" s="34">
        <v>21433</v>
      </c>
      <c r="DP48" s="173">
        <v>1107</v>
      </c>
      <c r="DQ48" s="34">
        <v>3038</v>
      </c>
      <c r="DR48" s="173">
        <v>2006</v>
      </c>
      <c r="DS48" s="173">
        <v>-945</v>
      </c>
      <c r="DT48">
        <v>1592</v>
      </c>
      <c r="DU48">
        <v>15143</v>
      </c>
      <c r="DV48" s="173">
        <v>35007</v>
      </c>
      <c r="DW48" s="173">
        <v>399</v>
      </c>
      <c r="DX48" s="173">
        <v>7380</v>
      </c>
      <c r="DY48" s="57">
        <v>20.75</v>
      </c>
      <c r="DZ48" s="184">
        <v>340</v>
      </c>
      <c r="EA48" s="116">
        <v>5403</v>
      </c>
      <c r="EB48" s="48">
        <v>25975</v>
      </c>
      <c r="EC48" s="46">
        <v>6946</v>
      </c>
      <c r="ED48" s="90">
        <v>5358</v>
      </c>
      <c r="EE48" s="186">
        <v>-65</v>
      </c>
      <c r="EF48" s="46">
        <v>21994</v>
      </c>
      <c r="EG48" s="130">
        <v>1042</v>
      </c>
      <c r="EH48" s="46">
        <v>2939</v>
      </c>
      <c r="EI48" s="130">
        <v>2773</v>
      </c>
      <c r="EJ48" s="48">
        <v>-1962</v>
      </c>
      <c r="EK48" s="44">
        <v>1953</v>
      </c>
      <c r="EL48" s="44">
        <v>16676</v>
      </c>
      <c r="EM48" s="130">
        <v>35441</v>
      </c>
      <c r="EN48" s="117">
        <v>805</v>
      </c>
      <c r="EO48" s="117">
        <v>8185</v>
      </c>
      <c r="EP48" s="129">
        <v>20.75</v>
      </c>
    </row>
    <row r="49" spans="1:146" ht="15" x14ac:dyDescent="0.25">
      <c r="A49" s="27">
        <v>151</v>
      </c>
      <c r="B49" s="27" t="s">
        <v>178</v>
      </c>
      <c r="C49" s="27">
        <v>14</v>
      </c>
      <c r="D49" s="27" t="s">
        <v>106</v>
      </c>
      <c r="E49" s="27">
        <v>1</v>
      </c>
      <c r="F49" s="27" t="s">
        <v>103</v>
      </c>
      <c r="G49" s="29" t="s">
        <v>130</v>
      </c>
      <c r="H49" s="27" t="s">
        <v>98</v>
      </c>
      <c r="I49" s="31" t="s">
        <v>106</v>
      </c>
      <c r="J49" s="118">
        <v>229.40833169350105</v>
      </c>
      <c r="K49" s="118">
        <v>302.06551592487381</v>
      </c>
      <c r="L49" s="118">
        <v>1133.7548122770459</v>
      </c>
      <c r="M49" s="118">
        <v>491.78149697345827</v>
      </c>
      <c r="N49" s="22">
        <v>1574</v>
      </c>
      <c r="O49" s="119">
        <v>1529</v>
      </c>
      <c r="P49" s="119">
        <v>1977</v>
      </c>
      <c r="Q49" s="120">
        <v>1148</v>
      </c>
      <c r="R49" s="22">
        <v>1084</v>
      </c>
      <c r="S49" s="22">
        <v>887</v>
      </c>
      <c r="T49" s="121">
        <v>1139</v>
      </c>
      <c r="U49" s="121">
        <v>1700</v>
      </c>
      <c r="V49" s="121">
        <v>2156</v>
      </c>
      <c r="W49" s="106">
        <v>1595</v>
      </c>
      <c r="X49" s="121">
        <v>900</v>
      </c>
      <c r="Y49" s="121">
        <v>684</v>
      </c>
      <c r="Z49" s="121">
        <v>787</v>
      </c>
      <c r="AA49" s="121">
        <v>1192</v>
      </c>
      <c r="AB49" s="122">
        <v>19</v>
      </c>
      <c r="AC49" s="123">
        <v>19</v>
      </c>
      <c r="AD49" s="124">
        <v>19</v>
      </c>
      <c r="AE49" s="125">
        <v>19</v>
      </c>
      <c r="AF49" s="126">
        <v>19</v>
      </c>
      <c r="AG49" s="123">
        <v>19</v>
      </c>
      <c r="AH49" s="123">
        <v>19</v>
      </c>
      <c r="AI49" s="127">
        <v>19</v>
      </c>
      <c r="AJ49" s="127">
        <v>19.75</v>
      </c>
      <c r="AK49" s="22">
        <v>19.75</v>
      </c>
      <c r="AL49" s="128">
        <v>19.75</v>
      </c>
      <c r="AM49" s="128">
        <v>20.5</v>
      </c>
      <c r="AN49" s="128">
        <v>20.5</v>
      </c>
      <c r="AO49" s="77">
        <v>20.5</v>
      </c>
      <c r="AP49" s="77">
        <v>21</v>
      </c>
      <c r="AQ49" s="129">
        <v>21.75</v>
      </c>
      <c r="AR49" s="129">
        <v>22</v>
      </c>
      <c r="AS49" s="129">
        <v>22</v>
      </c>
      <c r="AT49" s="116">
        <v>2257</v>
      </c>
      <c r="AU49" s="47">
        <v>2130</v>
      </c>
      <c r="AV49" s="47">
        <v>16131</v>
      </c>
      <c r="AW49" s="46">
        <v>6086</v>
      </c>
      <c r="AX49" s="46">
        <v>8154</v>
      </c>
      <c r="AY49" s="92">
        <v>34</v>
      </c>
      <c r="AZ49" s="47">
        <v>242</v>
      </c>
      <c r="BA49" s="44">
        <v>459</v>
      </c>
      <c r="BB49" s="23">
        <v>-425</v>
      </c>
      <c r="BC49" s="47">
        <v>-217</v>
      </c>
      <c r="BD49" s="44">
        <v>-215</v>
      </c>
      <c r="BE49" s="47">
        <v>684</v>
      </c>
      <c r="BF49" s="44">
        <v>6086</v>
      </c>
      <c r="BG49" s="46">
        <v>5282</v>
      </c>
      <c r="BH49" s="130">
        <v>483</v>
      </c>
      <c r="BI49" s="46">
        <v>321</v>
      </c>
      <c r="BJ49" s="129">
        <v>21.75</v>
      </c>
      <c r="BK49" s="44">
        <v>2202</v>
      </c>
      <c r="BL49" s="116">
        <v>2198</v>
      </c>
      <c r="BM49" s="47">
        <v>1868</v>
      </c>
      <c r="BN49" s="130">
        <v>15850</v>
      </c>
      <c r="BO49" s="46">
        <v>6344</v>
      </c>
      <c r="BP49" s="46">
        <v>8203</v>
      </c>
      <c r="BQ49" s="46">
        <v>41</v>
      </c>
      <c r="BR49" s="130">
        <v>562</v>
      </c>
      <c r="BS49" s="44">
        <v>462</v>
      </c>
      <c r="BT49" s="92">
        <v>-852</v>
      </c>
      <c r="BU49" s="117">
        <v>103</v>
      </c>
      <c r="BV49" s="130">
        <v>787</v>
      </c>
      <c r="BW49" s="48">
        <v>6344</v>
      </c>
      <c r="BX49" s="46">
        <v>5470</v>
      </c>
      <c r="BY49" s="130">
        <v>473</v>
      </c>
      <c r="BZ49" s="46">
        <v>401</v>
      </c>
      <c r="CA49" s="129">
        <v>22</v>
      </c>
      <c r="CB49" s="44">
        <v>2662</v>
      </c>
      <c r="CC49" s="116">
        <v>2123</v>
      </c>
      <c r="CD49" s="47">
        <v>1981</v>
      </c>
      <c r="CE49" s="130">
        <v>15929</v>
      </c>
      <c r="CF49" s="46">
        <v>6470</v>
      </c>
      <c r="CG49" s="46">
        <v>8423</v>
      </c>
      <c r="CH49" s="46">
        <v>36</v>
      </c>
      <c r="CI49" s="130">
        <v>933</v>
      </c>
      <c r="CJ49" s="44">
        <v>530</v>
      </c>
      <c r="CK49" s="117">
        <v>-75</v>
      </c>
      <c r="CL49" s="117">
        <v>405</v>
      </c>
      <c r="CM49" s="117">
        <v>1192</v>
      </c>
      <c r="CN49" s="48">
        <v>6470</v>
      </c>
      <c r="CO49" s="46">
        <v>5513</v>
      </c>
      <c r="CP49" s="130">
        <v>556</v>
      </c>
      <c r="CQ49" s="46">
        <v>401</v>
      </c>
      <c r="CR49" s="129">
        <v>22</v>
      </c>
      <c r="CS49" s="44">
        <v>2138</v>
      </c>
      <c r="CT49">
        <v>2079</v>
      </c>
      <c r="CU49">
        <v>6145</v>
      </c>
      <c r="CV49">
        <v>8448</v>
      </c>
      <c r="CW49">
        <v>2004</v>
      </c>
      <c r="CX49">
        <v>24</v>
      </c>
      <c r="CY49">
        <v>5183</v>
      </c>
      <c r="CZ49">
        <v>548</v>
      </c>
      <c r="DA49">
        <v>414</v>
      </c>
      <c r="DB49">
        <v>1105</v>
      </c>
      <c r="DC49">
        <v>-347</v>
      </c>
      <c r="DD49">
        <v>478</v>
      </c>
      <c r="DE49">
        <v>1862</v>
      </c>
      <c r="DF49">
        <v>15487</v>
      </c>
      <c r="DG49">
        <v>629</v>
      </c>
      <c r="DH49">
        <v>1822</v>
      </c>
      <c r="DI49">
        <v>22</v>
      </c>
      <c r="DJ49" s="174">
        <v>2032</v>
      </c>
      <c r="DK49" s="34">
        <v>6512</v>
      </c>
      <c r="DL49" s="34">
        <v>8317</v>
      </c>
      <c r="DM49">
        <v>1805</v>
      </c>
      <c r="DN49" s="173">
        <v>-10</v>
      </c>
      <c r="DO49" s="34">
        <v>5409</v>
      </c>
      <c r="DP49" s="173">
        <v>656</v>
      </c>
      <c r="DQ49" s="34">
        <v>447</v>
      </c>
      <c r="DR49" s="173">
        <v>1069</v>
      </c>
      <c r="DS49" s="173">
        <v>-226</v>
      </c>
      <c r="DT49">
        <v>497</v>
      </c>
      <c r="DU49">
        <v>1587</v>
      </c>
      <c r="DV49" s="173">
        <v>15555</v>
      </c>
      <c r="DW49" s="173">
        <v>574</v>
      </c>
      <c r="DX49" s="173">
        <v>2396</v>
      </c>
      <c r="DY49" s="57">
        <v>22</v>
      </c>
      <c r="DZ49" s="184">
        <v>340</v>
      </c>
      <c r="EA49" s="116">
        <v>1976</v>
      </c>
      <c r="EB49" s="48">
        <v>6172</v>
      </c>
      <c r="EC49" s="46">
        <v>7907</v>
      </c>
      <c r="ED49" s="90">
        <v>1856</v>
      </c>
      <c r="EE49" s="186">
        <v>-6</v>
      </c>
      <c r="EF49" s="46">
        <v>5099</v>
      </c>
      <c r="EG49" s="130">
        <v>619</v>
      </c>
      <c r="EH49" s="46">
        <v>454</v>
      </c>
      <c r="EI49" s="130">
        <v>101</v>
      </c>
      <c r="EJ49" s="48">
        <v>-96</v>
      </c>
      <c r="EK49" s="44">
        <v>494</v>
      </c>
      <c r="EL49" s="44">
        <v>1062</v>
      </c>
      <c r="EM49" s="130">
        <v>15828</v>
      </c>
      <c r="EN49" s="117">
        <v>-391</v>
      </c>
      <c r="EO49" s="117">
        <v>2005</v>
      </c>
      <c r="EP49" s="129">
        <v>22</v>
      </c>
    </row>
    <row r="50" spans="1:146" ht="15" x14ac:dyDescent="0.25">
      <c r="A50" s="27">
        <v>152</v>
      </c>
      <c r="B50" s="27" t="s">
        <v>179</v>
      </c>
      <c r="C50" s="27">
        <v>15</v>
      </c>
      <c r="D50" s="27" t="s">
        <v>115</v>
      </c>
      <c r="E50" s="27">
        <v>2</v>
      </c>
      <c r="F50" s="27" t="s">
        <v>744</v>
      </c>
      <c r="G50" s="29" t="s">
        <v>130</v>
      </c>
      <c r="H50" s="27" t="s">
        <v>98</v>
      </c>
      <c r="I50" s="31" t="s">
        <v>115</v>
      </c>
      <c r="J50" s="118">
        <v>-349.83088703994292</v>
      </c>
      <c r="K50" s="118">
        <v>-1782.7920204920169</v>
      </c>
      <c r="L50" s="118">
        <v>-4332.3527977220629</v>
      </c>
      <c r="M50" s="118">
        <v>-3320.0296683502279</v>
      </c>
      <c r="N50" s="22">
        <v>-2320</v>
      </c>
      <c r="O50" s="119">
        <v>-1952</v>
      </c>
      <c r="P50" s="119">
        <v>-1654</v>
      </c>
      <c r="Q50" s="120">
        <v>-2037</v>
      </c>
      <c r="R50" s="22">
        <v>198</v>
      </c>
      <c r="S50" s="22">
        <v>249</v>
      </c>
      <c r="T50" s="121">
        <v>1400</v>
      </c>
      <c r="U50" s="121">
        <v>2398</v>
      </c>
      <c r="V50" s="121">
        <v>3722</v>
      </c>
      <c r="W50" s="106">
        <v>4357</v>
      </c>
      <c r="X50" s="121">
        <v>4872</v>
      </c>
      <c r="Y50" s="121">
        <v>4455</v>
      </c>
      <c r="Z50" s="121">
        <v>5370</v>
      </c>
      <c r="AA50" s="121">
        <v>6531</v>
      </c>
      <c r="AB50" s="122">
        <v>18.5</v>
      </c>
      <c r="AC50" s="123">
        <v>18.5</v>
      </c>
      <c r="AD50" s="124">
        <v>18.5</v>
      </c>
      <c r="AE50" s="125">
        <v>19</v>
      </c>
      <c r="AF50" s="126">
        <v>19</v>
      </c>
      <c r="AG50" s="123">
        <v>19</v>
      </c>
      <c r="AH50" s="123">
        <v>19</v>
      </c>
      <c r="AI50" s="131">
        <v>19.5</v>
      </c>
      <c r="AJ50" s="131">
        <v>19.75</v>
      </c>
      <c r="AK50" s="22">
        <v>19.75</v>
      </c>
      <c r="AL50" s="128">
        <v>19.75</v>
      </c>
      <c r="AM50" s="128">
        <v>19.75</v>
      </c>
      <c r="AN50" s="128">
        <v>20.25</v>
      </c>
      <c r="AO50" s="77">
        <v>20.25</v>
      </c>
      <c r="AP50" s="77">
        <v>20.5</v>
      </c>
      <c r="AQ50" s="129">
        <v>20.5</v>
      </c>
      <c r="AR50" s="129">
        <v>21</v>
      </c>
      <c r="AS50" s="129">
        <v>21.5</v>
      </c>
      <c r="AT50" s="116">
        <v>4854</v>
      </c>
      <c r="AU50" s="47">
        <v>3861</v>
      </c>
      <c r="AV50" s="47">
        <v>29444</v>
      </c>
      <c r="AW50" s="46">
        <v>14705</v>
      </c>
      <c r="AX50" s="46">
        <v>11954</v>
      </c>
      <c r="AY50" s="92">
        <v>13</v>
      </c>
      <c r="AZ50" s="47">
        <v>952</v>
      </c>
      <c r="BA50" s="44">
        <v>1138</v>
      </c>
      <c r="BB50" s="23">
        <v>-500</v>
      </c>
      <c r="BC50" s="47">
        <v>-186</v>
      </c>
      <c r="BD50" s="44">
        <v>-159</v>
      </c>
      <c r="BE50" s="47">
        <v>4455</v>
      </c>
      <c r="BF50" s="44">
        <v>14705</v>
      </c>
      <c r="BG50" s="46">
        <v>13456</v>
      </c>
      <c r="BH50" s="130">
        <v>517</v>
      </c>
      <c r="BI50" s="46">
        <v>732</v>
      </c>
      <c r="BJ50" s="129">
        <v>20.5</v>
      </c>
      <c r="BK50" s="44">
        <v>7425</v>
      </c>
      <c r="BL50" s="116">
        <v>4842</v>
      </c>
      <c r="BM50" s="47">
        <v>4140</v>
      </c>
      <c r="BN50" s="130">
        <v>29166</v>
      </c>
      <c r="BO50" s="46">
        <v>15402</v>
      </c>
      <c r="BP50" s="46">
        <v>11874</v>
      </c>
      <c r="BQ50" s="46">
        <v>21</v>
      </c>
      <c r="BR50" s="130">
        <v>2156</v>
      </c>
      <c r="BS50" s="44">
        <v>1241</v>
      </c>
      <c r="BT50" s="92">
        <v>-1211</v>
      </c>
      <c r="BU50" s="117">
        <v>915</v>
      </c>
      <c r="BV50" s="130">
        <v>5370</v>
      </c>
      <c r="BW50" s="48">
        <v>15402</v>
      </c>
      <c r="BX50" s="46">
        <v>14013</v>
      </c>
      <c r="BY50" s="130">
        <v>516</v>
      </c>
      <c r="BZ50" s="46">
        <v>873</v>
      </c>
      <c r="CA50" s="129">
        <v>21</v>
      </c>
      <c r="CB50" s="44">
        <v>5475</v>
      </c>
      <c r="CC50" s="116">
        <v>4785</v>
      </c>
      <c r="CD50" s="47">
        <v>3786</v>
      </c>
      <c r="CE50" s="130">
        <v>29320</v>
      </c>
      <c r="CF50" s="46">
        <v>15738</v>
      </c>
      <c r="CG50" s="46">
        <v>12063</v>
      </c>
      <c r="CH50" s="46">
        <v>35</v>
      </c>
      <c r="CI50" s="130">
        <v>2228</v>
      </c>
      <c r="CJ50" s="44">
        <v>1128</v>
      </c>
      <c r="CK50" s="117">
        <v>-861</v>
      </c>
      <c r="CL50" s="117">
        <v>1100</v>
      </c>
      <c r="CM50" s="117">
        <v>6531</v>
      </c>
      <c r="CN50" s="48">
        <v>15738</v>
      </c>
      <c r="CO50" s="46">
        <v>14296</v>
      </c>
      <c r="CP50" s="130">
        <v>550</v>
      </c>
      <c r="CQ50" s="46">
        <v>892</v>
      </c>
      <c r="CR50" s="129">
        <v>21.5</v>
      </c>
      <c r="CS50" s="44">
        <v>4255</v>
      </c>
      <c r="CT50">
        <v>4712</v>
      </c>
      <c r="CU50">
        <v>15438</v>
      </c>
      <c r="CV50">
        <v>12958</v>
      </c>
      <c r="CW50">
        <v>3783</v>
      </c>
      <c r="CX50">
        <v>23</v>
      </c>
      <c r="CY50">
        <v>14008</v>
      </c>
      <c r="CZ50">
        <v>524</v>
      </c>
      <c r="DA50">
        <v>906</v>
      </c>
      <c r="DB50">
        <v>2943</v>
      </c>
      <c r="DC50">
        <v>-1057</v>
      </c>
      <c r="DD50">
        <v>1136</v>
      </c>
      <c r="DE50">
        <v>2425</v>
      </c>
      <c r="DF50">
        <v>29171</v>
      </c>
      <c r="DG50">
        <v>1807</v>
      </c>
      <c r="DH50">
        <v>8361</v>
      </c>
      <c r="DI50">
        <v>21.5</v>
      </c>
      <c r="DJ50" s="174">
        <v>4673</v>
      </c>
      <c r="DK50" s="34">
        <v>15063</v>
      </c>
      <c r="DL50" s="34">
        <v>13132</v>
      </c>
      <c r="DM50">
        <v>3420</v>
      </c>
      <c r="DN50" s="173">
        <v>165</v>
      </c>
      <c r="DO50" s="34">
        <v>13541</v>
      </c>
      <c r="DP50" s="173">
        <v>636</v>
      </c>
      <c r="DQ50" s="34">
        <v>886</v>
      </c>
      <c r="DR50" s="173">
        <v>2602</v>
      </c>
      <c r="DS50" s="173">
        <v>-2068</v>
      </c>
      <c r="DT50">
        <v>1131</v>
      </c>
      <c r="DU50">
        <v>1875</v>
      </c>
      <c r="DV50" s="173">
        <v>29036</v>
      </c>
      <c r="DW50" s="173">
        <v>1613</v>
      </c>
      <c r="DX50" s="173">
        <v>9974</v>
      </c>
      <c r="DY50" s="57">
        <v>21.5</v>
      </c>
      <c r="DZ50" s="184">
        <v>340</v>
      </c>
      <c r="EA50" s="116">
        <v>4601</v>
      </c>
      <c r="EB50" s="48">
        <v>14644</v>
      </c>
      <c r="EC50" s="46">
        <v>12925</v>
      </c>
      <c r="ED50" s="90">
        <v>3771</v>
      </c>
      <c r="EE50" s="186">
        <v>47</v>
      </c>
      <c r="EF50" s="46">
        <v>13175</v>
      </c>
      <c r="EG50" s="130">
        <v>574</v>
      </c>
      <c r="EH50" s="46">
        <v>895</v>
      </c>
      <c r="EI50" s="130">
        <v>2507</v>
      </c>
      <c r="EJ50" s="48">
        <v>-1712</v>
      </c>
      <c r="EK50" s="44">
        <v>1145</v>
      </c>
      <c r="EL50" s="44">
        <v>1325</v>
      </c>
      <c r="EM50" s="130">
        <v>28880</v>
      </c>
      <c r="EN50" s="117">
        <v>1362</v>
      </c>
      <c r="EO50" s="117">
        <v>11337</v>
      </c>
      <c r="EP50" s="129">
        <v>21.5</v>
      </c>
    </row>
    <row r="51" spans="1:146" ht="15" x14ac:dyDescent="0.25">
      <c r="A51" s="27">
        <v>165</v>
      </c>
      <c r="B51" s="27" t="s">
        <v>180</v>
      </c>
      <c r="C51" s="27">
        <v>5</v>
      </c>
      <c r="D51" s="27" t="s">
        <v>109</v>
      </c>
      <c r="E51" s="27">
        <v>4</v>
      </c>
      <c r="F51" s="27" t="s">
        <v>100</v>
      </c>
      <c r="G51" s="29" t="s">
        <v>132</v>
      </c>
      <c r="H51" s="27" t="s">
        <v>99</v>
      </c>
      <c r="I51" s="31" t="s">
        <v>109</v>
      </c>
      <c r="J51" s="118">
        <v>-125.63638106674874</v>
      </c>
      <c r="K51" s="118">
        <v>-406.51021825747216</v>
      </c>
      <c r="L51" s="118">
        <v>-4213.2757457873131</v>
      </c>
      <c r="M51" s="118">
        <v>0.8409396323075552</v>
      </c>
      <c r="N51" s="22">
        <v>3688</v>
      </c>
      <c r="O51" s="119">
        <v>3445</v>
      </c>
      <c r="P51" s="119">
        <v>3294</v>
      </c>
      <c r="Q51" s="120">
        <v>1334</v>
      </c>
      <c r="R51" s="22">
        <v>523</v>
      </c>
      <c r="S51" s="22">
        <v>3530</v>
      </c>
      <c r="T51" s="121">
        <v>5762</v>
      </c>
      <c r="U51" s="121">
        <v>3014</v>
      </c>
      <c r="V51" s="121">
        <v>3140</v>
      </c>
      <c r="W51" s="106">
        <v>3952</v>
      </c>
      <c r="X51" s="121">
        <v>2212</v>
      </c>
      <c r="Y51" s="121">
        <v>1436</v>
      </c>
      <c r="Z51" s="121">
        <v>2770</v>
      </c>
      <c r="AA51" s="121">
        <v>-40</v>
      </c>
      <c r="AB51" s="122">
        <v>17.5</v>
      </c>
      <c r="AC51" s="123">
        <v>17.5</v>
      </c>
      <c r="AD51" s="124">
        <v>17.5</v>
      </c>
      <c r="AE51" s="125">
        <v>18</v>
      </c>
      <c r="AF51" s="126">
        <v>18</v>
      </c>
      <c r="AG51" s="123">
        <v>18</v>
      </c>
      <c r="AH51" s="123">
        <v>18</v>
      </c>
      <c r="AI51" s="131">
        <v>18.5</v>
      </c>
      <c r="AJ51" s="131">
        <v>18.5</v>
      </c>
      <c r="AK51" s="22">
        <v>19</v>
      </c>
      <c r="AL51" s="128">
        <v>19</v>
      </c>
      <c r="AM51" s="128">
        <v>19</v>
      </c>
      <c r="AN51" s="128">
        <v>19.5</v>
      </c>
      <c r="AO51" s="77">
        <v>19.5</v>
      </c>
      <c r="AP51" s="77">
        <v>19.75</v>
      </c>
      <c r="AQ51" s="129">
        <v>19.75</v>
      </c>
      <c r="AR51" s="129">
        <v>20.5</v>
      </c>
      <c r="AS51" s="129">
        <v>20.5</v>
      </c>
      <c r="AT51" s="116">
        <v>16842</v>
      </c>
      <c r="AU51" s="47">
        <v>19578</v>
      </c>
      <c r="AV51" s="47">
        <v>98127</v>
      </c>
      <c r="AW51" s="46">
        <v>59066</v>
      </c>
      <c r="AX51" s="46">
        <v>24124</v>
      </c>
      <c r="AY51" s="92">
        <v>122</v>
      </c>
      <c r="AZ51" s="47">
        <v>4302</v>
      </c>
      <c r="BA51" s="44">
        <v>5674</v>
      </c>
      <c r="BB51" s="23">
        <v>-6189</v>
      </c>
      <c r="BC51" s="47">
        <v>-1372</v>
      </c>
      <c r="BD51" s="44">
        <v>-775</v>
      </c>
      <c r="BE51" s="47">
        <v>1436</v>
      </c>
      <c r="BF51" s="44">
        <v>59066</v>
      </c>
      <c r="BG51" s="46">
        <v>54468</v>
      </c>
      <c r="BH51" s="130">
        <v>1771</v>
      </c>
      <c r="BI51" s="46">
        <v>2827</v>
      </c>
      <c r="BJ51" s="129">
        <v>19.75</v>
      </c>
      <c r="BK51" s="44">
        <v>42183</v>
      </c>
      <c r="BL51" s="116">
        <v>16840</v>
      </c>
      <c r="BM51" s="47">
        <v>20502</v>
      </c>
      <c r="BN51" s="130">
        <v>98817</v>
      </c>
      <c r="BO51" s="46">
        <v>61107</v>
      </c>
      <c r="BP51" s="46">
        <v>23622</v>
      </c>
      <c r="BQ51" s="46">
        <v>123</v>
      </c>
      <c r="BR51" s="130">
        <v>5970</v>
      </c>
      <c r="BS51" s="44">
        <v>4774</v>
      </c>
      <c r="BT51" s="92">
        <v>-5134</v>
      </c>
      <c r="BU51" s="117">
        <v>1252</v>
      </c>
      <c r="BV51" s="130">
        <v>2770</v>
      </c>
      <c r="BW51" s="48">
        <v>61107</v>
      </c>
      <c r="BX51" s="46">
        <v>56093</v>
      </c>
      <c r="BY51" s="130">
        <v>2024</v>
      </c>
      <c r="BZ51" s="46">
        <v>2990</v>
      </c>
      <c r="CA51" s="129">
        <v>20.5</v>
      </c>
      <c r="CB51" s="44">
        <v>43541</v>
      </c>
      <c r="CC51" s="116">
        <v>16853</v>
      </c>
      <c r="CD51" s="47">
        <v>19799</v>
      </c>
      <c r="CE51" s="130">
        <v>101202</v>
      </c>
      <c r="CF51" s="46">
        <v>62545</v>
      </c>
      <c r="CG51" s="46">
        <v>23531</v>
      </c>
      <c r="CH51" s="46">
        <v>146</v>
      </c>
      <c r="CI51" s="130">
        <v>4268</v>
      </c>
      <c r="CJ51" s="44">
        <v>5126</v>
      </c>
      <c r="CK51" s="117">
        <v>-5109</v>
      </c>
      <c r="CL51" s="117">
        <v>-850</v>
      </c>
      <c r="CM51" s="117">
        <v>-40</v>
      </c>
      <c r="CN51" s="48">
        <v>62545</v>
      </c>
      <c r="CO51" s="46">
        <v>57247</v>
      </c>
      <c r="CP51" s="130">
        <v>2207</v>
      </c>
      <c r="CQ51" s="46">
        <v>3091</v>
      </c>
      <c r="CR51" s="129">
        <v>20.5</v>
      </c>
      <c r="CS51" s="44">
        <v>46850</v>
      </c>
      <c r="CT51">
        <v>16709</v>
      </c>
      <c r="CU51">
        <v>63034</v>
      </c>
      <c r="CV51">
        <v>24760</v>
      </c>
      <c r="CW51">
        <v>20585</v>
      </c>
      <c r="CX51">
        <v>130</v>
      </c>
      <c r="CY51">
        <v>57060</v>
      </c>
      <c r="CZ51">
        <v>2287</v>
      </c>
      <c r="DA51">
        <v>3687</v>
      </c>
      <c r="DB51">
        <v>5708</v>
      </c>
      <c r="DC51">
        <v>-6326</v>
      </c>
      <c r="DD51">
        <v>5006</v>
      </c>
      <c r="DE51">
        <v>51524</v>
      </c>
      <c r="DF51">
        <v>102315</v>
      </c>
      <c r="DG51">
        <v>702</v>
      </c>
      <c r="DH51">
        <v>661</v>
      </c>
      <c r="DI51">
        <v>20.5</v>
      </c>
      <c r="DJ51" s="174">
        <v>16607</v>
      </c>
      <c r="DK51" s="34">
        <v>64804</v>
      </c>
      <c r="DL51" s="34">
        <v>24227</v>
      </c>
      <c r="DM51">
        <v>15205</v>
      </c>
      <c r="DN51" s="173">
        <v>-325</v>
      </c>
      <c r="DO51" s="34">
        <v>58492</v>
      </c>
      <c r="DP51" s="173">
        <v>2676</v>
      </c>
      <c r="DQ51" s="34">
        <v>3636</v>
      </c>
      <c r="DR51" s="173">
        <v>9018</v>
      </c>
      <c r="DS51" s="173">
        <v>-4206</v>
      </c>
      <c r="DT51">
        <v>5254</v>
      </c>
      <c r="DU51">
        <v>47001</v>
      </c>
      <c r="DV51" s="173">
        <v>94893</v>
      </c>
      <c r="DW51" s="173">
        <v>3764</v>
      </c>
      <c r="DX51" s="173">
        <v>4425</v>
      </c>
      <c r="DY51" s="57">
        <v>21</v>
      </c>
      <c r="DZ51" s="184">
        <v>230</v>
      </c>
      <c r="EA51" s="116">
        <v>16447</v>
      </c>
      <c r="EB51" s="48">
        <v>63292</v>
      </c>
      <c r="EC51" s="46">
        <v>23120</v>
      </c>
      <c r="ED51" s="90">
        <v>16010</v>
      </c>
      <c r="EE51" s="186">
        <v>-339</v>
      </c>
      <c r="EF51" s="46">
        <v>57504</v>
      </c>
      <c r="EG51" s="130">
        <v>2130</v>
      </c>
      <c r="EH51" s="46">
        <v>3658</v>
      </c>
      <c r="EI51" s="130">
        <v>4646</v>
      </c>
      <c r="EJ51" s="48">
        <v>-6065</v>
      </c>
      <c r="EK51" s="44">
        <v>5527</v>
      </c>
      <c r="EL51" s="44">
        <v>45811</v>
      </c>
      <c r="EM51" s="130">
        <v>97437</v>
      </c>
      <c r="EN51" s="117">
        <v>-881</v>
      </c>
      <c r="EO51" s="117">
        <v>3477</v>
      </c>
      <c r="EP51" s="129">
        <v>21</v>
      </c>
    </row>
    <row r="52" spans="1:146" ht="15" x14ac:dyDescent="0.25">
      <c r="A52" s="27">
        <v>167</v>
      </c>
      <c r="B52" s="27" t="s">
        <v>181</v>
      </c>
      <c r="C52" s="27">
        <v>12</v>
      </c>
      <c r="D52" s="27" t="s">
        <v>116</v>
      </c>
      <c r="E52" s="27">
        <v>6</v>
      </c>
      <c r="F52" s="27" t="s">
        <v>102</v>
      </c>
      <c r="G52" s="29" t="s">
        <v>141</v>
      </c>
      <c r="H52" s="27" t="s">
        <v>97</v>
      </c>
      <c r="I52" s="31" t="s">
        <v>116</v>
      </c>
      <c r="J52" s="118">
        <v>-5343.1622357557435</v>
      </c>
      <c r="K52" s="118">
        <v>-2625.7499079171102</v>
      </c>
      <c r="L52" s="118">
        <v>1685.7475869237251</v>
      </c>
      <c r="M52" s="118">
        <v>5686.4337936636875</v>
      </c>
      <c r="N52" s="22">
        <v>15107</v>
      </c>
      <c r="O52" s="119">
        <v>17778</v>
      </c>
      <c r="P52" s="119">
        <v>18822</v>
      </c>
      <c r="Q52" s="120">
        <v>15241</v>
      </c>
      <c r="R52" s="22">
        <v>17290</v>
      </c>
      <c r="S52" s="22">
        <v>16845</v>
      </c>
      <c r="T52" s="121">
        <v>13686</v>
      </c>
      <c r="U52" s="121">
        <v>12778</v>
      </c>
      <c r="V52" s="121">
        <v>18707</v>
      </c>
      <c r="W52" s="106">
        <v>23537</v>
      </c>
      <c r="X52" s="121">
        <v>12801</v>
      </c>
      <c r="Y52" s="121">
        <v>15442</v>
      </c>
      <c r="Z52" s="121">
        <v>22629</v>
      </c>
      <c r="AA52" s="121">
        <v>26243</v>
      </c>
      <c r="AB52" s="122">
        <v>18.5</v>
      </c>
      <c r="AC52" s="123">
        <v>18.5</v>
      </c>
      <c r="AD52" s="124">
        <v>18.5</v>
      </c>
      <c r="AE52" s="125">
        <v>18.5</v>
      </c>
      <c r="AF52" s="126">
        <v>18.5</v>
      </c>
      <c r="AG52" s="123">
        <v>18.5</v>
      </c>
      <c r="AH52" s="123">
        <v>18.5</v>
      </c>
      <c r="AI52" s="131">
        <v>19</v>
      </c>
      <c r="AJ52" s="131">
        <v>19</v>
      </c>
      <c r="AK52" s="22">
        <v>19</v>
      </c>
      <c r="AL52" s="128">
        <v>19</v>
      </c>
      <c r="AM52" s="128">
        <v>19</v>
      </c>
      <c r="AN52" s="128">
        <v>19.5</v>
      </c>
      <c r="AO52" s="77">
        <v>19.5</v>
      </c>
      <c r="AP52" s="77">
        <v>19.5</v>
      </c>
      <c r="AQ52" s="129">
        <v>19.5</v>
      </c>
      <c r="AR52" s="129">
        <v>20.5</v>
      </c>
      <c r="AS52" s="129">
        <v>20.5</v>
      </c>
      <c r="AT52" s="116">
        <v>74471</v>
      </c>
      <c r="AU52" s="47">
        <v>145529</v>
      </c>
      <c r="AV52" s="47">
        <v>484087</v>
      </c>
      <c r="AW52" s="46">
        <v>238111</v>
      </c>
      <c r="AX52" s="46">
        <v>123843</v>
      </c>
      <c r="AY52" s="92">
        <v>4316</v>
      </c>
      <c r="AZ52" s="47">
        <v>26542</v>
      </c>
      <c r="BA52" s="44">
        <v>23172</v>
      </c>
      <c r="BB52" s="23">
        <v>-33819</v>
      </c>
      <c r="BC52" s="47">
        <v>3370</v>
      </c>
      <c r="BD52" s="44">
        <v>2641</v>
      </c>
      <c r="BE52" s="47">
        <v>15442</v>
      </c>
      <c r="BF52" s="44">
        <v>238111</v>
      </c>
      <c r="BG52" s="46">
        <v>205567</v>
      </c>
      <c r="BH52" s="130">
        <v>14756</v>
      </c>
      <c r="BI52" s="46">
        <v>17788</v>
      </c>
      <c r="BJ52" s="129">
        <v>19.5</v>
      </c>
      <c r="BK52" s="44">
        <v>130763</v>
      </c>
      <c r="BL52" s="116">
        <v>75041</v>
      </c>
      <c r="BM52" s="47">
        <v>179235</v>
      </c>
      <c r="BN52" s="130">
        <v>530146</v>
      </c>
      <c r="BO52" s="46">
        <v>254655</v>
      </c>
      <c r="BP52" s="46">
        <v>125258</v>
      </c>
      <c r="BQ52" s="46">
        <v>7420</v>
      </c>
      <c r="BR52" s="130">
        <v>32975</v>
      </c>
      <c r="BS52" s="44">
        <v>24206</v>
      </c>
      <c r="BT52" s="92">
        <v>-37666</v>
      </c>
      <c r="BU52" s="117">
        <v>7187</v>
      </c>
      <c r="BV52" s="130">
        <v>22629</v>
      </c>
      <c r="BW52" s="48">
        <v>254655</v>
      </c>
      <c r="BX52" s="46">
        <v>218399</v>
      </c>
      <c r="BY52" s="130">
        <v>16545</v>
      </c>
      <c r="BZ52" s="46">
        <v>19711</v>
      </c>
      <c r="CA52" s="129">
        <v>20.5</v>
      </c>
      <c r="CB52" s="44">
        <v>150357</v>
      </c>
      <c r="CC52" s="116">
        <v>75514</v>
      </c>
      <c r="CD52" s="47">
        <v>184932</v>
      </c>
      <c r="CE52" s="130">
        <v>550030</v>
      </c>
      <c r="CF52" s="46">
        <v>261994</v>
      </c>
      <c r="CG52" s="46">
        <v>129006</v>
      </c>
      <c r="CH52" s="46">
        <v>5117</v>
      </c>
      <c r="CI52" s="130">
        <v>28631</v>
      </c>
      <c r="CJ52" s="44">
        <v>27092</v>
      </c>
      <c r="CK52" s="117">
        <v>-38413</v>
      </c>
      <c r="CL52" s="117">
        <v>3614</v>
      </c>
      <c r="CM52" s="117">
        <v>26243</v>
      </c>
      <c r="CN52" s="48">
        <v>261994</v>
      </c>
      <c r="CO52" s="46">
        <v>223747</v>
      </c>
      <c r="CP52" s="130">
        <v>18640</v>
      </c>
      <c r="CQ52" s="46">
        <v>19607</v>
      </c>
      <c r="CR52" s="129">
        <v>20.5</v>
      </c>
      <c r="CS52" s="44">
        <v>151624</v>
      </c>
      <c r="CT52">
        <v>75848</v>
      </c>
      <c r="CU52">
        <v>262306</v>
      </c>
      <c r="CV52">
        <v>140768</v>
      </c>
      <c r="CW52">
        <v>187279</v>
      </c>
      <c r="CX52">
        <v>4318</v>
      </c>
      <c r="CY52">
        <v>224447</v>
      </c>
      <c r="CZ52">
        <v>17132</v>
      </c>
      <c r="DA52">
        <v>20727</v>
      </c>
      <c r="DB52">
        <v>28669</v>
      </c>
      <c r="DC52">
        <v>-47096</v>
      </c>
      <c r="DD52">
        <v>29609</v>
      </c>
      <c r="DE52">
        <v>183746</v>
      </c>
      <c r="DF52">
        <v>565106</v>
      </c>
      <c r="DG52">
        <v>1342</v>
      </c>
      <c r="DH52">
        <v>27585</v>
      </c>
      <c r="DI52">
        <v>20.5</v>
      </c>
      <c r="DJ52" s="174">
        <v>76067</v>
      </c>
      <c r="DK52" s="34">
        <v>262380</v>
      </c>
      <c r="DL52" s="34">
        <v>139028</v>
      </c>
      <c r="DM52">
        <v>83118</v>
      </c>
      <c r="DN52" s="173">
        <v>8058</v>
      </c>
      <c r="DO52" s="34">
        <v>220248</v>
      </c>
      <c r="DP52" s="173">
        <v>21356</v>
      </c>
      <c r="DQ52" s="34">
        <v>20776</v>
      </c>
      <c r="DR52" s="173">
        <v>41439</v>
      </c>
      <c r="DS52" s="173">
        <v>-36936</v>
      </c>
      <c r="DT52">
        <v>33847</v>
      </c>
      <c r="DU52">
        <v>228879</v>
      </c>
      <c r="DV52" s="173">
        <v>447041</v>
      </c>
      <c r="DW52" s="173">
        <v>4010</v>
      </c>
      <c r="DX52" s="173">
        <v>31595</v>
      </c>
      <c r="DY52" s="57">
        <v>20.5</v>
      </c>
      <c r="DZ52" s="184">
        <v>120</v>
      </c>
      <c r="EA52" s="116">
        <v>76551</v>
      </c>
      <c r="EB52" s="48">
        <v>260636</v>
      </c>
      <c r="EC52" s="46">
        <v>142927</v>
      </c>
      <c r="ED52" s="90">
        <v>79777</v>
      </c>
      <c r="EE52" s="186">
        <v>853</v>
      </c>
      <c r="EF52" s="46">
        <v>218368</v>
      </c>
      <c r="EG52" s="130">
        <v>21169</v>
      </c>
      <c r="EH52" s="46">
        <v>21099</v>
      </c>
      <c r="EI52" s="130">
        <v>28475</v>
      </c>
      <c r="EJ52" s="48">
        <v>-33355</v>
      </c>
      <c r="EK52" s="44">
        <v>32926</v>
      </c>
      <c r="EL52" s="44">
        <v>234631</v>
      </c>
      <c r="EM52" s="130">
        <v>455718</v>
      </c>
      <c r="EN52" s="117">
        <v>-2400</v>
      </c>
      <c r="EO52" s="117">
        <v>29196</v>
      </c>
      <c r="EP52" s="129">
        <v>20.5</v>
      </c>
    </row>
    <row r="53" spans="1:146" ht="15" x14ac:dyDescent="0.25">
      <c r="A53" s="27">
        <v>169</v>
      </c>
      <c r="B53" s="27" t="s">
        <v>182</v>
      </c>
      <c r="C53" s="27">
        <v>5</v>
      </c>
      <c r="D53" s="27" t="s">
        <v>109</v>
      </c>
      <c r="E53" s="27">
        <v>3</v>
      </c>
      <c r="F53" s="27" t="s">
        <v>743</v>
      </c>
      <c r="G53" s="29" t="s">
        <v>130</v>
      </c>
      <c r="H53" s="27" t="s">
        <v>98</v>
      </c>
      <c r="I53" s="31" t="s">
        <v>109</v>
      </c>
      <c r="J53" s="118">
        <v>-1038.0558821204461</v>
      </c>
      <c r="K53" s="118">
        <v>-1454.1528121862243</v>
      </c>
      <c r="L53" s="118">
        <v>-1330.5346862370138</v>
      </c>
      <c r="M53" s="118">
        <v>-998.69990732845247</v>
      </c>
      <c r="N53" s="22">
        <v>2526</v>
      </c>
      <c r="O53" s="119">
        <v>1407</v>
      </c>
      <c r="P53" s="119">
        <v>2063</v>
      </c>
      <c r="Q53" s="120">
        <v>1217</v>
      </c>
      <c r="R53" s="22">
        <v>693</v>
      </c>
      <c r="S53" s="22">
        <v>531</v>
      </c>
      <c r="T53" s="121">
        <v>360</v>
      </c>
      <c r="U53" s="121">
        <v>496</v>
      </c>
      <c r="V53" s="121">
        <v>2375</v>
      </c>
      <c r="W53" s="106">
        <v>3465</v>
      </c>
      <c r="X53" s="121">
        <v>3524</v>
      </c>
      <c r="Y53" s="121">
        <v>4003</v>
      </c>
      <c r="Z53" s="121">
        <v>5734</v>
      </c>
      <c r="AA53" s="121">
        <v>6698</v>
      </c>
      <c r="AB53" s="122">
        <v>18.25</v>
      </c>
      <c r="AC53" s="123">
        <v>18.25</v>
      </c>
      <c r="AD53" s="124">
        <v>18.75</v>
      </c>
      <c r="AE53" s="125">
        <v>18.75</v>
      </c>
      <c r="AF53" s="126">
        <v>18.75</v>
      </c>
      <c r="AG53" s="123">
        <v>18.75</v>
      </c>
      <c r="AH53" s="123">
        <v>18.75</v>
      </c>
      <c r="AI53" s="127">
        <v>18.75</v>
      </c>
      <c r="AJ53" s="127">
        <v>19.5</v>
      </c>
      <c r="AK53" s="22">
        <v>19.5</v>
      </c>
      <c r="AL53" s="128">
        <v>19.5</v>
      </c>
      <c r="AM53" s="128">
        <v>19.5</v>
      </c>
      <c r="AN53" s="128">
        <v>20.5</v>
      </c>
      <c r="AO53" s="77">
        <v>20.5</v>
      </c>
      <c r="AP53" s="77">
        <v>20.5</v>
      </c>
      <c r="AQ53" s="129">
        <v>20.5</v>
      </c>
      <c r="AR53" s="129">
        <v>20.5</v>
      </c>
      <c r="AS53" s="129">
        <v>20.5</v>
      </c>
      <c r="AT53" s="116">
        <v>5595</v>
      </c>
      <c r="AU53" s="47">
        <v>4241</v>
      </c>
      <c r="AV53" s="47">
        <v>29872</v>
      </c>
      <c r="AW53" s="46">
        <v>18488</v>
      </c>
      <c r="AX53" s="46">
        <v>9084</v>
      </c>
      <c r="AY53" s="92">
        <v>30</v>
      </c>
      <c r="AZ53" s="47">
        <v>1825</v>
      </c>
      <c r="BA53" s="44">
        <v>1347</v>
      </c>
      <c r="BB53" s="23">
        <v>-2961</v>
      </c>
      <c r="BC53" s="47">
        <v>478</v>
      </c>
      <c r="BD53" s="44">
        <v>478</v>
      </c>
      <c r="BE53" s="47">
        <v>4003</v>
      </c>
      <c r="BF53" s="44">
        <v>18488</v>
      </c>
      <c r="BG53" s="46">
        <v>17143</v>
      </c>
      <c r="BH53" s="130">
        <v>771</v>
      </c>
      <c r="BI53" s="46">
        <v>574</v>
      </c>
      <c r="BJ53" s="129">
        <v>20.5</v>
      </c>
      <c r="BK53" s="44">
        <v>11374</v>
      </c>
      <c r="BL53" s="116">
        <v>5516</v>
      </c>
      <c r="BM53" s="47">
        <v>4000</v>
      </c>
      <c r="BN53" s="130">
        <v>29443</v>
      </c>
      <c r="BO53" s="46">
        <v>18854</v>
      </c>
      <c r="BP53" s="46">
        <v>9457</v>
      </c>
      <c r="BQ53" s="46">
        <v>30</v>
      </c>
      <c r="BR53" s="130">
        <v>2743</v>
      </c>
      <c r="BS53" s="44">
        <v>1012</v>
      </c>
      <c r="BT53" s="92">
        <v>-6993</v>
      </c>
      <c r="BU53" s="117">
        <v>1732</v>
      </c>
      <c r="BV53" s="130">
        <v>5734</v>
      </c>
      <c r="BW53" s="48">
        <v>18854</v>
      </c>
      <c r="BX53" s="46">
        <v>17039</v>
      </c>
      <c r="BY53" s="130">
        <v>983</v>
      </c>
      <c r="BZ53" s="46">
        <v>832</v>
      </c>
      <c r="CA53" s="129">
        <v>20.5</v>
      </c>
      <c r="CB53" s="44">
        <v>17168</v>
      </c>
      <c r="CC53" s="116">
        <v>5425</v>
      </c>
      <c r="CD53" s="47">
        <v>4045</v>
      </c>
      <c r="CE53" s="130">
        <v>30339</v>
      </c>
      <c r="CF53" s="46">
        <v>19311</v>
      </c>
      <c r="CG53" s="46">
        <v>9667</v>
      </c>
      <c r="CH53" s="46">
        <v>40</v>
      </c>
      <c r="CI53" s="130">
        <v>2549</v>
      </c>
      <c r="CJ53" s="44">
        <v>1366</v>
      </c>
      <c r="CK53" s="117">
        <v>-4018</v>
      </c>
      <c r="CL53" s="117">
        <v>1183</v>
      </c>
      <c r="CM53" s="117">
        <v>6698</v>
      </c>
      <c r="CN53" s="48">
        <v>19311</v>
      </c>
      <c r="CO53" s="46">
        <v>17492</v>
      </c>
      <c r="CP53" s="130">
        <v>980</v>
      </c>
      <c r="CQ53" s="46">
        <v>839</v>
      </c>
      <c r="CR53" s="129">
        <v>20.5</v>
      </c>
      <c r="CS53" s="44">
        <v>18526</v>
      </c>
      <c r="CT53">
        <v>5341</v>
      </c>
      <c r="CU53">
        <v>18408</v>
      </c>
      <c r="CV53">
        <v>9842</v>
      </c>
      <c r="CW53">
        <v>4199</v>
      </c>
      <c r="CX53">
        <v>27</v>
      </c>
      <c r="CY53">
        <v>16675</v>
      </c>
      <c r="CZ53">
        <v>888</v>
      </c>
      <c r="DA53">
        <v>845</v>
      </c>
      <c r="DB53">
        <v>862</v>
      </c>
      <c r="DC53">
        <v>-1168</v>
      </c>
      <c r="DD53">
        <v>1635</v>
      </c>
      <c r="DE53">
        <v>17833</v>
      </c>
      <c r="DF53">
        <v>31437</v>
      </c>
      <c r="DG53">
        <v>-773</v>
      </c>
      <c r="DH53">
        <v>5926</v>
      </c>
      <c r="DI53">
        <v>20.5</v>
      </c>
      <c r="DJ53" s="174">
        <v>5286</v>
      </c>
      <c r="DK53" s="34">
        <v>18647</v>
      </c>
      <c r="DL53" s="34">
        <v>9736</v>
      </c>
      <c r="DM53">
        <v>4295</v>
      </c>
      <c r="DN53" s="173">
        <v>-74</v>
      </c>
      <c r="DO53" s="34">
        <v>16672</v>
      </c>
      <c r="DP53" s="173">
        <v>1080</v>
      </c>
      <c r="DQ53" s="34">
        <v>895</v>
      </c>
      <c r="DR53" s="173">
        <v>1969</v>
      </c>
      <c r="DS53" s="173">
        <v>-676</v>
      </c>
      <c r="DT53">
        <v>1701</v>
      </c>
      <c r="DU53">
        <v>17022</v>
      </c>
      <c r="DV53" s="173">
        <v>30635</v>
      </c>
      <c r="DW53" s="173">
        <v>268</v>
      </c>
      <c r="DX53" s="173">
        <v>6193</v>
      </c>
      <c r="DY53" s="57">
        <v>20.5</v>
      </c>
      <c r="DZ53" s="184">
        <v>340</v>
      </c>
      <c r="EA53" s="116">
        <v>5195</v>
      </c>
      <c r="EB53" s="48">
        <v>18793</v>
      </c>
      <c r="EC53" s="46">
        <v>9530</v>
      </c>
      <c r="ED53" s="90">
        <v>4355</v>
      </c>
      <c r="EE53" s="186">
        <v>-113</v>
      </c>
      <c r="EF53" s="46">
        <v>16786</v>
      </c>
      <c r="EG53" s="130">
        <v>1021</v>
      </c>
      <c r="EH53" s="46">
        <v>986</v>
      </c>
      <c r="EI53" s="130">
        <v>1520</v>
      </c>
      <c r="EJ53" s="48">
        <v>-532</v>
      </c>
      <c r="EK53" s="44">
        <v>1551</v>
      </c>
      <c r="EL53" s="44">
        <v>15085</v>
      </c>
      <c r="EM53" s="130">
        <v>31045</v>
      </c>
      <c r="EN53" s="117">
        <v>-31</v>
      </c>
      <c r="EO53" s="117">
        <v>6162</v>
      </c>
      <c r="EP53" s="129">
        <v>21.25</v>
      </c>
    </row>
    <row r="54" spans="1:146" ht="15" x14ac:dyDescent="0.25">
      <c r="A54" s="32">
        <v>171</v>
      </c>
      <c r="B54" s="32" t="s">
        <v>183</v>
      </c>
      <c r="C54" s="32">
        <v>10</v>
      </c>
      <c r="D54" s="32" t="s">
        <v>107</v>
      </c>
      <c r="E54" s="27">
        <v>2</v>
      </c>
      <c r="F54" s="27" t="s">
        <v>744</v>
      </c>
      <c r="G54" s="43" t="s">
        <v>130</v>
      </c>
      <c r="H54" s="32" t="s">
        <v>98</v>
      </c>
      <c r="I54" s="33" t="s">
        <v>107</v>
      </c>
      <c r="J54" s="118">
        <v>1106.6765561167426</v>
      </c>
      <c r="K54" s="118">
        <v>1057.0611178105969</v>
      </c>
      <c r="L54" s="118">
        <v>612.0358643934386</v>
      </c>
      <c r="M54" s="118">
        <v>418.95612481562398</v>
      </c>
      <c r="N54" s="22">
        <v>1846</v>
      </c>
      <c r="O54" s="119">
        <v>2327</v>
      </c>
      <c r="P54" s="119">
        <v>2958</v>
      </c>
      <c r="Q54" s="120">
        <v>2683</v>
      </c>
      <c r="R54" s="22">
        <v>2516</v>
      </c>
      <c r="S54" s="22">
        <v>1784</v>
      </c>
      <c r="T54" s="121">
        <v>2772</v>
      </c>
      <c r="U54" s="121">
        <v>2844</v>
      </c>
      <c r="V54" s="121">
        <v>2855</v>
      </c>
      <c r="W54" s="106">
        <v>2195</v>
      </c>
      <c r="X54" s="121">
        <v>1543</v>
      </c>
      <c r="Y54" s="121">
        <v>1752</v>
      </c>
      <c r="Z54" s="121">
        <v>6293</v>
      </c>
      <c r="AA54" s="121">
        <v>6237</v>
      </c>
      <c r="AB54" s="122">
        <v>18</v>
      </c>
      <c r="AC54" s="123">
        <v>18</v>
      </c>
      <c r="AD54" s="124">
        <v>18</v>
      </c>
      <c r="AE54" s="125">
        <v>18</v>
      </c>
      <c r="AF54" s="126">
        <v>18</v>
      </c>
      <c r="AG54" s="123">
        <v>18</v>
      </c>
      <c r="AH54" s="123">
        <v>18</v>
      </c>
      <c r="AI54" s="127">
        <v>18</v>
      </c>
      <c r="AJ54" s="127">
        <v>18</v>
      </c>
      <c r="AK54" s="22">
        <v>18</v>
      </c>
      <c r="AL54" s="128">
        <v>18</v>
      </c>
      <c r="AM54" s="128">
        <v>19</v>
      </c>
      <c r="AN54" s="128">
        <v>19</v>
      </c>
      <c r="AO54" s="77">
        <v>19.25</v>
      </c>
      <c r="AP54" s="77">
        <v>19.5</v>
      </c>
      <c r="AQ54" s="129">
        <v>20</v>
      </c>
      <c r="AR54" s="129">
        <v>20.25</v>
      </c>
      <c r="AS54" s="129">
        <v>20.25</v>
      </c>
      <c r="AT54" s="116">
        <v>5213</v>
      </c>
      <c r="AU54" s="47">
        <v>10697</v>
      </c>
      <c r="AV54" s="47">
        <v>37461</v>
      </c>
      <c r="AW54" s="46">
        <v>15955</v>
      </c>
      <c r="AX54" s="46">
        <v>12163</v>
      </c>
      <c r="AY54" s="92">
        <v>440</v>
      </c>
      <c r="AZ54" s="47">
        <v>1204</v>
      </c>
      <c r="BA54" s="44">
        <v>1421</v>
      </c>
      <c r="BB54" s="23">
        <v>96</v>
      </c>
      <c r="BC54" s="47">
        <v>177</v>
      </c>
      <c r="BD54" s="44">
        <v>209</v>
      </c>
      <c r="BE54" s="47">
        <v>1752</v>
      </c>
      <c r="BF54" s="44">
        <v>15955</v>
      </c>
      <c r="BG54" s="46">
        <v>14205</v>
      </c>
      <c r="BH54" s="130">
        <v>937</v>
      </c>
      <c r="BI54" s="46">
        <v>813</v>
      </c>
      <c r="BJ54" s="129">
        <v>20</v>
      </c>
      <c r="BK54" s="44">
        <v>13498</v>
      </c>
      <c r="BL54" s="116">
        <v>5178</v>
      </c>
      <c r="BM54" s="47">
        <v>8825</v>
      </c>
      <c r="BN54" s="130">
        <v>35481</v>
      </c>
      <c r="BO54" s="46">
        <v>16653</v>
      </c>
      <c r="BP54" s="46">
        <v>12109</v>
      </c>
      <c r="BQ54" s="46">
        <v>4119</v>
      </c>
      <c r="BR54" s="130">
        <v>1916</v>
      </c>
      <c r="BS54" s="44">
        <v>1830</v>
      </c>
      <c r="BT54" s="92">
        <v>10118</v>
      </c>
      <c r="BU54" s="117">
        <v>4541</v>
      </c>
      <c r="BV54" s="130">
        <v>6293</v>
      </c>
      <c r="BW54" s="48">
        <v>16653</v>
      </c>
      <c r="BX54" s="46">
        <v>14557</v>
      </c>
      <c r="BY54" s="130">
        <v>1089</v>
      </c>
      <c r="BZ54" s="46">
        <v>1007</v>
      </c>
      <c r="CA54" s="129">
        <v>20.25</v>
      </c>
      <c r="CB54" s="44">
        <v>15635</v>
      </c>
      <c r="CC54" s="116">
        <v>5110</v>
      </c>
      <c r="CD54" s="47">
        <v>4322</v>
      </c>
      <c r="CE54" s="130">
        <v>32500</v>
      </c>
      <c r="CF54" s="46">
        <v>17216</v>
      </c>
      <c r="CG54" s="46">
        <v>12069</v>
      </c>
      <c r="CH54" s="46">
        <v>216</v>
      </c>
      <c r="CI54" s="130">
        <v>929</v>
      </c>
      <c r="CJ54" s="44">
        <v>1032</v>
      </c>
      <c r="CK54" s="117">
        <v>-1408</v>
      </c>
      <c r="CL54" s="117">
        <v>-56</v>
      </c>
      <c r="CM54" s="117">
        <v>6237</v>
      </c>
      <c r="CN54" s="48">
        <v>17216</v>
      </c>
      <c r="CO54" s="46">
        <v>14684</v>
      </c>
      <c r="CP54" s="130">
        <v>1371</v>
      </c>
      <c r="CQ54" s="46">
        <v>1161</v>
      </c>
      <c r="CR54" s="129">
        <v>20.25</v>
      </c>
      <c r="CS54" s="44">
        <v>17023</v>
      </c>
      <c r="CT54">
        <v>5039</v>
      </c>
      <c r="CU54">
        <v>16824</v>
      </c>
      <c r="CV54">
        <v>12692</v>
      </c>
      <c r="CW54">
        <v>4193</v>
      </c>
      <c r="CX54">
        <v>234</v>
      </c>
      <c r="CY54">
        <v>14334</v>
      </c>
      <c r="CZ54">
        <v>1309</v>
      </c>
      <c r="DA54">
        <v>1181</v>
      </c>
      <c r="DB54">
        <v>544</v>
      </c>
      <c r="DC54">
        <v>-1165</v>
      </c>
      <c r="DD54">
        <v>771</v>
      </c>
      <c r="DE54">
        <v>16172</v>
      </c>
      <c r="DF54">
        <v>33014</v>
      </c>
      <c r="DG54">
        <v>19</v>
      </c>
      <c r="DH54">
        <v>6256</v>
      </c>
      <c r="DI54">
        <v>20.25</v>
      </c>
      <c r="DJ54" s="174">
        <v>4917</v>
      </c>
      <c r="DK54" s="34">
        <v>17421</v>
      </c>
      <c r="DL54" s="34">
        <v>12420</v>
      </c>
      <c r="DM54">
        <v>4191</v>
      </c>
      <c r="DN54" s="173">
        <v>23</v>
      </c>
      <c r="DO54" s="34">
        <v>14749</v>
      </c>
      <c r="DP54" s="173">
        <v>1489</v>
      </c>
      <c r="DQ54" s="34">
        <v>1183</v>
      </c>
      <c r="DR54" s="173">
        <v>1789</v>
      </c>
      <c r="DS54" s="173">
        <v>-1452</v>
      </c>
      <c r="DT54">
        <v>1497</v>
      </c>
      <c r="DU54">
        <v>17959</v>
      </c>
      <c r="DV54" s="173">
        <v>32266</v>
      </c>
      <c r="DW54" s="173">
        <v>324</v>
      </c>
      <c r="DX54" s="173">
        <v>6580</v>
      </c>
      <c r="DY54" s="57">
        <v>20.75</v>
      </c>
      <c r="DZ54" s="184">
        <v>340</v>
      </c>
      <c r="EA54" s="116">
        <v>4812</v>
      </c>
      <c r="EB54" s="48">
        <v>16215</v>
      </c>
      <c r="EC54" s="46">
        <v>12205</v>
      </c>
      <c r="ED54" s="90">
        <v>3896</v>
      </c>
      <c r="EE54" s="186">
        <v>-142</v>
      </c>
      <c r="EF54" s="46">
        <v>13705</v>
      </c>
      <c r="EG54" s="130">
        <v>1385</v>
      </c>
      <c r="EH54" s="46">
        <v>1125</v>
      </c>
      <c r="EI54" s="130">
        <v>-930</v>
      </c>
      <c r="EJ54" s="48">
        <v>-5674</v>
      </c>
      <c r="EK54" s="44">
        <v>925</v>
      </c>
      <c r="EL54" s="44">
        <v>20635</v>
      </c>
      <c r="EM54" s="130">
        <v>33104</v>
      </c>
      <c r="EN54" s="117">
        <v>-1724</v>
      </c>
      <c r="EO54" s="117">
        <v>4856</v>
      </c>
      <c r="EP54" s="129">
        <v>20.75</v>
      </c>
    </row>
    <row r="55" spans="1:146" ht="15" x14ac:dyDescent="0.25">
      <c r="A55" s="27">
        <v>172</v>
      </c>
      <c r="B55" s="27" t="s">
        <v>184</v>
      </c>
      <c r="C55" s="27">
        <v>13</v>
      </c>
      <c r="D55" s="27" t="s">
        <v>111</v>
      </c>
      <c r="E55" s="27">
        <v>2</v>
      </c>
      <c r="F55" s="27" t="s">
        <v>744</v>
      </c>
      <c r="G55" s="29" t="s">
        <v>130</v>
      </c>
      <c r="H55" s="27" t="s">
        <v>98</v>
      </c>
      <c r="I55" s="31" t="s">
        <v>111</v>
      </c>
      <c r="J55" s="118">
        <v>300.0472608073357</v>
      </c>
      <c r="K55" s="118">
        <v>63.40684827598966</v>
      </c>
      <c r="L55" s="118">
        <v>-1003.7455451222978</v>
      </c>
      <c r="M55" s="118">
        <v>-1517.0550966828296</v>
      </c>
      <c r="N55" s="22">
        <v>-1116</v>
      </c>
      <c r="O55" s="119">
        <v>124</v>
      </c>
      <c r="P55" s="119">
        <v>357</v>
      </c>
      <c r="Q55" s="120">
        <v>-115</v>
      </c>
      <c r="R55" s="22">
        <v>-465</v>
      </c>
      <c r="S55" s="22">
        <v>-1533</v>
      </c>
      <c r="T55" s="121">
        <v>-1424</v>
      </c>
      <c r="U55" s="121">
        <v>-1507</v>
      </c>
      <c r="V55" s="121">
        <v>394</v>
      </c>
      <c r="W55" s="106">
        <v>404</v>
      </c>
      <c r="X55" s="121">
        <v>-150</v>
      </c>
      <c r="Y55" s="121">
        <v>-742</v>
      </c>
      <c r="Z55" s="121">
        <v>757</v>
      </c>
      <c r="AA55" s="121">
        <v>3014</v>
      </c>
      <c r="AB55" s="122">
        <v>18.5</v>
      </c>
      <c r="AC55" s="123">
        <v>18.5</v>
      </c>
      <c r="AD55" s="124">
        <v>18.5</v>
      </c>
      <c r="AE55" s="125">
        <v>18.5</v>
      </c>
      <c r="AF55" s="126">
        <v>18.5</v>
      </c>
      <c r="AG55" s="123">
        <v>18.5</v>
      </c>
      <c r="AH55" s="123">
        <v>18.5</v>
      </c>
      <c r="AI55" s="131">
        <v>19</v>
      </c>
      <c r="AJ55" s="131">
        <v>19</v>
      </c>
      <c r="AK55" s="22">
        <v>19</v>
      </c>
      <c r="AL55" s="128">
        <v>19</v>
      </c>
      <c r="AM55" s="128">
        <v>19</v>
      </c>
      <c r="AN55" s="128">
        <v>19.5</v>
      </c>
      <c r="AO55" s="77">
        <v>19.5</v>
      </c>
      <c r="AP55" s="77">
        <v>19.5</v>
      </c>
      <c r="AQ55" s="129">
        <v>20.5</v>
      </c>
      <c r="AR55" s="129">
        <v>21</v>
      </c>
      <c r="AS55" s="129">
        <v>21</v>
      </c>
      <c r="AT55" s="116">
        <v>4857</v>
      </c>
      <c r="AU55" s="47">
        <v>6164</v>
      </c>
      <c r="AV55" s="47">
        <v>34512</v>
      </c>
      <c r="AW55" s="46">
        <v>14445</v>
      </c>
      <c r="AX55" s="46">
        <v>14500</v>
      </c>
      <c r="AY55" s="92">
        <v>129</v>
      </c>
      <c r="AZ55" s="47">
        <v>549</v>
      </c>
      <c r="BA55" s="44">
        <v>1164</v>
      </c>
      <c r="BB55" s="23">
        <v>-4089</v>
      </c>
      <c r="BC55" s="47">
        <v>-615</v>
      </c>
      <c r="BD55" s="44">
        <v>-592</v>
      </c>
      <c r="BE55" s="47">
        <v>-742</v>
      </c>
      <c r="BF55" s="44">
        <v>14445</v>
      </c>
      <c r="BG55" s="46">
        <v>11938</v>
      </c>
      <c r="BH55" s="130">
        <v>1012</v>
      </c>
      <c r="BI55" s="46">
        <v>1495</v>
      </c>
      <c r="BJ55" s="129">
        <v>20.5</v>
      </c>
      <c r="BK55" s="44">
        <v>17900</v>
      </c>
      <c r="BL55" s="116">
        <v>4782</v>
      </c>
      <c r="BM55" s="47">
        <v>5829</v>
      </c>
      <c r="BN55" s="130">
        <v>32185</v>
      </c>
      <c r="BO55" s="46">
        <v>15049</v>
      </c>
      <c r="BP55" s="46">
        <v>14411</v>
      </c>
      <c r="BQ55" s="46">
        <v>94</v>
      </c>
      <c r="BR55" s="130">
        <v>3052</v>
      </c>
      <c r="BS55" s="44">
        <v>1576</v>
      </c>
      <c r="BT55" s="92">
        <v>-424</v>
      </c>
      <c r="BU55" s="117">
        <v>1499</v>
      </c>
      <c r="BV55" s="130">
        <v>757</v>
      </c>
      <c r="BW55" s="48">
        <v>15049</v>
      </c>
      <c r="BX55" s="46">
        <v>12291</v>
      </c>
      <c r="BY55" s="130">
        <v>1111</v>
      </c>
      <c r="BZ55" s="46">
        <v>1647</v>
      </c>
      <c r="CA55" s="129">
        <v>21</v>
      </c>
      <c r="CB55" s="44">
        <v>17246</v>
      </c>
      <c r="CC55" s="116">
        <v>4688</v>
      </c>
      <c r="CD55" s="47">
        <v>5953</v>
      </c>
      <c r="CE55" s="130">
        <v>32302</v>
      </c>
      <c r="CF55" s="46">
        <v>15063</v>
      </c>
      <c r="CG55" s="46">
        <v>14782</v>
      </c>
      <c r="CH55" s="46">
        <v>171</v>
      </c>
      <c r="CI55" s="130">
        <v>3502</v>
      </c>
      <c r="CJ55" s="44">
        <v>1268</v>
      </c>
      <c r="CK55" s="117">
        <v>-306</v>
      </c>
      <c r="CL55" s="117">
        <v>2257</v>
      </c>
      <c r="CM55" s="117">
        <v>3014</v>
      </c>
      <c r="CN55" s="48">
        <v>15063</v>
      </c>
      <c r="CO55" s="46">
        <v>12130</v>
      </c>
      <c r="CP55" s="130">
        <v>1278</v>
      </c>
      <c r="CQ55" s="46">
        <v>1655</v>
      </c>
      <c r="CR55" s="129">
        <v>21</v>
      </c>
      <c r="CS55" s="44">
        <v>13815</v>
      </c>
      <c r="CT55">
        <v>4673</v>
      </c>
      <c r="CU55">
        <v>15217</v>
      </c>
      <c r="CV55">
        <v>15835</v>
      </c>
      <c r="CW55">
        <v>5823</v>
      </c>
      <c r="CX55">
        <v>47</v>
      </c>
      <c r="CY55">
        <v>12259</v>
      </c>
      <c r="CZ55">
        <v>1244</v>
      </c>
      <c r="DA55">
        <v>1714</v>
      </c>
      <c r="DB55">
        <v>3038</v>
      </c>
      <c r="DC55">
        <v>-892</v>
      </c>
      <c r="DD55">
        <v>1319</v>
      </c>
      <c r="DE55">
        <v>11714</v>
      </c>
      <c r="DF55">
        <v>33827</v>
      </c>
      <c r="DG55">
        <v>1597</v>
      </c>
      <c r="DH55">
        <v>4611</v>
      </c>
      <c r="DI55">
        <v>21</v>
      </c>
      <c r="DJ55" s="174">
        <v>4567</v>
      </c>
      <c r="DK55" s="34">
        <v>15542</v>
      </c>
      <c r="DL55" s="34">
        <v>15563</v>
      </c>
      <c r="DM55">
        <v>5213</v>
      </c>
      <c r="DN55" s="173">
        <v>1040</v>
      </c>
      <c r="DO55" s="34">
        <v>12364</v>
      </c>
      <c r="DP55" s="173">
        <v>1492</v>
      </c>
      <c r="DQ55" s="34">
        <v>1686</v>
      </c>
      <c r="DR55" s="173">
        <v>1573</v>
      </c>
      <c r="DS55" s="173">
        <v>-2076</v>
      </c>
      <c r="DT55">
        <v>1388</v>
      </c>
      <c r="DU55">
        <v>13467</v>
      </c>
      <c r="DV55" s="173">
        <v>34746</v>
      </c>
      <c r="DW55" s="173">
        <v>-831</v>
      </c>
      <c r="DX55" s="173">
        <v>3780</v>
      </c>
      <c r="DY55" s="57">
        <v>21</v>
      </c>
      <c r="DZ55" s="184">
        <v>340</v>
      </c>
      <c r="EA55" s="116">
        <v>4467</v>
      </c>
      <c r="EB55" s="48">
        <v>14898</v>
      </c>
      <c r="EC55" s="46">
        <v>15166</v>
      </c>
      <c r="ED55" s="90">
        <v>4954</v>
      </c>
      <c r="EE55" s="186">
        <v>212</v>
      </c>
      <c r="EF55" s="46">
        <v>11668</v>
      </c>
      <c r="EG55" s="130">
        <v>1476</v>
      </c>
      <c r="EH55" s="46">
        <v>1754</v>
      </c>
      <c r="EI55" s="130">
        <v>1218</v>
      </c>
      <c r="EJ55" s="48">
        <v>-642</v>
      </c>
      <c r="EK55" s="44">
        <v>1267</v>
      </c>
      <c r="EL55" s="44">
        <v>11169</v>
      </c>
      <c r="EM55" s="130">
        <v>33843</v>
      </c>
      <c r="EN55" s="117">
        <v>61</v>
      </c>
      <c r="EO55" s="117">
        <v>3841</v>
      </c>
      <c r="EP55" s="129">
        <v>21</v>
      </c>
    </row>
    <row r="56" spans="1:146" ht="15" x14ac:dyDescent="0.25">
      <c r="A56" s="27">
        <v>176</v>
      </c>
      <c r="B56" s="27" t="s">
        <v>185</v>
      </c>
      <c r="C56" s="27">
        <v>12</v>
      </c>
      <c r="D56" s="27" t="s">
        <v>116</v>
      </c>
      <c r="E56" s="27">
        <v>2</v>
      </c>
      <c r="F56" s="27" t="s">
        <v>744</v>
      </c>
      <c r="G56" s="29" t="s">
        <v>130</v>
      </c>
      <c r="H56" s="27" t="s">
        <v>98</v>
      </c>
      <c r="I56" s="31" t="s">
        <v>116</v>
      </c>
      <c r="J56" s="118">
        <v>2305.5200959343933</v>
      </c>
      <c r="K56" s="118">
        <v>2459.0756727937528</v>
      </c>
      <c r="L56" s="118">
        <v>2488.0039961451325</v>
      </c>
      <c r="M56" s="118">
        <v>3043.024153468119</v>
      </c>
      <c r="N56" s="22">
        <v>3222</v>
      </c>
      <c r="O56" s="119">
        <v>2531</v>
      </c>
      <c r="P56" s="119">
        <v>2450</v>
      </c>
      <c r="Q56" s="120">
        <v>2260</v>
      </c>
      <c r="R56" s="22">
        <v>3912</v>
      </c>
      <c r="S56" s="22">
        <v>5686</v>
      </c>
      <c r="T56" s="121">
        <v>7169</v>
      </c>
      <c r="U56" s="121">
        <v>6930</v>
      </c>
      <c r="V56" s="121">
        <v>7273</v>
      </c>
      <c r="W56" s="106">
        <v>6497</v>
      </c>
      <c r="X56" s="121">
        <v>5085</v>
      </c>
      <c r="Y56" s="121">
        <v>4932</v>
      </c>
      <c r="Z56" s="121">
        <v>6146</v>
      </c>
      <c r="AA56" s="121">
        <v>10106</v>
      </c>
      <c r="AB56" s="122">
        <v>18</v>
      </c>
      <c r="AC56" s="123">
        <v>18.25</v>
      </c>
      <c r="AD56" s="124">
        <v>18.25</v>
      </c>
      <c r="AE56" s="125">
        <v>18.25</v>
      </c>
      <c r="AF56" s="126">
        <v>18.25</v>
      </c>
      <c r="AG56" s="123">
        <v>18.75</v>
      </c>
      <c r="AH56" s="123">
        <v>18.75</v>
      </c>
      <c r="AI56" s="131">
        <v>19.5</v>
      </c>
      <c r="AJ56" s="131">
        <v>19.5</v>
      </c>
      <c r="AK56" s="22">
        <v>19.25</v>
      </c>
      <c r="AL56" s="128">
        <v>19.25</v>
      </c>
      <c r="AM56" s="128">
        <v>19.25</v>
      </c>
      <c r="AN56" s="128">
        <v>19.25</v>
      </c>
      <c r="AO56" s="77">
        <v>19.75</v>
      </c>
      <c r="AP56" s="77">
        <v>20.25</v>
      </c>
      <c r="AQ56" s="129">
        <v>20.25</v>
      </c>
      <c r="AR56" s="129">
        <v>20.75</v>
      </c>
      <c r="AS56" s="129">
        <v>20.75</v>
      </c>
      <c r="AT56" s="116">
        <v>5203</v>
      </c>
      <c r="AU56" s="47">
        <v>6919</v>
      </c>
      <c r="AV56" s="47">
        <v>40141</v>
      </c>
      <c r="AW56" s="46">
        <v>13430</v>
      </c>
      <c r="AX56" s="46">
        <v>20407</v>
      </c>
      <c r="AY56" s="92">
        <v>383</v>
      </c>
      <c r="AZ56" s="47">
        <v>998</v>
      </c>
      <c r="BA56" s="44">
        <v>1528</v>
      </c>
      <c r="BB56" s="23">
        <v>-2176</v>
      </c>
      <c r="BC56" s="47">
        <v>-530</v>
      </c>
      <c r="BD56" s="44">
        <v>-153</v>
      </c>
      <c r="BE56" s="47">
        <v>4932</v>
      </c>
      <c r="BF56" s="44">
        <v>13430</v>
      </c>
      <c r="BG56" s="46">
        <v>11413</v>
      </c>
      <c r="BH56" s="130">
        <v>1198</v>
      </c>
      <c r="BI56" s="46">
        <v>819</v>
      </c>
      <c r="BJ56" s="129">
        <v>20.25</v>
      </c>
      <c r="BK56" s="44">
        <v>0</v>
      </c>
      <c r="BL56" s="116">
        <v>5140</v>
      </c>
      <c r="BM56" s="47">
        <v>7250</v>
      </c>
      <c r="BN56" s="130">
        <v>40586</v>
      </c>
      <c r="BO56" s="46">
        <v>14743</v>
      </c>
      <c r="BP56" s="46">
        <v>20724</v>
      </c>
      <c r="BQ56" s="46">
        <v>405</v>
      </c>
      <c r="BR56" s="130">
        <v>2536</v>
      </c>
      <c r="BS56" s="44">
        <v>1715</v>
      </c>
      <c r="BT56" s="92">
        <v>-6495</v>
      </c>
      <c r="BU56" s="117">
        <v>1214</v>
      </c>
      <c r="BV56" s="130">
        <v>6146</v>
      </c>
      <c r="BW56" s="48">
        <v>14743</v>
      </c>
      <c r="BX56" s="46">
        <v>12008</v>
      </c>
      <c r="BY56" s="130">
        <v>1519</v>
      </c>
      <c r="BZ56" s="46">
        <v>1216</v>
      </c>
      <c r="CA56" s="129">
        <v>20.75</v>
      </c>
      <c r="CB56" s="44">
        <v>5000</v>
      </c>
      <c r="CC56" s="116">
        <v>5034</v>
      </c>
      <c r="CD56" s="47">
        <v>8112</v>
      </c>
      <c r="CE56" s="130">
        <v>41368</v>
      </c>
      <c r="CF56" s="46">
        <v>15520</v>
      </c>
      <c r="CG56" s="46">
        <v>20578</v>
      </c>
      <c r="CH56" s="46">
        <v>4075</v>
      </c>
      <c r="CI56" s="130">
        <v>3262</v>
      </c>
      <c r="CJ56" s="44">
        <v>2021</v>
      </c>
      <c r="CK56" s="117">
        <v>-6329</v>
      </c>
      <c r="CL56" s="117">
        <v>3960</v>
      </c>
      <c r="CM56" s="117">
        <v>10106</v>
      </c>
      <c r="CN56" s="48">
        <v>15520</v>
      </c>
      <c r="CO56" s="46">
        <v>12462</v>
      </c>
      <c r="CP56" s="130">
        <v>1832</v>
      </c>
      <c r="CQ56" s="46">
        <v>1226</v>
      </c>
      <c r="CR56" s="129">
        <v>20.75</v>
      </c>
      <c r="CS56" s="44">
        <v>5000</v>
      </c>
      <c r="CT56">
        <v>4938</v>
      </c>
      <c r="CU56">
        <v>14495</v>
      </c>
      <c r="CV56">
        <v>20656</v>
      </c>
      <c r="CW56">
        <v>7167</v>
      </c>
      <c r="CX56">
        <v>415</v>
      </c>
      <c r="CY56">
        <v>11562</v>
      </c>
      <c r="CZ56">
        <v>1689</v>
      </c>
      <c r="DA56">
        <v>1244</v>
      </c>
      <c r="DB56">
        <v>1834</v>
      </c>
      <c r="DC56">
        <v>-1279</v>
      </c>
      <c r="DD56">
        <v>2061</v>
      </c>
      <c r="DE56">
        <v>5000</v>
      </c>
      <c r="DF56">
        <v>40899</v>
      </c>
      <c r="DG56">
        <v>24</v>
      </c>
      <c r="DH56">
        <v>10131</v>
      </c>
      <c r="DI56">
        <v>20.75</v>
      </c>
      <c r="DJ56" s="174">
        <v>4817</v>
      </c>
      <c r="DK56" s="34">
        <v>14781</v>
      </c>
      <c r="DL56" s="34">
        <v>20711</v>
      </c>
      <c r="DM56">
        <v>6355</v>
      </c>
      <c r="DN56" s="173">
        <v>1498</v>
      </c>
      <c r="DO56" s="34">
        <v>11708</v>
      </c>
      <c r="DP56" s="173">
        <v>1860</v>
      </c>
      <c r="DQ56" s="34">
        <v>1213</v>
      </c>
      <c r="DR56" s="173">
        <v>3853</v>
      </c>
      <c r="DS56" s="173">
        <v>-404</v>
      </c>
      <c r="DT56">
        <v>2397</v>
      </c>
      <c r="DU56">
        <v>4643</v>
      </c>
      <c r="DV56" s="173">
        <v>38399</v>
      </c>
      <c r="DW56" s="173">
        <v>38</v>
      </c>
      <c r="DX56" s="173">
        <v>10169</v>
      </c>
      <c r="DY56" s="57">
        <v>20.75</v>
      </c>
      <c r="DZ56" s="184">
        <v>340</v>
      </c>
      <c r="EA56" s="116">
        <v>4709</v>
      </c>
      <c r="EB56" s="48">
        <v>13654</v>
      </c>
      <c r="EC56" s="46">
        <v>20074</v>
      </c>
      <c r="ED56" s="90">
        <v>6177</v>
      </c>
      <c r="EE56" s="186">
        <v>416</v>
      </c>
      <c r="EF56" s="46">
        <v>10804</v>
      </c>
      <c r="EG56" s="130">
        <v>1646</v>
      </c>
      <c r="EH56" s="46">
        <v>1204</v>
      </c>
      <c r="EI56" s="130">
        <v>2186</v>
      </c>
      <c r="EJ56" s="48">
        <v>-1150</v>
      </c>
      <c r="EK56" s="44">
        <v>1906</v>
      </c>
      <c r="EL56" s="44">
        <v>3928</v>
      </c>
      <c r="EM56" s="130">
        <v>38135</v>
      </c>
      <c r="EN56" s="117">
        <v>32</v>
      </c>
      <c r="EO56" s="117">
        <v>10200</v>
      </c>
      <c r="EP56" s="129">
        <v>20.75</v>
      </c>
    </row>
    <row r="57" spans="1:146" ht="15" x14ac:dyDescent="0.25">
      <c r="A57" s="27">
        <v>177</v>
      </c>
      <c r="B57" s="27" t="s">
        <v>186</v>
      </c>
      <c r="C57" s="27">
        <v>6</v>
      </c>
      <c r="D57" s="27" t="s">
        <v>114</v>
      </c>
      <c r="E57" s="27">
        <v>1</v>
      </c>
      <c r="F57" s="27" t="s">
        <v>103</v>
      </c>
      <c r="G57" s="29" t="s">
        <v>130</v>
      </c>
      <c r="H57" s="27" t="s">
        <v>98</v>
      </c>
      <c r="I57" s="31" t="s">
        <v>114</v>
      </c>
      <c r="J57" s="118">
        <v>59.202150114451882</v>
      </c>
      <c r="K57" s="118">
        <v>210.90765978273484</v>
      </c>
      <c r="L57" s="118">
        <v>-34.646712851071271</v>
      </c>
      <c r="M57" s="118">
        <v>-433.92485027069847</v>
      </c>
      <c r="N57" s="22">
        <v>-1152</v>
      </c>
      <c r="O57" s="119">
        <v>-1208</v>
      </c>
      <c r="P57" s="119">
        <v>-277</v>
      </c>
      <c r="Q57" s="120">
        <v>114</v>
      </c>
      <c r="R57" s="22">
        <v>126</v>
      </c>
      <c r="S57" s="22">
        <v>-68</v>
      </c>
      <c r="T57" s="121">
        <v>7</v>
      </c>
      <c r="U57" s="121">
        <v>316</v>
      </c>
      <c r="V57" s="121">
        <v>651</v>
      </c>
      <c r="W57" s="106">
        <v>1049</v>
      </c>
      <c r="X57" s="121">
        <v>392</v>
      </c>
      <c r="Y57" s="121">
        <v>326</v>
      </c>
      <c r="Z57" s="121">
        <v>885</v>
      </c>
      <c r="AA57" s="121">
        <v>1676</v>
      </c>
      <c r="AB57" s="122">
        <v>16.75</v>
      </c>
      <c r="AC57" s="123">
        <v>16.75</v>
      </c>
      <c r="AD57" s="124">
        <v>16.75</v>
      </c>
      <c r="AE57" s="125">
        <v>16.75</v>
      </c>
      <c r="AF57" s="126">
        <v>16.75</v>
      </c>
      <c r="AG57" s="123">
        <v>17.5</v>
      </c>
      <c r="AH57" s="123">
        <v>17.5</v>
      </c>
      <c r="AI57" s="131">
        <v>18</v>
      </c>
      <c r="AJ57" s="131">
        <v>18</v>
      </c>
      <c r="AK57" s="22">
        <v>18</v>
      </c>
      <c r="AL57" s="128">
        <v>19</v>
      </c>
      <c r="AM57" s="128">
        <v>19</v>
      </c>
      <c r="AN57" s="128">
        <v>19</v>
      </c>
      <c r="AO57" s="77">
        <v>19</v>
      </c>
      <c r="AP57" s="77">
        <v>19</v>
      </c>
      <c r="AQ57" s="129">
        <v>20</v>
      </c>
      <c r="AR57" s="129">
        <v>20</v>
      </c>
      <c r="AS57" s="129">
        <v>21</v>
      </c>
      <c r="AT57" s="116">
        <v>2039</v>
      </c>
      <c r="AU57" s="47">
        <v>2144</v>
      </c>
      <c r="AV57" s="47">
        <v>13074</v>
      </c>
      <c r="AW57" s="46">
        <v>6347</v>
      </c>
      <c r="AX57" s="46">
        <v>5020</v>
      </c>
      <c r="AY57" s="92">
        <v>0</v>
      </c>
      <c r="AZ57" s="47">
        <v>363</v>
      </c>
      <c r="BA57" s="44">
        <v>439</v>
      </c>
      <c r="BB57" s="23">
        <v>-1036</v>
      </c>
      <c r="BC57" s="47">
        <v>-76</v>
      </c>
      <c r="BD57" s="44">
        <v>-66</v>
      </c>
      <c r="BE57" s="47">
        <v>326</v>
      </c>
      <c r="BF57" s="44">
        <v>6347</v>
      </c>
      <c r="BG57" s="46">
        <v>5477</v>
      </c>
      <c r="BH57" s="130">
        <v>404</v>
      </c>
      <c r="BI57" s="46">
        <v>466</v>
      </c>
      <c r="BJ57" s="129">
        <v>20</v>
      </c>
      <c r="BK57" s="44">
        <v>4499</v>
      </c>
      <c r="BL57" s="116">
        <v>2033</v>
      </c>
      <c r="BM57" s="47">
        <v>2034</v>
      </c>
      <c r="BN57" s="130">
        <v>12536</v>
      </c>
      <c r="BO57" s="46">
        <v>6668</v>
      </c>
      <c r="BP57" s="46">
        <v>4953</v>
      </c>
      <c r="BQ57" s="46">
        <v>0</v>
      </c>
      <c r="BR57" s="130">
        <v>1045</v>
      </c>
      <c r="BS57" s="44">
        <v>468</v>
      </c>
      <c r="BT57" s="92">
        <v>-18</v>
      </c>
      <c r="BU57" s="117">
        <v>559</v>
      </c>
      <c r="BV57" s="130">
        <v>885</v>
      </c>
      <c r="BW57" s="48">
        <v>6668</v>
      </c>
      <c r="BX57" s="46">
        <v>5542</v>
      </c>
      <c r="BY57" s="130">
        <v>587</v>
      </c>
      <c r="BZ57" s="46">
        <v>539</v>
      </c>
      <c r="CA57" s="129">
        <v>20</v>
      </c>
      <c r="CB57" s="44">
        <v>4129</v>
      </c>
      <c r="CC57" s="116">
        <v>1988</v>
      </c>
      <c r="CD57" s="47">
        <v>1207</v>
      </c>
      <c r="CE57" s="130">
        <v>11959</v>
      </c>
      <c r="CF57" s="46">
        <v>7280</v>
      </c>
      <c r="CG57" s="46">
        <v>4709</v>
      </c>
      <c r="CH57" s="46">
        <v>52</v>
      </c>
      <c r="CI57" s="130">
        <v>1262</v>
      </c>
      <c r="CJ57" s="44">
        <v>475</v>
      </c>
      <c r="CK57" s="117">
        <v>-412</v>
      </c>
      <c r="CL57" s="117">
        <v>791</v>
      </c>
      <c r="CM57" s="117">
        <v>1676</v>
      </c>
      <c r="CN57" s="48">
        <v>7280</v>
      </c>
      <c r="CO57" s="46">
        <v>5987</v>
      </c>
      <c r="CP57" s="130">
        <v>752</v>
      </c>
      <c r="CQ57" s="46">
        <v>541</v>
      </c>
      <c r="CR57" s="129">
        <v>21</v>
      </c>
      <c r="CS57" s="44">
        <v>3945</v>
      </c>
      <c r="CT57">
        <v>1957</v>
      </c>
      <c r="CU57">
        <v>6912</v>
      </c>
      <c r="CV57">
        <v>4494</v>
      </c>
      <c r="CW57">
        <v>1270</v>
      </c>
      <c r="CX57">
        <v>19</v>
      </c>
      <c r="CY57">
        <v>5609</v>
      </c>
      <c r="CZ57">
        <v>754</v>
      </c>
      <c r="DA57">
        <v>549</v>
      </c>
      <c r="DB57">
        <v>563</v>
      </c>
      <c r="DC57">
        <v>-474</v>
      </c>
      <c r="DD57">
        <v>480</v>
      </c>
      <c r="DE57">
        <v>3559</v>
      </c>
      <c r="DF57">
        <v>12108</v>
      </c>
      <c r="DG57">
        <v>94</v>
      </c>
      <c r="DH57">
        <v>1770</v>
      </c>
      <c r="DI57">
        <v>21</v>
      </c>
      <c r="DJ57" s="174">
        <v>1904</v>
      </c>
      <c r="DK57" s="34">
        <v>7174</v>
      </c>
      <c r="DL57" s="34">
        <v>4285</v>
      </c>
      <c r="DM57">
        <v>1424</v>
      </c>
      <c r="DN57" s="173">
        <v>68</v>
      </c>
      <c r="DO57" s="34">
        <v>5707</v>
      </c>
      <c r="DP57" s="173">
        <v>924</v>
      </c>
      <c r="DQ57" s="34">
        <v>543</v>
      </c>
      <c r="DR57" s="173">
        <v>986</v>
      </c>
      <c r="DS57" s="173">
        <v>-750</v>
      </c>
      <c r="DT57">
        <v>491</v>
      </c>
      <c r="DU57">
        <v>3273</v>
      </c>
      <c r="DV57" s="173">
        <v>11965</v>
      </c>
      <c r="DW57" s="173">
        <v>506</v>
      </c>
      <c r="DX57" s="173">
        <v>2276</v>
      </c>
      <c r="DY57" s="57">
        <v>21</v>
      </c>
      <c r="DZ57" s="184">
        <v>340</v>
      </c>
      <c r="EA57" s="116">
        <v>1884</v>
      </c>
      <c r="EB57" s="48">
        <v>6911</v>
      </c>
      <c r="EC57" s="46">
        <v>4239</v>
      </c>
      <c r="ED57" s="90">
        <v>1227</v>
      </c>
      <c r="EE57" s="186">
        <v>93</v>
      </c>
      <c r="EF57" s="46">
        <v>5424</v>
      </c>
      <c r="EG57" s="130">
        <v>1003</v>
      </c>
      <c r="EH57" s="46">
        <v>484</v>
      </c>
      <c r="EI57" s="130">
        <v>353</v>
      </c>
      <c r="EJ57" s="48">
        <v>-339</v>
      </c>
      <c r="EK57" s="44">
        <v>513</v>
      </c>
      <c r="EL57" s="44">
        <v>3176</v>
      </c>
      <c r="EM57" s="130">
        <v>12117</v>
      </c>
      <c r="EN57" s="117">
        <v>-149</v>
      </c>
      <c r="EO57" s="117">
        <v>2128</v>
      </c>
      <c r="EP57" s="129">
        <v>21</v>
      </c>
    </row>
    <row r="58" spans="1:146" ht="15" x14ac:dyDescent="0.25">
      <c r="A58" s="27">
        <v>178</v>
      </c>
      <c r="B58" s="27" t="s">
        <v>187</v>
      </c>
      <c r="C58" s="27">
        <v>10</v>
      </c>
      <c r="D58" s="27" t="s">
        <v>107</v>
      </c>
      <c r="E58" s="27">
        <v>3</v>
      </c>
      <c r="F58" s="27" t="s">
        <v>743</v>
      </c>
      <c r="G58" s="29" t="s">
        <v>130</v>
      </c>
      <c r="H58" s="27" t="s">
        <v>98</v>
      </c>
      <c r="I58" s="31" t="s">
        <v>107</v>
      </c>
      <c r="J58" s="118">
        <v>65.761479246450818</v>
      </c>
      <c r="K58" s="118">
        <v>-409.70578886024089</v>
      </c>
      <c r="L58" s="118">
        <v>-1253.1682400647187</v>
      </c>
      <c r="M58" s="118">
        <v>-1433.9702610108429</v>
      </c>
      <c r="N58" s="22">
        <v>-148</v>
      </c>
      <c r="O58" s="119">
        <v>-247</v>
      </c>
      <c r="P58" s="119">
        <v>665</v>
      </c>
      <c r="Q58" s="120">
        <v>-115</v>
      </c>
      <c r="R58" s="22">
        <v>-647</v>
      </c>
      <c r="S58" s="22">
        <v>-571</v>
      </c>
      <c r="T58" s="121">
        <v>-688</v>
      </c>
      <c r="U58" s="121">
        <v>-420</v>
      </c>
      <c r="V58" s="121">
        <v>627</v>
      </c>
      <c r="W58" s="106">
        <v>-253</v>
      </c>
      <c r="X58" s="121">
        <v>941</v>
      </c>
      <c r="Y58" s="121">
        <v>3311</v>
      </c>
      <c r="Z58" s="121">
        <v>3369</v>
      </c>
      <c r="AA58" s="121">
        <v>3629</v>
      </c>
      <c r="AB58" s="122">
        <v>18</v>
      </c>
      <c r="AC58" s="123">
        <v>18</v>
      </c>
      <c r="AD58" s="124">
        <v>18</v>
      </c>
      <c r="AE58" s="125">
        <v>18</v>
      </c>
      <c r="AF58" s="126">
        <v>18.5</v>
      </c>
      <c r="AG58" s="123">
        <v>18.5</v>
      </c>
      <c r="AH58" s="123">
        <v>18.5</v>
      </c>
      <c r="AI58" s="131">
        <v>18.5</v>
      </c>
      <c r="AJ58" s="131">
        <v>18.5</v>
      </c>
      <c r="AK58" s="22">
        <v>18.75</v>
      </c>
      <c r="AL58" s="128">
        <v>19</v>
      </c>
      <c r="AM58" s="128">
        <v>19</v>
      </c>
      <c r="AN58" s="128">
        <v>19.75</v>
      </c>
      <c r="AO58" s="77">
        <v>19.75</v>
      </c>
      <c r="AP58" s="77">
        <v>19.75</v>
      </c>
      <c r="AQ58" s="129">
        <v>19.75</v>
      </c>
      <c r="AR58" s="129">
        <v>19.75</v>
      </c>
      <c r="AS58" s="129">
        <v>19.75</v>
      </c>
      <c r="AT58" s="116">
        <v>6684</v>
      </c>
      <c r="AU58" s="47">
        <v>10623</v>
      </c>
      <c r="AV58" s="47">
        <v>46434</v>
      </c>
      <c r="AW58" s="46">
        <v>18851</v>
      </c>
      <c r="AX58" s="46">
        <v>18737</v>
      </c>
      <c r="AY58" s="92">
        <v>2269</v>
      </c>
      <c r="AZ58" s="47">
        <v>2040</v>
      </c>
      <c r="BA58" s="44">
        <v>1473</v>
      </c>
      <c r="BB58" s="23">
        <v>-3954</v>
      </c>
      <c r="BC58" s="47">
        <v>2340</v>
      </c>
      <c r="BD58" s="44">
        <v>2370</v>
      </c>
      <c r="BE58" s="47">
        <v>3311</v>
      </c>
      <c r="BF58" s="44">
        <v>18851</v>
      </c>
      <c r="BG58" s="46">
        <v>15697</v>
      </c>
      <c r="BH58" s="130">
        <v>1787</v>
      </c>
      <c r="BI58" s="46">
        <v>1367</v>
      </c>
      <c r="BJ58" s="129">
        <v>19.75</v>
      </c>
      <c r="BK58" s="44">
        <v>15848</v>
      </c>
      <c r="BL58" s="116">
        <v>6616</v>
      </c>
      <c r="BM58" s="47">
        <v>10449</v>
      </c>
      <c r="BN58" s="130">
        <v>47743</v>
      </c>
      <c r="BO58" s="46">
        <v>19356</v>
      </c>
      <c r="BP58" s="46">
        <v>19241</v>
      </c>
      <c r="BQ58" s="46">
        <v>386</v>
      </c>
      <c r="BR58" s="130">
        <v>1446</v>
      </c>
      <c r="BS58" s="44">
        <v>1419</v>
      </c>
      <c r="BT58" s="92">
        <v>-2272</v>
      </c>
      <c r="BU58" s="117">
        <v>58</v>
      </c>
      <c r="BV58" s="130">
        <v>3369</v>
      </c>
      <c r="BW58" s="48">
        <v>19356</v>
      </c>
      <c r="BX58" s="46">
        <v>15787</v>
      </c>
      <c r="BY58" s="130">
        <v>2057</v>
      </c>
      <c r="BZ58" s="46">
        <v>1512</v>
      </c>
      <c r="CA58" s="129">
        <v>19.75</v>
      </c>
      <c r="CB58" s="44">
        <v>15299</v>
      </c>
      <c r="CC58" s="116">
        <v>6548</v>
      </c>
      <c r="CD58" s="47">
        <v>7169</v>
      </c>
      <c r="CE58" s="130">
        <v>45254</v>
      </c>
      <c r="CF58" s="46">
        <v>19827</v>
      </c>
      <c r="CG58" s="46">
        <v>19937</v>
      </c>
      <c r="CH58" s="46">
        <v>581</v>
      </c>
      <c r="CI58" s="130">
        <v>1824</v>
      </c>
      <c r="CJ58" s="44">
        <v>1594</v>
      </c>
      <c r="CK58" s="117">
        <v>-3359</v>
      </c>
      <c r="CL58" s="117">
        <v>260</v>
      </c>
      <c r="CM58" s="117">
        <v>3629</v>
      </c>
      <c r="CN58" s="48">
        <v>19827</v>
      </c>
      <c r="CO58" s="46">
        <v>15887</v>
      </c>
      <c r="CP58" s="130">
        <v>2448</v>
      </c>
      <c r="CQ58" s="46">
        <v>1492</v>
      </c>
      <c r="CR58" s="129">
        <v>19.75</v>
      </c>
      <c r="CS58" s="44">
        <v>17248</v>
      </c>
      <c r="CT58">
        <v>6421</v>
      </c>
      <c r="CU58">
        <v>19218</v>
      </c>
      <c r="CV58">
        <v>21308</v>
      </c>
      <c r="CW58">
        <v>7789</v>
      </c>
      <c r="CX58">
        <v>549</v>
      </c>
      <c r="CY58">
        <v>15444</v>
      </c>
      <c r="CZ58">
        <v>2240</v>
      </c>
      <c r="DA58">
        <v>1534</v>
      </c>
      <c r="DB58">
        <v>3432</v>
      </c>
      <c r="DC58">
        <v>-2703</v>
      </c>
      <c r="DD58">
        <v>1938</v>
      </c>
      <c r="DE58">
        <v>17492</v>
      </c>
      <c r="DF58">
        <v>45110</v>
      </c>
      <c r="DG58">
        <v>1324</v>
      </c>
      <c r="DH58">
        <v>4953</v>
      </c>
      <c r="DI58">
        <v>19.75</v>
      </c>
      <c r="DJ58" s="174">
        <v>6334</v>
      </c>
      <c r="DK58" s="34">
        <v>19293</v>
      </c>
      <c r="DL58" s="34">
        <v>21780</v>
      </c>
      <c r="DM58">
        <v>4736</v>
      </c>
      <c r="DN58" s="173">
        <v>506</v>
      </c>
      <c r="DO58" s="34">
        <v>15240</v>
      </c>
      <c r="DP58" s="173">
        <v>2548</v>
      </c>
      <c r="DQ58" s="34">
        <v>1505</v>
      </c>
      <c r="DR58" s="173">
        <v>4022</v>
      </c>
      <c r="DS58" s="173">
        <v>-3155</v>
      </c>
      <c r="DT58">
        <v>3303</v>
      </c>
      <c r="DU58">
        <v>19657</v>
      </c>
      <c r="DV58" s="173">
        <v>42293</v>
      </c>
      <c r="DW58" s="173">
        <v>280</v>
      </c>
      <c r="DX58" s="173">
        <v>5233</v>
      </c>
      <c r="DY58" s="57">
        <v>19.75</v>
      </c>
      <c r="DZ58" s="184">
        <v>340</v>
      </c>
      <c r="EA58" s="116">
        <v>6225</v>
      </c>
      <c r="EB58" s="48">
        <v>19482</v>
      </c>
      <c r="EC58" s="46">
        <v>21548</v>
      </c>
      <c r="ED58" s="90">
        <v>4397</v>
      </c>
      <c r="EE58" s="186">
        <v>395</v>
      </c>
      <c r="EF58" s="46">
        <v>15564</v>
      </c>
      <c r="EG58" s="130">
        <v>2405</v>
      </c>
      <c r="EH58" s="46">
        <v>1513</v>
      </c>
      <c r="EI58" s="130">
        <v>1708</v>
      </c>
      <c r="EJ58" s="48">
        <v>-3838</v>
      </c>
      <c r="EK58" s="44">
        <v>1740</v>
      </c>
      <c r="EL58" s="44">
        <v>19200</v>
      </c>
      <c r="EM58" s="130">
        <v>44114</v>
      </c>
      <c r="EN58" s="117">
        <v>-153</v>
      </c>
      <c r="EO58" s="117">
        <v>5080</v>
      </c>
      <c r="EP58" s="129">
        <v>20.75</v>
      </c>
    </row>
    <row r="59" spans="1:146" ht="15" x14ac:dyDescent="0.25">
      <c r="A59" s="27">
        <v>179</v>
      </c>
      <c r="B59" s="27" t="s">
        <v>188</v>
      </c>
      <c r="C59" s="27">
        <v>13</v>
      </c>
      <c r="D59" s="27" t="s">
        <v>111</v>
      </c>
      <c r="E59" s="27">
        <v>7</v>
      </c>
      <c r="F59" s="27" t="s">
        <v>104</v>
      </c>
      <c r="G59" s="29" t="s">
        <v>141</v>
      </c>
      <c r="H59" s="27" t="s">
        <v>97</v>
      </c>
      <c r="I59" s="31" t="s">
        <v>111</v>
      </c>
      <c r="J59" s="118">
        <v>-2738.6040065727839</v>
      </c>
      <c r="K59" s="118">
        <v>-2363.8813064165374</v>
      </c>
      <c r="L59" s="118">
        <v>-7331.4799023837277</v>
      </c>
      <c r="M59" s="118">
        <v>-5184.2246452496165</v>
      </c>
      <c r="N59" s="22">
        <v>2116</v>
      </c>
      <c r="O59" s="119">
        <v>3689</v>
      </c>
      <c r="P59" s="119">
        <v>-13192</v>
      </c>
      <c r="Q59" s="120">
        <v>89494</v>
      </c>
      <c r="R59" s="22">
        <v>95254</v>
      </c>
      <c r="S59" s="22">
        <v>97260</v>
      </c>
      <c r="T59" s="121">
        <v>96458</v>
      </c>
      <c r="U59" s="121">
        <v>151686</v>
      </c>
      <c r="V59" s="121">
        <v>152129</v>
      </c>
      <c r="W59" s="106">
        <v>142333</v>
      </c>
      <c r="X59" s="121">
        <v>96338</v>
      </c>
      <c r="Y59" s="121">
        <v>58187</v>
      </c>
      <c r="Z59" s="121">
        <v>44933</v>
      </c>
      <c r="AA59" s="121">
        <v>32044</v>
      </c>
      <c r="AB59" s="122">
        <v>18</v>
      </c>
      <c r="AC59" s="123">
        <v>18</v>
      </c>
      <c r="AD59" s="124">
        <v>18</v>
      </c>
      <c r="AE59" s="125">
        <v>18</v>
      </c>
      <c r="AF59" s="126">
        <v>18.5</v>
      </c>
      <c r="AG59" s="123">
        <v>18.5</v>
      </c>
      <c r="AH59" s="123">
        <v>18.5</v>
      </c>
      <c r="AI59" s="127">
        <v>18.5</v>
      </c>
      <c r="AJ59" s="127">
        <v>18.5</v>
      </c>
      <c r="AK59" s="22">
        <v>18.5</v>
      </c>
      <c r="AL59" s="128">
        <v>18.5</v>
      </c>
      <c r="AM59" s="128">
        <v>18.5</v>
      </c>
      <c r="AN59" s="128">
        <v>19</v>
      </c>
      <c r="AO59" s="77">
        <v>19</v>
      </c>
      <c r="AP59" s="77">
        <v>19.5</v>
      </c>
      <c r="AQ59" s="129">
        <v>20</v>
      </c>
      <c r="AR59" s="129">
        <v>20</v>
      </c>
      <c r="AS59" s="129">
        <v>20</v>
      </c>
      <c r="AT59" s="116">
        <v>134658</v>
      </c>
      <c r="AU59" s="47">
        <v>169500</v>
      </c>
      <c r="AV59" s="47">
        <v>769504</v>
      </c>
      <c r="AW59" s="46">
        <v>478131</v>
      </c>
      <c r="AX59" s="46">
        <v>144277</v>
      </c>
      <c r="AY59" s="92">
        <v>11868</v>
      </c>
      <c r="AZ59" s="47">
        <v>34272</v>
      </c>
      <c r="BA59" s="44">
        <v>72759</v>
      </c>
      <c r="BB59" s="23">
        <v>-97645</v>
      </c>
      <c r="BC59" s="47">
        <v>-38487</v>
      </c>
      <c r="BD59" s="44">
        <v>-38151</v>
      </c>
      <c r="BE59" s="47">
        <v>58187</v>
      </c>
      <c r="BF59" s="44">
        <v>478131</v>
      </c>
      <c r="BG59" s="46">
        <v>422619</v>
      </c>
      <c r="BH59" s="130">
        <v>18165</v>
      </c>
      <c r="BI59" s="46">
        <v>37347</v>
      </c>
      <c r="BJ59" s="129">
        <v>20</v>
      </c>
      <c r="BK59" s="44">
        <v>396938</v>
      </c>
      <c r="BL59" s="116">
        <v>135780</v>
      </c>
      <c r="BM59" s="47">
        <v>172531</v>
      </c>
      <c r="BN59" s="130">
        <v>772129</v>
      </c>
      <c r="BO59" s="46">
        <v>483706</v>
      </c>
      <c r="BP59" s="46">
        <v>145078</v>
      </c>
      <c r="BQ59" s="46">
        <v>10406</v>
      </c>
      <c r="BR59" s="130">
        <v>39592</v>
      </c>
      <c r="BS59" s="44">
        <v>53183</v>
      </c>
      <c r="BT59" s="92">
        <v>-27291</v>
      </c>
      <c r="BU59" s="117">
        <v>-13254</v>
      </c>
      <c r="BV59" s="130">
        <v>44933</v>
      </c>
      <c r="BW59" s="48">
        <v>483706</v>
      </c>
      <c r="BX59" s="46">
        <v>423866</v>
      </c>
      <c r="BY59" s="130">
        <v>20441</v>
      </c>
      <c r="BZ59" s="46">
        <v>39399</v>
      </c>
      <c r="CA59" s="129">
        <v>20</v>
      </c>
      <c r="CB59" s="44">
        <v>406087</v>
      </c>
      <c r="CC59" s="116">
        <v>137368</v>
      </c>
      <c r="CD59" s="47">
        <v>175245</v>
      </c>
      <c r="CE59" s="130">
        <v>794652</v>
      </c>
      <c r="CF59" s="46">
        <v>490468</v>
      </c>
      <c r="CG59" s="46">
        <v>157402</v>
      </c>
      <c r="CH59" s="46">
        <v>16917</v>
      </c>
      <c r="CI59" s="130">
        <v>40814</v>
      </c>
      <c r="CJ59" s="44">
        <v>54036</v>
      </c>
      <c r="CK59" s="117">
        <v>-90962</v>
      </c>
      <c r="CL59" s="117">
        <v>-12888</v>
      </c>
      <c r="CM59" s="117">
        <v>32044</v>
      </c>
      <c r="CN59" s="48">
        <v>490468</v>
      </c>
      <c r="CO59" s="46">
        <v>426989</v>
      </c>
      <c r="CP59" s="130">
        <v>22523</v>
      </c>
      <c r="CQ59" s="46">
        <v>40956</v>
      </c>
      <c r="CR59" s="129">
        <v>20</v>
      </c>
      <c r="CS59" s="44">
        <v>402282</v>
      </c>
      <c r="CT59">
        <v>138850</v>
      </c>
      <c r="CU59">
        <v>507399</v>
      </c>
      <c r="CV59">
        <v>176723</v>
      </c>
      <c r="CW59">
        <v>187885</v>
      </c>
      <c r="CX59">
        <v>6994</v>
      </c>
      <c r="CY59">
        <v>439145</v>
      </c>
      <c r="CZ59">
        <v>21150</v>
      </c>
      <c r="DA59">
        <v>47104</v>
      </c>
      <c r="DB59">
        <v>59283</v>
      </c>
      <c r="DC59">
        <v>-24892</v>
      </c>
      <c r="DD59">
        <v>54862</v>
      </c>
      <c r="DE59">
        <v>393130</v>
      </c>
      <c r="DF59">
        <v>819718</v>
      </c>
      <c r="DG59">
        <v>4757</v>
      </c>
      <c r="DH59">
        <v>36801</v>
      </c>
      <c r="DI59">
        <v>20</v>
      </c>
      <c r="DJ59" s="174">
        <v>140188</v>
      </c>
      <c r="DK59" s="34">
        <v>514407</v>
      </c>
      <c r="DL59" s="34">
        <v>173337</v>
      </c>
      <c r="DM59">
        <v>173676</v>
      </c>
      <c r="DN59" s="173">
        <v>7065</v>
      </c>
      <c r="DO59" s="34">
        <v>440260</v>
      </c>
      <c r="DP59" s="173">
        <v>27051</v>
      </c>
      <c r="DQ59" s="34">
        <v>47096</v>
      </c>
      <c r="DR59" s="173">
        <v>67099</v>
      </c>
      <c r="DS59" s="173">
        <v>-27922</v>
      </c>
      <c r="DT59">
        <v>53588</v>
      </c>
      <c r="DU59">
        <v>365843</v>
      </c>
      <c r="DV59" s="173">
        <v>801386</v>
      </c>
      <c r="DW59" s="173">
        <v>13846</v>
      </c>
      <c r="DX59" s="173">
        <v>50647</v>
      </c>
      <c r="DY59" s="57">
        <v>20</v>
      </c>
      <c r="DZ59" s="184">
        <v>120</v>
      </c>
      <c r="EA59" s="116">
        <v>141305</v>
      </c>
      <c r="EB59" s="48">
        <v>513761</v>
      </c>
      <c r="EC59" s="46">
        <v>173454</v>
      </c>
      <c r="ED59" s="90">
        <v>175549</v>
      </c>
      <c r="EE59" s="186">
        <v>13387</v>
      </c>
      <c r="EF59" s="46">
        <v>438821</v>
      </c>
      <c r="EG59" s="130">
        <v>25942</v>
      </c>
      <c r="EH59" s="46">
        <v>48998</v>
      </c>
      <c r="EI59" s="130">
        <v>49052</v>
      </c>
      <c r="EJ59" s="48">
        <v>-47409</v>
      </c>
      <c r="EK59" s="44">
        <v>49087</v>
      </c>
      <c r="EL59" s="44">
        <v>341144</v>
      </c>
      <c r="EM59" s="130">
        <v>827099</v>
      </c>
      <c r="EN59" s="117">
        <v>300</v>
      </c>
      <c r="EO59" s="117">
        <v>51010</v>
      </c>
      <c r="EP59" s="129">
        <v>20</v>
      </c>
    </row>
    <row r="60" spans="1:146" ht="15" x14ac:dyDescent="0.25">
      <c r="A60" s="27">
        <v>181</v>
      </c>
      <c r="B60" s="27" t="s">
        <v>189</v>
      </c>
      <c r="C60" s="27">
        <v>4</v>
      </c>
      <c r="D60" s="27" t="s">
        <v>120</v>
      </c>
      <c r="E60" s="27">
        <v>1</v>
      </c>
      <c r="F60" s="27" t="s">
        <v>103</v>
      </c>
      <c r="G60" s="29" t="s">
        <v>130</v>
      </c>
      <c r="H60" s="27" t="s">
        <v>98</v>
      </c>
      <c r="I60" s="31" t="s">
        <v>120</v>
      </c>
      <c r="J60" s="118">
        <v>-25.228188969226654</v>
      </c>
      <c r="K60" s="118">
        <v>185.00671910766212</v>
      </c>
      <c r="L60" s="118">
        <v>-140.26873066890019</v>
      </c>
      <c r="M60" s="118">
        <v>-23.546309704611531</v>
      </c>
      <c r="N60" s="22">
        <v>319</v>
      </c>
      <c r="O60" s="119">
        <v>411</v>
      </c>
      <c r="P60" s="119">
        <v>445</v>
      </c>
      <c r="Q60" s="120">
        <v>44</v>
      </c>
      <c r="R60" s="22">
        <v>-98</v>
      </c>
      <c r="S60" s="22">
        <v>-530</v>
      </c>
      <c r="T60" s="121">
        <v>-721</v>
      </c>
      <c r="U60" s="121">
        <v>321</v>
      </c>
      <c r="V60" s="121">
        <v>0</v>
      </c>
      <c r="W60" s="106">
        <v>-478</v>
      </c>
      <c r="X60" s="121">
        <v>-844</v>
      </c>
      <c r="Y60" s="121">
        <v>-824</v>
      </c>
      <c r="Z60" s="121">
        <v>-991</v>
      </c>
      <c r="AA60" s="121">
        <v>-1088</v>
      </c>
      <c r="AB60" s="122">
        <v>19</v>
      </c>
      <c r="AC60" s="123">
        <v>19</v>
      </c>
      <c r="AD60" s="124">
        <v>19</v>
      </c>
      <c r="AE60" s="125">
        <v>19</v>
      </c>
      <c r="AF60" s="126">
        <v>19</v>
      </c>
      <c r="AG60" s="123">
        <v>19</v>
      </c>
      <c r="AH60" s="123">
        <v>19</v>
      </c>
      <c r="AI60" s="127">
        <v>19</v>
      </c>
      <c r="AJ60" s="127">
        <v>19</v>
      </c>
      <c r="AK60" s="22">
        <v>19</v>
      </c>
      <c r="AL60" s="128">
        <v>19.75</v>
      </c>
      <c r="AM60" s="128">
        <v>19.75</v>
      </c>
      <c r="AN60" s="128">
        <v>19.75</v>
      </c>
      <c r="AO60" s="77">
        <v>19.75</v>
      </c>
      <c r="AP60" s="77">
        <v>20.5</v>
      </c>
      <c r="AQ60" s="129">
        <v>20.5</v>
      </c>
      <c r="AR60" s="129">
        <v>21.5</v>
      </c>
      <c r="AS60" s="129">
        <v>21.5</v>
      </c>
      <c r="AT60" s="116">
        <v>1971</v>
      </c>
      <c r="AU60" s="47">
        <v>785</v>
      </c>
      <c r="AV60" s="47">
        <v>11915</v>
      </c>
      <c r="AW60" s="46">
        <v>5589</v>
      </c>
      <c r="AX60" s="46">
        <v>5933</v>
      </c>
      <c r="AY60" s="92">
        <v>3</v>
      </c>
      <c r="AZ60" s="47">
        <v>355</v>
      </c>
      <c r="BA60" s="44">
        <v>336</v>
      </c>
      <c r="BB60" s="23">
        <v>-597</v>
      </c>
      <c r="BC60" s="47">
        <v>19</v>
      </c>
      <c r="BD60" s="44">
        <v>19</v>
      </c>
      <c r="BE60" s="47">
        <v>-824</v>
      </c>
      <c r="BF60" s="44">
        <v>5589</v>
      </c>
      <c r="BG60" s="46">
        <v>5015</v>
      </c>
      <c r="BH60" s="130">
        <v>257</v>
      </c>
      <c r="BI60" s="46">
        <v>317</v>
      </c>
      <c r="BJ60" s="129">
        <v>20.5</v>
      </c>
      <c r="BK60" s="44">
        <v>3902</v>
      </c>
      <c r="BL60" s="116">
        <v>1997</v>
      </c>
      <c r="BM60" s="47">
        <v>724</v>
      </c>
      <c r="BN60" s="130">
        <v>11810</v>
      </c>
      <c r="BO60" s="46">
        <v>5546</v>
      </c>
      <c r="BP60" s="46">
        <v>5759</v>
      </c>
      <c r="BQ60" s="46">
        <v>6</v>
      </c>
      <c r="BR60" s="130">
        <v>181</v>
      </c>
      <c r="BS60" s="44">
        <v>348</v>
      </c>
      <c r="BT60" s="92">
        <v>-1179</v>
      </c>
      <c r="BU60" s="117">
        <v>-167</v>
      </c>
      <c r="BV60" s="130">
        <v>-991</v>
      </c>
      <c r="BW60" s="48">
        <v>5546</v>
      </c>
      <c r="BX60" s="46">
        <v>4917</v>
      </c>
      <c r="BY60" s="130">
        <v>268</v>
      </c>
      <c r="BZ60" s="46">
        <v>361</v>
      </c>
      <c r="CA60" s="129">
        <v>21.5</v>
      </c>
      <c r="CB60" s="44">
        <v>4741</v>
      </c>
      <c r="CC60" s="116">
        <v>1948</v>
      </c>
      <c r="CD60" s="47">
        <v>957</v>
      </c>
      <c r="CE60" s="130">
        <v>12177</v>
      </c>
      <c r="CF60" s="46">
        <v>5884</v>
      </c>
      <c r="CG60" s="46">
        <v>5630</v>
      </c>
      <c r="CH60" s="46">
        <v>9</v>
      </c>
      <c r="CI60" s="130">
        <v>257</v>
      </c>
      <c r="CJ60" s="44">
        <v>354</v>
      </c>
      <c r="CK60" s="117">
        <v>-360</v>
      </c>
      <c r="CL60" s="117">
        <v>-97</v>
      </c>
      <c r="CM60" s="117">
        <v>-1088</v>
      </c>
      <c r="CN60" s="48">
        <v>5884</v>
      </c>
      <c r="CO60" s="46">
        <v>5198</v>
      </c>
      <c r="CP60" s="130">
        <v>288</v>
      </c>
      <c r="CQ60" s="46">
        <v>398</v>
      </c>
      <c r="CR60" s="129">
        <v>21.5</v>
      </c>
      <c r="CS60" s="44">
        <v>4869</v>
      </c>
      <c r="CT60">
        <v>1915</v>
      </c>
      <c r="CU60">
        <v>5383</v>
      </c>
      <c r="CV60">
        <v>5725</v>
      </c>
      <c r="CW60">
        <v>700</v>
      </c>
      <c r="CX60">
        <v>2</v>
      </c>
      <c r="CY60">
        <v>4709</v>
      </c>
      <c r="CZ60">
        <v>273</v>
      </c>
      <c r="DA60">
        <v>401</v>
      </c>
      <c r="DB60">
        <v>-435</v>
      </c>
      <c r="DC60">
        <v>-318</v>
      </c>
      <c r="DD60">
        <v>364</v>
      </c>
      <c r="DE60">
        <v>5642</v>
      </c>
      <c r="DF60">
        <v>12207</v>
      </c>
      <c r="DG60">
        <v>-799</v>
      </c>
      <c r="DH60">
        <v>-1887</v>
      </c>
      <c r="DI60">
        <v>21.5</v>
      </c>
      <c r="DJ60" s="174">
        <v>1867</v>
      </c>
      <c r="DK60" s="34">
        <v>5705</v>
      </c>
      <c r="DL60" s="34">
        <v>5862</v>
      </c>
      <c r="DM60">
        <v>625</v>
      </c>
      <c r="DN60" s="173">
        <v>-33</v>
      </c>
      <c r="DO60" s="34">
        <v>5008</v>
      </c>
      <c r="DP60" s="173">
        <v>305</v>
      </c>
      <c r="DQ60" s="34">
        <v>392</v>
      </c>
      <c r="DR60" s="173">
        <v>306</v>
      </c>
      <c r="DS60" s="173">
        <v>-142</v>
      </c>
      <c r="DT60">
        <v>359</v>
      </c>
      <c r="DU60">
        <v>5876</v>
      </c>
      <c r="DV60" s="173">
        <v>11853</v>
      </c>
      <c r="DW60" s="173">
        <v>-53</v>
      </c>
      <c r="DX60" s="173">
        <v>-1941</v>
      </c>
      <c r="DY60" s="57">
        <v>22.5</v>
      </c>
      <c r="DZ60" s="184">
        <v>340</v>
      </c>
      <c r="EA60" s="116">
        <v>1809</v>
      </c>
      <c r="EB60" s="48">
        <v>5770</v>
      </c>
      <c r="EC60" s="46">
        <v>5535</v>
      </c>
      <c r="ED60" s="90">
        <v>722</v>
      </c>
      <c r="EE60" s="186">
        <v>381</v>
      </c>
      <c r="EF60" s="46">
        <v>4775</v>
      </c>
      <c r="EG60" s="130">
        <v>274</v>
      </c>
      <c r="EH60" s="46">
        <v>721</v>
      </c>
      <c r="EI60" s="130">
        <v>682</v>
      </c>
      <c r="EJ60" s="48">
        <v>268</v>
      </c>
      <c r="EK60" s="44">
        <v>349</v>
      </c>
      <c r="EL60" s="44">
        <v>4831</v>
      </c>
      <c r="EM60" s="130">
        <v>11318</v>
      </c>
      <c r="EN60" s="117">
        <v>741</v>
      </c>
      <c r="EO60" s="117">
        <v>-1125</v>
      </c>
      <c r="EP60" s="129">
        <v>22.5</v>
      </c>
    </row>
    <row r="61" spans="1:146" ht="15" x14ac:dyDescent="0.25">
      <c r="A61" s="27">
        <v>182</v>
      </c>
      <c r="B61" s="27" t="s">
        <v>190</v>
      </c>
      <c r="C61" s="27">
        <v>13</v>
      </c>
      <c r="D61" s="27" t="s">
        <v>111</v>
      </c>
      <c r="E61" s="27">
        <v>5</v>
      </c>
      <c r="F61" s="27" t="s">
        <v>101</v>
      </c>
      <c r="G61" s="29" t="s">
        <v>132</v>
      </c>
      <c r="H61" s="27" t="s">
        <v>99</v>
      </c>
      <c r="I61" s="31" t="s">
        <v>111</v>
      </c>
      <c r="J61" s="118">
        <v>-128.1591999636714</v>
      </c>
      <c r="K61" s="118">
        <v>-345.62618887840517</v>
      </c>
      <c r="L61" s="118">
        <v>772.48714623772014</v>
      </c>
      <c r="M61" s="118">
        <v>2439.2294974712945</v>
      </c>
      <c r="N61" s="22">
        <v>5512</v>
      </c>
      <c r="O61" s="119">
        <v>2305</v>
      </c>
      <c r="P61" s="119">
        <v>-2196</v>
      </c>
      <c r="Q61" s="120">
        <v>-2585</v>
      </c>
      <c r="R61" s="22">
        <v>-2010</v>
      </c>
      <c r="S61" s="22">
        <v>-7323</v>
      </c>
      <c r="T61" s="121">
        <v>5079</v>
      </c>
      <c r="U61" s="121">
        <v>1599</v>
      </c>
      <c r="V61" s="121">
        <v>6401</v>
      </c>
      <c r="W61" s="106">
        <v>4965</v>
      </c>
      <c r="X61" s="121">
        <v>-697</v>
      </c>
      <c r="Y61" s="121">
        <v>861</v>
      </c>
      <c r="Z61" s="121">
        <v>2979</v>
      </c>
      <c r="AA61" s="121">
        <v>4944</v>
      </c>
      <c r="AB61" s="122">
        <v>17.25</v>
      </c>
      <c r="AC61" s="123">
        <v>17.25</v>
      </c>
      <c r="AD61" s="124">
        <v>17.25</v>
      </c>
      <c r="AE61" s="125">
        <v>17.25</v>
      </c>
      <c r="AF61" s="126">
        <v>17.25</v>
      </c>
      <c r="AG61" s="123">
        <v>17.75</v>
      </c>
      <c r="AH61" s="123">
        <v>17.75</v>
      </c>
      <c r="AI61" s="127">
        <v>18.5</v>
      </c>
      <c r="AJ61" s="127">
        <v>19</v>
      </c>
      <c r="AK61" s="22">
        <v>19</v>
      </c>
      <c r="AL61" s="128">
        <v>19</v>
      </c>
      <c r="AM61" s="128">
        <v>19.5</v>
      </c>
      <c r="AN61" s="128">
        <v>21</v>
      </c>
      <c r="AO61" s="77">
        <v>21</v>
      </c>
      <c r="AP61" s="77">
        <v>21</v>
      </c>
      <c r="AQ61" s="129">
        <v>21</v>
      </c>
      <c r="AR61" s="129">
        <v>21</v>
      </c>
      <c r="AS61" s="129">
        <v>21</v>
      </c>
      <c r="AT61" s="116">
        <v>22138</v>
      </c>
      <c r="AU61" s="47">
        <v>38619</v>
      </c>
      <c r="AV61" s="47">
        <v>156652</v>
      </c>
      <c r="AW61" s="46">
        <v>83116</v>
      </c>
      <c r="AX61" s="46">
        <v>45371</v>
      </c>
      <c r="AY61" s="92">
        <v>371</v>
      </c>
      <c r="AZ61" s="47">
        <v>10117</v>
      </c>
      <c r="BA61" s="44">
        <v>8170</v>
      </c>
      <c r="BB61" s="23">
        <v>-4395</v>
      </c>
      <c r="BC61" s="47">
        <v>1310</v>
      </c>
      <c r="BD61" s="44">
        <v>1557</v>
      </c>
      <c r="BE61" s="47">
        <v>861</v>
      </c>
      <c r="BF61" s="44">
        <v>83116</v>
      </c>
      <c r="BG61" s="46">
        <v>73383</v>
      </c>
      <c r="BH61" s="130">
        <v>4932</v>
      </c>
      <c r="BI61" s="46">
        <v>4801</v>
      </c>
      <c r="BJ61" s="129">
        <v>21</v>
      </c>
      <c r="BK61" s="44">
        <v>43418</v>
      </c>
      <c r="BL61" s="116">
        <v>21808</v>
      </c>
      <c r="BM61" s="47">
        <v>39396</v>
      </c>
      <c r="BN61" s="130">
        <v>157789</v>
      </c>
      <c r="BO61" s="46">
        <v>85119</v>
      </c>
      <c r="BP61" s="46">
        <v>44570</v>
      </c>
      <c r="BQ61" s="46">
        <v>822</v>
      </c>
      <c r="BR61" s="130">
        <v>11467</v>
      </c>
      <c r="BS61" s="44">
        <v>9374</v>
      </c>
      <c r="BT61" s="92">
        <v>-9340</v>
      </c>
      <c r="BU61" s="117">
        <v>2118</v>
      </c>
      <c r="BV61" s="130">
        <v>2979</v>
      </c>
      <c r="BW61" s="48">
        <v>85119</v>
      </c>
      <c r="BX61" s="46">
        <v>72571</v>
      </c>
      <c r="BY61" s="130">
        <v>6816</v>
      </c>
      <c r="BZ61" s="46">
        <v>5732</v>
      </c>
      <c r="CA61" s="129">
        <v>21</v>
      </c>
      <c r="CB61" s="44">
        <v>33067</v>
      </c>
      <c r="CC61" s="116">
        <v>21542</v>
      </c>
      <c r="CD61" s="47">
        <v>40807</v>
      </c>
      <c r="CE61" s="130">
        <v>163308</v>
      </c>
      <c r="CF61" s="46">
        <v>87105</v>
      </c>
      <c r="CG61" s="46">
        <v>44619</v>
      </c>
      <c r="CH61" s="46">
        <v>1702</v>
      </c>
      <c r="CI61" s="130">
        <v>9915</v>
      </c>
      <c r="CJ61" s="44">
        <v>8197</v>
      </c>
      <c r="CK61" s="117">
        <v>-7589</v>
      </c>
      <c r="CL61" s="117">
        <v>1965</v>
      </c>
      <c r="CM61" s="117">
        <v>4944</v>
      </c>
      <c r="CN61" s="48">
        <v>87105</v>
      </c>
      <c r="CO61" s="46">
        <v>72040</v>
      </c>
      <c r="CP61" s="130">
        <v>9084</v>
      </c>
      <c r="CQ61" s="46">
        <v>5981</v>
      </c>
      <c r="CR61" s="129">
        <v>21</v>
      </c>
      <c r="CS61" s="44">
        <v>34823</v>
      </c>
      <c r="CT61">
        <v>21259</v>
      </c>
      <c r="CU61">
        <v>86941</v>
      </c>
      <c r="CV61">
        <v>45577</v>
      </c>
      <c r="CW61">
        <v>40018</v>
      </c>
      <c r="CX61">
        <v>608</v>
      </c>
      <c r="CY61">
        <v>71823</v>
      </c>
      <c r="CZ61">
        <v>8939</v>
      </c>
      <c r="DA61">
        <v>6179</v>
      </c>
      <c r="DB61">
        <v>7136</v>
      </c>
      <c r="DC61">
        <v>-8741</v>
      </c>
      <c r="DD61">
        <v>8825</v>
      </c>
      <c r="DE61">
        <v>37713</v>
      </c>
      <c r="DF61">
        <v>165512</v>
      </c>
      <c r="DG61">
        <v>-1412</v>
      </c>
      <c r="DH61">
        <v>3532</v>
      </c>
      <c r="DI61">
        <v>21</v>
      </c>
      <c r="DJ61" s="174">
        <v>20877</v>
      </c>
      <c r="DK61" s="34">
        <v>85413</v>
      </c>
      <c r="DL61" s="34">
        <v>43851</v>
      </c>
      <c r="DM61">
        <v>39436</v>
      </c>
      <c r="DN61" s="173">
        <v>579</v>
      </c>
      <c r="DO61" s="34">
        <v>69890</v>
      </c>
      <c r="DP61" s="173">
        <v>9416</v>
      </c>
      <c r="DQ61" s="34">
        <v>6107</v>
      </c>
      <c r="DR61" s="173">
        <v>5019</v>
      </c>
      <c r="DS61" s="173">
        <v>-7039</v>
      </c>
      <c r="DT61">
        <v>10786</v>
      </c>
      <c r="DU61">
        <v>43449</v>
      </c>
      <c r="DV61" s="173">
        <v>164260</v>
      </c>
      <c r="DW61" s="173">
        <v>-3280</v>
      </c>
      <c r="DX61" s="173">
        <v>252</v>
      </c>
      <c r="DY61" s="57">
        <v>21</v>
      </c>
      <c r="DZ61" s="184">
        <v>240</v>
      </c>
      <c r="EA61" s="116">
        <v>20607</v>
      </c>
      <c r="EB61" s="48">
        <v>84038</v>
      </c>
      <c r="EC61" s="46">
        <v>42252</v>
      </c>
      <c r="ED61" s="90">
        <v>42359</v>
      </c>
      <c r="EE61" s="186">
        <v>5537</v>
      </c>
      <c r="EF61" s="46">
        <v>69472</v>
      </c>
      <c r="EG61" s="130">
        <v>8479</v>
      </c>
      <c r="EH61" s="46">
        <v>6087</v>
      </c>
      <c r="EI61" s="130">
        <v>5319</v>
      </c>
      <c r="EJ61" s="48">
        <v>-1531</v>
      </c>
      <c r="EK61" s="44">
        <v>8183</v>
      </c>
      <c r="EL61" s="44">
        <v>42918</v>
      </c>
      <c r="EM61" s="130">
        <v>164615</v>
      </c>
      <c r="EN61" s="117">
        <v>1515</v>
      </c>
      <c r="EO61" s="117">
        <v>1766</v>
      </c>
      <c r="EP61" s="129">
        <v>21</v>
      </c>
    </row>
    <row r="62" spans="1:146" ht="15" x14ac:dyDescent="0.25">
      <c r="A62" s="27">
        <v>186</v>
      </c>
      <c r="B62" s="27" t="s">
        <v>191</v>
      </c>
      <c r="C62" s="27">
        <v>1</v>
      </c>
      <c r="D62" s="27" t="s">
        <v>121</v>
      </c>
      <c r="E62" s="27">
        <v>6</v>
      </c>
      <c r="F62" s="27" t="s">
        <v>102</v>
      </c>
      <c r="G62" s="29" t="s">
        <v>141</v>
      </c>
      <c r="H62" s="27" t="s">
        <v>97</v>
      </c>
      <c r="I62" s="31" t="s">
        <v>121</v>
      </c>
      <c r="J62" s="118">
        <v>7549.4514550778458</v>
      </c>
      <c r="K62" s="118">
        <v>8077.3933562405291</v>
      </c>
      <c r="L62" s="118">
        <v>2562.3430596411204</v>
      </c>
      <c r="M62" s="118">
        <v>1387.3822053810043</v>
      </c>
      <c r="N62" s="22">
        <v>15207</v>
      </c>
      <c r="O62" s="119">
        <v>17495</v>
      </c>
      <c r="P62" s="119">
        <v>25085</v>
      </c>
      <c r="Q62" s="120">
        <v>25781</v>
      </c>
      <c r="R62" s="22">
        <v>27971</v>
      </c>
      <c r="S62" s="22">
        <v>30025</v>
      </c>
      <c r="T62" s="121">
        <v>30114</v>
      </c>
      <c r="U62" s="121">
        <v>38499</v>
      </c>
      <c r="V62" s="121">
        <v>51467</v>
      </c>
      <c r="W62" s="106">
        <v>58732</v>
      </c>
      <c r="X62" s="121">
        <v>55228</v>
      </c>
      <c r="Y62" s="121">
        <v>54732</v>
      </c>
      <c r="Z62" s="121">
        <v>58087</v>
      </c>
      <c r="AA62" s="121">
        <v>53494</v>
      </c>
      <c r="AB62" s="122">
        <v>17.75</v>
      </c>
      <c r="AC62" s="123">
        <v>17.75</v>
      </c>
      <c r="AD62" s="124">
        <v>17.75</v>
      </c>
      <c r="AE62" s="125">
        <v>17.75</v>
      </c>
      <c r="AF62" s="126">
        <v>18.25</v>
      </c>
      <c r="AG62" s="123">
        <v>18.25</v>
      </c>
      <c r="AH62" s="123">
        <v>18.25</v>
      </c>
      <c r="AI62" s="131">
        <v>18.25</v>
      </c>
      <c r="AJ62" s="131">
        <v>18.25</v>
      </c>
      <c r="AK62" s="22">
        <v>18.25</v>
      </c>
      <c r="AL62" s="128">
        <v>18.25</v>
      </c>
      <c r="AM62" s="128">
        <v>19</v>
      </c>
      <c r="AN62" s="128">
        <v>19</v>
      </c>
      <c r="AO62" s="77">
        <v>19</v>
      </c>
      <c r="AP62" s="77">
        <v>19</v>
      </c>
      <c r="AQ62" s="129">
        <v>19</v>
      </c>
      <c r="AR62" s="129">
        <v>19.75</v>
      </c>
      <c r="AS62" s="129">
        <v>19.75</v>
      </c>
      <c r="AT62" s="116">
        <v>39953</v>
      </c>
      <c r="AU62" s="47">
        <v>47617</v>
      </c>
      <c r="AV62" s="47">
        <v>227595</v>
      </c>
      <c r="AW62" s="46">
        <v>166876</v>
      </c>
      <c r="AX62" s="46">
        <v>25647</v>
      </c>
      <c r="AY62" s="92">
        <v>428</v>
      </c>
      <c r="AZ62" s="47">
        <v>12855</v>
      </c>
      <c r="BA62" s="44">
        <v>12687</v>
      </c>
      <c r="BB62" s="23">
        <v>-14297</v>
      </c>
      <c r="BC62" s="47">
        <v>168</v>
      </c>
      <c r="BD62" s="44">
        <v>-496</v>
      </c>
      <c r="BE62" s="47">
        <v>54732</v>
      </c>
      <c r="BF62" s="44">
        <v>166876</v>
      </c>
      <c r="BG62" s="46">
        <v>152630</v>
      </c>
      <c r="BH62" s="130">
        <v>4206</v>
      </c>
      <c r="BI62" s="46">
        <v>10040</v>
      </c>
      <c r="BJ62" s="129">
        <v>19</v>
      </c>
      <c r="BK62" s="44">
        <v>45818</v>
      </c>
      <c r="BL62" s="116">
        <v>40390</v>
      </c>
      <c r="BM62" s="47">
        <v>46205</v>
      </c>
      <c r="BN62" s="130">
        <v>230285</v>
      </c>
      <c r="BO62" s="46">
        <v>173505</v>
      </c>
      <c r="BP62" s="46">
        <v>24459</v>
      </c>
      <c r="BQ62" s="46">
        <v>2727</v>
      </c>
      <c r="BR62" s="130">
        <v>14266</v>
      </c>
      <c r="BS62" s="44">
        <v>13371</v>
      </c>
      <c r="BT62" s="92">
        <v>-31414</v>
      </c>
      <c r="BU62" s="117">
        <v>3355</v>
      </c>
      <c r="BV62" s="130">
        <v>58087</v>
      </c>
      <c r="BW62" s="48">
        <v>173505</v>
      </c>
      <c r="BX62" s="46">
        <v>157015</v>
      </c>
      <c r="BY62" s="130">
        <v>4619</v>
      </c>
      <c r="BZ62" s="46">
        <v>11871</v>
      </c>
      <c r="CA62" s="129">
        <v>19.75</v>
      </c>
      <c r="CB62" s="44">
        <v>62637</v>
      </c>
      <c r="CC62" s="116">
        <v>40900</v>
      </c>
      <c r="CD62" s="47">
        <v>52885</v>
      </c>
      <c r="CE62" s="130">
        <v>242665</v>
      </c>
      <c r="CF62" s="46">
        <v>175502</v>
      </c>
      <c r="CG62" s="46">
        <v>23150</v>
      </c>
      <c r="CH62" s="46">
        <v>1465</v>
      </c>
      <c r="CI62" s="130">
        <v>9385</v>
      </c>
      <c r="CJ62" s="44">
        <v>15149</v>
      </c>
      <c r="CK62" s="117">
        <v>-12511</v>
      </c>
      <c r="CL62" s="117">
        <v>-4593</v>
      </c>
      <c r="CM62" s="117">
        <v>53494</v>
      </c>
      <c r="CN62" s="48">
        <v>175502</v>
      </c>
      <c r="CO62" s="46">
        <v>158708</v>
      </c>
      <c r="CP62" s="130">
        <v>4673</v>
      </c>
      <c r="CQ62" s="46">
        <v>12121</v>
      </c>
      <c r="CR62" s="129">
        <v>19.75</v>
      </c>
      <c r="CS62" s="44">
        <v>73500</v>
      </c>
      <c r="CT62">
        <v>41529</v>
      </c>
      <c r="CU62">
        <v>181486</v>
      </c>
      <c r="CV62">
        <v>27160</v>
      </c>
      <c r="CW62">
        <v>56600</v>
      </c>
      <c r="CX62">
        <v>589</v>
      </c>
      <c r="CY62">
        <v>164643</v>
      </c>
      <c r="CZ62">
        <v>4222</v>
      </c>
      <c r="DA62">
        <v>12621</v>
      </c>
      <c r="DB62">
        <v>16095</v>
      </c>
      <c r="DC62">
        <v>-11253</v>
      </c>
      <c r="DD62">
        <v>16116</v>
      </c>
      <c r="DE62">
        <v>79471</v>
      </c>
      <c r="DF62">
        <v>249740</v>
      </c>
      <c r="DG62">
        <v>208</v>
      </c>
      <c r="DH62">
        <v>53702</v>
      </c>
      <c r="DI62">
        <v>19.75</v>
      </c>
      <c r="DJ62" s="174">
        <v>42572</v>
      </c>
      <c r="DK62" s="34">
        <v>181900</v>
      </c>
      <c r="DL62" s="34">
        <v>25193</v>
      </c>
      <c r="DM62">
        <v>54339</v>
      </c>
      <c r="DN62" s="173">
        <v>911</v>
      </c>
      <c r="DO62" s="34">
        <v>163681</v>
      </c>
      <c r="DP62" s="173">
        <v>5316</v>
      </c>
      <c r="DQ62" s="34">
        <v>12903</v>
      </c>
      <c r="DR62" s="173">
        <v>15858</v>
      </c>
      <c r="DS62" s="173">
        <v>-14971</v>
      </c>
      <c r="DT62">
        <v>17617</v>
      </c>
      <c r="DU62">
        <v>91273</v>
      </c>
      <c r="DV62" s="173">
        <v>246357</v>
      </c>
      <c r="DW62" s="173">
        <v>306</v>
      </c>
      <c r="DX62" s="173">
        <v>54009</v>
      </c>
      <c r="DY62" s="57">
        <v>19.75</v>
      </c>
      <c r="DZ62" s="184">
        <v>110</v>
      </c>
      <c r="EA62" s="116">
        <v>43410</v>
      </c>
      <c r="EB62" s="48">
        <v>187816</v>
      </c>
      <c r="EC62" s="46">
        <v>27387</v>
      </c>
      <c r="ED62" s="90">
        <v>127520</v>
      </c>
      <c r="EE62" s="186">
        <v>1021</v>
      </c>
      <c r="EF62" s="46">
        <v>168830</v>
      </c>
      <c r="EG62" s="130">
        <v>5198</v>
      </c>
      <c r="EH62" s="46">
        <v>13788</v>
      </c>
      <c r="EI62" s="130">
        <v>10242</v>
      </c>
      <c r="EJ62" s="48">
        <v>-55982</v>
      </c>
      <c r="EK62" s="44">
        <v>22499</v>
      </c>
      <c r="EL62" s="44">
        <v>135667</v>
      </c>
      <c r="EM62" s="130">
        <v>333502</v>
      </c>
      <c r="EN62" s="117">
        <v>-12087</v>
      </c>
      <c r="EO62" s="117">
        <v>41920</v>
      </c>
      <c r="EP62" s="129">
        <v>19.75</v>
      </c>
    </row>
    <row r="63" spans="1:146" ht="15" x14ac:dyDescent="0.25">
      <c r="A63" s="27">
        <v>202</v>
      </c>
      <c r="B63" s="27" t="s">
        <v>192</v>
      </c>
      <c r="C63" s="27">
        <v>2</v>
      </c>
      <c r="D63" s="27" t="s">
        <v>122</v>
      </c>
      <c r="E63" s="27">
        <v>5</v>
      </c>
      <c r="F63" s="27" t="s">
        <v>101</v>
      </c>
      <c r="G63" s="29" t="s">
        <v>141</v>
      </c>
      <c r="H63" s="27" t="s">
        <v>97</v>
      </c>
      <c r="I63" s="31" t="s">
        <v>122</v>
      </c>
      <c r="J63" s="118">
        <v>-3649.1734404354047</v>
      </c>
      <c r="K63" s="118">
        <v>-3035.455696777351</v>
      </c>
      <c r="L63" s="118">
        <v>-3049.5834826001178</v>
      </c>
      <c r="M63" s="118">
        <v>-320.22981198271691</v>
      </c>
      <c r="N63" s="22">
        <v>10123</v>
      </c>
      <c r="O63" s="119">
        <v>11723</v>
      </c>
      <c r="P63" s="119">
        <v>10502</v>
      </c>
      <c r="Q63" s="120">
        <v>5053</v>
      </c>
      <c r="R63" s="22">
        <v>7051</v>
      </c>
      <c r="S63" s="22">
        <v>12312</v>
      </c>
      <c r="T63" s="121">
        <v>11954</v>
      </c>
      <c r="U63" s="121">
        <v>6732</v>
      </c>
      <c r="V63" s="121">
        <v>15829</v>
      </c>
      <c r="W63" s="106">
        <v>20931</v>
      </c>
      <c r="X63" s="121">
        <v>19735</v>
      </c>
      <c r="Y63" s="121">
        <v>23610</v>
      </c>
      <c r="Z63" s="121">
        <v>23338</v>
      </c>
      <c r="AA63" s="121">
        <v>22610</v>
      </c>
      <c r="AB63" s="122">
        <v>17.25</v>
      </c>
      <c r="AC63" s="123">
        <v>17.5</v>
      </c>
      <c r="AD63" s="124">
        <v>17.5</v>
      </c>
      <c r="AE63" s="125">
        <v>17.5</v>
      </c>
      <c r="AF63" s="126">
        <v>17.5</v>
      </c>
      <c r="AG63" s="123">
        <v>17.5</v>
      </c>
      <c r="AH63" s="123">
        <v>17.5</v>
      </c>
      <c r="AI63" s="127">
        <v>17.5</v>
      </c>
      <c r="AJ63" s="127">
        <v>18</v>
      </c>
      <c r="AK63" s="22">
        <v>18</v>
      </c>
      <c r="AL63" s="128">
        <v>18</v>
      </c>
      <c r="AM63" s="128">
        <v>18</v>
      </c>
      <c r="AN63" s="128">
        <v>18.5</v>
      </c>
      <c r="AO63" s="77">
        <v>18.5</v>
      </c>
      <c r="AP63" s="77">
        <v>18.5</v>
      </c>
      <c r="AQ63" s="129">
        <v>19</v>
      </c>
      <c r="AR63" s="129">
        <v>19</v>
      </c>
      <c r="AS63" s="129">
        <v>19.25</v>
      </c>
      <c r="AT63" s="116">
        <v>31798</v>
      </c>
      <c r="AU63" s="47">
        <v>30795</v>
      </c>
      <c r="AV63" s="47">
        <v>177850</v>
      </c>
      <c r="AW63" s="46">
        <v>128457</v>
      </c>
      <c r="AX63" s="46">
        <v>29364</v>
      </c>
      <c r="AY63" s="92">
        <v>586</v>
      </c>
      <c r="AZ63" s="47">
        <v>11352</v>
      </c>
      <c r="BA63" s="44">
        <v>7494</v>
      </c>
      <c r="BB63" s="23">
        <v>-6979</v>
      </c>
      <c r="BC63" s="47">
        <v>3858</v>
      </c>
      <c r="BD63" s="44">
        <v>3875</v>
      </c>
      <c r="BE63" s="47">
        <v>23610</v>
      </c>
      <c r="BF63" s="44">
        <v>128457</v>
      </c>
      <c r="BG63" s="46">
        <v>117808</v>
      </c>
      <c r="BH63" s="130">
        <v>4930</v>
      </c>
      <c r="BI63" s="46">
        <v>5719</v>
      </c>
      <c r="BJ63" s="129">
        <v>19</v>
      </c>
      <c r="BK63" s="44">
        <v>62077</v>
      </c>
      <c r="BL63" s="116">
        <v>32148</v>
      </c>
      <c r="BM63" s="47">
        <v>31213</v>
      </c>
      <c r="BN63" s="130">
        <v>180903</v>
      </c>
      <c r="BO63" s="46">
        <v>126692</v>
      </c>
      <c r="BP63" s="46">
        <v>29317</v>
      </c>
      <c r="BQ63" s="46">
        <v>1088</v>
      </c>
      <c r="BR63" s="130">
        <v>7407</v>
      </c>
      <c r="BS63" s="44">
        <v>7696</v>
      </c>
      <c r="BT63" s="92">
        <v>-10675</v>
      </c>
      <c r="BU63" s="117">
        <v>-272</v>
      </c>
      <c r="BV63" s="130">
        <v>23338</v>
      </c>
      <c r="BW63" s="48">
        <v>126692</v>
      </c>
      <c r="BX63" s="46">
        <v>115789</v>
      </c>
      <c r="BY63" s="130">
        <v>4746</v>
      </c>
      <c r="BZ63" s="46">
        <v>6157</v>
      </c>
      <c r="CA63" s="129">
        <v>19</v>
      </c>
      <c r="CB63" s="44">
        <v>56570</v>
      </c>
      <c r="CC63" s="116">
        <v>32590</v>
      </c>
      <c r="CD63" s="47">
        <v>32552</v>
      </c>
      <c r="CE63" s="130">
        <v>184769</v>
      </c>
      <c r="CF63" s="46">
        <v>129819</v>
      </c>
      <c r="CG63" s="46">
        <v>28403</v>
      </c>
      <c r="CH63" s="46">
        <v>1435</v>
      </c>
      <c r="CI63" s="130">
        <v>7132</v>
      </c>
      <c r="CJ63" s="44">
        <v>7877</v>
      </c>
      <c r="CK63" s="117">
        <v>-11434</v>
      </c>
      <c r="CL63" s="117">
        <v>-728</v>
      </c>
      <c r="CM63" s="117">
        <v>22610</v>
      </c>
      <c r="CN63" s="48">
        <v>129819</v>
      </c>
      <c r="CO63" s="46">
        <v>118694</v>
      </c>
      <c r="CP63" s="130">
        <v>4671</v>
      </c>
      <c r="CQ63" s="46">
        <v>6454</v>
      </c>
      <c r="CR63" s="129">
        <v>19.25</v>
      </c>
      <c r="CS63" s="44">
        <v>64114</v>
      </c>
      <c r="CT63">
        <v>32738</v>
      </c>
      <c r="CU63">
        <v>137017</v>
      </c>
      <c r="CV63">
        <v>30547</v>
      </c>
      <c r="CW63">
        <v>33402</v>
      </c>
      <c r="CX63">
        <v>993</v>
      </c>
      <c r="CY63">
        <v>126274</v>
      </c>
      <c r="CZ63">
        <v>4086</v>
      </c>
      <c r="DA63">
        <v>6657</v>
      </c>
      <c r="DB63">
        <v>13303</v>
      </c>
      <c r="DC63">
        <v>-9731</v>
      </c>
      <c r="DD63">
        <v>8221</v>
      </c>
      <c r="DE63">
        <v>63657</v>
      </c>
      <c r="DF63">
        <v>188656</v>
      </c>
      <c r="DG63">
        <v>4599</v>
      </c>
      <c r="DH63">
        <v>27209</v>
      </c>
      <c r="DI63">
        <v>19.25</v>
      </c>
      <c r="DJ63" s="174">
        <v>33099</v>
      </c>
      <c r="DK63" s="34">
        <v>137266</v>
      </c>
      <c r="DL63" s="34">
        <v>28774</v>
      </c>
      <c r="DM63">
        <v>34078</v>
      </c>
      <c r="DN63" s="173">
        <v>1185</v>
      </c>
      <c r="DO63" s="34">
        <v>125226</v>
      </c>
      <c r="DP63" s="173">
        <v>4979</v>
      </c>
      <c r="DQ63" s="34">
        <v>7061</v>
      </c>
      <c r="DR63" s="173">
        <v>13156</v>
      </c>
      <c r="DS63" s="173">
        <v>-17863</v>
      </c>
      <c r="DT63">
        <v>9145</v>
      </c>
      <c r="DU63">
        <v>69300</v>
      </c>
      <c r="DV63" s="173">
        <v>188147</v>
      </c>
      <c r="DW63" s="173">
        <v>4028</v>
      </c>
      <c r="DX63" s="173">
        <v>31238</v>
      </c>
      <c r="DY63" s="57">
        <v>19.75</v>
      </c>
      <c r="DZ63" s="184">
        <v>110</v>
      </c>
      <c r="EA63" s="116">
        <v>33458</v>
      </c>
      <c r="EB63" s="48">
        <v>139346</v>
      </c>
      <c r="EC63" s="46">
        <v>27618</v>
      </c>
      <c r="ED63" s="90">
        <v>33714</v>
      </c>
      <c r="EE63" s="186">
        <v>424</v>
      </c>
      <c r="EF63" s="46">
        <v>127265</v>
      </c>
      <c r="EG63" s="130">
        <v>4896</v>
      </c>
      <c r="EH63" s="46">
        <v>7185</v>
      </c>
      <c r="EI63" s="130">
        <v>4881</v>
      </c>
      <c r="EJ63" s="48">
        <v>-12156</v>
      </c>
      <c r="EK63" s="44">
        <v>8786</v>
      </c>
      <c r="EL63" s="44">
        <v>69234</v>
      </c>
      <c r="EM63" s="130">
        <v>196221</v>
      </c>
      <c r="EN63" s="117">
        <v>-3888</v>
      </c>
      <c r="EO63" s="117">
        <v>27350</v>
      </c>
      <c r="EP63" s="129">
        <v>19.75</v>
      </c>
    </row>
    <row r="64" spans="1:146" ht="15" x14ac:dyDescent="0.25">
      <c r="A64" s="27">
        <v>204</v>
      </c>
      <c r="B64" s="27" t="s">
        <v>193</v>
      </c>
      <c r="C64" s="27">
        <v>11</v>
      </c>
      <c r="D64" s="27" t="s">
        <v>118</v>
      </c>
      <c r="E64" s="27">
        <v>2</v>
      </c>
      <c r="F64" s="27" t="s">
        <v>744</v>
      </c>
      <c r="G64" s="29" t="s">
        <v>130</v>
      </c>
      <c r="H64" s="27" t="s">
        <v>98</v>
      </c>
      <c r="I64" s="31" t="s">
        <v>118</v>
      </c>
      <c r="J64" s="118">
        <v>-103.94013855321381</v>
      </c>
      <c r="K64" s="118">
        <v>24.219061410457588</v>
      </c>
      <c r="L64" s="118">
        <v>-1223.5671650074928</v>
      </c>
      <c r="M64" s="118">
        <v>-467.05787178361606</v>
      </c>
      <c r="N64" s="22">
        <v>-891</v>
      </c>
      <c r="O64" s="119">
        <v>-271</v>
      </c>
      <c r="P64" s="119">
        <v>-243</v>
      </c>
      <c r="Q64" s="120">
        <v>-652</v>
      </c>
      <c r="R64" s="22">
        <v>-811</v>
      </c>
      <c r="S64" s="22">
        <v>-652</v>
      </c>
      <c r="T64" s="121">
        <v>-568</v>
      </c>
      <c r="U64" s="121">
        <v>-1345</v>
      </c>
      <c r="V64" s="121">
        <v>-62</v>
      </c>
      <c r="W64" s="106">
        <v>-149</v>
      </c>
      <c r="X64" s="121">
        <v>-648</v>
      </c>
      <c r="Y64" s="121">
        <v>-419</v>
      </c>
      <c r="Z64" s="121">
        <v>162</v>
      </c>
      <c r="AA64" s="121">
        <v>478</v>
      </c>
      <c r="AB64" s="122">
        <v>18.5</v>
      </c>
      <c r="AC64" s="123">
        <v>18.5</v>
      </c>
      <c r="AD64" s="124">
        <v>18.5</v>
      </c>
      <c r="AE64" s="125">
        <v>18.5</v>
      </c>
      <c r="AF64" s="126">
        <v>18.5</v>
      </c>
      <c r="AG64" s="123">
        <v>18.5</v>
      </c>
      <c r="AH64" s="123">
        <v>18.5</v>
      </c>
      <c r="AI64" s="127">
        <v>19</v>
      </c>
      <c r="AJ64" s="127">
        <v>19</v>
      </c>
      <c r="AK64" s="22">
        <v>19</v>
      </c>
      <c r="AL64" s="128">
        <v>19.5</v>
      </c>
      <c r="AM64" s="128">
        <v>19.5</v>
      </c>
      <c r="AN64" s="128">
        <v>20</v>
      </c>
      <c r="AO64" s="77">
        <v>20</v>
      </c>
      <c r="AP64" s="77">
        <v>20.25</v>
      </c>
      <c r="AQ64" s="129">
        <v>20.5</v>
      </c>
      <c r="AR64" s="129">
        <v>20.5</v>
      </c>
      <c r="AS64" s="129">
        <v>21.25</v>
      </c>
      <c r="AT64" s="116">
        <v>3261</v>
      </c>
      <c r="AU64" s="47">
        <v>3365</v>
      </c>
      <c r="AV64" s="47">
        <v>23833</v>
      </c>
      <c r="AW64" s="46">
        <v>8498</v>
      </c>
      <c r="AX64" s="46">
        <v>12651</v>
      </c>
      <c r="AY64" s="92">
        <v>273</v>
      </c>
      <c r="AZ64" s="47">
        <v>802</v>
      </c>
      <c r="BA64" s="44">
        <v>688</v>
      </c>
      <c r="BB64" s="23">
        <v>-403</v>
      </c>
      <c r="BC64" s="47">
        <v>184</v>
      </c>
      <c r="BD64" s="44">
        <v>229</v>
      </c>
      <c r="BE64" s="47">
        <v>-419</v>
      </c>
      <c r="BF64" s="44">
        <v>8498</v>
      </c>
      <c r="BG64" s="46">
        <v>6993</v>
      </c>
      <c r="BH64" s="130">
        <v>698</v>
      </c>
      <c r="BI64" s="46">
        <v>807</v>
      </c>
      <c r="BJ64" s="129">
        <v>20.5</v>
      </c>
      <c r="BK64" s="44">
        <v>3832</v>
      </c>
      <c r="BL64" s="116">
        <v>3214</v>
      </c>
      <c r="BM64" s="47">
        <v>3277</v>
      </c>
      <c r="BN64" s="130">
        <v>24267</v>
      </c>
      <c r="BO64" s="46">
        <v>9084</v>
      </c>
      <c r="BP64" s="46">
        <v>12967</v>
      </c>
      <c r="BQ64" s="46">
        <v>183</v>
      </c>
      <c r="BR64" s="130">
        <v>1187</v>
      </c>
      <c r="BS64" s="44">
        <v>651</v>
      </c>
      <c r="BT64" s="92">
        <v>-659</v>
      </c>
      <c r="BU64" s="117">
        <v>581</v>
      </c>
      <c r="BV64" s="130">
        <v>162</v>
      </c>
      <c r="BW64" s="48">
        <v>9084</v>
      </c>
      <c r="BX64" s="46">
        <v>7354</v>
      </c>
      <c r="BY64" s="130">
        <v>834</v>
      </c>
      <c r="BZ64" s="46">
        <v>896</v>
      </c>
      <c r="CA64" s="129">
        <v>20.5</v>
      </c>
      <c r="CB64" s="44">
        <v>3267</v>
      </c>
      <c r="CC64" s="116">
        <v>3194</v>
      </c>
      <c r="CD64" s="47">
        <v>3474</v>
      </c>
      <c r="CE64" s="130">
        <v>24720</v>
      </c>
      <c r="CF64" s="46">
        <v>9268</v>
      </c>
      <c r="CG64" s="46">
        <v>12524</v>
      </c>
      <c r="CH64" s="46">
        <v>431</v>
      </c>
      <c r="CI64" s="130">
        <v>758</v>
      </c>
      <c r="CJ64" s="44">
        <v>709</v>
      </c>
      <c r="CK64" s="117">
        <v>-3112</v>
      </c>
      <c r="CL64" s="117">
        <v>316</v>
      </c>
      <c r="CM64" s="117">
        <v>478</v>
      </c>
      <c r="CN64" s="48">
        <v>9268</v>
      </c>
      <c r="CO64" s="46">
        <v>7342</v>
      </c>
      <c r="CP64" s="130">
        <v>949</v>
      </c>
      <c r="CQ64" s="46">
        <v>977</v>
      </c>
      <c r="CR64" s="129">
        <v>21.25</v>
      </c>
      <c r="CS64" s="44">
        <v>5698</v>
      </c>
      <c r="CT64">
        <v>3154</v>
      </c>
      <c r="CU64">
        <v>9193</v>
      </c>
      <c r="CV64">
        <v>12913</v>
      </c>
      <c r="CW64">
        <v>3462</v>
      </c>
      <c r="CX64">
        <v>204</v>
      </c>
      <c r="CY64">
        <v>7268</v>
      </c>
      <c r="CZ64">
        <v>839</v>
      </c>
      <c r="DA64">
        <v>1086</v>
      </c>
      <c r="DB64">
        <v>732</v>
      </c>
      <c r="DC64">
        <v>-3597</v>
      </c>
      <c r="DD64">
        <v>853</v>
      </c>
      <c r="DE64">
        <v>8422</v>
      </c>
      <c r="DF64">
        <v>24989</v>
      </c>
      <c r="DG64">
        <v>-108</v>
      </c>
      <c r="DH64">
        <v>370</v>
      </c>
      <c r="DI64">
        <v>21.25</v>
      </c>
      <c r="DJ64" s="174">
        <v>3048</v>
      </c>
      <c r="DK64" s="34">
        <v>9034</v>
      </c>
      <c r="DL64" s="34">
        <v>12679</v>
      </c>
      <c r="DM64">
        <v>3331</v>
      </c>
      <c r="DN64" s="173">
        <v>75</v>
      </c>
      <c r="DO64" s="34">
        <v>6988</v>
      </c>
      <c r="DP64" s="173">
        <v>1051</v>
      </c>
      <c r="DQ64" s="34">
        <v>995</v>
      </c>
      <c r="DR64" s="173">
        <v>188</v>
      </c>
      <c r="DS64" s="173">
        <v>-514</v>
      </c>
      <c r="DT64">
        <v>783</v>
      </c>
      <c r="DU64">
        <v>8746</v>
      </c>
      <c r="DV64" s="173">
        <v>24931</v>
      </c>
      <c r="DW64" s="173">
        <v>-583</v>
      </c>
      <c r="DX64" s="173">
        <v>-213</v>
      </c>
      <c r="DY64" s="57">
        <v>21.25</v>
      </c>
      <c r="DZ64" s="184">
        <v>340</v>
      </c>
      <c r="EA64" s="116">
        <v>2990</v>
      </c>
      <c r="EB64" s="48">
        <v>9219</v>
      </c>
      <c r="EC64" s="46">
        <v>12893</v>
      </c>
      <c r="ED64" s="90">
        <v>3269</v>
      </c>
      <c r="EE64" s="186">
        <v>87</v>
      </c>
      <c r="EF64" s="46">
        <v>7148</v>
      </c>
      <c r="EG64" s="130">
        <v>967</v>
      </c>
      <c r="EH64" s="46">
        <v>1104</v>
      </c>
      <c r="EI64" s="130">
        <v>486</v>
      </c>
      <c r="EJ64" s="48">
        <v>478</v>
      </c>
      <c r="EK64" s="44">
        <v>776</v>
      </c>
      <c r="EL64" s="44">
        <v>7982</v>
      </c>
      <c r="EM64" s="130">
        <v>24982</v>
      </c>
      <c r="EN64" s="117">
        <v>-277</v>
      </c>
      <c r="EO64" s="117">
        <v>-490</v>
      </c>
      <c r="EP64" s="129">
        <v>21.75</v>
      </c>
    </row>
    <row r="65" spans="1:146" ht="15" x14ac:dyDescent="0.25">
      <c r="A65" s="27">
        <v>205</v>
      </c>
      <c r="B65" s="27" t="s">
        <v>194</v>
      </c>
      <c r="C65" s="27">
        <v>18</v>
      </c>
      <c r="D65" s="27" t="s">
        <v>108</v>
      </c>
      <c r="E65" s="27">
        <v>5</v>
      </c>
      <c r="F65" s="27" t="s">
        <v>101</v>
      </c>
      <c r="G65" s="29" t="s">
        <v>141</v>
      </c>
      <c r="H65" s="27" t="s">
        <v>97</v>
      </c>
      <c r="I65" s="31" t="s">
        <v>108</v>
      </c>
      <c r="J65" s="118">
        <v>-13997.440179759255</v>
      </c>
      <c r="K65" s="118">
        <v>-18062.374174407516</v>
      </c>
      <c r="L65" s="118">
        <v>-4655.9463682340102</v>
      </c>
      <c r="M65" s="118">
        <v>-7348.2986950298782</v>
      </c>
      <c r="N65" s="22">
        <v>967</v>
      </c>
      <c r="O65" s="119">
        <v>-3790</v>
      </c>
      <c r="P65" s="119">
        <v>-10111</v>
      </c>
      <c r="Q65" s="120">
        <v>-13381</v>
      </c>
      <c r="R65" s="22">
        <v>-15483</v>
      </c>
      <c r="S65" s="22">
        <v>-18355</v>
      </c>
      <c r="T65" s="121">
        <v>-14165</v>
      </c>
      <c r="U65" s="121">
        <v>-19850</v>
      </c>
      <c r="V65" s="121">
        <v>-13288</v>
      </c>
      <c r="W65" s="106">
        <v>-15722</v>
      </c>
      <c r="X65" s="121">
        <v>-15439</v>
      </c>
      <c r="Y65" s="121">
        <v>77280</v>
      </c>
      <c r="Z65" s="121">
        <v>80652</v>
      </c>
      <c r="AA65" s="121">
        <v>73687</v>
      </c>
      <c r="AB65" s="122">
        <v>18.25</v>
      </c>
      <c r="AC65" s="123">
        <v>18.25</v>
      </c>
      <c r="AD65" s="124">
        <v>18.25</v>
      </c>
      <c r="AE65" s="125">
        <v>18.25</v>
      </c>
      <c r="AF65" s="126">
        <v>18.75</v>
      </c>
      <c r="AG65" s="123">
        <v>18.75</v>
      </c>
      <c r="AH65" s="123">
        <v>18.75</v>
      </c>
      <c r="AI65" s="131">
        <v>18.75</v>
      </c>
      <c r="AJ65" s="131">
        <v>19</v>
      </c>
      <c r="AK65" s="22">
        <v>19</v>
      </c>
      <c r="AL65" s="128">
        <v>19</v>
      </c>
      <c r="AM65" s="128">
        <v>19</v>
      </c>
      <c r="AN65" s="128">
        <v>20</v>
      </c>
      <c r="AO65" s="77">
        <v>20</v>
      </c>
      <c r="AP65" s="77">
        <v>20</v>
      </c>
      <c r="AQ65" s="129">
        <v>21</v>
      </c>
      <c r="AR65" s="129">
        <v>21</v>
      </c>
      <c r="AS65" s="129">
        <v>21</v>
      </c>
      <c r="AT65" s="116">
        <v>37868</v>
      </c>
      <c r="AU65" s="47">
        <v>51588</v>
      </c>
      <c r="AV65" s="47">
        <v>281015</v>
      </c>
      <c r="AW65" s="46">
        <v>135261</v>
      </c>
      <c r="AX65" s="46">
        <v>113163</v>
      </c>
      <c r="AY65" s="92">
        <v>83982</v>
      </c>
      <c r="AZ65" s="47">
        <v>23573</v>
      </c>
      <c r="BA65" s="44">
        <v>13278</v>
      </c>
      <c r="BB65" s="23">
        <v>36433</v>
      </c>
      <c r="BC65" s="47">
        <v>89661</v>
      </c>
      <c r="BD65" s="44">
        <v>90329</v>
      </c>
      <c r="BE65" s="47">
        <v>77280</v>
      </c>
      <c r="BF65" s="44">
        <v>135261</v>
      </c>
      <c r="BG65" s="46">
        <v>121014</v>
      </c>
      <c r="BH65" s="130">
        <v>5201</v>
      </c>
      <c r="BI65" s="46">
        <v>9046</v>
      </c>
      <c r="BJ65" s="129">
        <v>21</v>
      </c>
      <c r="BK65" s="44">
        <v>82384</v>
      </c>
      <c r="BL65" s="116">
        <v>37791</v>
      </c>
      <c r="BM65" s="47">
        <v>49790</v>
      </c>
      <c r="BN65" s="130">
        <v>271896</v>
      </c>
      <c r="BO65" s="46">
        <v>137144</v>
      </c>
      <c r="BP65" s="46">
        <v>99420</v>
      </c>
      <c r="BQ65" s="46">
        <v>5293</v>
      </c>
      <c r="BR65" s="130">
        <v>19751</v>
      </c>
      <c r="BS65" s="44">
        <v>13037</v>
      </c>
      <c r="BT65" s="92">
        <v>-9901</v>
      </c>
      <c r="BU65" s="117">
        <v>5207</v>
      </c>
      <c r="BV65" s="130">
        <v>80652</v>
      </c>
      <c r="BW65" s="48">
        <v>137144</v>
      </c>
      <c r="BX65" s="46">
        <v>121533</v>
      </c>
      <c r="BY65" s="130">
        <v>5767</v>
      </c>
      <c r="BZ65" s="46">
        <v>9844</v>
      </c>
      <c r="CA65" s="129">
        <v>21</v>
      </c>
      <c r="CB65" s="44">
        <v>73067</v>
      </c>
      <c r="CC65" s="116">
        <v>37622</v>
      </c>
      <c r="CD65" s="47">
        <v>50124</v>
      </c>
      <c r="CE65" s="130">
        <v>280901</v>
      </c>
      <c r="CF65" s="46">
        <v>138123</v>
      </c>
      <c r="CG65" s="46">
        <v>99516</v>
      </c>
      <c r="CH65" s="46">
        <v>5881</v>
      </c>
      <c r="CI65" s="130">
        <v>11724</v>
      </c>
      <c r="CJ65" s="44">
        <v>13351</v>
      </c>
      <c r="CK65" s="117">
        <v>-25743</v>
      </c>
      <c r="CL65" s="117">
        <v>-965</v>
      </c>
      <c r="CM65" s="117">
        <v>73687</v>
      </c>
      <c r="CN65" s="48">
        <v>138123</v>
      </c>
      <c r="CO65" s="46">
        <v>122195</v>
      </c>
      <c r="CP65" s="130">
        <v>6127</v>
      </c>
      <c r="CQ65" s="46">
        <v>9801</v>
      </c>
      <c r="CR65" s="129">
        <v>21</v>
      </c>
      <c r="CS65" s="44">
        <v>90143</v>
      </c>
      <c r="CT65">
        <v>37521</v>
      </c>
      <c r="CU65">
        <v>137133</v>
      </c>
      <c r="CV65">
        <v>104927</v>
      </c>
      <c r="CW65">
        <v>47991</v>
      </c>
      <c r="CX65">
        <v>5325</v>
      </c>
      <c r="CY65">
        <v>122245</v>
      </c>
      <c r="CZ65">
        <v>5118</v>
      </c>
      <c r="DA65">
        <v>9770</v>
      </c>
      <c r="DB65">
        <v>15178</v>
      </c>
      <c r="DC65">
        <v>-32690</v>
      </c>
      <c r="DD65">
        <v>13624</v>
      </c>
      <c r="DE65">
        <v>110372</v>
      </c>
      <c r="DF65">
        <v>280198</v>
      </c>
      <c r="DG65">
        <v>2118</v>
      </c>
      <c r="DH65">
        <v>78455</v>
      </c>
      <c r="DI65">
        <v>21</v>
      </c>
      <c r="DJ65" s="174">
        <v>37239</v>
      </c>
      <c r="DK65" s="34">
        <v>138654</v>
      </c>
      <c r="DL65" s="34">
        <v>102583</v>
      </c>
      <c r="DM65">
        <v>51082</v>
      </c>
      <c r="DN65" s="173">
        <v>3928</v>
      </c>
      <c r="DO65" s="34">
        <v>122933</v>
      </c>
      <c r="DP65" s="173">
        <v>5736</v>
      </c>
      <c r="DQ65" s="34">
        <v>9985</v>
      </c>
      <c r="DR65" s="173">
        <v>12890</v>
      </c>
      <c r="DS65" s="173">
        <v>-21505</v>
      </c>
      <c r="DT65">
        <v>15654</v>
      </c>
      <c r="DU65">
        <v>118627</v>
      </c>
      <c r="DV65" s="173">
        <v>283357</v>
      </c>
      <c r="DW65" s="173">
        <v>-980</v>
      </c>
      <c r="DX65" s="173">
        <v>69564</v>
      </c>
      <c r="DY65" s="57">
        <v>21</v>
      </c>
      <c r="DZ65" s="184">
        <v>130</v>
      </c>
      <c r="EA65" s="116">
        <v>36973</v>
      </c>
      <c r="EB65" s="48">
        <v>135606</v>
      </c>
      <c r="EC65" s="46">
        <v>103186</v>
      </c>
      <c r="ED65" s="90">
        <v>45115</v>
      </c>
      <c r="EE65" s="186">
        <v>4232</v>
      </c>
      <c r="EF65" s="46">
        <v>120067</v>
      </c>
      <c r="EG65" s="130">
        <v>5397</v>
      </c>
      <c r="EH65" s="46">
        <v>10142</v>
      </c>
      <c r="EI65" s="130">
        <v>1562</v>
      </c>
      <c r="EJ65" s="48">
        <v>-18819</v>
      </c>
      <c r="EK65" s="44">
        <v>14882</v>
      </c>
      <c r="EL65" s="44">
        <v>126450</v>
      </c>
      <c r="EM65" s="130">
        <v>286577</v>
      </c>
      <c r="EN65" s="117">
        <v>-12244</v>
      </c>
      <c r="EO65" s="117">
        <v>57320</v>
      </c>
      <c r="EP65" s="129">
        <v>21</v>
      </c>
    </row>
    <row r="66" spans="1:146" ht="15" x14ac:dyDescent="0.25">
      <c r="A66" s="27">
        <v>208</v>
      </c>
      <c r="B66" s="27" t="s">
        <v>195</v>
      </c>
      <c r="C66" s="27">
        <v>17</v>
      </c>
      <c r="D66" s="27" t="s">
        <v>117</v>
      </c>
      <c r="E66" s="27">
        <v>4</v>
      </c>
      <c r="F66" s="27" t="s">
        <v>100</v>
      </c>
      <c r="G66" s="29" t="s">
        <v>132</v>
      </c>
      <c r="H66" s="27" t="s">
        <v>99</v>
      </c>
      <c r="I66" s="31" t="s">
        <v>117</v>
      </c>
      <c r="J66" s="118">
        <v>1035.8694390764465</v>
      </c>
      <c r="K66" s="118">
        <v>2835.4802522146142</v>
      </c>
      <c r="L66" s="118">
        <v>656.43747697927756</v>
      </c>
      <c r="M66" s="118">
        <v>947.06621390476857</v>
      </c>
      <c r="N66" s="22">
        <v>3170</v>
      </c>
      <c r="O66" s="119">
        <v>3282</v>
      </c>
      <c r="P66" s="119">
        <v>4952</v>
      </c>
      <c r="Q66" s="120">
        <v>4631</v>
      </c>
      <c r="R66" s="22">
        <v>4383</v>
      </c>
      <c r="S66" s="22">
        <v>6823</v>
      </c>
      <c r="T66" s="121">
        <v>6430</v>
      </c>
      <c r="U66" s="121">
        <v>6616</v>
      </c>
      <c r="V66" s="121">
        <v>8220</v>
      </c>
      <c r="W66" s="106">
        <v>10660</v>
      </c>
      <c r="X66" s="121">
        <v>11382</v>
      </c>
      <c r="Y66" s="121">
        <v>11922</v>
      </c>
      <c r="Z66" s="121">
        <v>16012</v>
      </c>
      <c r="AA66" s="121">
        <v>18382</v>
      </c>
      <c r="AB66" s="122">
        <v>18.5</v>
      </c>
      <c r="AC66" s="123">
        <v>18.5</v>
      </c>
      <c r="AD66" s="124">
        <v>18</v>
      </c>
      <c r="AE66" s="125">
        <v>18</v>
      </c>
      <c r="AF66" s="126">
        <v>18</v>
      </c>
      <c r="AG66" s="123">
        <v>18</v>
      </c>
      <c r="AH66" s="123">
        <v>18.5</v>
      </c>
      <c r="AI66" s="127">
        <v>18.5</v>
      </c>
      <c r="AJ66" s="127">
        <v>18.5</v>
      </c>
      <c r="AK66" s="22">
        <v>18.5</v>
      </c>
      <c r="AL66" s="128">
        <v>18.5</v>
      </c>
      <c r="AM66" s="128">
        <v>18.5</v>
      </c>
      <c r="AN66" s="128">
        <v>19</v>
      </c>
      <c r="AO66" s="77">
        <v>19</v>
      </c>
      <c r="AP66" s="77">
        <v>19.5</v>
      </c>
      <c r="AQ66" s="129">
        <v>19.5</v>
      </c>
      <c r="AR66" s="129">
        <v>19.5</v>
      </c>
      <c r="AS66" s="129">
        <v>20</v>
      </c>
      <c r="AT66" s="116">
        <v>12644</v>
      </c>
      <c r="AU66" s="47">
        <v>24143</v>
      </c>
      <c r="AV66" s="47">
        <v>83824</v>
      </c>
      <c r="AW66" s="46">
        <v>35447</v>
      </c>
      <c r="AX66" s="46">
        <v>28891</v>
      </c>
      <c r="AY66" s="92">
        <v>465</v>
      </c>
      <c r="AZ66" s="47">
        <v>4949</v>
      </c>
      <c r="BA66" s="44">
        <v>4482</v>
      </c>
      <c r="BB66" s="23">
        <v>-6944</v>
      </c>
      <c r="BC66" s="47">
        <v>467</v>
      </c>
      <c r="BD66" s="44">
        <v>540</v>
      </c>
      <c r="BE66" s="47">
        <v>11922</v>
      </c>
      <c r="BF66" s="44">
        <v>35447</v>
      </c>
      <c r="BG66" s="46">
        <v>31542</v>
      </c>
      <c r="BH66" s="130">
        <v>1943</v>
      </c>
      <c r="BI66" s="46">
        <v>1962</v>
      </c>
      <c r="BJ66" s="129">
        <v>19.5</v>
      </c>
      <c r="BK66" s="44">
        <v>36438</v>
      </c>
      <c r="BL66" s="116">
        <v>12632</v>
      </c>
      <c r="BM66" s="47">
        <v>24573</v>
      </c>
      <c r="BN66" s="130">
        <v>83775</v>
      </c>
      <c r="BO66" s="46">
        <v>36666</v>
      </c>
      <c r="BP66" s="46">
        <v>29439</v>
      </c>
      <c r="BQ66" s="46">
        <v>2860</v>
      </c>
      <c r="BR66" s="130">
        <v>7517</v>
      </c>
      <c r="BS66" s="44">
        <v>5646</v>
      </c>
      <c r="BT66" s="92">
        <v>-5885</v>
      </c>
      <c r="BU66" s="117">
        <v>4090</v>
      </c>
      <c r="BV66" s="130">
        <v>16012</v>
      </c>
      <c r="BW66" s="48">
        <v>36666</v>
      </c>
      <c r="BX66" s="46">
        <v>32145</v>
      </c>
      <c r="BY66" s="130">
        <v>2298</v>
      </c>
      <c r="BZ66" s="46">
        <v>2223</v>
      </c>
      <c r="CA66" s="129">
        <v>19.5</v>
      </c>
      <c r="CB66" s="44">
        <v>33542</v>
      </c>
      <c r="CC66" s="116">
        <v>12621</v>
      </c>
      <c r="CD66" s="47">
        <v>21869</v>
      </c>
      <c r="CE66" s="130">
        <v>83325</v>
      </c>
      <c r="CF66" s="46">
        <v>38461</v>
      </c>
      <c r="CG66" s="46">
        <v>29439</v>
      </c>
      <c r="CH66" s="46">
        <v>899</v>
      </c>
      <c r="CI66" s="130">
        <v>6793</v>
      </c>
      <c r="CJ66" s="44">
        <v>5007</v>
      </c>
      <c r="CK66" s="117">
        <v>-5010</v>
      </c>
      <c r="CL66" s="117">
        <v>2278</v>
      </c>
      <c r="CM66" s="117">
        <v>18382</v>
      </c>
      <c r="CN66" s="48">
        <v>38461</v>
      </c>
      <c r="CO66" s="46">
        <v>32831</v>
      </c>
      <c r="CP66" s="130">
        <v>2933</v>
      </c>
      <c r="CQ66" s="46">
        <v>2697</v>
      </c>
      <c r="CR66" s="129">
        <v>20</v>
      </c>
      <c r="CS66" s="44">
        <v>32666</v>
      </c>
      <c r="CT66">
        <v>12586</v>
      </c>
      <c r="CU66">
        <v>39098</v>
      </c>
      <c r="CV66">
        <v>30722</v>
      </c>
      <c r="CW66">
        <v>21748</v>
      </c>
      <c r="CX66">
        <v>101</v>
      </c>
      <c r="CY66">
        <v>33344</v>
      </c>
      <c r="CZ66">
        <v>2720</v>
      </c>
      <c r="DA66">
        <v>3034</v>
      </c>
      <c r="DB66">
        <v>5865</v>
      </c>
      <c r="DC66">
        <v>-5515</v>
      </c>
      <c r="DD66">
        <v>6117</v>
      </c>
      <c r="DE66">
        <v>32599</v>
      </c>
      <c r="DF66">
        <v>85727</v>
      </c>
      <c r="DG66">
        <v>-198</v>
      </c>
      <c r="DH66">
        <v>18185</v>
      </c>
      <c r="DI66">
        <v>20</v>
      </c>
      <c r="DJ66" s="174">
        <v>12516</v>
      </c>
      <c r="DK66" s="34">
        <v>38755</v>
      </c>
      <c r="DL66" s="34">
        <v>30189</v>
      </c>
      <c r="DM66">
        <v>21805</v>
      </c>
      <c r="DN66" s="173">
        <v>1519</v>
      </c>
      <c r="DO66" s="34">
        <v>32482</v>
      </c>
      <c r="DP66" s="173">
        <v>2716</v>
      </c>
      <c r="DQ66" s="34">
        <v>3557</v>
      </c>
      <c r="DR66" s="173">
        <v>4778</v>
      </c>
      <c r="DS66" s="173">
        <v>-6962</v>
      </c>
      <c r="DT66">
        <v>5503</v>
      </c>
      <c r="DU66">
        <v>36309</v>
      </c>
      <c r="DV66" s="173">
        <v>86584</v>
      </c>
      <c r="DW66" s="173">
        <v>235</v>
      </c>
      <c r="DX66" s="173">
        <v>18287</v>
      </c>
      <c r="DY66" s="57">
        <v>20</v>
      </c>
      <c r="DZ66" s="184">
        <v>230</v>
      </c>
      <c r="EA66" s="116">
        <v>12387</v>
      </c>
      <c r="EB66" s="48">
        <v>39005</v>
      </c>
      <c r="EC66" s="46">
        <v>30873</v>
      </c>
      <c r="ED66" s="90">
        <v>22001</v>
      </c>
      <c r="EE66" s="186">
        <v>419</v>
      </c>
      <c r="EF66" s="46">
        <v>31797</v>
      </c>
      <c r="EG66" s="130">
        <v>2129</v>
      </c>
      <c r="EH66" s="46">
        <v>5079</v>
      </c>
      <c r="EI66" s="130">
        <v>6119</v>
      </c>
      <c r="EJ66" s="48">
        <v>-12881</v>
      </c>
      <c r="EK66" s="44">
        <v>7189</v>
      </c>
      <c r="EL66" s="44">
        <v>43830</v>
      </c>
      <c r="EM66" s="130">
        <v>86179</v>
      </c>
      <c r="EN66" s="117">
        <v>-1016</v>
      </c>
      <c r="EO66" s="117">
        <v>17271</v>
      </c>
      <c r="EP66" s="129">
        <v>20</v>
      </c>
    </row>
    <row r="67" spans="1:146" ht="15" x14ac:dyDescent="0.25">
      <c r="A67" s="27">
        <v>211</v>
      </c>
      <c r="B67" s="27" t="s">
        <v>196</v>
      </c>
      <c r="C67" s="27">
        <v>6</v>
      </c>
      <c r="D67" s="27" t="s">
        <v>114</v>
      </c>
      <c r="E67" s="27">
        <v>5</v>
      </c>
      <c r="F67" s="27" t="s">
        <v>101</v>
      </c>
      <c r="G67" s="29" t="s">
        <v>141</v>
      </c>
      <c r="H67" s="27" t="s">
        <v>97</v>
      </c>
      <c r="I67" s="31" t="s">
        <v>114</v>
      </c>
      <c r="J67" s="118">
        <v>-1052.6882317225975</v>
      </c>
      <c r="K67" s="118">
        <v>119.07705193474976</v>
      </c>
      <c r="L67" s="118">
        <v>1090.0259513970529</v>
      </c>
      <c r="M67" s="118">
        <v>3024.6916694838146</v>
      </c>
      <c r="N67" s="22">
        <v>10969</v>
      </c>
      <c r="O67" s="119">
        <v>12063</v>
      </c>
      <c r="P67" s="119">
        <v>17623</v>
      </c>
      <c r="Q67" s="120">
        <v>16954</v>
      </c>
      <c r="R67" s="22">
        <v>14545</v>
      </c>
      <c r="S67" s="22">
        <v>15235</v>
      </c>
      <c r="T67" s="121">
        <v>15104</v>
      </c>
      <c r="U67" s="121">
        <v>27112</v>
      </c>
      <c r="V67" s="121">
        <v>34766</v>
      </c>
      <c r="W67" s="106">
        <v>40110</v>
      </c>
      <c r="X67" s="121">
        <v>38851</v>
      </c>
      <c r="Y67" s="121">
        <v>45237</v>
      </c>
      <c r="Z67" s="121">
        <v>43495</v>
      </c>
      <c r="AA67" s="121">
        <v>49165</v>
      </c>
      <c r="AB67" s="122">
        <v>17.75</v>
      </c>
      <c r="AC67" s="123">
        <v>17.75</v>
      </c>
      <c r="AD67" s="124">
        <v>17.75</v>
      </c>
      <c r="AE67" s="125">
        <v>17.75</v>
      </c>
      <c r="AF67" s="126">
        <v>17.75</v>
      </c>
      <c r="AG67" s="123">
        <v>17.75</v>
      </c>
      <c r="AH67" s="123">
        <v>18.25</v>
      </c>
      <c r="AI67" s="127">
        <v>18.25</v>
      </c>
      <c r="AJ67" s="127">
        <v>18.25</v>
      </c>
      <c r="AK67" s="22">
        <v>19</v>
      </c>
      <c r="AL67" s="128">
        <v>19</v>
      </c>
      <c r="AM67" s="128">
        <v>19.5</v>
      </c>
      <c r="AN67" s="128">
        <v>20</v>
      </c>
      <c r="AO67" s="77">
        <v>20</v>
      </c>
      <c r="AP67" s="77">
        <v>20</v>
      </c>
      <c r="AQ67" s="129">
        <v>20</v>
      </c>
      <c r="AR67" s="129">
        <v>20.5</v>
      </c>
      <c r="AS67" s="129">
        <v>21</v>
      </c>
      <c r="AT67" s="116">
        <v>30345</v>
      </c>
      <c r="AU67" s="47">
        <v>48287</v>
      </c>
      <c r="AV67" s="47">
        <v>182548</v>
      </c>
      <c r="AW67" s="46">
        <v>114831</v>
      </c>
      <c r="AX67" s="46">
        <v>34846</v>
      </c>
      <c r="AY67" s="92">
        <v>4608</v>
      </c>
      <c r="AZ67" s="47">
        <v>16204</v>
      </c>
      <c r="BA67" s="44">
        <v>12505</v>
      </c>
      <c r="BB67" s="23">
        <v>-18804</v>
      </c>
      <c r="BC67" s="47">
        <v>6408</v>
      </c>
      <c r="BD67" s="44">
        <v>6422</v>
      </c>
      <c r="BE67" s="47">
        <v>45237</v>
      </c>
      <c r="BF67" s="44">
        <v>114831</v>
      </c>
      <c r="BG67" s="46">
        <v>105966</v>
      </c>
      <c r="BH67" s="130">
        <v>2698</v>
      </c>
      <c r="BI67" s="46">
        <v>6167</v>
      </c>
      <c r="BJ67" s="129">
        <v>20</v>
      </c>
      <c r="BK67" s="44">
        <v>63704</v>
      </c>
      <c r="BL67" s="116">
        <v>30471</v>
      </c>
      <c r="BM67" s="47">
        <v>43841</v>
      </c>
      <c r="BN67" s="130">
        <v>184538</v>
      </c>
      <c r="BO67" s="46">
        <v>115742</v>
      </c>
      <c r="BP67" s="46">
        <v>34596</v>
      </c>
      <c r="BQ67" s="46">
        <v>2514</v>
      </c>
      <c r="BR67" s="130">
        <v>10848</v>
      </c>
      <c r="BS67" s="44">
        <v>12600</v>
      </c>
      <c r="BT67" s="92">
        <v>-18035</v>
      </c>
      <c r="BU67" s="117">
        <v>-1742</v>
      </c>
      <c r="BV67" s="130">
        <v>43495</v>
      </c>
      <c r="BW67" s="48">
        <v>115742</v>
      </c>
      <c r="BX67" s="46">
        <v>105852</v>
      </c>
      <c r="BY67" s="130">
        <v>3242</v>
      </c>
      <c r="BZ67" s="46">
        <v>6648</v>
      </c>
      <c r="CA67" s="129">
        <v>20.5</v>
      </c>
      <c r="CB67" s="44">
        <v>66139</v>
      </c>
      <c r="CC67" s="116">
        <v>30607</v>
      </c>
      <c r="CD67" s="47">
        <v>47337</v>
      </c>
      <c r="CE67" s="130">
        <v>187851</v>
      </c>
      <c r="CF67" s="46">
        <v>121621</v>
      </c>
      <c r="CG67" s="46">
        <v>35982</v>
      </c>
      <c r="CH67" s="46">
        <v>2727</v>
      </c>
      <c r="CI67" s="130">
        <v>18366</v>
      </c>
      <c r="CJ67" s="44">
        <v>12707</v>
      </c>
      <c r="CK67" s="117">
        <v>-12995</v>
      </c>
      <c r="CL67" s="117">
        <v>5669</v>
      </c>
      <c r="CM67" s="117">
        <v>49165</v>
      </c>
      <c r="CN67" s="48">
        <v>121621</v>
      </c>
      <c r="CO67" s="46">
        <v>111088</v>
      </c>
      <c r="CP67" s="130">
        <v>3781</v>
      </c>
      <c r="CQ67" s="46">
        <v>6752</v>
      </c>
      <c r="CR67" s="129">
        <v>21</v>
      </c>
      <c r="CS67" s="44">
        <v>62333</v>
      </c>
      <c r="CT67">
        <v>31190</v>
      </c>
      <c r="CU67">
        <v>124960</v>
      </c>
      <c r="CV67">
        <v>38585</v>
      </c>
      <c r="CW67">
        <v>45541</v>
      </c>
      <c r="CX67">
        <v>1691</v>
      </c>
      <c r="CY67">
        <v>114489</v>
      </c>
      <c r="CZ67">
        <v>3536</v>
      </c>
      <c r="DA67">
        <v>6935</v>
      </c>
      <c r="DB67">
        <v>21641</v>
      </c>
      <c r="DC67">
        <v>-17143</v>
      </c>
      <c r="DD67">
        <v>12848</v>
      </c>
      <c r="DE67">
        <v>61953</v>
      </c>
      <c r="DF67">
        <v>187885</v>
      </c>
      <c r="DG67">
        <v>2014</v>
      </c>
      <c r="DH67">
        <v>51179</v>
      </c>
      <c r="DI67">
        <v>21</v>
      </c>
      <c r="DJ67" s="174">
        <v>31437</v>
      </c>
      <c r="DK67" s="34">
        <v>128741</v>
      </c>
      <c r="DL67" s="34">
        <v>38279</v>
      </c>
      <c r="DM67">
        <v>43579</v>
      </c>
      <c r="DN67" s="173">
        <v>1895</v>
      </c>
      <c r="DO67" s="34">
        <v>117566</v>
      </c>
      <c r="DP67" s="173">
        <v>4095</v>
      </c>
      <c r="DQ67" s="34">
        <v>7080</v>
      </c>
      <c r="DR67" s="173">
        <v>25130</v>
      </c>
      <c r="DS67" s="173">
        <v>-11743</v>
      </c>
      <c r="DT67">
        <v>13403</v>
      </c>
      <c r="DU67">
        <v>53582</v>
      </c>
      <c r="DV67" s="173">
        <v>187364</v>
      </c>
      <c r="DW67" s="173">
        <v>3734</v>
      </c>
      <c r="DX67" s="173">
        <v>54913</v>
      </c>
      <c r="DY67" s="57">
        <v>21</v>
      </c>
      <c r="DZ67" s="184">
        <v>120</v>
      </c>
      <c r="EA67" s="116">
        <v>31676</v>
      </c>
      <c r="EB67" s="48">
        <v>125371</v>
      </c>
      <c r="EC67" s="46">
        <v>37444</v>
      </c>
      <c r="ED67" s="90">
        <v>44427</v>
      </c>
      <c r="EE67" s="186">
        <v>1142</v>
      </c>
      <c r="EF67" s="46">
        <v>114129</v>
      </c>
      <c r="EG67" s="130">
        <v>4094</v>
      </c>
      <c r="EH67" s="46">
        <v>7148</v>
      </c>
      <c r="EI67" s="130">
        <v>8005</v>
      </c>
      <c r="EJ67" s="48">
        <v>-19115</v>
      </c>
      <c r="EK67" s="44">
        <v>11827</v>
      </c>
      <c r="EL67" s="44">
        <v>47983</v>
      </c>
      <c r="EM67" s="130">
        <v>200379</v>
      </c>
      <c r="EN67" s="117">
        <v>-1615</v>
      </c>
      <c r="EO67" s="117">
        <v>53297</v>
      </c>
      <c r="EP67" s="129">
        <v>21</v>
      </c>
    </row>
    <row r="68" spans="1:146" ht="15" x14ac:dyDescent="0.25">
      <c r="A68" s="27">
        <v>213</v>
      </c>
      <c r="B68" s="27" t="s">
        <v>197</v>
      </c>
      <c r="C68" s="27">
        <v>10</v>
      </c>
      <c r="D68" s="27" t="s">
        <v>107</v>
      </c>
      <c r="E68" s="27">
        <v>3</v>
      </c>
      <c r="F68" s="27" t="s">
        <v>743</v>
      </c>
      <c r="G68" s="29" t="s">
        <v>130</v>
      </c>
      <c r="H68" s="27" t="s">
        <v>98</v>
      </c>
      <c r="I68" s="31" t="s">
        <v>107</v>
      </c>
      <c r="J68" s="106">
        <v>-27.246444086764786</v>
      </c>
      <c r="K68" s="106">
        <v>-160.95584562366605</v>
      </c>
      <c r="L68" s="106">
        <v>-1289.6650201068667</v>
      </c>
      <c r="M68" s="106">
        <v>-796.70620764817772</v>
      </c>
      <c r="N68" s="106">
        <v>114</v>
      </c>
      <c r="O68" s="106">
        <v>-318</v>
      </c>
      <c r="P68" s="106">
        <v>71</v>
      </c>
      <c r="Q68" s="106">
        <v>-1071</v>
      </c>
      <c r="R68" s="106">
        <v>-1025</v>
      </c>
      <c r="S68" s="106">
        <v>-669</v>
      </c>
      <c r="T68" s="106">
        <v>16</v>
      </c>
      <c r="U68" s="106">
        <v>1192</v>
      </c>
      <c r="V68" s="106">
        <v>3104</v>
      </c>
      <c r="W68" s="106">
        <v>3369</v>
      </c>
      <c r="X68" s="106">
        <v>3948</v>
      </c>
      <c r="Y68" s="106">
        <v>5051</v>
      </c>
      <c r="Z68" s="106">
        <v>5119</v>
      </c>
      <c r="AA68" s="106">
        <v>5142</v>
      </c>
      <c r="AB68" s="107">
        <v>17.5</v>
      </c>
      <c r="AC68" s="108">
        <v>17.75</v>
      </c>
      <c r="AD68" s="109">
        <v>18</v>
      </c>
      <c r="AE68" s="110">
        <v>18</v>
      </c>
      <c r="AF68" s="111">
        <v>18</v>
      </c>
      <c r="AG68" s="108">
        <v>18.25</v>
      </c>
      <c r="AH68" s="108">
        <v>18.25</v>
      </c>
      <c r="AI68" s="141">
        <v>18.25</v>
      </c>
      <c r="AJ68" s="141">
        <v>18.75</v>
      </c>
      <c r="AK68" s="113">
        <v>19</v>
      </c>
      <c r="AL68" s="142">
        <v>19</v>
      </c>
      <c r="AM68" s="142">
        <v>19</v>
      </c>
      <c r="AN68" s="142">
        <v>19.5</v>
      </c>
      <c r="AO68" s="77">
        <v>19.5</v>
      </c>
      <c r="AP68" s="77">
        <v>19.5</v>
      </c>
      <c r="AQ68" s="129">
        <v>20</v>
      </c>
      <c r="AR68" s="129">
        <v>20</v>
      </c>
      <c r="AS68" s="129">
        <v>20</v>
      </c>
      <c r="AT68" s="116">
        <v>5801</v>
      </c>
      <c r="AU68" s="47">
        <v>5177</v>
      </c>
      <c r="AV68" s="47">
        <v>40118</v>
      </c>
      <c r="AW68" s="46">
        <v>16865</v>
      </c>
      <c r="AX68" s="46">
        <v>19893</v>
      </c>
      <c r="AY68" s="92">
        <v>667</v>
      </c>
      <c r="AZ68" s="47">
        <v>1975</v>
      </c>
      <c r="BA68" s="44">
        <v>1332</v>
      </c>
      <c r="BB68" s="23">
        <v>-1517</v>
      </c>
      <c r="BC68" s="47">
        <v>1102</v>
      </c>
      <c r="BD68" s="44">
        <v>1102</v>
      </c>
      <c r="BE68" s="47">
        <v>5051</v>
      </c>
      <c r="BF68" s="44">
        <v>16865</v>
      </c>
      <c r="BG68" s="46">
        <v>13617</v>
      </c>
      <c r="BH68" s="130">
        <v>1839</v>
      </c>
      <c r="BI68" s="46">
        <v>1409</v>
      </c>
      <c r="BJ68" s="129">
        <v>20</v>
      </c>
      <c r="BK68" s="44">
        <v>11410</v>
      </c>
      <c r="BL68" s="116">
        <v>5693</v>
      </c>
      <c r="BM68" s="47">
        <v>5391</v>
      </c>
      <c r="BN68" s="130">
        <v>41478</v>
      </c>
      <c r="BO68" s="46">
        <v>17550</v>
      </c>
      <c r="BP68" s="46">
        <v>19867</v>
      </c>
      <c r="BQ68" s="46">
        <v>154</v>
      </c>
      <c r="BR68" s="130">
        <v>1459</v>
      </c>
      <c r="BS68" s="44">
        <v>1391</v>
      </c>
      <c r="BT68" s="92">
        <v>-2392</v>
      </c>
      <c r="BU68" s="117">
        <v>68</v>
      </c>
      <c r="BV68" s="130">
        <v>5119</v>
      </c>
      <c r="BW68" s="48">
        <v>17550</v>
      </c>
      <c r="BX68" s="46">
        <v>13865</v>
      </c>
      <c r="BY68" s="130">
        <v>2134</v>
      </c>
      <c r="BZ68" s="46">
        <v>1551</v>
      </c>
      <c r="CA68" s="129">
        <v>20</v>
      </c>
      <c r="CB68" s="44">
        <v>12158</v>
      </c>
      <c r="CC68" s="116">
        <v>5628</v>
      </c>
      <c r="CD68" s="47">
        <v>5413</v>
      </c>
      <c r="CE68" s="130">
        <v>40731</v>
      </c>
      <c r="CF68" s="46">
        <v>18092</v>
      </c>
      <c r="CG68" s="46">
        <v>19138</v>
      </c>
      <c r="CH68" s="46">
        <v>241</v>
      </c>
      <c r="CI68" s="130">
        <v>2001</v>
      </c>
      <c r="CJ68" s="44">
        <v>1978</v>
      </c>
      <c r="CK68" s="117">
        <v>-5908</v>
      </c>
      <c r="CL68" s="117">
        <v>23</v>
      </c>
      <c r="CM68" s="117">
        <v>5142</v>
      </c>
      <c r="CN68" s="48">
        <v>18092</v>
      </c>
      <c r="CO68" s="46">
        <v>13713</v>
      </c>
      <c r="CP68" s="130">
        <v>2655</v>
      </c>
      <c r="CQ68" s="46">
        <v>1724</v>
      </c>
      <c r="CR68" s="129">
        <v>20</v>
      </c>
      <c r="CS68" s="44">
        <v>17490</v>
      </c>
      <c r="CT68">
        <v>5603</v>
      </c>
      <c r="CU68">
        <v>17730</v>
      </c>
      <c r="CV68">
        <v>19577</v>
      </c>
      <c r="CW68">
        <v>5391</v>
      </c>
      <c r="CX68">
        <v>138</v>
      </c>
      <c r="CY68">
        <v>13457</v>
      </c>
      <c r="CZ68">
        <v>2528</v>
      </c>
      <c r="DA68">
        <v>1745</v>
      </c>
      <c r="DB68">
        <v>2140</v>
      </c>
      <c r="DC68">
        <v>-3674</v>
      </c>
      <c r="DD68">
        <v>1721</v>
      </c>
      <c r="DE68">
        <v>22330</v>
      </c>
      <c r="DF68">
        <v>40600</v>
      </c>
      <c r="DG68">
        <v>419</v>
      </c>
      <c r="DH68">
        <v>5561</v>
      </c>
      <c r="DI68">
        <v>20</v>
      </c>
      <c r="DJ68" s="174">
        <v>5549</v>
      </c>
      <c r="DK68" s="34">
        <v>18685</v>
      </c>
      <c r="DL68" s="34">
        <v>18676</v>
      </c>
      <c r="DM68">
        <v>2951</v>
      </c>
      <c r="DN68" s="173">
        <v>169</v>
      </c>
      <c r="DO68" s="34">
        <v>14031</v>
      </c>
      <c r="DP68" s="173">
        <v>2828</v>
      </c>
      <c r="DQ68" s="34">
        <v>1826</v>
      </c>
      <c r="DR68" s="173">
        <v>2960</v>
      </c>
      <c r="DS68" s="173">
        <v>-1952</v>
      </c>
      <c r="DT68">
        <v>1758</v>
      </c>
      <c r="DU68">
        <v>21828</v>
      </c>
      <c r="DV68" s="173">
        <v>37521</v>
      </c>
      <c r="DW68" s="173">
        <v>1202</v>
      </c>
      <c r="DX68" s="173">
        <v>6763</v>
      </c>
      <c r="DY68" s="57">
        <v>20.75</v>
      </c>
      <c r="DZ68" s="184">
        <v>340</v>
      </c>
      <c r="EA68" s="116">
        <v>5452</v>
      </c>
      <c r="EB68" s="48">
        <v>18064</v>
      </c>
      <c r="EC68" s="46">
        <v>18116</v>
      </c>
      <c r="ED68" s="90">
        <v>2946</v>
      </c>
      <c r="EE68" s="186">
        <v>65</v>
      </c>
      <c r="EF68" s="46">
        <v>13689</v>
      </c>
      <c r="EG68" s="130">
        <v>2568</v>
      </c>
      <c r="EH68" s="46">
        <v>1807</v>
      </c>
      <c r="EI68" s="130">
        <v>887</v>
      </c>
      <c r="EJ68" s="48">
        <v>-1647</v>
      </c>
      <c r="EK68" s="44">
        <v>1669</v>
      </c>
      <c r="EL68" s="44">
        <v>21350</v>
      </c>
      <c r="EM68" s="130">
        <v>38304</v>
      </c>
      <c r="EN68" s="117">
        <v>-782</v>
      </c>
      <c r="EO68" s="117">
        <v>5980</v>
      </c>
      <c r="EP68" s="129">
        <v>20.75</v>
      </c>
    </row>
    <row r="69" spans="1:146" ht="15" x14ac:dyDescent="0.25">
      <c r="A69" s="27">
        <v>214</v>
      </c>
      <c r="B69" s="27" t="s">
        <v>198</v>
      </c>
      <c r="C69" s="27">
        <v>4</v>
      </c>
      <c r="D69" s="27" t="s">
        <v>120</v>
      </c>
      <c r="E69" s="27">
        <v>4</v>
      </c>
      <c r="F69" s="27" t="s">
        <v>100</v>
      </c>
      <c r="G69" s="29" t="s">
        <v>132</v>
      </c>
      <c r="H69" s="27" t="s">
        <v>99</v>
      </c>
      <c r="I69" s="31" t="s">
        <v>120</v>
      </c>
      <c r="J69" s="118">
        <v>-845.81708217493895</v>
      </c>
      <c r="K69" s="118">
        <v>-1890.768669280307</v>
      </c>
      <c r="L69" s="118">
        <v>-1537.7422116375953</v>
      </c>
      <c r="M69" s="118">
        <v>-2744.4905839989369</v>
      </c>
      <c r="N69" s="22">
        <v>513</v>
      </c>
      <c r="O69" s="119">
        <v>796</v>
      </c>
      <c r="P69" s="119">
        <v>2601</v>
      </c>
      <c r="Q69" s="120">
        <v>2048</v>
      </c>
      <c r="R69" s="22">
        <v>304</v>
      </c>
      <c r="S69" s="22">
        <v>-2914</v>
      </c>
      <c r="T69" s="121">
        <v>-3605</v>
      </c>
      <c r="U69" s="121">
        <v>-340</v>
      </c>
      <c r="V69" s="121">
        <v>1879</v>
      </c>
      <c r="W69" s="106">
        <v>-939</v>
      </c>
      <c r="X69" s="121">
        <v>558</v>
      </c>
      <c r="Y69" s="121">
        <v>-572</v>
      </c>
      <c r="Z69" s="121">
        <v>532</v>
      </c>
      <c r="AA69" s="121">
        <v>825</v>
      </c>
      <c r="AB69" s="122">
        <v>18.5</v>
      </c>
      <c r="AC69" s="123">
        <v>18.5</v>
      </c>
      <c r="AD69" s="124">
        <v>18.5</v>
      </c>
      <c r="AE69" s="125">
        <v>18.5</v>
      </c>
      <c r="AF69" s="126">
        <v>18.5</v>
      </c>
      <c r="AG69" s="123">
        <v>19</v>
      </c>
      <c r="AH69" s="123">
        <v>19</v>
      </c>
      <c r="AI69" s="127">
        <v>19</v>
      </c>
      <c r="AJ69" s="127">
        <v>19</v>
      </c>
      <c r="AK69" s="22">
        <v>19</v>
      </c>
      <c r="AL69" s="128">
        <v>19</v>
      </c>
      <c r="AM69" s="128">
        <v>19.75</v>
      </c>
      <c r="AN69" s="128">
        <v>20</v>
      </c>
      <c r="AO69" s="77">
        <v>20</v>
      </c>
      <c r="AP69" s="77">
        <v>20.5</v>
      </c>
      <c r="AQ69" s="129">
        <v>21</v>
      </c>
      <c r="AR69" s="129">
        <v>21.5</v>
      </c>
      <c r="AS69" s="129">
        <v>21.5</v>
      </c>
      <c r="AT69" s="116">
        <v>11972</v>
      </c>
      <c r="AU69" s="47">
        <v>9974</v>
      </c>
      <c r="AV69" s="47">
        <v>73625</v>
      </c>
      <c r="AW69" s="46">
        <v>38712</v>
      </c>
      <c r="AX69" s="46">
        <v>25494</v>
      </c>
      <c r="AY69" s="92">
        <v>1056</v>
      </c>
      <c r="AZ69" s="47">
        <v>1393</v>
      </c>
      <c r="BA69" s="44">
        <v>2523</v>
      </c>
      <c r="BB69" s="23">
        <v>-6190</v>
      </c>
      <c r="BC69" s="47">
        <v>-1130</v>
      </c>
      <c r="BD69" s="44">
        <v>-1130</v>
      </c>
      <c r="BE69" s="47">
        <v>-572</v>
      </c>
      <c r="BF69" s="44">
        <v>38712</v>
      </c>
      <c r="BG69" s="46">
        <v>33848</v>
      </c>
      <c r="BH69" s="130">
        <v>2337</v>
      </c>
      <c r="BI69" s="46">
        <v>2527</v>
      </c>
      <c r="BJ69" s="129">
        <v>21</v>
      </c>
      <c r="BK69" s="44">
        <v>31005</v>
      </c>
      <c r="BL69" s="116">
        <v>11883</v>
      </c>
      <c r="BM69" s="47">
        <v>10021</v>
      </c>
      <c r="BN69" s="130">
        <v>73397</v>
      </c>
      <c r="BO69" s="46">
        <v>40352</v>
      </c>
      <c r="BP69" s="46">
        <v>26261</v>
      </c>
      <c r="BQ69" s="46">
        <v>1111</v>
      </c>
      <c r="BR69" s="130">
        <v>4074</v>
      </c>
      <c r="BS69" s="44">
        <v>2970</v>
      </c>
      <c r="BT69" s="92">
        <v>-3894</v>
      </c>
      <c r="BU69" s="117">
        <v>1104</v>
      </c>
      <c r="BV69" s="130">
        <v>532</v>
      </c>
      <c r="BW69" s="48">
        <v>40352</v>
      </c>
      <c r="BX69" s="46">
        <v>35178</v>
      </c>
      <c r="BY69" s="130">
        <v>2447</v>
      </c>
      <c r="BZ69" s="46">
        <v>2727</v>
      </c>
      <c r="CA69" s="129">
        <v>21.5</v>
      </c>
      <c r="CB69" s="44">
        <v>31443</v>
      </c>
      <c r="CC69" s="116">
        <v>11769</v>
      </c>
      <c r="CD69" s="47">
        <v>9514</v>
      </c>
      <c r="CE69" s="130">
        <v>75078</v>
      </c>
      <c r="CF69" s="46">
        <v>41345</v>
      </c>
      <c r="CG69" s="46">
        <v>26144</v>
      </c>
      <c r="CH69" s="46">
        <v>1129</v>
      </c>
      <c r="CI69" s="130">
        <v>2802</v>
      </c>
      <c r="CJ69" s="44">
        <v>2508</v>
      </c>
      <c r="CK69" s="117">
        <v>-7702</v>
      </c>
      <c r="CL69" s="117">
        <v>294</v>
      </c>
      <c r="CM69" s="117">
        <v>825</v>
      </c>
      <c r="CN69" s="48">
        <v>41345</v>
      </c>
      <c r="CO69" s="46">
        <v>35602</v>
      </c>
      <c r="CP69" s="130">
        <v>2595</v>
      </c>
      <c r="CQ69" s="46">
        <v>3148</v>
      </c>
      <c r="CR69" s="129">
        <v>21.5</v>
      </c>
      <c r="CS69" s="44">
        <v>34383</v>
      </c>
      <c r="CT69">
        <v>11637</v>
      </c>
      <c r="CU69">
        <v>40738</v>
      </c>
      <c r="CV69">
        <v>27204</v>
      </c>
      <c r="CW69">
        <v>9698</v>
      </c>
      <c r="CX69">
        <v>1010</v>
      </c>
      <c r="CY69">
        <v>35300</v>
      </c>
      <c r="CZ69">
        <v>2276</v>
      </c>
      <c r="DA69">
        <v>3162</v>
      </c>
      <c r="DB69">
        <v>4428</v>
      </c>
      <c r="DC69">
        <v>-8107</v>
      </c>
      <c r="DD69">
        <v>2722</v>
      </c>
      <c r="DE69">
        <v>37721</v>
      </c>
      <c r="DF69">
        <v>74025</v>
      </c>
      <c r="DG69">
        <v>1706</v>
      </c>
      <c r="DH69">
        <v>3174</v>
      </c>
      <c r="DI69">
        <v>21.5</v>
      </c>
      <c r="DJ69" s="174">
        <v>11585</v>
      </c>
      <c r="DK69" s="34">
        <v>39869</v>
      </c>
      <c r="DL69" s="34">
        <v>27284</v>
      </c>
      <c r="DM69">
        <v>9515</v>
      </c>
      <c r="DN69" s="173">
        <v>971</v>
      </c>
      <c r="DO69" s="34">
        <v>34115</v>
      </c>
      <c r="DP69" s="173">
        <v>2752</v>
      </c>
      <c r="DQ69" s="34">
        <v>3002</v>
      </c>
      <c r="DR69" s="173">
        <v>3923</v>
      </c>
      <c r="DS69" s="173">
        <v>-7740</v>
      </c>
      <c r="DT69">
        <v>3910</v>
      </c>
      <c r="DU69">
        <v>41730</v>
      </c>
      <c r="DV69" s="173">
        <v>73716</v>
      </c>
      <c r="DW69" s="173">
        <v>13</v>
      </c>
      <c r="DX69" s="173">
        <v>3187</v>
      </c>
      <c r="DY69" s="57">
        <v>21.5</v>
      </c>
      <c r="DZ69" s="184">
        <v>230</v>
      </c>
      <c r="EA69" s="116">
        <v>11471</v>
      </c>
      <c r="EB69" s="48">
        <v>39778</v>
      </c>
      <c r="EC69" s="46">
        <v>27313</v>
      </c>
      <c r="ED69" s="90">
        <v>9896</v>
      </c>
      <c r="EE69" s="186">
        <v>877</v>
      </c>
      <c r="EF69" s="46">
        <v>33790</v>
      </c>
      <c r="EG69" s="130">
        <v>2546</v>
      </c>
      <c r="EH69" s="46">
        <v>3442</v>
      </c>
      <c r="EI69" s="130">
        <v>1400</v>
      </c>
      <c r="EJ69" s="48">
        <v>-6307</v>
      </c>
      <c r="EK69" s="44">
        <v>4610</v>
      </c>
      <c r="EL69" s="44">
        <v>43759</v>
      </c>
      <c r="EM69" s="130">
        <v>76464</v>
      </c>
      <c r="EN69" s="117">
        <v>-3210</v>
      </c>
      <c r="EO69" s="117">
        <v>-23</v>
      </c>
      <c r="EP69" s="129">
        <v>21.5</v>
      </c>
    </row>
    <row r="70" spans="1:146" ht="15" x14ac:dyDescent="0.25">
      <c r="A70" s="27">
        <v>216</v>
      </c>
      <c r="B70" s="27" t="s">
        <v>199</v>
      </c>
      <c r="C70" s="27">
        <v>13</v>
      </c>
      <c r="D70" s="27" t="s">
        <v>111</v>
      </c>
      <c r="E70" s="27">
        <v>1</v>
      </c>
      <c r="F70" s="27" t="s">
        <v>103</v>
      </c>
      <c r="G70" s="29" t="s">
        <v>130</v>
      </c>
      <c r="H70" s="27" t="s">
        <v>98</v>
      </c>
      <c r="I70" s="31" t="s">
        <v>111</v>
      </c>
      <c r="J70" s="118">
        <v>188.37047763689236</v>
      </c>
      <c r="K70" s="118">
        <v>403.31464765470344</v>
      </c>
      <c r="L70" s="118">
        <v>6069.7340780694713</v>
      </c>
      <c r="M70" s="118">
        <v>5493.8586178652586</v>
      </c>
      <c r="N70" s="22">
        <v>3951</v>
      </c>
      <c r="O70" s="119">
        <v>3955</v>
      </c>
      <c r="P70" s="119">
        <v>3899</v>
      </c>
      <c r="Q70" s="120">
        <v>3809</v>
      </c>
      <c r="R70" s="22">
        <v>3851</v>
      </c>
      <c r="S70" s="22">
        <v>4545</v>
      </c>
      <c r="T70" s="121">
        <v>4309</v>
      </c>
      <c r="U70" s="121">
        <v>6255</v>
      </c>
      <c r="V70" s="121">
        <v>7653</v>
      </c>
      <c r="W70" s="106">
        <v>8555</v>
      </c>
      <c r="X70" s="121">
        <v>8737</v>
      </c>
      <c r="Y70" s="121">
        <v>9128</v>
      </c>
      <c r="Z70" s="121">
        <v>9633</v>
      </c>
      <c r="AA70" s="121">
        <v>10377</v>
      </c>
      <c r="AB70" s="122">
        <v>19</v>
      </c>
      <c r="AC70" s="123">
        <v>19</v>
      </c>
      <c r="AD70" s="124">
        <v>19</v>
      </c>
      <c r="AE70" s="125">
        <v>19</v>
      </c>
      <c r="AF70" s="126">
        <v>19</v>
      </c>
      <c r="AG70" s="123">
        <v>19</v>
      </c>
      <c r="AH70" s="123">
        <v>19</v>
      </c>
      <c r="AI70" s="127">
        <v>19</v>
      </c>
      <c r="AJ70" s="127">
        <v>19</v>
      </c>
      <c r="AK70" s="22">
        <v>19</v>
      </c>
      <c r="AL70" s="128">
        <v>19</v>
      </c>
      <c r="AM70" s="128">
        <v>19</v>
      </c>
      <c r="AN70" s="128">
        <v>19.5</v>
      </c>
      <c r="AO70" s="77">
        <v>19.5</v>
      </c>
      <c r="AP70" s="77">
        <v>19.5</v>
      </c>
      <c r="AQ70" s="129">
        <v>20</v>
      </c>
      <c r="AR70" s="129">
        <v>21</v>
      </c>
      <c r="AS70" s="129">
        <v>21</v>
      </c>
      <c r="AT70" s="116">
        <v>1520</v>
      </c>
      <c r="AU70" s="47">
        <v>5406</v>
      </c>
      <c r="AV70" s="47">
        <v>14506</v>
      </c>
      <c r="AW70" s="46">
        <v>3964</v>
      </c>
      <c r="AX70" s="46">
        <v>6281</v>
      </c>
      <c r="AY70" s="92">
        <v>148</v>
      </c>
      <c r="AZ70" s="47">
        <v>1232</v>
      </c>
      <c r="BA70" s="44">
        <v>841</v>
      </c>
      <c r="BB70" s="23">
        <v>-1573</v>
      </c>
      <c r="BC70" s="47">
        <v>391</v>
      </c>
      <c r="BD70" s="44">
        <v>392</v>
      </c>
      <c r="BE70" s="47">
        <v>9128</v>
      </c>
      <c r="BF70" s="44">
        <v>3964</v>
      </c>
      <c r="BG70" s="46">
        <v>3247</v>
      </c>
      <c r="BH70" s="130">
        <v>425</v>
      </c>
      <c r="BI70" s="46">
        <v>292</v>
      </c>
      <c r="BJ70" s="129">
        <v>20</v>
      </c>
      <c r="BK70" s="44">
        <v>9288</v>
      </c>
      <c r="BL70" s="116">
        <v>1475</v>
      </c>
      <c r="BM70" s="47">
        <v>5484</v>
      </c>
      <c r="BN70" s="130">
        <v>14716</v>
      </c>
      <c r="BO70" s="46">
        <v>4220</v>
      </c>
      <c r="BP70" s="46">
        <v>6379</v>
      </c>
      <c r="BQ70" s="46">
        <v>106</v>
      </c>
      <c r="BR70" s="130">
        <v>1423</v>
      </c>
      <c r="BS70" s="44">
        <v>919</v>
      </c>
      <c r="BT70" s="92">
        <v>-448</v>
      </c>
      <c r="BU70" s="117">
        <v>505</v>
      </c>
      <c r="BV70" s="130">
        <v>9633</v>
      </c>
      <c r="BW70" s="48">
        <v>4220</v>
      </c>
      <c r="BX70" s="46">
        <v>3305</v>
      </c>
      <c r="BY70" s="130">
        <v>493</v>
      </c>
      <c r="BZ70" s="46">
        <v>422</v>
      </c>
      <c r="CA70" s="129">
        <v>21</v>
      </c>
      <c r="CB70" s="44">
        <v>9124</v>
      </c>
      <c r="CC70" s="116">
        <v>1462</v>
      </c>
      <c r="CD70" s="47">
        <v>5284</v>
      </c>
      <c r="CE70" s="130">
        <v>14392</v>
      </c>
      <c r="CF70" s="46">
        <v>4311</v>
      </c>
      <c r="CG70" s="46">
        <v>6196</v>
      </c>
      <c r="CH70" s="46">
        <v>68</v>
      </c>
      <c r="CI70" s="130">
        <v>1428</v>
      </c>
      <c r="CJ70" s="44">
        <v>943</v>
      </c>
      <c r="CK70" s="117">
        <v>-797</v>
      </c>
      <c r="CL70" s="117">
        <v>449</v>
      </c>
      <c r="CM70" s="117">
        <v>10377</v>
      </c>
      <c r="CN70" s="48">
        <v>4311</v>
      </c>
      <c r="CO70" s="46">
        <v>3343</v>
      </c>
      <c r="CP70" s="130">
        <v>577</v>
      </c>
      <c r="CQ70" s="46">
        <v>391</v>
      </c>
      <c r="CR70" s="129">
        <v>21</v>
      </c>
      <c r="CS70" s="44">
        <v>9082</v>
      </c>
      <c r="CT70">
        <v>1424</v>
      </c>
      <c r="CU70">
        <v>4204</v>
      </c>
      <c r="CV70">
        <v>6414</v>
      </c>
      <c r="CW70">
        <v>5413</v>
      </c>
      <c r="CX70">
        <v>18</v>
      </c>
      <c r="CY70">
        <v>3259</v>
      </c>
      <c r="CZ70">
        <v>507</v>
      </c>
      <c r="DA70">
        <v>438</v>
      </c>
      <c r="DB70">
        <v>1949</v>
      </c>
      <c r="DC70">
        <v>-1278</v>
      </c>
      <c r="DD70">
        <v>1048</v>
      </c>
      <c r="DE70">
        <v>8665</v>
      </c>
      <c r="DF70">
        <v>14071</v>
      </c>
      <c r="DG70">
        <v>902</v>
      </c>
      <c r="DH70">
        <v>11279</v>
      </c>
      <c r="DI70">
        <v>21</v>
      </c>
      <c r="DJ70" s="174">
        <v>1408</v>
      </c>
      <c r="DK70" s="34">
        <v>4229</v>
      </c>
      <c r="DL70" s="34">
        <v>5963</v>
      </c>
      <c r="DM70">
        <v>5279</v>
      </c>
      <c r="DN70" s="173">
        <v>386</v>
      </c>
      <c r="DO70" s="34">
        <v>3216</v>
      </c>
      <c r="DP70" s="173">
        <v>570</v>
      </c>
      <c r="DQ70" s="34">
        <v>443</v>
      </c>
      <c r="DR70" s="173">
        <v>1402</v>
      </c>
      <c r="DS70" s="173">
        <v>-1956</v>
      </c>
      <c r="DT70">
        <v>1349</v>
      </c>
      <c r="DU70">
        <v>8323</v>
      </c>
      <c r="DV70" s="173">
        <v>14135</v>
      </c>
      <c r="DW70" s="173">
        <v>374</v>
      </c>
      <c r="DX70" s="173">
        <v>11652</v>
      </c>
      <c r="DY70" s="57">
        <v>21</v>
      </c>
      <c r="DZ70" s="184">
        <v>340</v>
      </c>
      <c r="EA70" s="116">
        <v>1353</v>
      </c>
      <c r="EB70" s="48">
        <v>4049</v>
      </c>
      <c r="EC70" s="46">
        <v>5907</v>
      </c>
      <c r="ED70" s="90">
        <v>5623</v>
      </c>
      <c r="EE70" s="186">
        <v>154</v>
      </c>
      <c r="EF70" s="46">
        <v>3034</v>
      </c>
      <c r="EG70" s="130">
        <v>574</v>
      </c>
      <c r="EH70" s="46">
        <v>441</v>
      </c>
      <c r="EI70" s="130">
        <v>1057</v>
      </c>
      <c r="EJ70" s="48">
        <v>-1029</v>
      </c>
      <c r="EK70" s="44">
        <v>1077</v>
      </c>
      <c r="EL70" s="44">
        <v>8126</v>
      </c>
      <c r="EM70" s="130">
        <v>14597</v>
      </c>
      <c r="EN70" s="117">
        <v>-1</v>
      </c>
      <c r="EO70" s="117">
        <v>11651</v>
      </c>
      <c r="EP70" s="129">
        <v>21</v>
      </c>
    </row>
    <row r="71" spans="1:146" ht="15" x14ac:dyDescent="0.25">
      <c r="A71" s="27">
        <v>217</v>
      </c>
      <c r="B71" s="27" t="s">
        <v>200</v>
      </c>
      <c r="C71" s="27">
        <v>16</v>
      </c>
      <c r="D71" s="27" t="s">
        <v>110</v>
      </c>
      <c r="E71" s="27">
        <v>3</v>
      </c>
      <c r="F71" s="27" t="s">
        <v>743</v>
      </c>
      <c r="G71" s="29" t="s">
        <v>132</v>
      </c>
      <c r="H71" s="27" t="s">
        <v>99</v>
      </c>
      <c r="I71" s="31" t="s">
        <v>110</v>
      </c>
      <c r="J71" s="118">
        <v>-637.60042921558829</v>
      </c>
      <c r="K71" s="118">
        <v>159.77853013843549</v>
      </c>
      <c r="L71" s="118">
        <v>-538.36955260329682</v>
      </c>
      <c r="M71" s="118">
        <v>461.84404606330929</v>
      </c>
      <c r="N71" s="22">
        <v>1355</v>
      </c>
      <c r="O71" s="119">
        <v>2005</v>
      </c>
      <c r="P71" s="119">
        <v>2855</v>
      </c>
      <c r="Q71" s="120">
        <v>2742</v>
      </c>
      <c r="R71" s="22">
        <v>2743</v>
      </c>
      <c r="S71" s="22">
        <v>3575</v>
      </c>
      <c r="T71" s="121">
        <v>4793</v>
      </c>
      <c r="U71" s="121">
        <v>5657</v>
      </c>
      <c r="V71" s="121">
        <v>6140</v>
      </c>
      <c r="W71" s="106">
        <v>5453</v>
      </c>
      <c r="X71" s="121">
        <v>4428</v>
      </c>
      <c r="Y71" s="121">
        <v>5282</v>
      </c>
      <c r="Z71" s="121">
        <v>5645</v>
      </c>
      <c r="AA71" s="121">
        <v>6403</v>
      </c>
      <c r="AB71" s="122">
        <v>18.5</v>
      </c>
      <c r="AC71" s="123">
        <v>19</v>
      </c>
      <c r="AD71" s="124">
        <v>19</v>
      </c>
      <c r="AE71" s="125">
        <v>19</v>
      </c>
      <c r="AF71" s="126">
        <v>19.5</v>
      </c>
      <c r="AG71" s="123">
        <v>19.5</v>
      </c>
      <c r="AH71" s="123">
        <v>19.5</v>
      </c>
      <c r="AI71" s="127">
        <v>19.5</v>
      </c>
      <c r="AJ71" s="127">
        <v>19.5</v>
      </c>
      <c r="AK71" s="22">
        <v>19.5</v>
      </c>
      <c r="AL71" s="128">
        <v>19.5</v>
      </c>
      <c r="AM71" s="128">
        <v>19.5</v>
      </c>
      <c r="AN71" s="128">
        <v>19.5</v>
      </c>
      <c r="AO71" s="77">
        <v>19.5</v>
      </c>
      <c r="AP71" s="77">
        <v>19.5</v>
      </c>
      <c r="AQ71" s="129">
        <v>20.5</v>
      </c>
      <c r="AR71" s="129">
        <v>20.5</v>
      </c>
      <c r="AS71" s="129">
        <v>20.5</v>
      </c>
      <c r="AT71" s="116">
        <v>5675</v>
      </c>
      <c r="AU71" s="47">
        <v>3525</v>
      </c>
      <c r="AV71" s="47">
        <v>32636</v>
      </c>
      <c r="AW71" s="46">
        <v>17516</v>
      </c>
      <c r="AX71" s="46">
        <v>13181</v>
      </c>
      <c r="AY71" s="92">
        <v>0</v>
      </c>
      <c r="AZ71" s="47">
        <v>1578</v>
      </c>
      <c r="BA71" s="44">
        <v>826</v>
      </c>
      <c r="BB71" s="23">
        <v>-4316</v>
      </c>
      <c r="BC71" s="47">
        <v>752</v>
      </c>
      <c r="BD71" s="44">
        <v>853</v>
      </c>
      <c r="BE71" s="47">
        <v>5282</v>
      </c>
      <c r="BF71" s="44">
        <v>17516</v>
      </c>
      <c r="BG71" s="46">
        <v>15532</v>
      </c>
      <c r="BH71" s="130">
        <v>1042</v>
      </c>
      <c r="BI71" s="46">
        <v>942</v>
      </c>
      <c r="BJ71" s="129">
        <v>20.5</v>
      </c>
      <c r="BK71" s="44">
        <v>13942</v>
      </c>
      <c r="BL71" s="116">
        <v>5643</v>
      </c>
      <c r="BM71" s="47">
        <v>3254</v>
      </c>
      <c r="BN71" s="130">
        <v>32437</v>
      </c>
      <c r="BO71" s="46">
        <v>17885</v>
      </c>
      <c r="BP71" s="46">
        <v>12866</v>
      </c>
      <c r="BQ71" s="46">
        <v>39</v>
      </c>
      <c r="BR71" s="130">
        <v>1589</v>
      </c>
      <c r="BS71" s="44">
        <v>1028</v>
      </c>
      <c r="BT71" s="92">
        <v>-808</v>
      </c>
      <c r="BU71" s="117">
        <v>363</v>
      </c>
      <c r="BV71" s="130">
        <v>5645</v>
      </c>
      <c r="BW71" s="48">
        <v>17885</v>
      </c>
      <c r="BX71" s="46">
        <v>15667</v>
      </c>
      <c r="BY71" s="130">
        <v>1067</v>
      </c>
      <c r="BZ71" s="46">
        <v>1151</v>
      </c>
      <c r="CA71" s="129">
        <v>20.5</v>
      </c>
      <c r="CB71" s="44">
        <v>13815</v>
      </c>
      <c r="CC71" s="116">
        <v>5590</v>
      </c>
      <c r="CD71" s="47">
        <v>3058</v>
      </c>
      <c r="CE71" s="130">
        <v>32727</v>
      </c>
      <c r="CF71" s="46">
        <v>18568</v>
      </c>
      <c r="CG71" s="46">
        <v>12824</v>
      </c>
      <c r="CH71" s="46">
        <v>16</v>
      </c>
      <c r="CI71" s="130">
        <v>1726</v>
      </c>
      <c r="CJ71" s="44">
        <v>1070</v>
      </c>
      <c r="CK71" s="117">
        <v>-871</v>
      </c>
      <c r="CL71" s="117">
        <v>758</v>
      </c>
      <c r="CM71" s="117">
        <v>6403</v>
      </c>
      <c r="CN71" s="48">
        <v>18568</v>
      </c>
      <c r="CO71" s="46">
        <v>16114</v>
      </c>
      <c r="CP71" s="130">
        <v>1147</v>
      </c>
      <c r="CQ71" s="46">
        <v>1307</v>
      </c>
      <c r="CR71" s="129">
        <v>20.5</v>
      </c>
      <c r="CS71" s="44">
        <v>14089</v>
      </c>
      <c r="CT71">
        <v>5578</v>
      </c>
      <c r="CU71">
        <v>17171</v>
      </c>
      <c r="CV71">
        <v>13214</v>
      </c>
      <c r="CW71">
        <v>3280</v>
      </c>
      <c r="CX71">
        <v>13</v>
      </c>
      <c r="CY71">
        <v>14785</v>
      </c>
      <c r="CZ71">
        <v>1076</v>
      </c>
      <c r="DA71">
        <v>1310</v>
      </c>
      <c r="DB71">
        <v>684</v>
      </c>
      <c r="DC71">
        <v>-935</v>
      </c>
      <c r="DD71">
        <v>1145</v>
      </c>
      <c r="DE71">
        <v>14063</v>
      </c>
      <c r="DF71">
        <v>32994</v>
      </c>
      <c r="DG71">
        <v>-349</v>
      </c>
      <c r="DH71">
        <v>6053</v>
      </c>
      <c r="DI71">
        <v>20.5</v>
      </c>
      <c r="DJ71" s="174">
        <v>5520</v>
      </c>
      <c r="DK71" s="34">
        <v>17621</v>
      </c>
      <c r="DL71" s="34">
        <v>13531</v>
      </c>
      <c r="DM71">
        <v>2985</v>
      </c>
      <c r="DN71" s="173">
        <v>39</v>
      </c>
      <c r="DO71" s="34">
        <v>15135</v>
      </c>
      <c r="DP71" s="173">
        <v>1210</v>
      </c>
      <c r="DQ71" s="34">
        <v>1276</v>
      </c>
      <c r="DR71" s="173">
        <v>751</v>
      </c>
      <c r="DS71" s="173">
        <v>-1122</v>
      </c>
      <c r="DT71">
        <v>1114</v>
      </c>
      <c r="DU71">
        <v>14700</v>
      </c>
      <c r="DV71" s="173">
        <v>33425</v>
      </c>
      <c r="DW71" s="173">
        <v>-255</v>
      </c>
      <c r="DX71" s="173">
        <v>5798</v>
      </c>
      <c r="DY71" s="57">
        <v>20.5</v>
      </c>
      <c r="DZ71" s="184">
        <v>330</v>
      </c>
      <c r="EA71" s="116">
        <v>5502</v>
      </c>
      <c r="EB71" s="48">
        <v>17779</v>
      </c>
      <c r="EC71" s="46">
        <v>13339</v>
      </c>
      <c r="ED71" s="90">
        <v>3162</v>
      </c>
      <c r="EE71" s="186">
        <v>36</v>
      </c>
      <c r="EF71" s="46">
        <v>15347</v>
      </c>
      <c r="EG71" s="130">
        <v>1153</v>
      </c>
      <c r="EH71" s="46">
        <v>1279</v>
      </c>
      <c r="EI71" s="130">
        <v>151</v>
      </c>
      <c r="EJ71" s="48">
        <v>-1474</v>
      </c>
      <c r="EK71" s="44">
        <v>1116</v>
      </c>
      <c r="EL71" s="44">
        <v>16000</v>
      </c>
      <c r="EM71" s="130">
        <v>34165</v>
      </c>
      <c r="EN71" s="117">
        <v>-854</v>
      </c>
      <c r="EO71" s="117">
        <v>4944</v>
      </c>
      <c r="EP71" s="129">
        <v>21.5</v>
      </c>
    </row>
    <row r="72" spans="1:146" ht="15" x14ac:dyDescent="0.25">
      <c r="A72" s="27">
        <v>218</v>
      </c>
      <c r="B72" s="27" t="s">
        <v>201</v>
      </c>
      <c r="C72" s="27">
        <v>14</v>
      </c>
      <c r="D72" s="27" t="s">
        <v>106</v>
      </c>
      <c r="E72" s="27">
        <v>1</v>
      </c>
      <c r="F72" s="27" t="s">
        <v>103</v>
      </c>
      <c r="G72" s="29" t="s">
        <v>130</v>
      </c>
      <c r="H72" s="27" t="s">
        <v>98</v>
      </c>
      <c r="I72" s="31" t="s">
        <v>106</v>
      </c>
      <c r="J72" s="118">
        <v>221.67168707627152</v>
      </c>
      <c r="K72" s="118">
        <v>208.21665295935065</v>
      </c>
      <c r="L72" s="118">
        <v>1505.7865056099083</v>
      </c>
      <c r="M72" s="118">
        <v>1405.8828772917707</v>
      </c>
      <c r="N72" s="22">
        <v>1429</v>
      </c>
      <c r="O72" s="119">
        <v>1327</v>
      </c>
      <c r="P72" s="119">
        <v>963</v>
      </c>
      <c r="Q72" s="120">
        <v>465</v>
      </c>
      <c r="R72" s="22">
        <v>488</v>
      </c>
      <c r="S72" s="22">
        <v>652</v>
      </c>
      <c r="T72" s="121">
        <v>673</v>
      </c>
      <c r="U72" s="121">
        <v>908</v>
      </c>
      <c r="V72" s="121">
        <v>1309</v>
      </c>
      <c r="W72" s="106">
        <v>1176</v>
      </c>
      <c r="X72" s="121">
        <v>1064</v>
      </c>
      <c r="Y72" s="121">
        <v>669</v>
      </c>
      <c r="Z72" s="121">
        <v>930</v>
      </c>
      <c r="AA72" s="121">
        <v>1175</v>
      </c>
      <c r="AB72" s="122">
        <v>18.5</v>
      </c>
      <c r="AC72" s="123">
        <v>18.5</v>
      </c>
      <c r="AD72" s="124">
        <v>18.5</v>
      </c>
      <c r="AE72" s="125">
        <v>18.5</v>
      </c>
      <c r="AF72" s="126">
        <v>18.5</v>
      </c>
      <c r="AG72" s="123">
        <v>18.5</v>
      </c>
      <c r="AH72" s="123">
        <v>18.5</v>
      </c>
      <c r="AI72" s="127">
        <v>19</v>
      </c>
      <c r="AJ72" s="127">
        <v>19</v>
      </c>
      <c r="AK72" s="22">
        <v>19.5</v>
      </c>
      <c r="AL72" s="128">
        <v>19.5</v>
      </c>
      <c r="AM72" s="128">
        <v>19.5</v>
      </c>
      <c r="AN72" s="128">
        <v>20</v>
      </c>
      <c r="AO72" s="77">
        <v>20</v>
      </c>
      <c r="AP72" s="77">
        <v>20.5</v>
      </c>
      <c r="AQ72" s="129">
        <v>21</v>
      </c>
      <c r="AR72" s="129">
        <v>21.5</v>
      </c>
      <c r="AS72" s="129">
        <v>22</v>
      </c>
      <c r="AT72" s="116">
        <v>1462</v>
      </c>
      <c r="AU72" s="47">
        <v>1046</v>
      </c>
      <c r="AV72" s="47">
        <v>9423</v>
      </c>
      <c r="AW72" s="46">
        <v>3889</v>
      </c>
      <c r="AX72" s="46">
        <v>4354</v>
      </c>
      <c r="AY72" s="92">
        <v>3</v>
      </c>
      <c r="AZ72" s="47">
        <v>-155</v>
      </c>
      <c r="BA72" s="44">
        <v>240</v>
      </c>
      <c r="BB72" s="23">
        <v>-799</v>
      </c>
      <c r="BC72" s="47">
        <v>-395</v>
      </c>
      <c r="BD72" s="44">
        <v>-395</v>
      </c>
      <c r="BE72" s="47">
        <v>669</v>
      </c>
      <c r="BF72" s="44">
        <v>3889</v>
      </c>
      <c r="BG72" s="46">
        <v>3431</v>
      </c>
      <c r="BH72" s="130">
        <v>266</v>
      </c>
      <c r="BI72" s="46">
        <v>192</v>
      </c>
      <c r="BJ72" s="129">
        <v>21</v>
      </c>
      <c r="BK72" s="44">
        <v>2211</v>
      </c>
      <c r="BL72" s="116">
        <v>1409</v>
      </c>
      <c r="BM72" s="47">
        <v>1174</v>
      </c>
      <c r="BN72" s="130">
        <v>9540</v>
      </c>
      <c r="BO72" s="46">
        <v>4304</v>
      </c>
      <c r="BP72" s="46">
        <v>4577</v>
      </c>
      <c r="BQ72" s="46">
        <v>7</v>
      </c>
      <c r="BR72" s="130">
        <v>496</v>
      </c>
      <c r="BS72" s="44">
        <v>235</v>
      </c>
      <c r="BT72" s="92">
        <v>-432</v>
      </c>
      <c r="BU72" s="117">
        <v>261</v>
      </c>
      <c r="BV72" s="130">
        <v>930</v>
      </c>
      <c r="BW72" s="48">
        <v>4304</v>
      </c>
      <c r="BX72" s="46">
        <v>3785</v>
      </c>
      <c r="BY72" s="130">
        <v>290</v>
      </c>
      <c r="BZ72" s="46">
        <v>229</v>
      </c>
      <c r="CA72" s="129">
        <v>21.5</v>
      </c>
      <c r="CB72" s="44">
        <v>2266</v>
      </c>
      <c r="CC72" s="116">
        <v>1369</v>
      </c>
      <c r="CD72" s="47">
        <v>1109</v>
      </c>
      <c r="CE72" s="130">
        <v>9154</v>
      </c>
      <c r="CF72" s="46">
        <v>4073</v>
      </c>
      <c r="CG72" s="46">
        <v>4481</v>
      </c>
      <c r="CH72" s="46">
        <v>9</v>
      </c>
      <c r="CI72" s="130">
        <v>494</v>
      </c>
      <c r="CJ72" s="44">
        <v>250</v>
      </c>
      <c r="CK72" s="117">
        <v>-211</v>
      </c>
      <c r="CL72" s="117">
        <v>244</v>
      </c>
      <c r="CM72" s="117">
        <v>1175</v>
      </c>
      <c r="CN72" s="48">
        <v>4073</v>
      </c>
      <c r="CO72" s="46">
        <v>3538</v>
      </c>
      <c r="CP72" s="130">
        <v>301</v>
      </c>
      <c r="CQ72" s="46">
        <v>234</v>
      </c>
      <c r="CR72" s="129">
        <v>22</v>
      </c>
      <c r="CS72" s="44">
        <v>2580</v>
      </c>
      <c r="CT72">
        <v>1349</v>
      </c>
      <c r="CU72">
        <v>4001</v>
      </c>
      <c r="CV72">
        <v>4680</v>
      </c>
      <c r="CW72">
        <v>1110</v>
      </c>
      <c r="CX72">
        <v>6</v>
      </c>
      <c r="CY72">
        <v>3509</v>
      </c>
      <c r="CZ72">
        <v>265</v>
      </c>
      <c r="DA72">
        <v>227</v>
      </c>
      <c r="DB72">
        <v>690</v>
      </c>
      <c r="DC72">
        <v>-215</v>
      </c>
      <c r="DD72">
        <v>255</v>
      </c>
      <c r="DE72">
        <v>2273</v>
      </c>
      <c r="DF72">
        <v>9074</v>
      </c>
      <c r="DG72">
        <v>435</v>
      </c>
      <c r="DH72">
        <v>1609</v>
      </c>
      <c r="DI72">
        <v>22</v>
      </c>
      <c r="DJ72" s="174">
        <v>1329</v>
      </c>
      <c r="DK72" s="34">
        <v>4242</v>
      </c>
      <c r="DL72" s="34">
        <v>4753</v>
      </c>
      <c r="DM72">
        <v>1039</v>
      </c>
      <c r="DN72" s="173">
        <v>-24</v>
      </c>
      <c r="DO72" s="34">
        <v>3707</v>
      </c>
      <c r="DP72" s="173">
        <v>308</v>
      </c>
      <c r="DQ72" s="34">
        <v>227</v>
      </c>
      <c r="DR72" s="173">
        <v>725</v>
      </c>
      <c r="DS72" s="173">
        <v>-262</v>
      </c>
      <c r="DT72">
        <v>254</v>
      </c>
      <c r="DU72">
        <v>2006</v>
      </c>
      <c r="DV72" s="173">
        <v>9285</v>
      </c>
      <c r="DW72" s="173">
        <v>471</v>
      </c>
      <c r="DX72" s="173">
        <v>2080</v>
      </c>
      <c r="DY72" s="57">
        <v>22</v>
      </c>
      <c r="DZ72" s="184">
        <v>340</v>
      </c>
      <c r="EA72" s="116">
        <v>1274</v>
      </c>
      <c r="EB72" s="48">
        <v>4033</v>
      </c>
      <c r="EC72" s="46">
        <v>4640</v>
      </c>
      <c r="ED72" s="90">
        <v>1264</v>
      </c>
      <c r="EE72" s="186">
        <v>-18</v>
      </c>
      <c r="EF72" s="46">
        <v>3509</v>
      </c>
      <c r="EG72" s="130">
        <v>281</v>
      </c>
      <c r="EH72" s="46">
        <v>243</v>
      </c>
      <c r="EI72" s="130">
        <v>25</v>
      </c>
      <c r="EJ72" s="48">
        <v>-994</v>
      </c>
      <c r="EK72" s="44">
        <v>248</v>
      </c>
      <c r="EL72" s="44">
        <v>1740</v>
      </c>
      <c r="EM72" s="130">
        <v>9894</v>
      </c>
      <c r="EN72" s="117">
        <v>-223</v>
      </c>
      <c r="EO72" s="117">
        <v>1857</v>
      </c>
      <c r="EP72" s="129">
        <v>22</v>
      </c>
    </row>
    <row r="73" spans="1:146" ht="15" x14ac:dyDescent="0.25">
      <c r="A73" s="27">
        <v>224</v>
      </c>
      <c r="B73" s="27" t="s">
        <v>202</v>
      </c>
      <c r="C73" s="27">
        <v>1</v>
      </c>
      <c r="D73" s="27" t="s">
        <v>121</v>
      </c>
      <c r="E73" s="27">
        <v>3</v>
      </c>
      <c r="F73" s="27" t="s">
        <v>743</v>
      </c>
      <c r="G73" s="29" t="s">
        <v>132</v>
      </c>
      <c r="H73" s="27" t="s">
        <v>99</v>
      </c>
      <c r="I73" s="31" t="s">
        <v>121</v>
      </c>
      <c r="J73" s="118">
        <v>1394.109722439465</v>
      </c>
      <c r="K73" s="118">
        <v>1420.3470389674605</v>
      </c>
      <c r="L73" s="118">
        <v>1866.381419943388</v>
      </c>
      <c r="M73" s="118">
        <v>1803.8155112997058</v>
      </c>
      <c r="N73" s="177">
        <v>3380</v>
      </c>
      <c r="O73" s="119">
        <v>2446</v>
      </c>
      <c r="P73" s="119">
        <v>2250</v>
      </c>
      <c r="Q73" s="120">
        <v>1697</v>
      </c>
      <c r="R73" s="177">
        <v>1896</v>
      </c>
      <c r="S73" s="177">
        <v>102</v>
      </c>
      <c r="T73" s="121">
        <v>184</v>
      </c>
      <c r="U73" s="121">
        <v>319</v>
      </c>
      <c r="V73" s="121">
        <v>-1450</v>
      </c>
      <c r="W73" s="106">
        <v>-797</v>
      </c>
      <c r="X73" s="121">
        <v>-1620</v>
      </c>
      <c r="Y73" s="121">
        <v>-1061</v>
      </c>
      <c r="Z73" s="121">
        <v>-401</v>
      </c>
      <c r="AA73" s="121">
        <v>500</v>
      </c>
      <c r="AB73" s="122">
        <v>19.75</v>
      </c>
      <c r="AC73" s="123">
        <v>19.75</v>
      </c>
      <c r="AD73" s="124">
        <v>19.75</v>
      </c>
      <c r="AE73" s="125">
        <v>19.75</v>
      </c>
      <c r="AF73" s="126">
        <v>19.75</v>
      </c>
      <c r="AG73" s="123">
        <v>19.75</v>
      </c>
      <c r="AH73" s="123">
        <v>19.75</v>
      </c>
      <c r="AI73" s="131">
        <v>19.75</v>
      </c>
      <c r="AJ73" s="131">
        <v>19.75</v>
      </c>
      <c r="AK73" s="177">
        <v>19.75</v>
      </c>
      <c r="AL73" s="128">
        <v>19.75</v>
      </c>
      <c r="AM73" s="128">
        <v>19.75</v>
      </c>
      <c r="AN73" s="128">
        <v>20.25</v>
      </c>
      <c r="AO73" s="77">
        <v>20.25</v>
      </c>
      <c r="AP73" s="77">
        <v>20.25</v>
      </c>
      <c r="AQ73" s="129">
        <v>20.75</v>
      </c>
      <c r="AR73" s="129">
        <v>20.75</v>
      </c>
      <c r="AS73" s="129">
        <v>20.75</v>
      </c>
      <c r="AT73" s="116">
        <v>9074</v>
      </c>
      <c r="AU73" s="47">
        <v>7371</v>
      </c>
      <c r="AV73" s="47">
        <v>52117</v>
      </c>
      <c r="AW73" s="46">
        <v>32354</v>
      </c>
      <c r="AX73" s="46">
        <v>15202</v>
      </c>
      <c r="AY73" s="92">
        <v>148</v>
      </c>
      <c r="AZ73" s="47">
        <v>2344</v>
      </c>
      <c r="BA73" s="44">
        <v>1814</v>
      </c>
      <c r="BB73" s="23">
        <v>-2521</v>
      </c>
      <c r="BC73" s="47">
        <v>558</v>
      </c>
      <c r="BD73" s="44">
        <v>558</v>
      </c>
      <c r="BE73" s="47">
        <v>-1061</v>
      </c>
      <c r="BF73" s="44">
        <v>32354</v>
      </c>
      <c r="BG73" s="46">
        <v>29327</v>
      </c>
      <c r="BH73" s="130">
        <v>1167</v>
      </c>
      <c r="BI73" s="46">
        <v>1860</v>
      </c>
      <c r="BJ73" s="129">
        <v>20.75</v>
      </c>
      <c r="BK73" s="44">
        <v>41520</v>
      </c>
      <c r="BL73" s="116">
        <v>8977</v>
      </c>
      <c r="BM73" s="47">
        <v>7166</v>
      </c>
      <c r="BN73" s="130">
        <v>51544</v>
      </c>
      <c r="BO73" s="46">
        <v>31683</v>
      </c>
      <c r="BP73" s="46">
        <v>15708</v>
      </c>
      <c r="BQ73" s="46">
        <v>122</v>
      </c>
      <c r="BR73" s="130">
        <v>2639</v>
      </c>
      <c r="BS73" s="44">
        <v>1941</v>
      </c>
      <c r="BT73" s="92">
        <v>-2852</v>
      </c>
      <c r="BU73" s="117">
        <v>698</v>
      </c>
      <c r="BV73" s="130">
        <v>-401</v>
      </c>
      <c r="BW73" s="48">
        <v>31683</v>
      </c>
      <c r="BX73" s="46">
        <v>28456</v>
      </c>
      <c r="BY73" s="130">
        <v>1206</v>
      </c>
      <c r="BZ73" s="46">
        <v>2021</v>
      </c>
      <c r="CA73" s="129">
        <v>20.75</v>
      </c>
      <c r="CB73" s="44">
        <v>42640</v>
      </c>
      <c r="CC73" s="116">
        <v>8969</v>
      </c>
      <c r="CD73" s="47">
        <v>7018</v>
      </c>
      <c r="CE73" s="130">
        <v>52106</v>
      </c>
      <c r="CF73" s="46">
        <v>31856</v>
      </c>
      <c r="CG73" s="46">
        <v>16514</v>
      </c>
      <c r="CH73" s="46">
        <v>153</v>
      </c>
      <c r="CI73" s="130">
        <v>2952</v>
      </c>
      <c r="CJ73" s="44">
        <v>2011</v>
      </c>
      <c r="CK73" s="117">
        <v>-6868</v>
      </c>
      <c r="CL73" s="117">
        <v>909</v>
      </c>
      <c r="CM73" s="117">
        <v>500</v>
      </c>
      <c r="CN73" s="48">
        <v>31856</v>
      </c>
      <c r="CO73" s="46">
        <v>28524</v>
      </c>
      <c r="CP73" s="130">
        <v>1262</v>
      </c>
      <c r="CQ73" s="46">
        <v>2070</v>
      </c>
      <c r="CR73" s="129">
        <v>20.75</v>
      </c>
      <c r="CS73" s="44">
        <v>50310</v>
      </c>
      <c r="CT73">
        <v>8911</v>
      </c>
      <c r="CU73">
        <v>31568</v>
      </c>
      <c r="CV73">
        <v>17550</v>
      </c>
      <c r="CW73">
        <v>6682</v>
      </c>
      <c r="CX73">
        <v>117</v>
      </c>
      <c r="CY73">
        <v>28285</v>
      </c>
      <c r="CZ73">
        <v>1141</v>
      </c>
      <c r="DA73">
        <v>2142</v>
      </c>
      <c r="DB73">
        <v>3453</v>
      </c>
      <c r="DC73">
        <v>-10139</v>
      </c>
      <c r="DD73">
        <v>2465</v>
      </c>
      <c r="DE73">
        <v>57945</v>
      </c>
      <c r="DF73">
        <v>51931</v>
      </c>
      <c r="DG73">
        <v>967</v>
      </c>
      <c r="DH73">
        <v>1467</v>
      </c>
      <c r="DI73">
        <v>20.75</v>
      </c>
      <c r="DJ73" s="174">
        <v>8900</v>
      </c>
      <c r="DK73" s="34">
        <v>31558</v>
      </c>
      <c r="DL73" s="34">
        <v>17417</v>
      </c>
      <c r="DM73">
        <v>6468</v>
      </c>
      <c r="DN73" s="173">
        <v>-208</v>
      </c>
      <c r="DO73" s="34">
        <v>27960</v>
      </c>
      <c r="DP73" s="173">
        <v>1347</v>
      </c>
      <c r="DQ73" s="34">
        <v>2251</v>
      </c>
      <c r="DR73" s="173">
        <v>2987</v>
      </c>
      <c r="DS73" s="173">
        <v>-6096</v>
      </c>
      <c r="DT73">
        <v>2762</v>
      </c>
      <c r="DU73">
        <v>59205</v>
      </c>
      <c r="DV73" s="173">
        <v>52210</v>
      </c>
      <c r="DW73" s="173">
        <v>187</v>
      </c>
      <c r="DX73" s="173">
        <v>1654</v>
      </c>
      <c r="DY73" s="57">
        <v>20.75</v>
      </c>
      <c r="DZ73" s="184">
        <v>230</v>
      </c>
      <c r="EA73" s="116">
        <v>8778</v>
      </c>
      <c r="EB73" s="48">
        <v>30720</v>
      </c>
      <c r="EC73" s="46">
        <v>17786</v>
      </c>
      <c r="ED73" s="90">
        <v>6758</v>
      </c>
      <c r="EE73" s="186">
        <v>-413</v>
      </c>
      <c r="EF73" s="46">
        <v>27267</v>
      </c>
      <c r="EG73" s="130">
        <v>1193</v>
      </c>
      <c r="EH73" s="46">
        <v>2260</v>
      </c>
      <c r="EI73" s="130">
        <v>2062</v>
      </c>
      <c r="EJ73" s="48">
        <v>-808</v>
      </c>
      <c r="EK73" s="44">
        <v>2957</v>
      </c>
      <c r="EL73" s="44">
        <v>59075</v>
      </c>
      <c r="EM73" s="130">
        <v>52789</v>
      </c>
      <c r="EN73" s="117">
        <v>-895</v>
      </c>
      <c r="EO73" s="117">
        <v>759</v>
      </c>
      <c r="EP73" s="129">
        <v>20.75</v>
      </c>
    </row>
    <row r="74" spans="1:146" ht="15" x14ac:dyDescent="0.25">
      <c r="A74" s="27">
        <v>226</v>
      </c>
      <c r="B74" s="27" t="s">
        <v>203</v>
      </c>
      <c r="C74" s="27">
        <v>13</v>
      </c>
      <c r="D74" s="27" t="s">
        <v>111</v>
      </c>
      <c r="E74" s="27">
        <v>2</v>
      </c>
      <c r="F74" s="27" t="s">
        <v>744</v>
      </c>
      <c r="G74" s="29" t="s">
        <v>130</v>
      </c>
      <c r="H74" s="27" t="s">
        <v>98</v>
      </c>
      <c r="I74" s="31" t="s">
        <v>111</v>
      </c>
      <c r="J74" s="118">
        <v>-4.7092619409223087</v>
      </c>
      <c r="K74" s="118">
        <v>-395.40981511101245</v>
      </c>
      <c r="L74" s="118">
        <v>472.43988543038449</v>
      </c>
      <c r="M74" s="118">
        <v>-335.19853743779152</v>
      </c>
      <c r="N74" s="22">
        <v>248</v>
      </c>
      <c r="O74" s="119">
        <v>397</v>
      </c>
      <c r="P74" s="119">
        <v>-397</v>
      </c>
      <c r="Q74" s="120">
        <v>-1138</v>
      </c>
      <c r="R74" s="22">
        <v>-135</v>
      </c>
      <c r="S74" s="22">
        <v>272</v>
      </c>
      <c r="T74" s="121">
        <v>702</v>
      </c>
      <c r="U74" s="121">
        <v>62</v>
      </c>
      <c r="V74" s="121">
        <v>-382</v>
      </c>
      <c r="W74" s="106">
        <v>157</v>
      </c>
      <c r="X74" s="121">
        <v>4</v>
      </c>
      <c r="Y74" s="121">
        <v>739</v>
      </c>
      <c r="Z74" s="121">
        <v>2231</v>
      </c>
      <c r="AA74" s="121">
        <v>3299</v>
      </c>
      <c r="AB74" s="122">
        <v>18</v>
      </c>
      <c r="AC74" s="123">
        <v>18</v>
      </c>
      <c r="AD74" s="124">
        <v>18.5</v>
      </c>
      <c r="AE74" s="125">
        <v>18.5</v>
      </c>
      <c r="AF74" s="126">
        <v>18.5</v>
      </c>
      <c r="AG74" s="123">
        <v>18.5</v>
      </c>
      <c r="AH74" s="123">
        <v>18.5</v>
      </c>
      <c r="AI74" s="127">
        <v>18.5</v>
      </c>
      <c r="AJ74" s="127">
        <v>18.5</v>
      </c>
      <c r="AK74" s="22">
        <v>18.5</v>
      </c>
      <c r="AL74" s="128">
        <v>18.5</v>
      </c>
      <c r="AM74" s="128">
        <v>18.5</v>
      </c>
      <c r="AN74" s="128">
        <v>18.5</v>
      </c>
      <c r="AO74" s="77">
        <v>18.5</v>
      </c>
      <c r="AP74" s="77">
        <v>18.5</v>
      </c>
      <c r="AQ74" s="129">
        <v>18.5</v>
      </c>
      <c r="AR74" s="129">
        <v>19.5</v>
      </c>
      <c r="AS74" s="129">
        <v>20</v>
      </c>
      <c r="AT74" s="116">
        <v>4343</v>
      </c>
      <c r="AU74" s="47">
        <v>10053</v>
      </c>
      <c r="AV74" s="47">
        <v>35827</v>
      </c>
      <c r="AW74" s="46">
        <v>10949</v>
      </c>
      <c r="AX74" s="46">
        <v>14988</v>
      </c>
      <c r="AY74" s="92">
        <v>490</v>
      </c>
      <c r="AZ74" s="47">
        <v>653</v>
      </c>
      <c r="BA74" s="44">
        <v>1418</v>
      </c>
      <c r="BB74" s="23">
        <v>-6586</v>
      </c>
      <c r="BC74" s="47">
        <v>-765</v>
      </c>
      <c r="BD74" s="44">
        <v>735</v>
      </c>
      <c r="BE74" s="47">
        <v>739</v>
      </c>
      <c r="BF74" s="44">
        <v>10949</v>
      </c>
      <c r="BG74" s="46">
        <v>9108</v>
      </c>
      <c r="BH74" s="130">
        <v>1166</v>
      </c>
      <c r="BI74" s="46">
        <v>675</v>
      </c>
      <c r="BJ74" s="129">
        <v>18.5</v>
      </c>
      <c r="BK74" s="44">
        <v>15003</v>
      </c>
      <c r="BL74" s="116">
        <v>4286</v>
      </c>
      <c r="BM74" s="47">
        <v>10322</v>
      </c>
      <c r="BN74" s="130">
        <v>35548</v>
      </c>
      <c r="BO74" s="46">
        <v>12120</v>
      </c>
      <c r="BP74" s="46">
        <v>15682</v>
      </c>
      <c r="BQ74" s="46">
        <v>14</v>
      </c>
      <c r="BR74" s="130">
        <v>2578</v>
      </c>
      <c r="BS74" s="44">
        <v>1727</v>
      </c>
      <c r="BT74" s="92">
        <v>-1483</v>
      </c>
      <c r="BU74" s="117">
        <v>1493</v>
      </c>
      <c r="BV74" s="130">
        <v>2231</v>
      </c>
      <c r="BW74" s="48">
        <v>12120</v>
      </c>
      <c r="BX74" s="46">
        <v>10094</v>
      </c>
      <c r="BY74" s="130">
        <v>1189</v>
      </c>
      <c r="BZ74" s="46">
        <v>837</v>
      </c>
      <c r="CA74" s="129">
        <v>19.5</v>
      </c>
      <c r="CB74" s="44">
        <v>14600</v>
      </c>
      <c r="CC74" s="116">
        <v>4268</v>
      </c>
      <c r="CD74" s="47">
        <v>9681</v>
      </c>
      <c r="CE74" s="130">
        <v>34434</v>
      </c>
      <c r="CF74" s="46">
        <v>12328</v>
      </c>
      <c r="CG74" s="46">
        <v>15067</v>
      </c>
      <c r="CH74" s="46">
        <v>96</v>
      </c>
      <c r="CI74" s="130">
        <v>2738</v>
      </c>
      <c r="CJ74" s="44">
        <v>1892</v>
      </c>
      <c r="CK74" s="117">
        <v>-1048</v>
      </c>
      <c r="CL74" s="117">
        <v>846</v>
      </c>
      <c r="CM74" s="117">
        <v>3299</v>
      </c>
      <c r="CN74" s="48">
        <v>12328</v>
      </c>
      <c r="CO74" s="46">
        <v>10168</v>
      </c>
      <c r="CP74" s="130">
        <v>1234</v>
      </c>
      <c r="CQ74" s="46">
        <v>926</v>
      </c>
      <c r="CR74" s="129">
        <v>20</v>
      </c>
      <c r="CS74" s="44">
        <v>14600</v>
      </c>
      <c r="CT74">
        <v>4232</v>
      </c>
      <c r="CU74">
        <v>11721</v>
      </c>
      <c r="CV74">
        <v>15297</v>
      </c>
      <c r="CW74">
        <v>8331</v>
      </c>
      <c r="CX74">
        <v>38</v>
      </c>
      <c r="CY74">
        <v>9627</v>
      </c>
      <c r="CZ74">
        <v>1146</v>
      </c>
      <c r="DA74">
        <v>948</v>
      </c>
      <c r="DB74">
        <v>2021</v>
      </c>
      <c r="DC74">
        <v>-598</v>
      </c>
      <c r="DD74">
        <v>2021</v>
      </c>
      <c r="DE74">
        <v>13000</v>
      </c>
      <c r="DF74">
        <v>33366</v>
      </c>
      <c r="DG74">
        <v>0</v>
      </c>
      <c r="DH74">
        <v>3299</v>
      </c>
      <c r="DI74">
        <v>20</v>
      </c>
      <c r="DJ74" s="174">
        <v>4146</v>
      </c>
      <c r="DK74" s="34">
        <v>12130</v>
      </c>
      <c r="DL74" s="34">
        <v>15375</v>
      </c>
      <c r="DM74">
        <v>4541</v>
      </c>
      <c r="DN74" s="173">
        <v>83</v>
      </c>
      <c r="DO74" s="34">
        <v>9803</v>
      </c>
      <c r="DP74" s="173">
        <v>1365</v>
      </c>
      <c r="DQ74" s="34">
        <v>962</v>
      </c>
      <c r="DR74" s="173">
        <v>2737</v>
      </c>
      <c r="DS74" s="173">
        <v>-658</v>
      </c>
      <c r="DT74">
        <v>1954</v>
      </c>
      <c r="DU74">
        <v>13000</v>
      </c>
      <c r="DV74" s="173">
        <v>29392</v>
      </c>
      <c r="DW74" s="173">
        <v>783</v>
      </c>
      <c r="DX74" s="173">
        <v>4082</v>
      </c>
      <c r="DY74" s="57">
        <v>20</v>
      </c>
      <c r="DZ74" s="184">
        <v>340</v>
      </c>
      <c r="EA74" s="116">
        <v>4031</v>
      </c>
      <c r="EB74" s="48">
        <v>12013</v>
      </c>
      <c r="EC74" s="46">
        <v>14876</v>
      </c>
      <c r="ED74" s="90">
        <v>4423</v>
      </c>
      <c r="EE74" s="186">
        <v>83</v>
      </c>
      <c r="EF74" s="46">
        <v>9626</v>
      </c>
      <c r="EG74" s="130">
        <v>1298</v>
      </c>
      <c r="EH74" s="46">
        <v>1089</v>
      </c>
      <c r="EI74" s="130">
        <v>1808</v>
      </c>
      <c r="EJ74" s="48">
        <v>-851</v>
      </c>
      <c r="EK74" s="44">
        <v>1839</v>
      </c>
      <c r="EL74" s="44">
        <v>13000</v>
      </c>
      <c r="EM74" s="130">
        <v>29587</v>
      </c>
      <c r="EN74" s="117">
        <v>-31</v>
      </c>
      <c r="EO74" s="117">
        <v>4052</v>
      </c>
      <c r="EP74" s="129">
        <v>21</v>
      </c>
    </row>
    <row r="75" spans="1:146" ht="15" x14ac:dyDescent="0.25">
      <c r="A75" s="27">
        <v>230</v>
      </c>
      <c r="B75" s="27" t="s">
        <v>204</v>
      </c>
      <c r="C75" s="27">
        <v>4</v>
      </c>
      <c r="D75" s="27" t="s">
        <v>120</v>
      </c>
      <c r="E75" s="27">
        <v>2</v>
      </c>
      <c r="F75" s="27" t="s">
        <v>744</v>
      </c>
      <c r="G75" s="29" t="s">
        <v>130</v>
      </c>
      <c r="H75" s="27" t="s">
        <v>98</v>
      </c>
      <c r="I75" s="31" t="s">
        <v>120</v>
      </c>
      <c r="J75" s="118">
        <v>140.60510652182322</v>
      </c>
      <c r="K75" s="118">
        <v>320.06162405625548</v>
      </c>
      <c r="L75" s="118">
        <v>-151.0327579624369</v>
      </c>
      <c r="M75" s="118">
        <v>331.66659098209976</v>
      </c>
      <c r="N75" s="22">
        <v>818</v>
      </c>
      <c r="O75" s="119">
        <v>2512</v>
      </c>
      <c r="P75" s="119">
        <v>2927</v>
      </c>
      <c r="Q75" s="120">
        <v>3327</v>
      </c>
      <c r="R75" s="22">
        <v>3500</v>
      </c>
      <c r="S75" s="22">
        <v>4594</v>
      </c>
      <c r="T75" s="121">
        <v>5706</v>
      </c>
      <c r="U75" s="121">
        <v>7546</v>
      </c>
      <c r="V75" s="121">
        <v>8520</v>
      </c>
      <c r="W75" s="106">
        <v>8703</v>
      </c>
      <c r="X75" s="121">
        <v>8593</v>
      </c>
      <c r="Y75" s="121">
        <v>8784</v>
      </c>
      <c r="Z75" s="121">
        <v>9645</v>
      </c>
      <c r="AA75" s="121">
        <v>10058</v>
      </c>
      <c r="AB75" s="122">
        <v>19</v>
      </c>
      <c r="AC75" s="123">
        <v>19</v>
      </c>
      <c r="AD75" s="124">
        <v>19</v>
      </c>
      <c r="AE75" s="125">
        <v>19</v>
      </c>
      <c r="AF75" s="126">
        <v>19</v>
      </c>
      <c r="AG75" s="123">
        <v>19</v>
      </c>
      <c r="AH75" s="123">
        <v>19</v>
      </c>
      <c r="AI75" s="127">
        <v>19</v>
      </c>
      <c r="AJ75" s="127">
        <v>19</v>
      </c>
      <c r="AK75" s="22">
        <v>19</v>
      </c>
      <c r="AL75" s="128">
        <v>19</v>
      </c>
      <c r="AM75" s="128">
        <v>19</v>
      </c>
      <c r="AN75" s="128">
        <v>19</v>
      </c>
      <c r="AO75" s="77">
        <v>19</v>
      </c>
      <c r="AP75" s="77">
        <v>19.75</v>
      </c>
      <c r="AQ75" s="129">
        <v>19.75</v>
      </c>
      <c r="AR75" s="129">
        <v>19.75</v>
      </c>
      <c r="AS75" s="129">
        <v>19.75</v>
      </c>
      <c r="AT75" s="116">
        <v>2523</v>
      </c>
      <c r="AU75" s="47">
        <v>1366</v>
      </c>
      <c r="AV75" s="47">
        <v>15410</v>
      </c>
      <c r="AW75" s="46">
        <v>6074</v>
      </c>
      <c r="AX75" s="46">
        <v>8534</v>
      </c>
      <c r="AY75" s="92">
        <v>413</v>
      </c>
      <c r="AZ75" s="47">
        <v>977</v>
      </c>
      <c r="BA75" s="44">
        <v>787</v>
      </c>
      <c r="BB75" s="23">
        <v>-214</v>
      </c>
      <c r="BC75" s="47">
        <v>190</v>
      </c>
      <c r="BD75" s="44">
        <v>191</v>
      </c>
      <c r="BE75" s="47">
        <v>8784</v>
      </c>
      <c r="BF75" s="44">
        <v>6074</v>
      </c>
      <c r="BG75" s="46">
        <v>5326</v>
      </c>
      <c r="BH75" s="130">
        <v>442</v>
      </c>
      <c r="BI75" s="46">
        <v>306</v>
      </c>
      <c r="BJ75" s="129">
        <v>19.75</v>
      </c>
      <c r="BK75" s="44">
        <v>500</v>
      </c>
      <c r="BL75" s="116">
        <v>2491</v>
      </c>
      <c r="BM75" s="47">
        <v>1588</v>
      </c>
      <c r="BN75" s="130">
        <v>15361</v>
      </c>
      <c r="BO75" s="46">
        <v>6295</v>
      </c>
      <c r="BP75" s="46">
        <v>8736</v>
      </c>
      <c r="BQ75" s="46">
        <v>436</v>
      </c>
      <c r="BR75" s="130">
        <v>1694</v>
      </c>
      <c r="BS75" s="44">
        <v>833</v>
      </c>
      <c r="BT75" s="92">
        <v>-520</v>
      </c>
      <c r="BU75" s="117">
        <v>861</v>
      </c>
      <c r="BV75" s="130">
        <v>9645</v>
      </c>
      <c r="BW75" s="48">
        <v>6295</v>
      </c>
      <c r="BX75" s="46">
        <v>5416</v>
      </c>
      <c r="BY75" s="130">
        <v>518</v>
      </c>
      <c r="BZ75" s="46">
        <v>361</v>
      </c>
      <c r="CA75" s="129">
        <v>19.75</v>
      </c>
      <c r="CB75" s="44">
        <v>0</v>
      </c>
      <c r="CC75" s="116">
        <v>2475</v>
      </c>
      <c r="CD75" s="47">
        <v>1489</v>
      </c>
      <c r="CE75" s="130">
        <v>15993</v>
      </c>
      <c r="CF75" s="46">
        <v>6660</v>
      </c>
      <c r="CG75" s="46">
        <v>8674</v>
      </c>
      <c r="CH75" s="46">
        <v>415</v>
      </c>
      <c r="CI75" s="130">
        <v>1243</v>
      </c>
      <c r="CJ75" s="44">
        <v>830</v>
      </c>
      <c r="CK75" s="117">
        <v>-763</v>
      </c>
      <c r="CL75" s="117">
        <v>413</v>
      </c>
      <c r="CM75" s="117">
        <v>10058</v>
      </c>
      <c r="CN75" s="48">
        <v>6660</v>
      </c>
      <c r="CO75" s="46">
        <v>5635</v>
      </c>
      <c r="CP75" s="130">
        <v>612</v>
      </c>
      <c r="CQ75" s="46">
        <v>413</v>
      </c>
      <c r="CR75" s="129">
        <v>19.75</v>
      </c>
      <c r="CS75" s="44">
        <v>0</v>
      </c>
      <c r="CT75">
        <v>2449</v>
      </c>
      <c r="CU75">
        <v>6261</v>
      </c>
      <c r="CV75">
        <v>8303</v>
      </c>
      <c r="CW75">
        <v>1394</v>
      </c>
      <c r="CX75">
        <v>401</v>
      </c>
      <c r="CY75">
        <v>5258</v>
      </c>
      <c r="CZ75">
        <v>596</v>
      </c>
      <c r="DA75">
        <v>407</v>
      </c>
      <c r="DB75">
        <v>111</v>
      </c>
      <c r="DC75">
        <v>-1392</v>
      </c>
      <c r="DD75">
        <v>813</v>
      </c>
      <c r="DE75">
        <v>0</v>
      </c>
      <c r="DF75">
        <v>16248</v>
      </c>
      <c r="DG75">
        <v>-702</v>
      </c>
      <c r="DH75">
        <v>9356</v>
      </c>
      <c r="DI75">
        <v>19.75</v>
      </c>
      <c r="DJ75" s="174">
        <v>2403</v>
      </c>
      <c r="DK75" s="34">
        <v>6725</v>
      </c>
      <c r="DL75" s="34">
        <v>8224</v>
      </c>
      <c r="DM75">
        <v>1366</v>
      </c>
      <c r="DN75" s="173">
        <v>406</v>
      </c>
      <c r="DO75" s="34">
        <v>5486</v>
      </c>
      <c r="DP75" s="173">
        <v>703</v>
      </c>
      <c r="DQ75" s="34">
        <v>536</v>
      </c>
      <c r="DR75" s="173">
        <v>1017</v>
      </c>
      <c r="DS75" s="173">
        <v>-3104</v>
      </c>
      <c r="DT75">
        <v>798</v>
      </c>
      <c r="DU75">
        <v>3300</v>
      </c>
      <c r="DV75" s="173">
        <v>15704</v>
      </c>
      <c r="DW75" s="173">
        <v>219</v>
      </c>
      <c r="DX75" s="173">
        <v>9574</v>
      </c>
      <c r="DY75" s="57">
        <v>19.75</v>
      </c>
      <c r="DZ75" s="184">
        <v>340</v>
      </c>
      <c r="EA75" s="116">
        <v>2390</v>
      </c>
      <c r="EB75" s="48">
        <v>6411</v>
      </c>
      <c r="EC75" s="46">
        <v>7798</v>
      </c>
      <c r="ED75" s="90">
        <v>1469</v>
      </c>
      <c r="EE75" s="186">
        <v>231</v>
      </c>
      <c r="EF75" s="46">
        <v>5092</v>
      </c>
      <c r="EG75" s="130">
        <v>615</v>
      </c>
      <c r="EH75" s="46">
        <v>704</v>
      </c>
      <c r="EI75" s="130">
        <v>-179</v>
      </c>
      <c r="EJ75" s="48">
        <v>-62</v>
      </c>
      <c r="EK75" s="44">
        <v>923</v>
      </c>
      <c r="EL75" s="44">
        <v>3126</v>
      </c>
      <c r="EM75" s="130">
        <v>16088</v>
      </c>
      <c r="EN75" s="117">
        <v>-1102</v>
      </c>
      <c r="EO75" s="117">
        <v>8472</v>
      </c>
      <c r="EP75" s="129">
        <v>20.5</v>
      </c>
    </row>
    <row r="76" spans="1:146" ht="15" x14ac:dyDescent="0.25">
      <c r="A76" s="27">
        <v>231</v>
      </c>
      <c r="B76" s="27" t="s">
        <v>205</v>
      </c>
      <c r="C76" s="27">
        <v>15</v>
      </c>
      <c r="D76" s="27" t="s">
        <v>115</v>
      </c>
      <c r="E76" s="27">
        <v>1</v>
      </c>
      <c r="F76" s="27" t="s">
        <v>103</v>
      </c>
      <c r="G76" s="29" t="s">
        <v>141</v>
      </c>
      <c r="H76" s="27" t="s">
        <v>97</v>
      </c>
      <c r="I76" s="31" t="s">
        <v>115</v>
      </c>
      <c r="J76" s="118">
        <v>452.93008596084923</v>
      </c>
      <c r="K76" s="118">
        <v>753.14553469464636</v>
      </c>
      <c r="L76" s="118">
        <v>1237.1903870508752</v>
      </c>
      <c r="M76" s="118">
        <v>3866.4722414236767</v>
      </c>
      <c r="N76" s="22">
        <v>3949</v>
      </c>
      <c r="O76" s="119">
        <v>3995</v>
      </c>
      <c r="P76" s="119">
        <v>4160</v>
      </c>
      <c r="Q76" s="120">
        <v>4175</v>
      </c>
      <c r="R76" s="22">
        <v>4638</v>
      </c>
      <c r="S76" s="22">
        <v>8368</v>
      </c>
      <c r="T76" s="121">
        <v>10773</v>
      </c>
      <c r="U76" s="121">
        <v>12038</v>
      </c>
      <c r="V76" s="121">
        <v>12566</v>
      </c>
      <c r="W76" s="106">
        <v>10473</v>
      </c>
      <c r="X76" s="121">
        <v>9740</v>
      </c>
      <c r="Y76" s="121">
        <v>9982</v>
      </c>
      <c r="Z76" s="121">
        <v>9740</v>
      </c>
      <c r="AA76" s="121">
        <v>8795</v>
      </c>
      <c r="AB76" s="122">
        <v>18.5</v>
      </c>
      <c r="AC76" s="123">
        <v>18.5</v>
      </c>
      <c r="AD76" s="124">
        <v>18.5</v>
      </c>
      <c r="AE76" s="125">
        <v>18.5</v>
      </c>
      <c r="AF76" s="126">
        <v>18.5</v>
      </c>
      <c r="AG76" s="123">
        <v>18</v>
      </c>
      <c r="AH76" s="123">
        <v>17.75</v>
      </c>
      <c r="AI76" s="127">
        <v>17.75</v>
      </c>
      <c r="AJ76" s="127">
        <v>17.75</v>
      </c>
      <c r="AK76" s="22">
        <v>17.75</v>
      </c>
      <c r="AL76" s="128">
        <v>17.75</v>
      </c>
      <c r="AM76" s="128">
        <v>18.75</v>
      </c>
      <c r="AN76" s="128">
        <v>20</v>
      </c>
      <c r="AO76" s="77">
        <v>20</v>
      </c>
      <c r="AP76" s="77">
        <v>20</v>
      </c>
      <c r="AQ76" s="129">
        <v>21</v>
      </c>
      <c r="AR76" s="129">
        <v>21</v>
      </c>
      <c r="AS76" s="129">
        <v>21</v>
      </c>
      <c r="AT76" s="116">
        <v>1350</v>
      </c>
      <c r="AU76" s="47">
        <v>3062</v>
      </c>
      <c r="AV76" s="47">
        <v>9951</v>
      </c>
      <c r="AW76" s="46">
        <v>6570</v>
      </c>
      <c r="AX76" s="46">
        <v>1455</v>
      </c>
      <c r="AY76" s="92">
        <v>66</v>
      </c>
      <c r="AZ76" s="47">
        <v>1118</v>
      </c>
      <c r="BA76" s="44">
        <v>918</v>
      </c>
      <c r="BB76" s="23">
        <v>-546</v>
      </c>
      <c r="BC76" s="47">
        <v>241</v>
      </c>
      <c r="BD76" s="44">
        <v>241</v>
      </c>
      <c r="BE76" s="47">
        <v>9982</v>
      </c>
      <c r="BF76" s="44">
        <v>6570</v>
      </c>
      <c r="BG76" s="46">
        <v>4903</v>
      </c>
      <c r="BH76" s="130">
        <v>1106</v>
      </c>
      <c r="BI76" s="46">
        <v>561</v>
      </c>
      <c r="BJ76" s="129">
        <v>21</v>
      </c>
      <c r="BK76" s="44">
        <v>3068</v>
      </c>
      <c r="BL76" s="116">
        <v>1324</v>
      </c>
      <c r="BM76" s="47">
        <v>2729</v>
      </c>
      <c r="BN76" s="130">
        <v>9755</v>
      </c>
      <c r="BO76" s="46">
        <v>6130</v>
      </c>
      <c r="BP76" s="46">
        <v>1524</v>
      </c>
      <c r="BQ76" s="46">
        <v>49</v>
      </c>
      <c r="BR76" s="130">
        <v>605</v>
      </c>
      <c r="BS76" s="44">
        <v>883</v>
      </c>
      <c r="BT76" s="92">
        <v>-1321</v>
      </c>
      <c r="BU76" s="117">
        <v>-241</v>
      </c>
      <c r="BV76" s="130">
        <v>9740</v>
      </c>
      <c r="BW76" s="48">
        <v>6130</v>
      </c>
      <c r="BX76" s="46">
        <v>4702</v>
      </c>
      <c r="BY76" s="130">
        <v>868</v>
      </c>
      <c r="BZ76" s="46">
        <v>560</v>
      </c>
      <c r="CA76" s="129">
        <v>21</v>
      </c>
      <c r="CB76" s="44">
        <v>3786</v>
      </c>
      <c r="CC76" s="116">
        <v>1285</v>
      </c>
      <c r="CD76" s="47">
        <v>2464</v>
      </c>
      <c r="CE76" s="130">
        <v>10160</v>
      </c>
      <c r="CF76" s="46">
        <v>6192</v>
      </c>
      <c r="CG76" s="46">
        <v>1494</v>
      </c>
      <c r="CH76" s="46">
        <v>0</v>
      </c>
      <c r="CI76" s="130">
        <v>-43</v>
      </c>
      <c r="CJ76" s="44">
        <v>902</v>
      </c>
      <c r="CK76" s="117">
        <v>-139</v>
      </c>
      <c r="CL76" s="117">
        <v>-945</v>
      </c>
      <c r="CM76" s="117">
        <v>8795</v>
      </c>
      <c r="CN76" s="48">
        <v>6192</v>
      </c>
      <c r="CO76" s="46">
        <v>4692</v>
      </c>
      <c r="CP76" s="130">
        <v>892</v>
      </c>
      <c r="CQ76" s="46">
        <v>608</v>
      </c>
      <c r="CR76" s="129">
        <v>21</v>
      </c>
      <c r="CS76" s="44">
        <v>3104</v>
      </c>
      <c r="CT76">
        <v>1296</v>
      </c>
      <c r="CU76">
        <v>6342</v>
      </c>
      <c r="CV76">
        <v>1825</v>
      </c>
      <c r="CW76">
        <v>2572</v>
      </c>
      <c r="CX76">
        <v>23</v>
      </c>
      <c r="CY76">
        <v>4788</v>
      </c>
      <c r="CZ76">
        <v>954</v>
      </c>
      <c r="DA76">
        <v>600</v>
      </c>
      <c r="DB76">
        <v>-214</v>
      </c>
      <c r="DC76">
        <v>-606</v>
      </c>
      <c r="DD76">
        <v>875</v>
      </c>
      <c r="DE76">
        <v>3423</v>
      </c>
      <c r="DF76">
        <v>10970</v>
      </c>
      <c r="DG76">
        <v>-1083</v>
      </c>
      <c r="DH76">
        <v>7711</v>
      </c>
      <c r="DI76">
        <v>21.5</v>
      </c>
      <c r="DJ76" s="174">
        <v>1274</v>
      </c>
      <c r="DK76" s="34">
        <v>6638</v>
      </c>
      <c r="DL76" s="34">
        <v>2217</v>
      </c>
      <c r="DM76">
        <v>2617</v>
      </c>
      <c r="DN76" s="173">
        <v>-36</v>
      </c>
      <c r="DO76" s="34">
        <v>4837</v>
      </c>
      <c r="DP76" s="173">
        <v>1205</v>
      </c>
      <c r="DQ76" s="34">
        <v>596</v>
      </c>
      <c r="DR76" s="173">
        <v>617</v>
      </c>
      <c r="DS76" s="173">
        <v>-1477</v>
      </c>
      <c r="DT76">
        <v>855</v>
      </c>
      <c r="DU76">
        <v>3941</v>
      </c>
      <c r="DV76" s="173">
        <v>10819</v>
      </c>
      <c r="DW76" s="173">
        <v>-238</v>
      </c>
      <c r="DX76" s="173">
        <v>7474</v>
      </c>
      <c r="DY76" s="57">
        <v>22</v>
      </c>
      <c r="DZ76" s="184">
        <v>140</v>
      </c>
      <c r="EA76" s="116">
        <v>1262</v>
      </c>
      <c r="EB76" s="48">
        <v>6662</v>
      </c>
      <c r="EC76" s="46">
        <v>1912</v>
      </c>
      <c r="ED76" s="90">
        <v>3180</v>
      </c>
      <c r="EE76" s="186">
        <v>-33</v>
      </c>
      <c r="EF76" s="46">
        <v>4970</v>
      </c>
      <c r="EG76" s="130">
        <v>1082</v>
      </c>
      <c r="EH76" s="46">
        <v>610</v>
      </c>
      <c r="EI76" s="130">
        <v>231</v>
      </c>
      <c r="EJ76" s="48">
        <v>434</v>
      </c>
      <c r="EK76" s="44">
        <v>1625</v>
      </c>
      <c r="EL76" s="44">
        <v>4040</v>
      </c>
      <c r="EM76" s="130">
        <v>11490</v>
      </c>
      <c r="EN76" s="117">
        <v>-1394</v>
      </c>
      <c r="EO76" s="117">
        <v>6080</v>
      </c>
      <c r="EP76" s="129">
        <v>22</v>
      </c>
    </row>
    <row r="77" spans="1:146" ht="15" x14ac:dyDescent="0.25">
      <c r="A77" s="27">
        <v>232</v>
      </c>
      <c r="B77" s="27" t="s">
        <v>206</v>
      </c>
      <c r="C77" s="27">
        <v>14</v>
      </c>
      <c r="D77" s="27" t="s">
        <v>106</v>
      </c>
      <c r="E77" s="27">
        <v>4</v>
      </c>
      <c r="F77" s="27" t="s">
        <v>100</v>
      </c>
      <c r="G77" s="29" t="s">
        <v>132</v>
      </c>
      <c r="H77" s="27" t="s">
        <v>99</v>
      </c>
      <c r="I77" s="31" t="s">
        <v>106</v>
      </c>
      <c r="J77" s="118">
        <v>-5102.4853129893218</v>
      </c>
      <c r="K77" s="118">
        <v>-7800.5560292848813</v>
      </c>
      <c r="L77" s="118">
        <v>-1247.9544143444118</v>
      </c>
      <c r="M77" s="118">
        <v>-134.38215324274731</v>
      </c>
      <c r="N77" s="22">
        <v>1603</v>
      </c>
      <c r="O77" s="119">
        <v>1461</v>
      </c>
      <c r="P77" s="119">
        <v>-977</v>
      </c>
      <c r="Q77" s="120">
        <v>922</v>
      </c>
      <c r="R77" s="22">
        <v>13</v>
      </c>
      <c r="S77" s="22">
        <v>1066</v>
      </c>
      <c r="T77" s="121">
        <v>-398</v>
      </c>
      <c r="U77" s="121">
        <v>-2658</v>
      </c>
      <c r="V77" s="121">
        <v>-3994</v>
      </c>
      <c r="W77" s="106">
        <v>-7312</v>
      </c>
      <c r="X77" s="121">
        <v>-11955</v>
      </c>
      <c r="Y77" s="121">
        <v>-11222</v>
      </c>
      <c r="Z77" s="121">
        <v>-10319</v>
      </c>
      <c r="AA77" s="121">
        <v>-10393</v>
      </c>
      <c r="AB77" s="122">
        <v>17</v>
      </c>
      <c r="AC77" s="123">
        <v>17</v>
      </c>
      <c r="AD77" s="124">
        <v>18</v>
      </c>
      <c r="AE77" s="125">
        <v>18</v>
      </c>
      <c r="AF77" s="126">
        <v>18</v>
      </c>
      <c r="AG77" s="123">
        <v>18</v>
      </c>
      <c r="AH77" s="123">
        <v>18</v>
      </c>
      <c r="AI77" s="127">
        <v>18.5</v>
      </c>
      <c r="AJ77" s="127">
        <v>19</v>
      </c>
      <c r="AK77" s="22">
        <v>19.5</v>
      </c>
      <c r="AL77" s="128">
        <v>19.5</v>
      </c>
      <c r="AM77" s="128">
        <v>20</v>
      </c>
      <c r="AN77" s="128">
        <v>21</v>
      </c>
      <c r="AO77" s="77">
        <v>21</v>
      </c>
      <c r="AP77" s="77">
        <v>21</v>
      </c>
      <c r="AQ77" s="129">
        <v>21.5</v>
      </c>
      <c r="AR77" s="129">
        <v>22</v>
      </c>
      <c r="AS77" s="129">
        <v>22</v>
      </c>
      <c r="AT77" s="116">
        <v>14081</v>
      </c>
      <c r="AU77" s="47">
        <v>47158</v>
      </c>
      <c r="AV77" s="47">
        <v>125443</v>
      </c>
      <c r="AW77" s="46">
        <v>43307</v>
      </c>
      <c r="AX77" s="46">
        <v>35087</v>
      </c>
      <c r="AY77" s="92">
        <v>5875</v>
      </c>
      <c r="AZ77" s="47">
        <v>4929</v>
      </c>
      <c r="BA77" s="44">
        <v>4248</v>
      </c>
      <c r="BB77" s="23">
        <v>-9746</v>
      </c>
      <c r="BC77" s="47">
        <v>681</v>
      </c>
      <c r="BD77" s="44">
        <v>733</v>
      </c>
      <c r="BE77" s="47">
        <v>-11222</v>
      </c>
      <c r="BF77" s="44">
        <v>43307</v>
      </c>
      <c r="BG77" s="46">
        <v>37492</v>
      </c>
      <c r="BH77" s="130">
        <v>2996</v>
      </c>
      <c r="BI77" s="46">
        <v>2819</v>
      </c>
      <c r="BJ77" s="129">
        <v>21.5</v>
      </c>
      <c r="BK77" s="44">
        <v>60673</v>
      </c>
      <c r="BL77" s="116">
        <v>14007</v>
      </c>
      <c r="BM77" s="47">
        <v>46763</v>
      </c>
      <c r="BN77" s="130">
        <v>124705</v>
      </c>
      <c r="BO77" s="46">
        <v>44840</v>
      </c>
      <c r="BP77" s="46">
        <v>36110</v>
      </c>
      <c r="BQ77" s="46">
        <v>1255</v>
      </c>
      <c r="BR77" s="130">
        <v>3172</v>
      </c>
      <c r="BS77" s="44">
        <v>4314</v>
      </c>
      <c r="BT77" s="92">
        <v>-4888</v>
      </c>
      <c r="BU77" s="117">
        <v>-1097</v>
      </c>
      <c r="BV77" s="130">
        <v>-10319</v>
      </c>
      <c r="BW77" s="48">
        <v>44840</v>
      </c>
      <c r="BX77" s="46">
        <v>38090</v>
      </c>
      <c r="BY77" s="130">
        <v>3395</v>
      </c>
      <c r="BZ77" s="46">
        <v>3355</v>
      </c>
      <c r="CA77" s="129">
        <v>22</v>
      </c>
      <c r="CB77" s="44">
        <v>59756</v>
      </c>
      <c r="CC77" s="116">
        <v>13875</v>
      </c>
      <c r="CD77" s="47">
        <v>46041</v>
      </c>
      <c r="CE77" s="130">
        <v>128273</v>
      </c>
      <c r="CF77" s="46">
        <v>46722</v>
      </c>
      <c r="CG77" s="46">
        <v>37291</v>
      </c>
      <c r="CH77" s="46">
        <v>5401</v>
      </c>
      <c r="CI77" s="130">
        <v>4061</v>
      </c>
      <c r="CJ77" s="44">
        <v>4317</v>
      </c>
      <c r="CK77" s="117">
        <v>-3409</v>
      </c>
      <c r="CL77" s="117">
        <v>-213</v>
      </c>
      <c r="CM77" s="117">
        <v>-10393</v>
      </c>
      <c r="CN77" s="48">
        <v>46722</v>
      </c>
      <c r="CO77" s="46">
        <v>39413</v>
      </c>
      <c r="CP77" s="130">
        <v>3910</v>
      </c>
      <c r="CQ77" s="46">
        <v>3399</v>
      </c>
      <c r="CR77" s="129">
        <v>22</v>
      </c>
      <c r="CS77" s="44">
        <v>59133</v>
      </c>
      <c r="CT77">
        <v>13772</v>
      </c>
      <c r="CU77">
        <v>45558</v>
      </c>
      <c r="CV77">
        <v>38993</v>
      </c>
      <c r="CW77">
        <v>45864</v>
      </c>
      <c r="CX77">
        <v>1262</v>
      </c>
      <c r="CY77">
        <v>38682</v>
      </c>
      <c r="CZ77">
        <v>3501</v>
      </c>
      <c r="DA77">
        <v>3375</v>
      </c>
      <c r="DB77">
        <v>3409</v>
      </c>
      <c r="DC77">
        <v>-7354</v>
      </c>
      <c r="DD77">
        <v>4376</v>
      </c>
      <c r="DE77">
        <v>64321</v>
      </c>
      <c r="DF77">
        <v>127279</v>
      </c>
      <c r="DG77">
        <v>-926</v>
      </c>
      <c r="DH77">
        <v>-11318</v>
      </c>
      <c r="DI77">
        <v>22</v>
      </c>
      <c r="DJ77" s="174">
        <v>13610</v>
      </c>
      <c r="DK77" s="34">
        <v>45865</v>
      </c>
      <c r="DL77" s="34">
        <v>38877</v>
      </c>
      <c r="DM77">
        <v>45239</v>
      </c>
      <c r="DN77" s="173">
        <v>476</v>
      </c>
      <c r="DO77" s="34">
        <v>38421</v>
      </c>
      <c r="DP77" s="173">
        <v>4023</v>
      </c>
      <c r="DQ77" s="34">
        <v>3421</v>
      </c>
      <c r="DR77" s="173">
        <v>5534</v>
      </c>
      <c r="DS77" s="173">
        <v>-3129</v>
      </c>
      <c r="DT77">
        <v>4557</v>
      </c>
      <c r="DU77">
        <v>65694</v>
      </c>
      <c r="DV77" s="173">
        <v>124923</v>
      </c>
      <c r="DW77" s="173">
        <v>1016</v>
      </c>
      <c r="DX77" s="173">
        <v>-10302</v>
      </c>
      <c r="DY77" s="57">
        <v>22</v>
      </c>
      <c r="DZ77" s="184">
        <v>240</v>
      </c>
      <c r="EA77" s="116">
        <v>13375</v>
      </c>
      <c r="EB77" s="48">
        <v>44520</v>
      </c>
      <c r="EC77" s="46">
        <v>38718</v>
      </c>
      <c r="ED77" s="90">
        <v>45184</v>
      </c>
      <c r="EE77" s="186">
        <v>348</v>
      </c>
      <c r="EF77" s="46">
        <v>37191</v>
      </c>
      <c r="EG77" s="130">
        <v>3479</v>
      </c>
      <c r="EH77" s="46">
        <v>3850</v>
      </c>
      <c r="EI77" s="130">
        <v>1912</v>
      </c>
      <c r="EJ77" s="48">
        <v>-2800</v>
      </c>
      <c r="EK77" s="44">
        <v>4483</v>
      </c>
      <c r="EL77" s="44">
        <v>62889</v>
      </c>
      <c r="EM77" s="130">
        <v>126858</v>
      </c>
      <c r="EN77" s="117">
        <v>-2533</v>
      </c>
      <c r="EO77" s="117">
        <v>-13200</v>
      </c>
      <c r="EP77" s="129">
        <v>22</v>
      </c>
    </row>
    <row r="78" spans="1:146" ht="15" x14ac:dyDescent="0.25">
      <c r="A78" s="27">
        <v>233</v>
      </c>
      <c r="B78" s="27" t="s">
        <v>207</v>
      </c>
      <c r="C78" s="27">
        <v>14</v>
      </c>
      <c r="D78" s="27" t="s">
        <v>106</v>
      </c>
      <c r="E78" s="27">
        <v>4</v>
      </c>
      <c r="F78" s="27" t="s">
        <v>100</v>
      </c>
      <c r="G78" s="29" t="s">
        <v>132</v>
      </c>
      <c r="H78" s="27" t="s">
        <v>99</v>
      </c>
      <c r="I78" s="31" t="s">
        <v>106</v>
      </c>
      <c r="J78" s="118">
        <v>7.9048325436910183</v>
      </c>
      <c r="K78" s="118">
        <v>364.79961249501741</v>
      </c>
      <c r="L78" s="118">
        <v>-2429.4745977365269</v>
      </c>
      <c r="M78" s="118">
        <v>-1955.0164571886044</v>
      </c>
      <c r="N78" s="22">
        <v>242</v>
      </c>
      <c r="O78" s="119">
        <v>367</v>
      </c>
      <c r="P78" s="119">
        <v>-591</v>
      </c>
      <c r="Q78" s="120">
        <v>-586</v>
      </c>
      <c r="R78" s="22">
        <v>-1585</v>
      </c>
      <c r="S78" s="22">
        <v>-1292</v>
      </c>
      <c r="T78" s="121">
        <v>-1706</v>
      </c>
      <c r="U78" s="121">
        <v>1146</v>
      </c>
      <c r="V78" s="121">
        <v>5958</v>
      </c>
      <c r="W78" s="106">
        <v>6443</v>
      </c>
      <c r="X78" s="121">
        <v>6313</v>
      </c>
      <c r="Y78" s="121">
        <v>6159</v>
      </c>
      <c r="Z78" s="121">
        <v>7933</v>
      </c>
      <c r="AA78" s="121">
        <v>10272</v>
      </c>
      <c r="AB78" s="122">
        <v>18.5</v>
      </c>
      <c r="AC78" s="123">
        <v>18.5</v>
      </c>
      <c r="AD78" s="124">
        <v>18.5</v>
      </c>
      <c r="AE78" s="125">
        <v>18.5</v>
      </c>
      <c r="AF78" s="126">
        <v>19</v>
      </c>
      <c r="AG78" s="123">
        <v>19</v>
      </c>
      <c r="AH78" s="123">
        <v>19</v>
      </c>
      <c r="AI78" s="131">
        <v>19.5</v>
      </c>
      <c r="AJ78" s="131">
        <v>19.5</v>
      </c>
      <c r="AK78" s="22">
        <v>19.5</v>
      </c>
      <c r="AL78" s="128">
        <v>19.5</v>
      </c>
      <c r="AM78" s="128">
        <v>19.5</v>
      </c>
      <c r="AN78" s="128">
        <v>19.75</v>
      </c>
      <c r="AO78" s="77">
        <v>19.75</v>
      </c>
      <c r="AP78" s="77">
        <v>20.25</v>
      </c>
      <c r="AQ78" s="129">
        <v>20.75</v>
      </c>
      <c r="AR78" s="129">
        <v>21.75</v>
      </c>
      <c r="AS78" s="129">
        <v>21.75</v>
      </c>
      <c r="AT78" s="116">
        <v>17065</v>
      </c>
      <c r="AU78" s="47">
        <v>12755</v>
      </c>
      <c r="AV78" s="47">
        <v>106572</v>
      </c>
      <c r="AW78" s="46">
        <v>53162</v>
      </c>
      <c r="AX78" s="46">
        <v>43875</v>
      </c>
      <c r="AY78" s="92">
        <v>77</v>
      </c>
      <c r="AZ78" s="47">
        <v>3046</v>
      </c>
      <c r="BA78" s="44">
        <v>3489</v>
      </c>
      <c r="BB78" s="23">
        <v>-8726</v>
      </c>
      <c r="BC78" s="47">
        <v>-443</v>
      </c>
      <c r="BD78" s="44">
        <v>-154</v>
      </c>
      <c r="BE78" s="47">
        <v>6159</v>
      </c>
      <c r="BF78" s="44">
        <v>53162</v>
      </c>
      <c r="BG78" s="46">
        <v>47123</v>
      </c>
      <c r="BH78" s="130">
        <v>3047</v>
      </c>
      <c r="BI78" s="46">
        <v>2992</v>
      </c>
      <c r="BJ78" s="129">
        <v>20.75</v>
      </c>
      <c r="BK78" s="44">
        <v>30520</v>
      </c>
      <c r="BL78" s="116">
        <v>16908</v>
      </c>
      <c r="BM78" s="47">
        <v>12871</v>
      </c>
      <c r="BN78" s="130">
        <v>108723</v>
      </c>
      <c r="BO78" s="46">
        <v>56558</v>
      </c>
      <c r="BP78" s="46">
        <v>44888</v>
      </c>
      <c r="BQ78" s="46">
        <v>362</v>
      </c>
      <c r="BR78" s="130">
        <v>5552</v>
      </c>
      <c r="BS78" s="44">
        <v>4041</v>
      </c>
      <c r="BT78" s="92">
        <v>-8895</v>
      </c>
      <c r="BU78" s="117">
        <v>1774</v>
      </c>
      <c r="BV78" s="130">
        <v>7933</v>
      </c>
      <c r="BW78" s="48">
        <v>56558</v>
      </c>
      <c r="BX78" s="46">
        <v>49850</v>
      </c>
      <c r="BY78" s="130">
        <v>3483</v>
      </c>
      <c r="BZ78" s="46">
        <v>3225</v>
      </c>
      <c r="CA78" s="129">
        <v>21.75</v>
      </c>
      <c r="CB78" s="44">
        <v>36369</v>
      </c>
      <c r="CC78" s="116">
        <v>16784</v>
      </c>
      <c r="CD78" s="47">
        <v>12723</v>
      </c>
      <c r="CE78" s="130">
        <v>108852</v>
      </c>
      <c r="CF78" s="46">
        <v>56605</v>
      </c>
      <c r="CG78" s="46">
        <v>45568</v>
      </c>
      <c r="CH78" s="46">
        <v>422</v>
      </c>
      <c r="CI78" s="130">
        <v>6100</v>
      </c>
      <c r="CJ78" s="44">
        <v>3942</v>
      </c>
      <c r="CK78" s="117">
        <v>-8792</v>
      </c>
      <c r="CL78" s="117">
        <v>2339</v>
      </c>
      <c r="CM78" s="117">
        <v>10272</v>
      </c>
      <c r="CN78" s="48">
        <v>56605</v>
      </c>
      <c r="CO78" s="46">
        <v>48710</v>
      </c>
      <c r="CP78" s="130">
        <v>3984</v>
      </c>
      <c r="CQ78" s="46">
        <v>3911</v>
      </c>
      <c r="CR78" s="129">
        <v>21.75</v>
      </c>
      <c r="CS78" s="44">
        <v>38554</v>
      </c>
      <c r="CT78">
        <v>16599</v>
      </c>
      <c r="CU78">
        <v>55033</v>
      </c>
      <c r="CV78">
        <v>49016</v>
      </c>
      <c r="CW78">
        <v>12096</v>
      </c>
      <c r="CX78">
        <v>279</v>
      </c>
      <c r="CY78">
        <v>47485</v>
      </c>
      <c r="CZ78">
        <v>3560</v>
      </c>
      <c r="DA78">
        <v>3988</v>
      </c>
      <c r="DB78">
        <v>5725</v>
      </c>
      <c r="DC78">
        <v>-9754</v>
      </c>
      <c r="DD78">
        <v>5345</v>
      </c>
      <c r="DE78">
        <v>41261</v>
      </c>
      <c r="DF78">
        <v>110494</v>
      </c>
      <c r="DG78">
        <v>712</v>
      </c>
      <c r="DH78">
        <v>10984</v>
      </c>
      <c r="DI78">
        <v>21.75</v>
      </c>
      <c r="DJ78" s="174">
        <v>16278</v>
      </c>
      <c r="DK78" s="34">
        <v>55113</v>
      </c>
      <c r="DL78" s="34">
        <v>49422</v>
      </c>
      <c r="DM78">
        <v>11508</v>
      </c>
      <c r="DN78" s="173">
        <v>-21</v>
      </c>
      <c r="DO78" s="34">
        <v>47136</v>
      </c>
      <c r="DP78" s="173">
        <v>4064</v>
      </c>
      <c r="DQ78" s="34">
        <v>3913</v>
      </c>
      <c r="DR78" s="173">
        <v>8649</v>
      </c>
      <c r="DS78" s="173">
        <v>-4694</v>
      </c>
      <c r="DT78">
        <v>6186</v>
      </c>
      <c r="DU78">
        <v>42653</v>
      </c>
      <c r="DV78" s="173">
        <v>107373</v>
      </c>
      <c r="DW78" s="173">
        <v>3065</v>
      </c>
      <c r="DX78" s="173">
        <v>14050</v>
      </c>
      <c r="DY78" s="57">
        <v>21.75</v>
      </c>
      <c r="DZ78" s="184">
        <v>240</v>
      </c>
      <c r="EA78" s="116">
        <v>16022</v>
      </c>
      <c r="EB78" s="48">
        <v>52045</v>
      </c>
      <c r="EC78" s="46">
        <v>48364</v>
      </c>
      <c r="ED78" s="90">
        <v>11391</v>
      </c>
      <c r="EE78" s="186">
        <v>-1</v>
      </c>
      <c r="EF78" s="46">
        <v>44637</v>
      </c>
      <c r="EG78" s="130">
        <v>3319</v>
      </c>
      <c r="EH78" s="46">
        <v>4089</v>
      </c>
      <c r="EI78" s="130">
        <v>555</v>
      </c>
      <c r="EJ78" s="48">
        <v>-11347</v>
      </c>
      <c r="EK78" s="44">
        <v>5984</v>
      </c>
      <c r="EL78" s="44">
        <v>48127</v>
      </c>
      <c r="EM78" s="130">
        <v>111244</v>
      </c>
      <c r="EN78" s="117">
        <v>-4823</v>
      </c>
      <c r="EO78" s="117">
        <v>9227</v>
      </c>
      <c r="EP78" s="129">
        <v>21.75</v>
      </c>
    </row>
    <row r="79" spans="1:146" ht="15" x14ac:dyDescent="0.25">
      <c r="A79" s="27">
        <v>235</v>
      </c>
      <c r="B79" s="27" t="s">
        <v>208</v>
      </c>
      <c r="C79" s="27">
        <v>1</v>
      </c>
      <c r="D79" s="27" t="s">
        <v>121</v>
      </c>
      <c r="E79" s="27">
        <v>3</v>
      </c>
      <c r="F79" s="27" t="s">
        <v>743</v>
      </c>
      <c r="G79" s="29" t="s">
        <v>141</v>
      </c>
      <c r="H79" s="27" t="s">
        <v>97</v>
      </c>
      <c r="I79" s="31" t="s">
        <v>121</v>
      </c>
      <c r="J79" s="118">
        <v>1525.6326809323666</v>
      </c>
      <c r="K79" s="118">
        <v>1434.1384489373045</v>
      </c>
      <c r="L79" s="118">
        <v>23310.342043786044</v>
      </c>
      <c r="M79" s="118">
        <v>33457.456023061924</v>
      </c>
      <c r="N79" s="177">
        <v>29225</v>
      </c>
      <c r="O79" s="119">
        <v>30048</v>
      </c>
      <c r="P79" s="119">
        <v>25652</v>
      </c>
      <c r="Q79" s="120">
        <v>26512</v>
      </c>
      <c r="R79" s="177">
        <v>27585</v>
      </c>
      <c r="S79" s="177">
        <v>31189</v>
      </c>
      <c r="T79" s="121">
        <v>33628</v>
      </c>
      <c r="U79" s="121">
        <v>30884</v>
      </c>
      <c r="V79" s="121">
        <v>35988</v>
      </c>
      <c r="W79" s="106">
        <v>38594</v>
      </c>
      <c r="X79" s="121">
        <v>40347</v>
      </c>
      <c r="Y79" s="121">
        <v>39362</v>
      </c>
      <c r="Z79" s="121">
        <v>37860</v>
      </c>
      <c r="AA79" s="121">
        <v>39100</v>
      </c>
      <c r="AB79" s="122">
        <v>15</v>
      </c>
      <c r="AC79" s="123">
        <v>15.5</v>
      </c>
      <c r="AD79" s="124">
        <v>15.5</v>
      </c>
      <c r="AE79" s="125">
        <v>15</v>
      </c>
      <c r="AF79" s="126">
        <v>15</v>
      </c>
      <c r="AG79" s="123">
        <v>15.5</v>
      </c>
      <c r="AH79" s="123">
        <v>16</v>
      </c>
      <c r="AI79" s="131">
        <v>16</v>
      </c>
      <c r="AJ79" s="131">
        <v>16</v>
      </c>
      <c r="AK79" s="177">
        <v>16</v>
      </c>
      <c r="AL79" s="128">
        <v>16</v>
      </c>
      <c r="AM79" s="128">
        <v>16.5</v>
      </c>
      <c r="AN79" s="128">
        <v>16.5</v>
      </c>
      <c r="AO79" s="77">
        <v>16.5</v>
      </c>
      <c r="AP79" s="77">
        <v>16.5</v>
      </c>
      <c r="AQ79" s="129">
        <v>16.5</v>
      </c>
      <c r="AR79" s="129">
        <v>16.5</v>
      </c>
      <c r="AS79" s="129">
        <v>16.5</v>
      </c>
      <c r="AT79" s="116">
        <v>9101</v>
      </c>
      <c r="AU79" s="47">
        <v>11814</v>
      </c>
      <c r="AV79" s="47">
        <v>65258</v>
      </c>
      <c r="AW79" s="46">
        <v>55974</v>
      </c>
      <c r="AX79" s="46">
        <v>3112</v>
      </c>
      <c r="AY79" s="92">
        <v>435</v>
      </c>
      <c r="AZ79" s="47">
        <v>6077</v>
      </c>
      <c r="BA79" s="44">
        <v>7062</v>
      </c>
      <c r="BB79" s="23">
        <v>-5667</v>
      </c>
      <c r="BC79" s="47">
        <v>-985</v>
      </c>
      <c r="BD79" s="44">
        <v>-985</v>
      </c>
      <c r="BE79" s="47">
        <v>39362</v>
      </c>
      <c r="BF79" s="44">
        <v>55974</v>
      </c>
      <c r="BG79" s="46">
        <v>52278</v>
      </c>
      <c r="BH79" s="130">
        <v>906</v>
      </c>
      <c r="BI79" s="46">
        <v>2790</v>
      </c>
      <c r="BJ79" s="129">
        <v>16.5</v>
      </c>
      <c r="BK79" s="44">
        <v>1000</v>
      </c>
      <c r="BL79" s="116">
        <v>9357</v>
      </c>
      <c r="BM79" s="47">
        <v>11836</v>
      </c>
      <c r="BN79" s="130">
        <v>68397</v>
      </c>
      <c r="BO79" s="46">
        <v>58978</v>
      </c>
      <c r="BP79" s="46">
        <v>2119</v>
      </c>
      <c r="BQ79" s="46">
        <v>399</v>
      </c>
      <c r="BR79" s="130">
        <v>4935</v>
      </c>
      <c r="BS79" s="44">
        <v>6473</v>
      </c>
      <c r="BT79" s="92">
        <v>-8404</v>
      </c>
      <c r="BU79" s="117">
        <v>-1538</v>
      </c>
      <c r="BV79" s="130">
        <v>37860</v>
      </c>
      <c r="BW79" s="48">
        <v>58978</v>
      </c>
      <c r="BX79" s="46">
        <v>55011</v>
      </c>
      <c r="BY79" s="130">
        <v>1030</v>
      </c>
      <c r="BZ79" s="46">
        <v>2937</v>
      </c>
      <c r="CA79" s="129">
        <v>16.5</v>
      </c>
      <c r="CB79" s="44">
        <v>4000</v>
      </c>
      <c r="CC79" s="116">
        <v>9486</v>
      </c>
      <c r="CD79" s="47">
        <v>18505</v>
      </c>
      <c r="CE79" s="130">
        <v>70562</v>
      </c>
      <c r="CF79" s="46">
        <v>59940</v>
      </c>
      <c r="CG79" s="46">
        <v>325</v>
      </c>
      <c r="CH79" s="46">
        <v>397</v>
      </c>
      <c r="CI79" s="130">
        <v>8587</v>
      </c>
      <c r="CJ79" s="44">
        <v>6996</v>
      </c>
      <c r="CK79" s="117">
        <v>1689</v>
      </c>
      <c r="CL79" s="117">
        <v>1591</v>
      </c>
      <c r="CM79" s="117">
        <v>39100</v>
      </c>
      <c r="CN79" s="48">
        <v>59940</v>
      </c>
      <c r="CO79" s="46">
        <v>54761</v>
      </c>
      <c r="CP79" s="130">
        <v>1354</v>
      </c>
      <c r="CQ79" s="46">
        <v>3825</v>
      </c>
      <c r="CR79" s="129">
        <v>16.5</v>
      </c>
      <c r="CS79" s="44">
        <v>0</v>
      </c>
      <c r="CT79">
        <v>9397</v>
      </c>
      <c r="CU79">
        <v>62973</v>
      </c>
      <c r="CV79">
        <v>433</v>
      </c>
      <c r="CW79">
        <v>21328</v>
      </c>
      <c r="CX79">
        <v>356</v>
      </c>
      <c r="CY79">
        <v>57552</v>
      </c>
      <c r="CZ79">
        <v>1428</v>
      </c>
      <c r="DA79">
        <v>3993</v>
      </c>
      <c r="DB79">
        <v>13918</v>
      </c>
      <c r="DC79">
        <v>-301</v>
      </c>
      <c r="DD79">
        <v>6781</v>
      </c>
      <c r="DE79">
        <v>0</v>
      </c>
      <c r="DF79">
        <v>71172</v>
      </c>
      <c r="DG79">
        <v>7137</v>
      </c>
      <c r="DH79">
        <v>44746</v>
      </c>
      <c r="DI79">
        <v>16.5</v>
      </c>
      <c r="DJ79" s="174">
        <v>9624</v>
      </c>
      <c r="DK79" s="34">
        <v>69270</v>
      </c>
      <c r="DL79" s="34">
        <v>-796</v>
      </c>
      <c r="DM79">
        <v>15167</v>
      </c>
      <c r="DN79" s="173">
        <v>354</v>
      </c>
      <c r="DO79" s="34">
        <v>62530</v>
      </c>
      <c r="DP79" s="173">
        <v>2081</v>
      </c>
      <c r="DQ79" s="34">
        <v>4659</v>
      </c>
      <c r="DR79" s="173">
        <v>13553</v>
      </c>
      <c r="DS79" s="173">
        <v>-14620</v>
      </c>
      <c r="DT79">
        <v>7356</v>
      </c>
      <c r="DU79">
        <v>2000</v>
      </c>
      <c r="DV79" s="173">
        <v>70442</v>
      </c>
      <c r="DW79" s="173">
        <v>6197</v>
      </c>
      <c r="DX79" s="173">
        <v>50976</v>
      </c>
      <c r="DY79" s="57">
        <v>17</v>
      </c>
      <c r="DZ79" s="184">
        <v>110</v>
      </c>
      <c r="EA79" s="116">
        <v>9615</v>
      </c>
      <c r="EB79" s="48">
        <v>69149</v>
      </c>
      <c r="EC79" s="46">
        <v>-2284</v>
      </c>
      <c r="ED79" s="90">
        <v>15024</v>
      </c>
      <c r="EE79" s="186">
        <v>353</v>
      </c>
      <c r="EF79" s="46">
        <v>62301</v>
      </c>
      <c r="EG79" s="130">
        <v>1997</v>
      </c>
      <c r="EH79" s="46">
        <v>4851</v>
      </c>
      <c r="EI79" s="130">
        <v>10473</v>
      </c>
      <c r="EJ79" s="48">
        <v>-8724</v>
      </c>
      <c r="EK79" s="44">
        <v>7245</v>
      </c>
      <c r="EL79" s="44">
        <v>0</v>
      </c>
      <c r="EM79" s="130">
        <v>71769</v>
      </c>
      <c r="EN79" s="117">
        <v>3228</v>
      </c>
      <c r="EO79" s="117">
        <v>54204</v>
      </c>
      <c r="EP79" s="129">
        <v>17</v>
      </c>
    </row>
    <row r="80" spans="1:146" ht="15" x14ac:dyDescent="0.25">
      <c r="A80" s="27">
        <v>236</v>
      </c>
      <c r="B80" s="27" t="s">
        <v>209</v>
      </c>
      <c r="C80" s="27">
        <v>16</v>
      </c>
      <c r="D80" s="27" t="s">
        <v>110</v>
      </c>
      <c r="E80" s="27">
        <v>2</v>
      </c>
      <c r="F80" s="27" t="s">
        <v>744</v>
      </c>
      <c r="G80" s="29" t="s">
        <v>130</v>
      </c>
      <c r="H80" s="27" t="s">
        <v>98</v>
      </c>
      <c r="I80" s="31" t="s">
        <v>110</v>
      </c>
      <c r="J80" s="118">
        <v>-1173.9517267013471</v>
      </c>
      <c r="K80" s="118">
        <v>-1244.5906558151817</v>
      </c>
      <c r="L80" s="118">
        <v>-1934.833906013223</v>
      </c>
      <c r="M80" s="118">
        <v>-495.14525550268831</v>
      </c>
      <c r="N80" s="22">
        <v>1765</v>
      </c>
      <c r="O80" s="119">
        <v>2067</v>
      </c>
      <c r="P80" s="119">
        <v>2785</v>
      </c>
      <c r="Q80" s="120">
        <v>2778</v>
      </c>
      <c r="R80" s="22">
        <v>1708</v>
      </c>
      <c r="S80" s="22">
        <v>1597</v>
      </c>
      <c r="T80" s="121">
        <v>38</v>
      </c>
      <c r="U80" s="121">
        <v>-299</v>
      </c>
      <c r="V80" s="121">
        <v>-745</v>
      </c>
      <c r="W80" s="106">
        <v>178</v>
      </c>
      <c r="X80" s="121">
        <v>-1861</v>
      </c>
      <c r="Y80" s="121">
        <v>-1747</v>
      </c>
      <c r="Z80" s="121">
        <v>-480</v>
      </c>
      <c r="AA80" s="121">
        <v>-646</v>
      </c>
      <c r="AB80" s="122">
        <v>18.5</v>
      </c>
      <c r="AC80" s="123">
        <v>19</v>
      </c>
      <c r="AD80" s="124">
        <v>19</v>
      </c>
      <c r="AE80" s="125">
        <v>19</v>
      </c>
      <c r="AF80" s="126">
        <v>19</v>
      </c>
      <c r="AG80" s="123">
        <v>19</v>
      </c>
      <c r="AH80" s="123">
        <v>19</v>
      </c>
      <c r="AI80" s="127">
        <v>19</v>
      </c>
      <c r="AJ80" s="127">
        <v>19</v>
      </c>
      <c r="AK80" s="22">
        <v>19.5</v>
      </c>
      <c r="AL80" s="128">
        <v>19.5</v>
      </c>
      <c r="AM80" s="128">
        <v>19.5</v>
      </c>
      <c r="AN80" s="128">
        <v>20.5</v>
      </c>
      <c r="AO80" s="77">
        <v>20.5</v>
      </c>
      <c r="AP80" s="77">
        <v>20.5</v>
      </c>
      <c r="AQ80" s="129">
        <v>21</v>
      </c>
      <c r="AR80" s="129">
        <v>21</v>
      </c>
      <c r="AS80" s="129">
        <v>21.5</v>
      </c>
      <c r="AT80" s="116">
        <v>4288</v>
      </c>
      <c r="AU80" s="47">
        <v>7893</v>
      </c>
      <c r="AV80" s="47">
        <v>29855</v>
      </c>
      <c r="AW80" s="46">
        <v>13772</v>
      </c>
      <c r="AX80" s="46">
        <v>9975</v>
      </c>
      <c r="AY80" s="92">
        <v>9</v>
      </c>
      <c r="AZ80" s="47">
        <v>1452</v>
      </c>
      <c r="BA80" s="44">
        <v>1338</v>
      </c>
      <c r="BB80" s="23">
        <v>-3168</v>
      </c>
      <c r="BC80" s="47">
        <v>114</v>
      </c>
      <c r="BD80" s="44">
        <v>114</v>
      </c>
      <c r="BE80" s="47">
        <v>-1747</v>
      </c>
      <c r="BF80" s="44">
        <v>13772</v>
      </c>
      <c r="BG80" s="46">
        <v>12224</v>
      </c>
      <c r="BH80" s="130">
        <v>882</v>
      </c>
      <c r="BI80" s="46">
        <v>666</v>
      </c>
      <c r="BJ80" s="129">
        <v>21</v>
      </c>
      <c r="BK80" s="44">
        <v>17601</v>
      </c>
      <c r="BL80" s="116">
        <v>4283</v>
      </c>
      <c r="BM80" s="47">
        <v>8418</v>
      </c>
      <c r="BN80" s="130">
        <v>29906</v>
      </c>
      <c r="BO80" s="46">
        <v>14887</v>
      </c>
      <c r="BP80" s="46">
        <v>9445</v>
      </c>
      <c r="BQ80" s="46">
        <v>3</v>
      </c>
      <c r="BR80" s="130">
        <v>2528</v>
      </c>
      <c r="BS80" s="44">
        <v>1261</v>
      </c>
      <c r="BT80" s="92">
        <v>-5378</v>
      </c>
      <c r="BU80" s="117">
        <v>1267</v>
      </c>
      <c r="BV80" s="130">
        <v>-480</v>
      </c>
      <c r="BW80" s="48">
        <v>14887</v>
      </c>
      <c r="BX80" s="46">
        <v>12825</v>
      </c>
      <c r="BY80" s="130">
        <v>1194</v>
      </c>
      <c r="BZ80" s="46">
        <v>868</v>
      </c>
      <c r="CA80" s="129">
        <v>21</v>
      </c>
      <c r="CB80" s="44">
        <v>21328</v>
      </c>
      <c r="CC80" s="116">
        <v>4305</v>
      </c>
      <c r="CD80" s="47">
        <v>7138</v>
      </c>
      <c r="CE80" s="130">
        <v>29507</v>
      </c>
      <c r="CF80" s="46">
        <v>14528</v>
      </c>
      <c r="CG80" s="46">
        <v>9090</v>
      </c>
      <c r="CH80" s="46">
        <v>6</v>
      </c>
      <c r="CI80" s="130">
        <v>946</v>
      </c>
      <c r="CJ80" s="44">
        <v>1113</v>
      </c>
      <c r="CK80" s="117">
        <v>-6596</v>
      </c>
      <c r="CL80" s="117">
        <v>-167</v>
      </c>
      <c r="CM80" s="117">
        <v>-646</v>
      </c>
      <c r="CN80" s="48">
        <v>14528</v>
      </c>
      <c r="CO80" s="46">
        <v>12120</v>
      </c>
      <c r="CP80" s="130">
        <v>1513</v>
      </c>
      <c r="CQ80" s="46">
        <v>895</v>
      </c>
      <c r="CR80" s="129">
        <v>21.5</v>
      </c>
      <c r="CS80" s="44">
        <v>25749</v>
      </c>
      <c r="CT80">
        <v>4298</v>
      </c>
      <c r="CU80">
        <v>14629</v>
      </c>
      <c r="CV80">
        <v>9922</v>
      </c>
      <c r="CW80">
        <v>7166</v>
      </c>
      <c r="CX80">
        <v>6</v>
      </c>
      <c r="CY80">
        <v>12296</v>
      </c>
      <c r="CZ80">
        <v>1411</v>
      </c>
      <c r="DA80">
        <v>922</v>
      </c>
      <c r="DB80">
        <v>1906</v>
      </c>
      <c r="DC80">
        <v>-2230</v>
      </c>
      <c r="DD80">
        <v>1257</v>
      </c>
      <c r="DE80">
        <v>27335</v>
      </c>
      <c r="DF80">
        <v>29563</v>
      </c>
      <c r="DG80">
        <v>649</v>
      </c>
      <c r="DH80">
        <v>3</v>
      </c>
      <c r="DI80">
        <v>21.5</v>
      </c>
      <c r="DJ80" s="174">
        <v>4309</v>
      </c>
      <c r="DK80" s="34">
        <v>14090</v>
      </c>
      <c r="DL80" s="34">
        <v>10266</v>
      </c>
      <c r="DM80">
        <v>6833</v>
      </c>
      <c r="DN80" s="173">
        <v>-241</v>
      </c>
      <c r="DO80" s="34">
        <v>11740</v>
      </c>
      <c r="DP80" s="173">
        <v>1457</v>
      </c>
      <c r="DQ80" s="34">
        <v>893</v>
      </c>
      <c r="DR80" s="173">
        <v>1273</v>
      </c>
      <c r="DS80" s="173">
        <v>-2555</v>
      </c>
      <c r="DT80">
        <v>1486</v>
      </c>
      <c r="DU80">
        <v>27988</v>
      </c>
      <c r="DV80" s="173">
        <v>29675</v>
      </c>
      <c r="DW80" s="173">
        <v>-213</v>
      </c>
      <c r="DX80" s="173">
        <v>-210</v>
      </c>
      <c r="DY80" s="57">
        <v>21.5</v>
      </c>
      <c r="DZ80" s="184">
        <v>330</v>
      </c>
      <c r="EA80" s="116">
        <v>4273</v>
      </c>
      <c r="EB80" s="48">
        <v>14168</v>
      </c>
      <c r="EC80" s="46">
        <v>10882</v>
      </c>
      <c r="ED80" s="90">
        <v>7557</v>
      </c>
      <c r="EE80" s="186">
        <v>-207</v>
      </c>
      <c r="EF80" s="46">
        <v>12180</v>
      </c>
      <c r="EG80" s="130">
        <v>1031</v>
      </c>
      <c r="EH80" s="46">
        <v>957</v>
      </c>
      <c r="EI80" s="130">
        <v>1054</v>
      </c>
      <c r="EJ80" s="48">
        <v>-945</v>
      </c>
      <c r="EK80" s="44">
        <v>1366</v>
      </c>
      <c r="EL80" s="44">
        <v>28835</v>
      </c>
      <c r="EM80" s="130">
        <v>31346</v>
      </c>
      <c r="EN80" s="117">
        <v>-312</v>
      </c>
      <c r="EO80" s="117">
        <v>-522</v>
      </c>
      <c r="EP80" s="129">
        <v>21.5</v>
      </c>
    </row>
    <row r="81" spans="1:146" ht="15" x14ac:dyDescent="0.25">
      <c r="A81" s="27">
        <v>239</v>
      </c>
      <c r="B81" s="27" t="s">
        <v>210</v>
      </c>
      <c r="C81" s="27">
        <v>11</v>
      </c>
      <c r="D81" s="27" t="s">
        <v>118</v>
      </c>
      <c r="E81" s="27">
        <v>2</v>
      </c>
      <c r="F81" s="27" t="s">
        <v>744</v>
      </c>
      <c r="G81" s="29" t="s">
        <v>130</v>
      </c>
      <c r="H81" s="27" t="s">
        <v>98</v>
      </c>
      <c r="I81" s="31" t="s">
        <v>118</v>
      </c>
      <c r="J81" s="118">
        <v>41.710605762454733</v>
      </c>
      <c r="K81" s="118">
        <v>1023.2553445918331</v>
      </c>
      <c r="L81" s="118">
        <v>157.92846294735887</v>
      </c>
      <c r="M81" s="118">
        <v>-773.32808587002762</v>
      </c>
      <c r="N81" s="22">
        <v>-1504</v>
      </c>
      <c r="O81" s="119">
        <v>-886</v>
      </c>
      <c r="P81" s="119">
        <v>-53</v>
      </c>
      <c r="Q81" s="120">
        <v>-462</v>
      </c>
      <c r="R81" s="22">
        <v>-194</v>
      </c>
      <c r="S81" s="22">
        <v>480</v>
      </c>
      <c r="T81" s="121">
        <v>972</v>
      </c>
      <c r="U81" s="121">
        <v>1248</v>
      </c>
      <c r="V81" s="121">
        <v>1137</v>
      </c>
      <c r="W81" s="106">
        <v>600</v>
      </c>
      <c r="X81" s="121">
        <v>87</v>
      </c>
      <c r="Y81" s="121">
        <v>-22</v>
      </c>
      <c r="Z81" s="121">
        <v>83</v>
      </c>
      <c r="AA81" s="121">
        <v>123</v>
      </c>
      <c r="AB81" s="122">
        <v>18</v>
      </c>
      <c r="AC81" s="123">
        <v>18</v>
      </c>
      <c r="AD81" s="124">
        <v>18</v>
      </c>
      <c r="AE81" s="125">
        <v>18</v>
      </c>
      <c r="AF81" s="126">
        <v>18.5</v>
      </c>
      <c r="AG81" s="123">
        <v>18.5</v>
      </c>
      <c r="AH81" s="123">
        <v>18.5</v>
      </c>
      <c r="AI81" s="127">
        <v>18.5</v>
      </c>
      <c r="AJ81" s="127">
        <v>18.5</v>
      </c>
      <c r="AK81" s="22">
        <v>18.5</v>
      </c>
      <c r="AL81" s="128">
        <v>18.5</v>
      </c>
      <c r="AM81" s="128">
        <v>18.5</v>
      </c>
      <c r="AN81" s="128">
        <v>18.5</v>
      </c>
      <c r="AO81" s="77">
        <v>18.5</v>
      </c>
      <c r="AP81" s="77">
        <v>19.5</v>
      </c>
      <c r="AQ81" s="129">
        <v>19.5</v>
      </c>
      <c r="AR81" s="129">
        <v>19.5</v>
      </c>
      <c r="AS81" s="129">
        <v>19.5</v>
      </c>
      <c r="AT81" s="116">
        <v>2427</v>
      </c>
      <c r="AU81" s="47">
        <v>3168</v>
      </c>
      <c r="AV81" s="47">
        <v>17342</v>
      </c>
      <c r="AW81" s="46">
        <v>6907</v>
      </c>
      <c r="AX81" s="46">
        <v>7502</v>
      </c>
      <c r="AY81" s="92">
        <v>206</v>
      </c>
      <c r="AZ81" s="47">
        <v>415</v>
      </c>
      <c r="BA81" s="44">
        <v>523</v>
      </c>
      <c r="BB81" s="23">
        <v>-884</v>
      </c>
      <c r="BC81" s="47">
        <v>-108</v>
      </c>
      <c r="BD81" s="44">
        <v>-108</v>
      </c>
      <c r="BE81" s="47">
        <v>-22</v>
      </c>
      <c r="BF81" s="44">
        <v>6907</v>
      </c>
      <c r="BG81" s="46">
        <v>5799</v>
      </c>
      <c r="BH81" s="130">
        <v>694</v>
      </c>
      <c r="BI81" s="46">
        <v>414</v>
      </c>
      <c r="BJ81" s="129">
        <v>19.5</v>
      </c>
      <c r="BK81" s="44">
        <v>5106</v>
      </c>
      <c r="BL81" s="116">
        <v>2398</v>
      </c>
      <c r="BM81" s="47">
        <v>3103</v>
      </c>
      <c r="BN81" s="130">
        <v>17308</v>
      </c>
      <c r="BO81" s="46">
        <v>7065</v>
      </c>
      <c r="BP81" s="46">
        <v>7579</v>
      </c>
      <c r="BQ81" s="46">
        <v>180</v>
      </c>
      <c r="BR81" s="130">
        <v>594</v>
      </c>
      <c r="BS81" s="44">
        <v>491</v>
      </c>
      <c r="BT81" s="92">
        <v>-1710</v>
      </c>
      <c r="BU81" s="117">
        <v>103</v>
      </c>
      <c r="BV81" s="130">
        <v>83</v>
      </c>
      <c r="BW81" s="48">
        <v>7065</v>
      </c>
      <c r="BX81" s="46">
        <v>5827</v>
      </c>
      <c r="BY81" s="130">
        <v>779</v>
      </c>
      <c r="BZ81" s="46">
        <v>459</v>
      </c>
      <c r="CA81" s="129">
        <v>19.5</v>
      </c>
      <c r="CB81" s="44">
        <v>5574</v>
      </c>
      <c r="CC81" s="116">
        <v>2379</v>
      </c>
      <c r="CD81" s="47">
        <v>3558</v>
      </c>
      <c r="CE81" s="130">
        <v>17786</v>
      </c>
      <c r="CF81" s="46">
        <v>7338</v>
      </c>
      <c r="CG81" s="46">
        <v>7326</v>
      </c>
      <c r="CH81" s="46">
        <v>285</v>
      </c>
      <c r="CI81" s="130">
        <v>583</v>
      </c>
      <c r="CJ81" s="44">
        <v>544</v>
      </c>
      <c r="CK81" s="117">
        <v>-764</v>
      </c>
      <c r="CL81" s="117">
        <v>39</v>
      </c>
      <c r="CM81" s="117">
        <v>123</v>
      </c>
      <c r="CN81" s="48">
        <v>7338</v>
      </c>
      <c r="CO81" s="46">
        <v>5810</v>
      </c>
      <c r="CP81" s="130">
        <v>986</v>
      </c>
      <c r="CQ81" s="46">
        <v>542</v>
      </c>
      <c r="CR81" s="129">
        <v>19.5</v>
      </c>
      <c r="CS81" s="44">
        <v>5995</v>
      </c>
      <c r="CT81">
        <v>2346</v>
      </c>
      <c r="CU81">
        <v>7105</v>
      </c>
      <c r="CV81">
        <v>7870</v>
      </c>
      <c r="CW81">
        <v>3820</v>
      </c>
      <c r="CX81">
        <v>82</v>
      </c>
      <c r="CY81">
        <v>5688</v>
      </c>
      <c r="CZ81">
        <v>883</v>
      </c>
      <c r="DA81">
        <v>534</v>
      </c>
      <c r="DB81">
        <v>581</v>
      </c>
      <c r="DC81">
        <v>-413</v>
      </c>
      <c r="DD81">
        <v>566</v>
      </c>
      <c r="DE81">
        <v>6035</v>
      </c>
      <c r="DF81">
        <v>18285</v>
      </c>
      <c r="DG81">
        <v>15</v>
      </c>
      <c r="DH81">
        <v>137</v>
      </c>
      <c r="DI81">
        <v>19.5</v>
      </c>
      <c r="DJ81" s="174">
        <v>2309</v>
      </c>
      <c r="DK81" s="34">
        <v>7315</v>
      </c>
      <c r="DL81" s="34">
        <v>7706</v>
      </c>
      <c r="DM81">
        <v>3004</v>
      </c>
      <c r="DN81" s="173">
        <v>156</v>
      </c>
      <c r="DO81" s="34">
        <v>5995</v>
      </c>
      <c r="DP81" s="173">
        <v>759</v>
      </c>
      <c r="DQ81" s="34">
        <v>561</v>
      </c>
      <c r="DR81" s="173">
        <v>-124</v>
      </c>
      <c r="DS81" s="173">
        <v>-568</v>
      </c>
      <c r="DT81">
        <v>597</v>
      </c>
      <c r="DU81">
        <v>6726</v>
      </c>
      <c r="DV81" s="173">
        <v>18305</v>
      </c>
      <c r="DW81" s="173">
        <v>-721</v>
      </c>
      <c r="DX81" s="173">
        <v>-584</v>
      </c>
      <c r="DY81" s="57">
        <v>20.5</v>
      </c>
      <c r="DZ81" s="184">
        <v>340</v>
      </c>
      <c r="EA81" s="116">
        <v>2244</v>
      </c>
      <c r="EB81" s="48">
        <v>6873</v>
      </c>
      <c r="EC81" s="46">
        <v>7455</v>
      </c>
      <c r="ED81" s="90">
        <v>3153</v>
      </c>
      <c r="EE81" s="186">
        <v>245</v>
      </c>
      <c r="EF81" s="46">
        <v>5713</v>
      </c>
      <c r="EG81" s="130">
        <v>618</v>
      </c>
      <c r="EH81" s="46">
        <v>542</v>
      </c>
      <c r="EI81" s="130">
        <v>42</v>
      </c>
      <c r="EJ81" s="48">
        <v>-854</v>
      </c>
      <c r="EK81" s="44">
        <v>553</v>
      </c>
      <c r="EL81" s="44">
        <v>8143</v>
      </c>
      <c r="EM81" s="130">
        <v>17684</v>
      </c>
      <c r="EN81" s="117">
        <v>-511</v>
      </c>
      <c r="EO81" s="117">
        <v>-1095</v>
      </c>
      <c r="EP81" s="129">
        <v>20.5</v>
      </c>
    </row>
    <row r="82" spans="1:146" ht="15" x14ac:dyDescent="0.25">
      <c r="A82" s="27">
        <v>240</v>
      </c>
      <c r="B82" s="27" t="s">
        <v>211</v>
      </c>
      <c r="C82" s="27">
        <v>19</v>
      </c>
      <c r="D82" s="27" t="s">
        <v>113</v>
      </c>
      <c r="E82" s="27">
        <v>5</v>
      </c>
      <c r="F82" s="27" t="s">
        <v>101</v>
      </c>
      <c r="G82" s="29" t="s">
        <v>141</v>
      </c>
      <c r="H82" s="27" t="s">
        <v>97</v>
      </c>
      <c r="I82" s="31" t="s">
        <v>113</v>
      </c>
      <c r="J82" s="118">
        <v>-13422.742035040272</v>
      </c>
      <c r="K82" s="118">
        <v>-19197.642678022716</v>
      </c>
      <c r="L82" s="118">
        <v>-7271.9413764163528</v>
      </c>
      <c r="M82" s="118">
        <v>-3985.0447295790427</v>
      </c>
      <c r="N82" s="22">
        <v>-1730</v>
      </c>
      <c r="O82" s="119">
        <v>-8182</v>
      </c>
      <c r="P82" s="119">
        <v>-10478</v>
      </c>
      <c r="Q82" s="120">
        <v>-6294</v>
      </c>
      <c r="R82" s="22">
        <v>-12531</v>
      </c>
      <c r="S82" s="22">
        <v>-16329</v>
      </c>
      <c r="T82" s="121">
        <v>-12718</v>
      </c>
      <c r="U82" s="121">
        <v>-10833</v>
      </c>
      <c r="V82" s="121">
        <v>-10257</v>
      </c>
      <c r="W82" s="106">
        <v>8542</v>
      </c>
      <c r="X82" s="121">
        <v>9101</v>
      </c>
      <c r="Y82" s="121">
        <v>14079</v>
      </c>
      <c r="Z82" s="121">
        <v>10077</v>
      </c>
      <c r="AA82" s="121">
        <v>4787</v>
      </c>
      <c r="AB82" s="122">
        <v>18.5</v>
      </c>
      <c r="AC82" s="123">
        <v>18.5</v>
      </c>
      <c r="AD82" s="124">
        <v>18.5</v>
      </c>
      <c r="AE82" s="125">
        <v>18.5</v>
      </c>
      <c r="AF82" s="126">
        <v>19</v>
      </c>
      <c r="AG82" s="123">
        <v>19</v>
      </c>
      <c r="AH82" s="123">
        <v>19</v>
      </c>
      <c r="AI82" s="127">
        <v>19</v>
      </c>
      <c r="AJ82" s="127">
        <v>19.75</v>
      </c>
      <c r="AK82" s="22">
        <v>20</v>
      </c>
      <c r="AL82" s="128">
        <v>20.75</v>
      </c>
      <c r="AM82" s="128">
        <v>20.75</v>
      </c>
      <c r="AN82" s="128">
        <v>20.75</v>
      </c>
      <c r="AO82" s="77">
        <v>20.75</v>
      </c>
      <c r="AP82" s="77">
        <v>20.75</v>
      </c>
      <c r="AQ82" s="129">
        <v>20.75</v>
      </c>
      <c r="AR82" s="129">
        <v>20.75</v>
      </c>
      <c r="AS82" s="129">
        <v>21.25</v>
      </c>
      <c r="AT82" s="116">
        <v>22120</v>
      </c>
      <c r="AU82" s="47">
        <v>25422</v>
      </c>
      <c r="AV82" s="47">
        <v>149194</v>
      </c>
      <c r="AW82" s="46">
        <v>86388</v>
      </c>
      <c r="AX82" s="46">
        <v>45433</v>
      </c>
      <c r="AY82" s="92">
        <v>5972</v>
      </c>
      <c r="AZ82" s="47">
        <v>6279</v>
      </c>
      <c r="BA82" s="44">
        <v>6384</v>
      </c>
      <c r="BB82" s="23">
        <v>-9598</v>
      </c>
      <c r="BC82" s="47">
        <v>5141</v>
      </c>
      <c r="BD82" s="44">
        <v>4977</v>
      </c>
      <c r="BE82" s="47">
        <v>14079</v>
      </c>
      <c r="BF82" s="44">
        <v>86388</v>
      </c>
      <c r="BG82" s="46">
        <v>72351</v>
      </c>
      <c r="BH82" s="130">
        <v>8073</v>
      </c>
      <c r="BI82" s="46">
        <v>5964</v>
      </c>
      <c r="BJ82" s="129">
        <v>20.75</v>
      </c>
      <c r="BK82" s="44">
        <v>79429</v>
      </c>
      <c r="BL82" s="116">
        <v>21929</v>
      </c>
      <c r="BM82" s="47">
        <v>24469</v>
      </c>
      <c r="BN82" s="130">
        <v>152521</v>
      </c>
      <c r="BO82" s="46">
        <v>84453</v>
      </c>
      <c r="BP82" s="46">
        <v>45002</v>
      </c>
      <c r="BQ82" s="46">
        <v>986</v>
      </c>
      <c r="BR82" s="130">
        <v>194</v>
      </c>
      <c r="BS82" s="44">
        <v>4220</v>
      </c>
      <c r="BT82" s="92">
        <v>-2804</v>
      </c>
      <c r="BU82" s="117">
        <v>-4001</v>
      </c>
      <c r="BV82" s="130">
        <v>10077</v>
      </c>
      <c r="BW82" s="48">
        <v>84453</v>
      </c>
      <c r="BX82" s="46">
        <v>71393</v>
      </c>
      <c r="BY82" s="130">
        <v>6566</v>
      </c>
      <c r="BZ82" s="46">
        <v>6494</v>
      </c>
      <c r="CA82" s="129">
        <v>20.75</v>
      </c>
      <c r="CB82" s="44">
        <v>81361</v>
      </c>
      <c r="CC82" s="116">
        <v>21758</v>
      </c>
      <c r="CD82" s="47">
        <v>24258</v>
      </c>
      <c r="CE82" s="130">
        <v>153798</v>
      </c>
      <c r="CF82" s="46">
        <v>87302</v>
      </c>
      <c r="CG82" s="46">
        <v>43191</v>
      </c>
      <c r="CH82" s="46">
        <v>2459</v>
      </c>
      <c r="CI82" s="130">
        <v>-739</v>
      </c>
      <c r="CJ82" s="44">
        <v>4576</v>
      </c>
      <c r="CK82" s="117">
        <v>-4022</v>
      </c>
      <c r="CL82" s="117">
        <v>-5290</v>
      </c>
      <c r="CM82" s="117">
        <v>4787</v>
      </c>
      <c r="CN82" s="48">
        <v>87302</v>
      </c>
      <c r="CO82" s="46">
        <v>74603</v>
      </c>
      <c r="CP82" s="130">
        <v>6187</v>
      </c>
      <c r="CQ82" s="46">
        <v>6512</v>
      </c>
      <c r="CR82" s="129">
        <v>21.25</v>
      </c>
      <c r="CS82" s="44">
        <v>86052</v>
      </c>
      <c r="CT82">
        <v>21602</v>
      </c>
      <c r="CU82">
        <v>86792</v>
      </c>
      <c r="CV82">
        <v>47180</v>
      </c>
      <c r="CW82">
        <v>23981</v>
      </c>
      <c r="CX82">
        <v>1021</v>
      </c>
      <c r="CY82">
        <v>74083</v>
      </c>
      <c r="CZ82">
        <v>5987</v>
      </c>
      <c r="DA82">
        <v>6722</v>
      </c>
      <c r="DB82">
        <v>2513</v>
      </c>
      <c r="DC82">
        <v>263</v>
      </c>
      <c r="DD82">
        <v>4138</v>
      </c>
      <c r="DE82">
        <v>88276</v>
      </c>
      <c r="DF82">
        <v>155827</v>
      </c>
      <c r="DG82">
        <v>-1600</v>
      </c>
      <c r="DH82">
        <v>3185</v>
      </c>
      <c r="DI82">
        <v>21.25</v>
      </c>
      <c r="DJ82" s="174">
        <v>21256</v>
      </c>
      <c r="DK82" s="34">
        <v>87928</v>
      </c>
      <c r="DL82" s="34">
        <v>46425</v>
      </c>
      <c r="DM82">
        <v>23789</v>
      </c>
      <c r="DN82" s="173">
        <v>276</v>
      </c>
      <c r="DO82" s="34">
        <v>73192</v>
      </c>
      <c r="DP82" s="173">
        <v>8112</v>
      </c>
      <c r="DQ82" s="34">
        <v>6624</v>
      </c>
      <c r="DR82" s="173">
        <v>6775</v>
      </c>
      <c r="DS82" s="173">
        <v>-1732</v>
      </c>
      <c r="DT82">
        <v>4149</v>
      </c>
      <c r="DU82">
        <v>85581</v>
      </c>
      <c r="DV82" s="173">
        <v>151643</v>
      </c>
      <c r="DW82" s="173">
        <v>2653</v>
      </c>
      <c r="DX82" s="173">
        <v>5839</v>
      </c>
      <c r="DY82" s="57">
        <v>21.25</v>
      </c>
      <c r="DZ82" s="184">
        <v>140</v>
      </c>
      <c r="EA82" s="116">
        <v>21021</v>
      </c>
      <c r="EB82" s="48">
        <v>86360</v>
      </c>
      <c r="EC82" s="46">
        <v>44851</v>
      </c>
      <c r="ED82" s="90">
        <v>21142</v>
      </c>
      <c r="EE82" s="186">
        <v>1746</v>
      </c>
      <c r="EF82" s="46">
        <v>72619</v>
      </c>
      <c r="EG82" s="130">
        <v>7185</v>
      </c>
      <c r="EH82" s="46">
        <v>6556</v>
      </c>
      <c r="EI82" s="130">
        <v>-3955</v>
      </c>
      <c r="EJ82" s="48">
        <v>-8481</v>
      </c>
      <c r="EK82" s="44">
        <v>4616</v>
      </c>
      <c r="EL82" s="44">
        <v>95995</v>
      </c>
      <c r="EM82" s="130">
        <v>158054</v>
      </c>
      <c r="EN82" s="117">
        <v>-8557</v>
      </c>
      <c r="EO82" s="117">
        <v>-2718</v>
      </c>
      <c r="EP82" s="129">
        <v>21.75</v>
      </c>
    </row>
    <row r="83" spans="1:146" ht="15" x14ac:dyDescent="0.25">
      <c r="A83" s="27">
        <v>320</v>
      </c>
      <c r="B83" s="27" t="s">
        <v>212</v>
      </c>
      <c r="C83" s="27">
        <v>19</v>
      </c>
      <c r="D83" s="27" t="s">
        <v>113</v>
      </c>
      <c r="E83" s="27">
        <v>3</v>
      </c>
      <c r="F83" s="27" t="s">
        <v>743</v>
      </c>
      <c r="G83" s="29" t="s">
        <v>132</v>
      </c>
      <c r="H83" s="27" t="s">
        <v>99</v>
      </c>
      <c r="I83" s="31" t="s">
        <v>113</v>
      </c>
      <c r="J83" s="118">
        <v>-1037.8876941939845</v>
      </c>
      <c r="K83" s="118">
        <v>-1423.8789854231525</v>
      </c>
      <c r="L83" s="118">
        <v>539.21049223560431</v>
      </c>
      <c r="M83" s="118">
        <v>-4719.8577802893833</v>
      </c>
      <c r="N83" s="22">
        <v>-192</v>
      </c>
      <c r="O83" s="119">
        <v>-929</v>
      </c>
      <c r="P83" s="119">
        <v>-3230</v>
      </c>
      <c r="Q83" s="120">
        <v>-4547</v>
      </c>
      <c r="R83" s="22">
        <v>-3537</v>
      </c>
      <c r="S83" s="22">
        <v>-2571</v>
      </c>
      <c r="T83" s="121">
        <v>-1743</v>
      </c>
      <c r="U83" s="121">
        <v>-762</v>
      </c>
      <c r="V83" s="121">
        <v>51</v>
      </c>
      <c r="W83" s="106">
        <v>278</v>
      </c>
      <c r="X83" s="121">
        <v>-631</v>
      </c>
      <c r="Y83" s="121">
        <v>-715</v>
      </c>
      <c r="Z83" s="121">
        <v>-2513</v>
      </c>
      <c r="AA83" s="121">
        <v>-5243</v>
      </c>
      <c r="AB83" s="122">
        <v>18.5</v>
      </c>
      <c r="AC83" s="123">
        <v>18.5</v>
      </c>
      <c r="AD83" s="124">
        <v>18.5</v>
      </c>
      <c r="AE83" s="125">
        <v>18.5</v>
      </c>
      <c r="AF83" s="126">
        <v>19</v>
      </c>
      <c r="AG83" s="123">
        <v>19</v>
      </c>
      <c r="AH83" s="123">
        <v>19</v>
      </c>
      <c r="AI83" s="127">
        <v>19</v>
      </c>
      <c r="AJ83" s="127">
        <v>19</v>
      </c>
      <c r="AK83" s="22">
        <v>19.5</v>
      </c>
      <c r="AL83" s="128">
        <v>19.5</v>
      </c>
      <c r="AM83" s="128">
        <v>19.5</v>
      </c>
      <c r="AN83" s="128">
        <v>19.5</v>
      </c>
      <c r="AO83" s="77">
        <v>20</v>
      </c>
      <c r="AP83" s="77">
        <v>20</v>
      </c>
      <c r="AQ83" s="129">
        <v>20</v>
      </c>
      <c r="AR83" s="129">
        <v>20.5</v>
      </c>
      <c r="AS83" s="129">
        <v>20.5</v>
      </c>
      <c r="AT83" s="116">
        <v>7983</v>
      </c>
      <c r="AU83" s="47">
        <v>13090</v>
      </c>
      <c r="AV83" s="47">
        <v>68186</v>
      </c>
      <c r="AW83" s="46">
        <v>27344</v>
      </c>
      <c r="AX83" s="46">
        <v>29749</v>
      </c>
      <c r="AY83" s="92">
        <v>1239</v>
      </c>
      <c r="AZ83" s="47">
        <v>2744</v>
      </c>
      <c r="BA83" s="44">
        <v>2828</v>
      </c>
      <c r="BB83" s="23">
        <v>-3810</v>
      </c>
      <c r="BC83" s="47">
        <v>-84</v>
      </c>
      <c r="BD83" s="44">
        <v>-84</v>
      </c>
      <c r="BE83" s="47">
        <v>-715</v>
      </c>
      <c r="BF83" s="44">
        <v>27344</v>
      </c>
      <c r="BG83" s="46">
        <v>22654</v>
      </c>
      <c r="BH83" s="130">
        <v>979</v>
      </c>
      <c r="BI83" s="46">
        <v>3711</v>
      </c>
      <c r="BJ83" s="129">
        <v>20</v>
      </c>
      <c r="BK83" s="44">
        <v>28613</v>
      </c>
      <c r="BL83" s="116">
        <v>7892</v>
      </c>
      <c r="BM83" s="47">
        <v>12766</v>
      </c>
      <c r="BN83" s="130">
        <v>70597</v>
      </c>
      <c r="BO83" s="46">
        <v>28364</v>
      </c>
      <c r="BP83" s="46">
        <v>29623</v>
      </c>
      <c r="BQ83" s="46">
        <v>1067</v>
      </c>
      <c r="BR83" s="130">
        <v>711</v>
      </c>
      <c r="BS83" s="44">
        <v>2716</v>
      </c>
      <c r="BT83" s="92">
        <v>-4087</v>
      </c>
      <c r="BU83" s="117">
        <v>-1999</v>
      </c>
      <c r="BV83" s="130">
        <v>-2513</v>
      </c>
      <c r="BW83" s="48">
        <v>28364</v>
      </c>
      <c r="BX83" s="46">
        <v>23347</v>
      </c>
      <c r="BY83" s="130">
        <v>1120</v>
      </c>
      <c r="BZ83" s="46">
        <v>3897</v>
      </c>
      <c r="CA83" s="129">
        <v>20.5</v>
      </c>
      <c r="CB83" s="44">
        <v>32197</v>
      </c>
      <c r="CC83" s="116">
        <v>7766</v>
      </c>
      <c r="CD83" s="47">
        <v>11846</v>
      </c>
      <c r="CE83" s="130">
        <v>66861</v>
      </c>
      <c r="CF83" s="46">
        <v>28542</v>
      </c>
      <c r="CG83" s="46">
        <v>25729</v>
      </c>
      <c r="CH83" s="46">
        <v>1070</v>
      </c>
      <c r="CI83" s="130">
        <v>-110</v>
      </c>
      <c r="CJ83" s="44">
        <v>2625</v>
      </c>
      <c r="CK83" s="117">
        <v>-3761</v>
      </c>
      <c r="CL83" s="117">
        <v>-2729</v>
      </c>
      <c r="CM83" s="117">
        <v>-5243</v>
      </c>
      <c r="CN83" s="48">
        <v>28542</v>
      </c>
      <c r="CO83" s="46">
        <v>23378</v>
      </c>
      <c r="CP83" s="130">
        <v>1208</v>
      </c>
      <c r="CQ83" s="46">
        <v>3956</v>
      </c>
      <c r="CR83" s="129">
        <v>20.5</v>
      </c>
      <c r="CS83" s="44">
        <v>32653</v>
      </c>
      <c r="CT83">
        <v>7661</v>
      </c>
      <c r="CU83">
        <v>29105</v>
      </c>
      <c r="CV83">
        <v>27095</v>
      </c>
      <c r="CW83">
        <v>9697</v>
      </c>
      <c r="CX83">
        <v>5366</v>
      </c>
      <c r="CY83">
        <v>23640</v>
      </c>
      <c r="CZ83">
        <v>1046</v>
      </c>
      <c r="DA83">
        <v>4419</v>
      </c>
      <c r="DB83">
        <v>2368</v>
      </c>
      <c r="DC83">
        <v>8235</v>
      </c>
      <c r="DD83">
        <v>2282</v>
      </c>
      <c r="DE83">
        <v>32911</v>
      </c>
      <c r="DF83">
        <v>64772</v>
      </c>
      <c r="DG83">
        <v>4209</v>
      </c>
      <c r="DH83">
        <v>-1034</v>
      </c>
      <c r="DI83">
        <v>21</v>
      </c>
      <c r="DJ83" s="174">
        <v>7534</v>
      </c>
      <c r="DK83" s="34">
        <v>29153</v>
      </c>
      <c r="DL83" s="34">
        <v>25907</v>
      </c>
      <c r="DM83">
        <v>9319</v>
      </c>
      <c r="DN83" s="173">
        <v>1183</v>
      </c>
      <c r="DO83" s="34">
        <v>23514</v>
      </c>
      <c r="DP83" s="173">
        <v>1292</v>
      </c>
      <c r="DQ83" s="34">
        <v>4347</v>
      </c>
      <c r="DR83" s="173">
        <v>527</v>
      </c>
      <c r="DS83" s="173">
        <v>-1756</v>
      </c>
      <c r="DT83">
        <v>2385</v>
      </c>
      <c r="DU83">
        <v>34459</v>
      </c>
      <c r="DV83" s="173">
        <v>65035</v>
      </c>
      <c r="DW83" s="173">
        <v>-1843</v>
      </c>
      <c r="DX83" s="173">
        <v>-2878</v>
      </c>
      <c r="DY83" s="57">
        <v>21</v>
      </c>
      <c r="DZ83" s="184">
        <v>240</v>
      </c>
      <c r="EA83" s="116">
        <v>7370</v>
      </c>
      <c r="EB83" s="48">
        <v>29446</v>
      </c>
      <c r="EC83" s="46">
        <v>25357</v>
      </c>
      <c r="ED83" s="90">
        <v>9482</v>
      </c>
      <c r="EE83" s="186">
        <v>1507</v>
      </c>
      <c r="EF83" s="46">
        <v>23822</v>
      </c>
      <c r="EG83" s="130">
        <v>1298</v>
      </c>
      <c r="EH83" s="46">
        <v>4326</v>
      </c>
      <c r="EI83" s="130">
        <v>1181</v>
      </c>
      <c r="EJ83" s="48">
        <v>826</v>
      </c>
      <c r="EK83" s="44">
        <v>2419</v>
      </c>
      <c r="EL83" s="44">
        <v>32698</v>
      </c>
      <c r="EM83" s="130">
        <v>64611</v>
      </c>
      <c r="EN83" s="117">
        <v>-1227</v>
      </c>
      <c r="EO83" s="117">
        <v>-4105</v>
      </c>
      <c r="EP83" s="129">
        <v>21.5</v>
      </c>
    </row>
    <row r="84" spans="1:146" ht="15" x14ac:dyDescent="0.25">
      <c r="A84" s="27">
        <v>241</v>
      </c>
      <c r="B84" s="27" t="s">
        <v>213</v>
      </c>
      <c r="C84" s="27">
        <v>19</v>
      </c>
      <c r="D84" s="27" t="s">
        <v>113</v>
      </c>
      <c r="E84" s="27">
        <v>3</v>
      </c>
      <c r="F84" s="27" t="s">
        <v>743</v>
      </c>
      <c r="G84" s="29" t="s">
        <v>132</v>
      </c>
      <c r="H84" s="27" t="s">
        <v>99</v>
      </c>
      <c r="I84" s="31" t="s">
        <v>113</v>
      </c>
      <c r="J84" s="118">
        <v>-242.69517788396041</v>
      </c>
      <c r="K84" s="118">
        <v>-1141.8278327471983</v>
      </c>
      <c r="L84" s="118">
        <v>-2891.4868317262976</v>
      </c>
      <c r="M84" s="118">
        <v>-3188.0021460779412</v>
      </c>
      <c r="N84" s="22">
        <v>660</v>
      </c>
      <c r="O84" s="119">
        <v>245</v>
      </c>
      <c r="P84" s="119">
        <v>-2994</v>
      </c>
      <c r="Q84" s="120">
        <v>-389</v>
      </c>
      <c r="R84" s="22">
        <v>-2947</v>
      </c>
      <c r="S84" s="22">
        <v>-1715</v>
      </c>
      <c r="T84" s="121">
        <v>1509</v>
      </c>
      <c r="U84" s="121">
        <v>4619</v>
      </c>
      <c r="V84" s="121">
        <v>7596</v>
      </c>
      <c r="W84" s="106">
        <v>7562</v>
      </c>
      <c r="X84" s="121">
        <v>5978</v>
      </c>
      <c r="Y84" s="121">
        <v>3505</v>
      </c>
      <c r="Z84" s="121">
        <v>3665</v>
      </c>
      <c r="AA84" s="121">
        <v>3365</v>
      </c>
      <c r="AB84" s="122">
        <v>17.5</v>
      </c>
      <c r="AC84" s="123">
        <v>18.25</v>
      </c>
      <c r="AD84" s="124">
        <v>18.5</v>
      </c>
      <c r="AE84" s="125">
        <v>18.5</v>
      </c>
      <c r="AF84" s="126">
        <v>19</v>
      </c>
      <c r="AG84" s="123">
        <v>19</v>
      </c>
      <c r="AH84" s="123">
        <v>19</v>
      </c>
      <c r="AI84" s="127">
        <v>19.5</v>
      </c>
      <c r="AJ84" s="127">
        <v>19.5</v>
      </c>
      <c r="AK84" s="22">
        <v>20.5</v>
      </c>
      <c r="AL84" s="128">
        <v>20.75</v>
      </c>
      <c r="AM84" s="128">
        <v>20.75</v>
      </c>
      <c r="AN84" s="128">
        <v>20.75</v>
      </c>
      <c r="AO84" s="77">
        <v>20.5</v>
      </c>
      <c r="AP84" s="77">
        <v>20.5</v>
      </c>
      <c r="AQ84" s="129">
        <v>20.75</v>
      </c>
      <c r="AR84" s="129">
        <v>21</v>
      </c>
      <c r="AS84" s="129">
        <v>21.25</v>
      </c>
      <c r="AT84" s="116">
        <v>8565</v>
      </c>
      <c r="AU84" s="47">
        <v>5912</v>
      </c>
      <c r="AV84" s="47">
        <v>54239</v>
      </c>
      <c r="AW84" s="46">
        <v>33403</v>
      </c>
      <c r="AX84" s="46">
        <v>14273</v>
      </c>
      <c r="AY84" s="92">
        <v>19</v>
      </c>
      <c r="AZ84" s="47">
        <v>-672</v>
      </c>
      <c r="BA84" s="44">
        <v>1801</v>
      </c>
      <c r="BB84" s="23">
        <v>-1968</v>
      </c>
      <c r="BC84" s="47">
        <v>-2473</v>
      </c>
      <c r="BD84" s="44">
        <v>-2473</v>
      </c>
      <c r="BE84" s="47">
        <v>3505</v>
      </c>
      <c r="BF84" s="44">
        <v>33403</v>
      </c>
      <c r="BG84" s="46">
        <v>29170</v>
      </c>
      <c r="BH84" s="130">
        <v>1055</v>
      </c>
      <c r="BI84" s="46">
        <v>3178</v>
      </c>
      <c r="BJ84" s="129">
        <v>20.75</v>
      </c>
      <c r="BK84" s="44">
        <v>16567</v>
      </c>
      <c r="BL84" s="116">
        <v>8469</v>
      </c>
      <c r="BM84" s="47">
        <v>5454</v>
      </c>
      <c r="BN84" s="130">
        <v>52768</v>
      </c>
      <c r="BO84" s="46">
        <v>34741</v>
      </c>
      <c r="BP84" s="46">
        <v>14520</v>
      </c>
      <c r="BQ84" s="46">
        <v>233</v>
      </c>
      <c r="BR84" s="130">
        <v>2044</v>
      </c>
      <c r="BS84" s="44">
        <v>1884</v>
      </c>
      <c r="BT84" s="92">
        <v>-853</v>
      </c>
      <c r="BU84" s="117">
        <v>160</v>
      </c>
      <c r="BV84" s="130">
        <v>3665</v>
      </c>
      <c r="BW84" s="48">
        <v>34741</v>
      </c>
      <c r="BX84" s="46">
        <v>30019</v>
      </c>
      <c r="BY84" s="130">
        <v>1137</v>
      </c>
      <c r="BZ84" s="46">
        <v>3585</v>
      </c>
      <c r="CA84" s="129">
        <v>21</v>
      </c>
      <c r="CB84" s="44">
        <v>15759</v>
      </c>
      <c r="CC84" s="116">
        <v>8388</v>
      </c>
      <c r="CD84" s="47">
        <v>5897</v>
      </c>
      <c r="CE84" s="130">
        <v>51825</v>
      </c>
      <c r="CF84" s="46">
        <v>34655</v>
      </c>
      <c r="CG84" s="46">
        <v>12791</v>
      </c>
      <c r="CH84" s="46">
        <v>420</v>
      </c>
      <c r="CI84" s="130">
        <v>1618</v>
      </c>
      <c r="CJ84" s="44">
        <v>1918</v>
      </c>
      <c r="CK84" s="117">
        <v>-38</v>
      </c>
      <c r="CL84" s="117">
        <v>-300</v>
      </c>
      <c r="CM84" s="117">
        <v>3365</v>
      </c>
      <c r="CN84" s="48">
        <v>34655</v>
      </c>
      <c r="CO84" s="46">
        <v>29972</v>
      </c>
      <c r="CP84" s="130">
        <v>3623</v>
      </c>
      <c r="CQ84" s="46">
        <v>1060</v>
      </c>
      <c r="CR84" s="129">
        <v>21.25</v>
      </c>
      <c r="CS84" s="44">
        <v>17359</v>
      </c>
      <c r="CT84">
        <v>8316</v>
      </c>
      <c r="CU84">
        <v>35235</v>
      </c>
      <c r="CV84">
        <v>13232</v>
      </c>
      <c r="CW84">
        <v>5880</v>
      </c>
      <c r="CX84">
        <v>230</v>
      </c>
      <c r="CY84">
        <v>30641</v>
      </c>
      <c r="CZ84">
        <v>741</v>
      </c>
      <c r="DA84">
        <v>3853</v>
      </c>
      <c r="DB84">
        <v>3235</v>
      </c>
      <c r="DC84">
        <v>-1819</v>
      </c>
      <c r="DD84">
        <v>3305</v>
      </c>
      <c r="DE84">
        <v>19384</v>
      </c>
      <c r="DF84">
        <v>51283</v>
      </c>
      <c r="DG84">
        <v>-139</v>
      </c>
      <c r="DH84">
        <v>3226</v>
      </c>
      <c r="DI84">
        <v>21.25</v>
      </c>
      <c r="DJ84" s="174">
        <v>8296</v>
      </c>
      <c r="DK84" s="34">
        <v>34821</v>
      </c>
      <c r="DL84" s="34">
        <v>12703</v>
      </c>
      <c r="DM84">
        <v>5213</v>
      </c>
      <c r="DN84" s="173">
        <v>506</v>
      </c>
      <c r="DO84" s="34">
        <v>30084</v>
      </c>
      <c r="DP84" s="173">
        <v>925</v>
      </c>
      <c r="DQ84" s="34">
        <v>3812</v>
      </c>
      <c r="DR84" s="173">
        <v>2551</v>
      </c>
      <c r="DS84" s="173">
        <v>-1695</v>
      </c>
      <c r="DT84">
        <v>1978</v>
      </c>
      <c r="DU84">
        <v>19282</v>
      </c>
      <c r="DV84" s="173">
        <v>50333</v>
      </c>
      <c r="DW84" s="173">
        <v>214</v>
      </c>
      <c r="DX84" s="173">
        <v>3440</v>
      </c>
      <c r="DY84" s="57">
        <v>21.25</v>
      </c>
      <c r="DZ84" s="184">
        <v>240</v>
      </c>
      <c r="EA84" s="116">
        <v>8147</v>
      </c>
      <c r="EB84" s="48">
        <v>34855</v>
      </c>
      <c r="EC84" s="46">
        <v>12410</v>
      </c>
      <c r="ED84" s="90">
        <v>4484</v>
      </c>
      <c r="EE84" s="186">
        <v>1720</v>
      </c>
      <c r="EF84" s="46">
        <v>30057</v>
      </c>
      <c r="EG84" s="130">
        <v>1033</v>
      </c>
      <c r="EH84" s="46">
        <v>3765</v>
      </c>
      <c r="EI84" s="130">
        <v>175</v>
      </c>
      <c r="EJ84" s="48">
        <v>5437</v>
      </c>
      <c r="EK84" s="44">
        <v>1909</v>
      </c>
      <c r="EL84" s="44">
        <v>16274</v>
      </c>
      <c r="EM84" s="130">
        <v>51725</v>
      </c>
      <c r="EN84" s="117">
        <v>-1032</v>
      </c>
      <c r="EO84" s="117">
        <v>2408</v>
      </c>
      <c r="EP84" s="129">
        <v>21.25</v>
      </c>
    </row>
    <row r="85" spans="1:146" ht="15" x14ac:dyDescent="0.25">
      <c r="A85" s="27">
        <v>322</v>
      </c>
      <c r="B85" s="27" t="s">
        <v>522</v>
      </c>
      <c r="C85" s="27">
        <v>2</v>
      </c>
      <c r="D85" s="27" t="s">
        <v>122</v>
      </c>
      <c r="E85" s="27">
        <v>3</v>
      </c>
      <c r="F85" s="27" t="s">
        <v>743</v>
      </c>
      <c r="G85" s="29" t="s">
        <v>130</v>
      </c>
      <c r="H85" s="27" t="s">
        <v>98</v>
      </c>
      <c r="I85" s="31" t="s">
        <v>122</v>
      </c>
      <c r="J85" s="118">
        <v>-1199.3481035970351</v>
      </c>
      <c r="K85" s="118">
        <v>-713.78955990265285</v>
      </c>
      <c r="L85" s="118">
        <v>-743.55882288634029</v>
      </c>
      <c r="M85" s="118">
        <v>-148.3417511390528</v>
      </c>
      <c r="N85" s="22">
        <v>185</v>
      </c>
      <c r="O85" s="119">
        <v>567</v>
      </c>
      <c r="P85" s="119">
        <v>1178</v>
      </c>
      <c r="Q85" s="120">
        <v>1204</v>
      </c>
      <c r="R85" s="22">
        <v>1692</v>
      </c>
      <c r="S85" s="22">
        <v>2400</v>
      </c>
      <c r="T85" s="121">
        <v>2650</v>
      </c>
      <c r="U85" s="121">
        <v>4082</v>
      </c>
      <c r="V85" s="121">
        <v>6368</v>
      </c>
      <c r="W85" s="106">
        <v>8986</v>
      </c>
      <c r="X85" s="121">
        <v>10231</v>
      </c>
      <c r="Y85" s="121">
        <v>12512</v>
      </c>
      <c r="Z85" s="121">
        <v>13536</v>
      </c>
      <c r="AA85" s="121">
        <v>14785</v>
      </c>
      <c r="AB85" s="122">
        <v>18.5</v>
      </c>
      <c r="AC85" s="123">
        <v>19</v>
      </c>
      <c r="AD85" s="124">
        <v>19</v>
      </c>
      <c r="AE85" s="125">
        <v>19</v>
      </c>
      <c r="AF85" s="126">
        <v>19</v>
      </c>
      <c r="AG85" s="123">
        <v>19</v>
      </c>
      <c r="AH85" s="123">
        <v>19</v>
      </c>
      <c r="AI85" s="131">
        <v>19</v>
      </c>
      <c r="AJ85" s="131">
        <v>19</v>
      </c>
      <c r="AK85" s="22">
        <v>19</v>
      </c>
      <c r="AL85" s="128">
        <v>19</v>
      </c>
      <c r="AM85" s="128">
        <v>19</v>
      </c>
      <c r="AN85" s="128">
        <v>19.75</v>
      </c>
      <c r="AO85" s="77">
        <v>19.75</v>
      </c>
      <c r="AP85" s="77">
        <v>19.75</v>
      </c>
      <c r="AQ85" s="129">
        <v>19.75</v>
      </c>
      <c r="AR85" s="129">
        <v>19.75</v>
      </c>
      <c r="AS85" s="129">
        <v>19.75</v>
      </c>
      <c r="AT85" s="116">
        <v>7012</v>
      </c>
      <c r="AU85" s="47">
        <v>7562</v>
      </c>
      <c r="AV85" s="47">
        <v>47254</v>
      </c>
      <c r="AW85" s="46">
        <v>22590</v>
      </c>
      <c r="AX85" s="46">
        <v>21908</v>
      </c>
      <c r="AY85" s="92">
        <v>22</v>
      </c>
      <c r="AZ85" s="47">
        <v>4498</v>
      </c>
      <c r="BA85" s="44">
        <v>2384</v>
      </c>
      <c r="BB85" s="23">
        <v>-2298</v>
      </c>
      <c r="BC85" s="47">
        <v>2114</v>
      </c>
      <c r="BD85" s="44">
        <v>2281</v>
      </c>
      <c r="BE85" s="47">
        <v>12512</v>
      </c>
      <c r="BF85" s="44">
        <v>22590</v>
      </c>
      <c r="BG85" s="46">
        <v>19384</v>
      </c>
      <c r="BH85" s="130">
        <v>633</v>
      </c>
      <c r="BI85" s="46">
        <v>2573</v>
      </c>
      <c r="BJ85" s="129">
        <v>19.75</v>
      </c>
      <c r="BK85" s="44">
        <v>16146</v>
      </c>
      <c r="BL85" s="116">
        <v>6943</v>
      </c>
      <c r="BM85" s="47">
        <v>7711</v>
      </c>
      <c r="BN85" s="130">
        <v>48076</v>
      </c>
      <c r="BO85" s="46">
        <v>21667</v>
      </c>
      <c r="BP85" s="46">
        <v>22372</v>
      </c>
      <c r="BQ85" s="46">
        <v>24</v>
      </c>
      <c r="BR85" s="130">
        <v>3416</v>
      </c>
      <c r="BS85" s="44">
        <v>2557</v>
      </c>
      <c r="BT85" s="92">
        <v>-4996</v>
      </c>
      <c r="BU85" s="117">
        <v>1024</v>
      </c>
      <c r="BV85" s="130">
        <v>13536</v>
      </c>
      <c r="BW85" s="48">
        <v>21667</v>
      </c>
      <c r="BX85" s="46">
        <v>18010</v>
      </c>
      <c r="BY85" s="130">
        <v>746</v>
      </c>
      <c r="BZ85" s="46">
        <v>2911</v>
      </c>
      <c r="CA85" s="129">
        <v>19.75</v>
      </c>
      <c r="CB85" s="44">
        <v>14149</v>
      </c>
      <c r="CC85" s="116">
        <v>6909</v>
      </c>
      <c r="CD85" s="47">
        <v>7780</v>
      </c>
      <c r="CE85" s="130">
        <v>49072</v>
      </c>
      <c r="CF85" s="46">
        <v>22792</v>
      </c>
      <c r="CG85" s="46">
        <v>22532</v>
      </c>
      <c r="CH85" s="46">
        <v>18</v>
      </c>
      <c r="CI85" s="130">
        <v>3849</v>
      </c>
      <c r="CJ85" s="44">
        <v>2765</v>
      </c>
      <c r="CK85" s="117">
        <v>-10025</v>
      </c>
      <c r="CL85" s="117">
        <v>1249</v>
      </c>
      <c r="CM85" s="117">
        <v>14785</v>
      </c>
      <c r="CN85" s="48">
        <v>22792</v>
      </c>
      <c r="CO85" s="46">
        <v>18861</v>
      </c>
      <c r="CP85" s="130">
        <v>811</v>
      </c>
      <c r="CQ85" s="46">
        <v>3120</v>
      </c>
      <c r="CR85" s="129">
        <v>19.75</v>
      </c>
      <c r="CS85" s="44">
        <v>22720</v>
      </c>
      <c r="CT85">
        <v>6872</v>
      </c>
      <c r="CU85">
        <v>22398</v>
      </c>
      <c r="CV85">
        <v>23042</v>
      </c>
      <c r="CW85">
        <v>8092</v>
      </c>
      <c r="CX85">
        <v>12</v>
      </c>
      <c r="CY85">
        <v>18509</v>
      </c>
      <c r="CZ85">
        <v>735</v>
      </c>
      <c r="DA85">
        <v>3154</v>
      </c>
      <c r="DB85">
        <v>4074</v>
      </c>
      <c r="DC85">
        <v>-3852</v>
      </c>
      <c r="DD85">
        <v>3579</v>
      </c>
      <c r="DE85">
        <v>21236</v>
      </c>
      <c r="DF85">
        <v>49261</v>
      </c>
      <c r="DG85">
        <v>659</v>
      </c>
      <c r="DH85">
        <v>15444</v>
      </c>
      <c r="DI85">
        <v>19.75</v>
      </c>
      <c r="DJ85" s="174">
        <v>6793</v>
      </c>
      <c r="DK85" s="34">
        <v>23382</v>
      </c>
      <c r="DL85" s="34">
        <v>22148</v>
      </c>
      <c r="DM85">
        <v>8510</v>
      </c>
      <c r="DN85" s="173">
        <v>-169</v>
      </c>
      <c r="DO85" s="34">
        <v>19154</v>
      </c>
      <c r="DP85" s="173">
        <v>1007</v>
      </c>
      <c r="DQ85" s="34">
        <v>3221</v>
      </c>
      <c r="DR85" s="173">
        <v>5215</v>
      </c>
      <c r="DS85" s="173">
        <v>-4942</v>
      </c>
      <c r="DT85">
        <v>3479</v>
      </c>
      <c r="DU85">
        <v>24196</v>
      </c>
      <c r="DV85" s="173">
        <v>48656</v>
      </c>
      <c r="DW85" s="173">
        <v>1893</v>
      </c>
      <c r="DX85" s="173">
        <v>17337</v>
      </c>
      <c r="DY85" s="57">
        <v>19.75</v>
      </c>
      <c r="DZ85" s="184">
        <v>340</v>
      </c>
      <c r="EA85" s="116">
        <v>6724</v>
      </c>
      <c r="EB85" s="48">
        <v>22262</v>
      </c>
      <c r="EC85" s="46">
        <v>21205</v>
      </c>
      <c r="ED85" s="90">
        <v>7422</v>
      </c>
      <c r="EE85" s="186">
        <v>-153</v>
      </c>
      <c r="EF85" s="46">
        <v>17833</v>
      </c>
      <c r="EG85" s="130">
        <v>1070</v>
      </c>
      <c r="EH85" s="46">
        <v>3359</v>
      </c>
      <c r="EI85" s="130">
        <v>561</v>
      </c>
      <c r="EJ85" s="48">
        <v>-913</v>
      </c>
      <c r="EK85" s="44">
        <v>3610</v>
      </c>
      <c r="EL85" s="44">
        <v>20001</v>
      </c>
      <c r="EM85" s="130">
        <v>50175</v>
      </c>
      <c r="EN85" s="117">
        <v>-2892</v>
      </c>
      <c r="EO85" s="117">
        <v>14445</v>
      </c>
      <c r="EP85" s="129">
        <v>19.75</v>
      </c>
    </row>
    <row r="86" spans="1:146" ht="15" x14ac:dyDescent="0.25">
      <c r="A86" s="27">
        <v>244</v>
      </c>
      <c r="B86" s="27" t="s">
        <v>214</v>
      </c>
      <c r="C86" s="27">
        <v>17</v>
      </c>
      <c r="D86" s="27" t="s">
        <v>117</v>
      </c>
      <c r="E86" s="27">
        <v>4</v>
      </c>
      <c r="F86" s="27" t="s">
        <v>100</v>
      </c>
      <c r="G86" s="29" t="s">
        <v>141</v>
      </c>
      <c r="H86" s="27" t="s">
        <v>97</v>
      </c>
      <c r="I86" s="31" t="s">
        <v>117</v>
      </c>
      <c r="J86" s="118">
        <v>0</v>
      </c>
      <c r="K86" s="118">
        <v>922.51077664138802</v>
      </c>
      <c r="L86" s="118">
        <v>1153.7691755259657</v>
      </c>
      <c r="M86" s="118">
        <v>1436.9976436871502</v>
      </c>
      <c r="N86" s="22">
        <v>1827</v>
      </c>
      <c r="O86" s="119">
        <v>1421</v>
      </c>
      <c r="P86" s="119">
        <v>1565</v>
      </c>
      <c r="Q86" s="120">
        <v>1792</v>
      </c>
      <c r="R86" s="22">
        <v>2257</v>
      </c>
      <c r="S86" s="22">
        <v>2504</v>
      </c>
      <c r="T86" s="121">
        <v>3746</v>
      </c>
      <c r="U86" s="121">
        <v>3566</v>
      </c>
      <c r="V86" s="121">
        <v>3943</v>
      </c>
      <c r="W86" s="106">
        <v>4782</v>
      </c>
      <c r="X86" s="121">
        <v>4637</v>
      </c>
      <c r="Y86" s="121">
        <v>6072</v>
      </c>
      <c r="Z86" s="121">
        <v>5411</v>
      </c>
      <c r="AA86" s="121">
        <v>6120</v>
      </c>
      <c r="AB86" s="122">
        <v>18</v>
      </c>
      <c r="AC86" s="123">
        <v>18</v>
      </c>
      <c r="AD86" s="124">
        <v>18</v>
      </c>
      <c r="AE86" s="125">
        <v>18</v>
      </c>
      <c r="AF86" s="126">
        <v>18</v>
      </c>
      <c r="AG86" s="123">
        <v>18.5</v>
      </c>
      <c r="AH86" s="123">
        <v>18.5</v>
      </c>
      <c r="AI86" s="127">
        <v>18.5</v>
      </c>
      <c r="AJ86" s="127">
        <v>18.5</v>
      </c>
      <c r="AK86" s="22">
        <v>18.5</v>
      </c>
      <c r="AL86" s="128">
        <v>18.5</v>
      </c>
      <c r="AM86" s="128">
        <v>18.5</v>
      </c>
      <c r="AN86" s="128">
        <v>19.5</v>
      </c>
      <c r="AO86" s="77">
        <v>19.5</v>
      </c>
      <c r="AP86" s="77">
        <v>19.5</v>
      </c>
      <c r="AQ86" s="129">
        <v>19.5</v>
      </c>
      <c r="AR86" s="129">
        <v>20.5</v>
      </c>
      <c r="AS86" s="129">
        <v>20.5</v>
      </c>
      <c r="AT86" s="116">
        <v>16605</v>
      </c>
      <c r="AU86" s="47">
        <v>10885</v>
      </c>
      <c r="AV86" s="47">
        <v>84351</v>
      </c>
      <c r="AW86" s="46">
        <v>58575</v>
      </c>
      <c r="AX86" s="46">
        <v>20021</v>
      </c>
      <c r="AY86" s="92">
        <v>686</v>
      </c>
      <c r="AZ86" s="47">
        <v>4406</v>
      </c>
      <c r="BA86" s="44">
        <v>4588</v>
      </c>
      <c r="BB86" s="23">
        <v>-7110</v>
      </c>
      <c r="BC86" s="47">
        <v>487</v>
      </c>
      <c r="BD86" s="44">
        <v>1435</v>
      </c>
      <c r="BE86" s="47">
        <v>6072</v>
      </c>
      <c r="BF86" s="44">
        <v>58575</v>
      </c>
      <c r="BG86" s="46">
        <v>54335</v>
      </c>
      <c r="BH86" s="130">
        <v>1456</v>
      </c>
      <c r="BI86" s="46">
        <v>2784</v>
      </c>
      <c r="BJ86" s="129">
        <v>19.5</v>
      </c>
      <c r="BK86" s="44">
        <v>31670</v>
      </c>
      <c r="BL86" s="116">
        <v>16889</v>
      </c>
      <c r="BM86" s="47">
        <v>10255</v>
      </c>
      <c r="BN86" s="130">
        <v>86441</v>
      </c>
      <c r="BO86" s="46">
        <v>60200</v>
      </c>
      <c r="BP86" s="46">
        <v>20189</v>
      </c>
      <c r="BQ86" s="46">
        <v>16</v>
      </c>
      <c r="BR86" s="130">
        <v>3404</v>
      </c>
      <c r="BS86" s="44">
        <v>5014</v>
      </c>
      <c r="BT86" s="92">
        <v>-3290</v>
      </c>
      <c r="BU86" s="117">
        <v>-662</v>
      </c>
      <c r="BV86" s="130">
        <v>5411</v>
      </c>
      <c r="BW86" s="48">
        <v>60200</v>
      </c>
      <c r="BX86" s="46">
        <v>55674</v>
      </c>
      <c r="BY86" s="130">
        <v>1567</v>
      </c>
      <c r="BZ86" s="46">
        <v>2959</v>
      </c>
      <c r="CA86" s="129">
        <v>20.5</v>
      </c>
      <c r="CB86" s="44">
        <v>33250</v>
      </c>
      <c r="CC86" s="116">
        <v>17066</v>
      </c>
      <c r="CD86" s="47">
        <v>10965</v>
      </c>
      <c r="CE86" s="130">
        <v>89595</v>
      </c>
      <c r="CF86" s="46">
        <v>63605</v>
      </c>
      <c r="CG86" s="46">
        <v>21421</v>
      </c>
      <c r="CH86" s="46">
        <v>76</v>
      </c>
      <c r="CI86" s="130">
        <v>5712</v>
      </c>
      <c r="CJ86" s="44">
        <v>5078</v>
      </c>
      <c r="CK86" s="117">
        <v>-4790</v>
      </c>
      <c r="CL86" s="117">
        <v>1476</v>
      </c>
      <c r="CM86" s="117">
        <v>6120</v>
      </c>
      <c r="CN86" s="48">
        <v>63605</v>
      </c>
      <c r="CO86" s="46">
        <v>58387</v>
      </c>
      <c r="CP86" s="130">
        <v>2228</v>
      </c>
      <c r="CQ86" s="46">
        <v>2990</v>
      </c>
      <c r="CR86" s="129">
        <v>20.5</v>
      </c>
      <c r="CS86" s="44">
        <v>35360</v>
      </c>
      <c r="CT86">
        <v>17297</v>
      </c>
      <c r="CU86">
        <v>65653</v>
      </c>
      <c r="CV86">
        <v>24051</v>
      </c>
      <c r="CW86">
        <v>12864</v>
      </c>
      <c r="CX86">
        <v>0</v>
      </c>
      <c r="CY86">
        <v>59921</v>
      </c>
      <c r="CZ86">
        <v>2599</v>
      </c>
      <c r="DA86">
        <v>3133</v>
      </c>
      <c r="DB86">
        <v>9685</v>
      </c>
      <c r="DC86">
        <v>-5203</v>
      </c>
      <c r="DD86">
        <v>5143</v>
      </c>
      <c r="DE86">
        <v>37486</v>
      </c>
      <c r="DF86">
        <v>92173</v>
      </c>
      <c r="DG86">
        <v>2171</v>
      </c>
      <c r="DH86">
        <v>8292</v>
      </c>
      <c r="DI86">
        <v>20.5</v>
      </c>
      <c r="DJ86" s="174">
        <v>17535</v>
      </c>
      <c r="DK86" s="34">
        <v>67244</v>
      </c>
      <c r="DL86" s="34">
        <v>24037</v>
      </c>
      <c r="DM86">
        <v>13002</v>
      </c>
      <c r="DN86" s="173">
        <v>-614</v>
      </c>
      <c r="DO86" s="34">
        <v>60190</v>
      </c>
      <c r="DP86" s="173">
        <v>3445</v>
      </c>
      <c r="DQ86" s="34">
        <v>3609</v>
      </c>
      <c r="DR86" s="173">
        <v>7445</v>
      </c>
      <c r="DS86" s="173">
        <v>-15218</v>
      </c>
      <c r="DT86">
        <v>5468</v>
      </c>
      <c r="DU86">
        <v>44958</v>
      </c>
      <c r="DV86" s="173">
        <v>96224</v>
      </c>
      <c r="DW86" s="173">
        <v>2606</v>
      </c>
      <c r="DX86" s="173">
        <v>10897</v>
      </c>
      <c r="DY86" s="57">
        <v>20.5</v>
      </c>
      <c r="DZ86" s="184">
        <v>110</v>
      </c>
      <c r="EA86" s="116">
        <v>17923</v>
      </c>
      <c r="EB86" s="48">
        <v>68664</v>
      </c>
      <c r="EC86" s="46">
        <v>24038</v>
      </c>
      <c r="ED86" s="90">
        <v>14482</v>
      </c>
      <c r="EE86" s="186">
        <v>-731</v>
      </c>
      <c r="EF86" s="46">
        <v>61290</v>
      </c>
      <c r="EG86" s="130">
        <v>3686</v>
      </c>
      <c r="EH86" s="46">
        <v>3688</v>
      </c>
      <c r="EI86" s="130">
        <v>6618</v>
      </c>
      <c r="EJ86" s="48">
        <v>-13844</v>
      </c>
      <c r="EK86" s="44">
        <v>5144</v>
      </c>
      <c r="EL86" s="44">
        <v>56563</v>
      </c>
      <c r="EM86" s="130">
        <v>99835</v>
      </c>
      <c r="EN86" s="117">
        <v>2136</v>
      </c>
      <c r="EO86" s="117">
        <v>13033</v>
      </c>
      <c r="EP86" s="129">
        <v>20.5</v>
      </c>
    </row>
    <row r="87" spans="1:146" ht="15" x14ac:dyDescent="0.25">
      <c r="A87" s="32">
        <v>245</v>
      </c>
      <c r="B87" s="32" t="s">
        <v>215</v>
      </c>
      <c r="C87" s="32">
        <v>1</v>
      </c>
      <c r="D87" s="32" t="s">
        <v>121</v>
      </c>
      <c r="E87" s="32">
        <v>5</v>
      </c>
      <c r="F87" s="32" t="s">
        <v>101</v>
      </c>
      <c r="G87" s="43" t="s">
        <v>141</v>
      </c>
      <c r="H87" s="32" t="s">
        <v>97</v>
      </c>
      <c r="I87" s="33" t="s">
        <v>121</v>
      </c>
      <c r="J87" s="118">
        <v>898.62809108385341</v>
      </c>
      <c r="K87" s="118">
        <v>1453.6482484068399</v>
      </c>
      <c r="L87" s="118">
        <v>8662.0145886207411</v>
      </c>
      <c r="M87" s="118">
        <v>12110.876208640486</v>
      </c>
      <c r="N87" s="22">
        <v>24207</v>
      </c>
      <c r="O87" s="119">
        <v>30846</v>
      </c>
      <c r="P87" s="119">
        <v>31710</v>
      </c>
      <c r="Q87" s="120">
        <v>31839</v>
      </c>
      <c r="R87" s="22">
        <v>38568</v>
      </c>
      <c r="S87" s="22">
        <v>43427</v>
      </c>
      <c r="T87" s="121">
        <v>51716</v>
      </c>
      <c r="U87" s="121">
        <v>55594</v>
      </c>
      <c r="V87" s="121">
        <v>71514</v>
      </c>
      <c r="W87" s="106">
        <v>84128</v>
      </c>
      <c r="X87" s="121">
        <v>88309</v>
      </c>
      <c r="Y87" s="121">
        <v>95534</v>
      </c>
      <c r="Z87" s="121">
        <v>102127</v>
      </c>
      <c r="AA87" s="121">
        <v>116705</v>
      </c>
      <c r="AB87" s="122">
        <v>16.5</v>
      </c>
      <c r="AC87" s="123">
        <v>16.5</v>
      </c>
      <c r="AD87" s="124">
        <v>16.5</v>
      </c>
      <c r="AE87" s="125">
        <v>17.5</v>
      </c>
      <c r="AF87" s="126">
        <v>17.5</v>
      </c>
      <c r="AG87" s="123">
        <v>17.5</v>
      </c>
      <c r="AH87" s="123">
        <v>17.5</v>
      </c>
      <c r="AI87" s="127">
        <v>17.5</v>
      </c>
      <c r="AJ87" s="127">
        <v>18</v>
      </c>
      <c r="AK87" s="22">
        <v>18</v>
      </c>
      <c r="AL87" s="128">
        <v>18</v>
      </c>
      <c r="AM87" s="128">
        <v>18</v>
      </c>
      <c r="AN87" s="128">
        <v>18.75</v>
      </c>
      <c r="AO87" s="77">
        <v>18.75</v>
      </c>
      <c r="AP87" s="77">
        <v>18.75</v>
      </c>
      <c r="AQ87" s="129">
        <v>18.75</v>
      </c>
      <c r="AR87" s="129">
        <v>19</v>
      </c>
      <c r="AS87" s="129">
        <v>19</v>
      </c>
      <c r="AT87" s="116">
        <v>34913</v>
      </c>
      <c r="AU87" s="47">
        <v>39412</v>
      </c>
      <c r="AV87" s="47">
        <v>185630</v>
      </c>
      <c r="AW87" s="46">
        <v>145147</v>
      </c>
      <c r="AX87" s="46">
        <v>18268</v>
      </c>
      <c r="AY87" s="92">
        <v>943</v>
      </c>
      <c r="AZ87" s="47">
        <v>17766</v>
      </c>
      <c r="BA87" s="44">
        <v>10541</v>
      </c>
      <c r="BB87" s="23">
        <v>-13102</v>
      </c>
      <c r="BC87" s="47">
        <v>7225</v>
      </c>
      <c r="BD87" s="44">
        <v>7224</v>
      </c>
      <c r="BE87" s="47">
        <v>95534</v>
      </c>
      <c r="BF87" s="44">
        <v>145147</v>
      </c>
      <c r="BG87" s="46">
        <v>129210</v>
      </c>
      <c r="BH87" s="130">
        <v>6812</v>
      </c>
      <c r="BI87" s="46">
        <v>9125</v>
      </c>
      <c r="BJ87" s="129">
        <v>18.75</v>
      </c>
      <c r="BK87" s="44">
        <v>46588</v>
      </c>
      <c r="BL87" s="116">
        <v>35317</v>
      </c>
      <c r="BM87" s="47">
        <v>37485</v>
      </c>
      <c r="BN87" s="130">
        <v>188401</v>
      </c>
      <c r="BO87" s="46">
        <v>149491</v>
      </c>
      <c r="BP87" s="46">
        <v>18679</v>
      </c>
      <c r="BQ87" s="46">
        <v>2511</v>
      </c>
      <c r="BR87" s="130">
        <v>19420</v>
      </c>
      <c r="BS87" s="44">
        <v>10520</v>
      </c>
      <c r="BT87" s="92">
        <v>-14384</v>
      </c>
      <c r="BU87" s="117">
        <v>8904</v>
      </c>
      <c r="BV87" s="130">
        <v>102127</v>
      </c>
      <c r="BW87" s="48">
        <v>149491</v>
      </c>
      <c r="BX87" s="46">
        <v>131254</v>
      </c>
      <c r="BY87" s="130">
        <v>8525</v>
      </c>
      <c r="BZ87" s="46">
        <v>9712</v>
      </c>
      <c r="CA87" s="129">
        <v>19</v>
      </c>
      <c r="CB87" s="44">
        <v>42807</v>
      </c>
      <c r="CC87" s="116">
        <v>35293</v>
      </c>
      <c r="CD87" s="47">
        <v>40378</v>
      </c>
      <c r="CE87" s="130">
        <v>195286</v>
      </c>
      <c r="CF87" s="46">
        <v>152164</v>
      </c>
      <c r="CG87" s="46">
        <v>20222</v>
      </c>
      <c r="CH87" s="46">
        <v>9133</v>
      </c>
      <c r="CI87" s="130">
        <v>18713</v>
      </c>
      <c r="CJ87" s="44">
        <v>11137</v>
      </c>
      <c r="CK87" s="117">
        <v>-20069</v>
      </c>
      <c r="CL87" s="117">
        <v>14578</v>
      </c>
      <c r="CM87" s="117">
        <v>116705</v>
      </c>
      <c r="CN87" s="48">
        <v>152164</v>
      </c>
      <c r="CO87" s="46">
        <v>132253</v>
      </c>
      <c r="CP87" s="130">
        <v>10198</v>
      </c>
      <c r="CQ87" s="46">
        <v>9713</v>
      </c>
      <c r="CR87" s="129">
        <v>19</v>
      </c>
      <c r="CS87" s="44">
        <v>42387</v>
      </c>
      <c r="CT87">
        <v>35511</v>
      </c>
      <c r="CU87">
        <v>154567</v>
      </c>
      <c r="CV87">
        <v>23463</v>
      </c>
      <c r="CW87">
        <v>41483</v>
      </c>
      <c r="CX87">
        <v>893</v>
      </c>
      <c r="CY87">
        <v>135018</v>
      </c>
      <c r="CZ87">
        <v>10037</v>
      </c>
      <c r="DA87">
        <v>9512</v>
      </c>
      <c r="DB87">
        <v>26100</v>
      </c>
      <c r="DC87">
        <v>-13501</v>
      </c>
      <c r="DD87">
        <v>11646</v>
      </c>
      <c r="DE87">
        <v>37928</v>
      </c>
      <c r="DF87">
        <v>194136</v>
      </c>
      <c r="DG87">
        <v>14452</v>
      </c>
      <c r="DH87">
        <v>131158</v>
      </c>
      <c r="DI87">
        <v>19.25</v>
      </c>
      <c r="DJ87" s="174">
        <v>35554</v>
      </c>
      <c r="DK87" s="34">
        <v>156826</v>
      </c>
      <c r="DL87" s="34">
        <v>21162</v>
      </c>
      <c r="DM87">
        <v>32737</v>
      </c>
      <c r="DN87" s="173">
        <v>869</v>
      </c>
      <c r="DO87" s="34">
        <v>135457</v>
      </c>
      <c r="DP87" s="173">
        <v>11635</v>
      </c>
      <c r="DQ87" s="34">
        <v>9734</v>
      </c>
      <c r="DR87" s="173">
        <v>21050</v>
      </c>
      <c r="DS87" s="173">
        <v>-22506</v>
      </c>
      <c r="DT87">
        <v>12243</v>
      </c>
      <c r="DU87">
        <v>40542</v>
      </c>
      <c r="DV87" s="173">
        <v>190544</v>
      </c>
      <c r="DW87" s="173">
        <v>8810</v>
      </c>
      <c r="DX87" s="173">
        <v>99968</v>
      </c>
      <c r="DY87" s="57">
        <v>19.25</v>
      </c>
      <c r="DZ87" s="184">
        <v>110</v>
      </c>
      <c r="EA87" s="116">
        <v>36254</v>
      </c>
      <c r="EB87" s="48">
        <v>152531</v>
      </c>
      <c r="EC87" s="46">
        <v>21827</v>
      </c>
      <c r="ED87" s="90">
        <v>35059</v>
      </c>
      <c r="EE87" s="186">
        <v>870</v>
      </c>
      <c r="EF87" s="46">
        <v>132745</v>
      </c>
      <c r="EG87" s="130">
        <v>9562</v>
      </c>
      <c r="EH87" s="46">
        <v>10224</v>
      </c>
      <c r="EI87" s="130">
        <v>13917</v>
      </c>
      <c r="EJ87" s="48">
        <v>-21209</v>
      </c>
      <c r="EK87" s="44">
        <v>13995</v>
      </c>
      <c r="EL87" s="44">
        <v>46655</v>
      </c>
      <c r="EM87" s="130">
        <v>196370</v>
      </c>
      <c r="EN87" s="117">
        <v>-75</v>
      </c>
      <c r="EO87" s="117">
        <v>99893</v>
      </c>
      <c r="EP87" s="129">
        <v>19.25</v>
      </c>
    </row>
    <row r="88" spans="1:146" ht="15" x14ac:dyDescent="0.25">
      <c r="A88" s="27">
        <v>249</v>
      </c>
      <c r="B88" s="27" t="s">
        <v>216</v>
      </c>
      <c r="C88" s="27">
        <v>13</v>
      </c>
      <c r="D88" s="27" t="s">
        <v>111</v>
      </c>
      <c r="E88" s="27">
        <v>3</v>
      </c>
      <c r="F88" s="27" t="s">
        <v>743</v>
      </c>
      <c r="G88" s="29" t="s">
        <v>132</v>
      </c>
      <c r="H88" s="27" t="s">
        <v>99</v>
      </c>
      <c r="I88" s="31" t="s">
        <v>111</v>
      </c>
      <c r="J88" s="118">
        <v>-521.71894788360726</v>
      </c>
      <c r="K88" s="118">
        <v>-530.12834420668275</v>
      </c>
      <c r="L88" s="118">
        <v>-2995.5951582059729</v>
      </c>
      <c r="M88" s="118">
        <v>-1746.4634283763305</v>
      </c>
      <c r="N88" s="22">
        <v>-1198</v>
      </c>
      <c r="O88" s="119">
        <v>-488</v>
      </c>
      <c r="P88" s="119">
        <v>-1070</v>
      </c>
      <c r="Q88" s="120">
        <v>-1486</v>
      </c>
      <c r="R88" s="22">
        <v>-1371</v>
      </c>
      <c r="S88" s="22">
        <v>-1066</v>
      </c>
      <c r="T88" s="121">
        <v>25</v>
      </c>
      <c r="U88" s="121">
        <v>2595</v>
      </c>
      <c r="V88" s="121">
        <v>5410</v>
      </c>
      <c r="W88" s="106">
        <v>6268</v>
      </c>
      <c r="X88" s="121">
        <v>4610</v>
      </c>
      <c r="Y88" s="121">
        <v>5862</v>
      </c>
      <c r="Z88" s="121">
        <v>8172</v>
      </c>
      <c r="AA88" s="121">
        <v>8021</v>
      </c>
      <c r="AB88" s="122">
        <v>18</v>
      </c>
      <c r="AC88" s="123">
        <v>18</v>
      </c>
      <c r="AD88" s="124">
        <v>18</v>
      </c>
      <c r="AE88" s="125">
        <v>18.5</v>
      </c>
      <c r="AF88" s="126">
        <v>19</v>
      </c>
      <c r="AG88" s="123">
        <v>19</v>
      </c>
      <c r="AH88" s="123">
        <v>19</v>
      </c>
      <c r="AI88" s="127">
        <v>19.25</v>
      </c>
      <c r="AJ88" s="127">
        <v>19.25</v>
      </c>
      <c r="AK88" s="22">
        <v>19.75</v>
      </c>
      <c r="AL88" s="128">
        <v>19.75</v>
      </c>
      <c r="AM88" s="128">
        <v>19.75</v>
      </c>
      <c r="AN88" s="128">
        <v>19.75</v>
      </c>
      <c r="AO88" s="77">
        <v>19.75</v>
      </c>
      <c r="AP88" s="77">
        <v>19.75</v>
      </c>
      <c r="AQ88" s="129">
        <v>20.5</v>
      </c>
      <c r="AR88" s="129">
        <v>20.5</v>
      </c>
      <c r="AS88" s="129">
        <v>20.5</v>
      </c>
      <c r="AT88" s="116">
        <v>10310</v>
      </c>
      <c r="AU88" s="47">
        <v>18702</v>
      </c>
      <c r="AV88" s="47">
        <v>75237</v>
      </c>
      <c r="AW88" s="46">
        <v>33447</v>
      </c>
      <c r="AX88" s="46">
        <v>27278</v>
      </c>
      <c r="AY88" s="92">
        <v>310</v>
      </c>
      <c r="AZ88" s="47">
        <v>4459</v>
      </c>
      <c r="BA88" s="44">
        <v>3216</v>
      </c>
      <c r="BB88" s="23">
        <v>-8016</v>
      </c>
      <c r="BC88" s="47">
        <v>1243</v>
      </c>
      <c r="BD88" s="44">
        <v>1252</v>
      </c>
      <c r="BE88" s="47">
        <v>5862</v>
      </c>
      <c r="BF88" s="44">
        <v>33447</v>
      </c>
      <c r="BG88" s="46">
        <v>29177</v>
      </c>
      <c r="BH88" s="130">
        <v>2128</v>
      </c>
      <c r="BI88" s="46">
        <v>2142</v>
      </c>
      <c r="BJ88" s="129">
        <v>20.5</v>
      </c>
      <c r="BK88" s="44">
        <v>31936</v>
      </c>
      <c r="BL88" s="116">
        <v>10177</v>
      </c>
      <c r="BM88" s="47">
        <v>18825</v>
      </c>
      <c r="BN88" s="130">
        <v>75304</v>
      </c>
      <c r="BO88" s="46">
        <v>34255</v>
      </c>
      <c r="BP88" s="46">
        <v>27702</v>
      </c>
      <c r="BQ88" s="46">
        <v>345</v>
      </c>
      <c r="BR88" s="130">
        <v>5733</v>
      </c>
      <c r="BS88" s="44">
        <v>3428</v>
      </c>
      <c r="BT88" s="92">
        <v>-11708</v>
      </c>
      <c r="BU88" s="117">
        <v>2310</v>
      </c>
      <c r="BV88" s="130">
        <v>8172</v>
      </c>
      <c r="BW88" s="48">
        <v>34255</v>
      </c>
      <c r="BX88" s="46">
        <v>29603</v>
      </c>
      <c r="BY88" s="130">
        <v>2327</v>
      </c>
      <c r="BZ88" s="46">
        <v>2325</v>
      </c>
      <c r="CA88" s="129">
        <v>20.5</v>
      </c>
      <c r="CB88" s="44">
        <v>35082</v>
      </c>
      <c r="CC88" s="116">
        <v>10117</v>
      </c>
      <c r="CD88" s="47">
        <v>18256</v>
      </c>
      <c r="CE88" s="130">
        <v>76142</v>
      </c>
      <c r="CF88" s="46">
        <v>34378</v>
      </c>
      <c r="CG88" s="46">
        <v>27169</v>
      </c>
      <c r="CH88" s="46">
        <v>600</v>
      </c>
      <c r="CI88" s="130">
        <v>3963</v>
      </c>
      <c r="CJ88" s="44">
        <v>4119</v>
      </c>
      <c r="CK88" s="117">
        <v>-16100</v>
      </c>
      <c r="CL88" s="117">
        <v>-151</v>
      </c>
      <c r="CM88" s="117">
        <v>8021</v>
      </c>
      <c r="CN88" s="48">
        <v>34378</v>
      </c>
      <c r="CO88" s="46">
        <v>29390</v>
      </c>
      <c r="CP88" s="130">
        <v>2447</v>
      </c>
      <c r="CQ88" s="46">
        <v>2541</v>
      </c>
      <c r="CR88" s="129">
        <v>20.5</v>
      </c>
      <c r="CS88" s="44">
        <v>47626</v>
      </c>
      <c r="CT88">
        <v>9992</v>
      </c>
      <c r="CU88">
        <v>33627</v>
      </c>
      <c r="CV88">
        <v>27766</v>
      </c>
      <c r="CW88">
        <v>17620</v>
      </c>
      <c r="CX88">
        <v>348</v>
      </c>
      <c r="CY88">
        <v>28935</v>
      </c>
      <c r="CZ88">
        <v>2272</v>
      </c>
      <c r="DA88">
        <v>2420</v>
      </c>
      <c r="DB88">
        <v>3799</v>
      </c>
      <c r="DC88">
        <v>-12039</v>
      </c>
      <c r="DD88">
        <v>5132</v>
      </c>
      <c r="DE88">
        <v>54645</v>
      </c>
      <c r="DF88">
        <v>75475</v>
      </c>
      <c r="DG88">
        <v>-1328</v>
      </c>
      <c r="DH88">
        <v>6692</v>
      </c>
      <c r="DI88">
        <v>20.5</v>
      </c>
      <c r="DJ88" s="174">
        <v>9919</v>
      </c>
      <c r="DK88" s="34">
        <v>33813</v>
      </c>
      <c r="DL88" s="34">
        <v>28162</v>
      </c>
      <c r="DM88">
        <v>22535</v>
      </c>
      <c r="DN88" s="173">
        <v>281</v>
      </c>
      <c r="DO88" s="34">
        <v>28769</v>
      </c>
      <c r="DP88" s="173">
        <v>2595</v>
      </c>
      <c r="DQ88" s="34">
        <v>2449</v>
      </c>
      <c r="DR88" s="173">
        <v>6709</v>
      </c>
      <c r="DS88" s="173">
        <v>-5170</v>
      </c>
      <c r="DT88">
        <v>4852</v>
      </c>
      <c r="DU88">
        <v>56062</v>
      </c>
      <c r="DV88" s="173">
        <v>78082</v>
      </c>
      <c r="DW88" s="173">
        <v>1857</v>
      </c>
      <c r="DX88" s="173">
        <v>8624</v>
      </c>
      <c r="DY88" s="57">
        <v>20.5</v>
      </c>
      <c r="DZ88" s="184">
        <v>240</v>
      </c>
      <c r="EA88" s="116">
        <v>9762</v>
      </c>
      <c r="EB88" s="48">
        <v>34273</v>
      </c>
      <c r="EC88" s="46">
        <v>27327</v>
      </c>
      <c r="ED88" s="90">
        <v>23334</v>
      </c>
      <c r="EE88" s="186">
        <v>216</v>
      </c>
      <c r="EF88" s="46">
        <v>29644</v>
      </c>
      <c r="EG88" s="130">
        <v>2473</v>
      </c>
      <c r="EH88" s="46">
        <v>2156</v>
      </c>
      <c r="EI88" s="130">
        <v>5028</v>
      </c>
      <c r="EJ88" s="48">
        <v>-3792</v>
      </c>
      <c r="EK88" s="44">
        <v>4903</v>
      </c>
      <c r="EL88" s="44">
        <v>54798</v>
      </c>
      <c r="EM88" s="130">
        <v>80122</v>
      </c>
      <c r="EN88" s="117">
        <v>125</v>
      </c>
      <c r="EO88" s="117">
        <v>9078</v>
      </c>
      <c r="EP88" s="129">
        <v>21.5</v>
      </c>
    </row>
    <row r="89" spans="1:146" ht="15" x14ac:dyDescent="0.25">
      <c r="A89" s="27">
        <v>250</v>
      </c>
      <c r="B89" s="27" t="s">
        <v>217</v>
      </c>
      <c r="C89" s="27">
        <v>6</v>
      </c>
      <c r="D89" s="27" t="s">
        <v>114</v>
      </c>
      <c r="E89" s="27">
        <v>1</v>
      </c>
      <c r="F89" s="27" t="s">
        <v>103</v>
      </c>
      <c r="G89" s="29" t="s">
        <v>130</v>
      </c>
      <c r="H89" s="27" t="s">
        <v>98</v>
      </c>
      <c r="I89" s="31" t="s">
        <v>114</v>
      </c>
      <c r="J89" s="118">
        <v>426.69276943285348</v>
      </c>
      <c r="K89" s="118">
        <v>650.55089955312462</v>
      </c>
      <c r="L89" s="118">
        <v>1904.896455103074</v>
      </c>
      <c r="M89" s="118">
        <v>1086.3258170148997</v>
      </c>
      <c r="N89" s="22">
        <v>1257</v>
      </c>
      <c r="O89" s="119">
        <v>1268</v>
      </c>
      <c r="P89" s="119">
        <v>1106</v>
      </c>
      <c r="Q89" s="120">
        <v>967</v>
      </c>
      <c r="R89" s="22">
        <v>1049</v>
      </c>
      <c r="S89" s="22">
        <v>1293</v>
      </c>
      <c r="T89" s="121">
        <v>1388</v>
      </c>
      <c r="U89" s="121">
        <v>1826</v>
      </c>
      <c r="V89" s="121">
        <v>2521</v>
      </c>
      <c r="W89" s="106">
        <v>2514</v>
      </c>
      <c r="X89" s="121">
        <v>2435</v>
      </c>
      <c r="Y89" s="121">
        <v>1247</v>
      </c>
      <c r="Z89" s="121">
        <v>-20</v>
      </c>
      <c r="AA89" s="121">
        <v>-841</v>
      </c>
      <c r="AB89" s="122">
        <v>17.5</v>
      </c>
      <c r="AC89" s="123">
        <v>17.5</v>
      </c>
      <c r="AD89" s="124">
        <v>17.5</v>
      </c>
      <c r="AE89" s="125">
        <v>17.5</v>
      </c>
      <c r="AF89" s="126">
        <v>18.25</v>
      </c>
      <c r="AG89" s="123">
        <v>18.75</v>
      </c>
      <c r="AH89" s="123">
        <v>18.75</v>
      </c>
      <c r="AI89" s="131">
        <v>18.75</v>
      </c>
      <c r="AJ89" s="131">
        <v>19.25</v>
      </c>
      <c r="AK89" s="22">
        <v>19.25</v>
      </c>
      <c r="AL89" s="128">
        <v>19.75</v>
      </c>
      <c r="AM89" s="128">
        <v>19.75</v>
      </c>
      <c r="AN89" s="128">
        <v>19.75</v>
      </c>
      <c r="AO89" s="77">
        <v>19.75</v>
      </c>
      <c r="AP89" s="77">
        <v>20.5</v>
      </c>
      <c r="AQ89" s="129">
        <v>20.5</v>
      </c>
      <c r="AR89" s="129">
        <v>20.5</v>
      </c>
      <c r="AS89" s="129">
        <v>21.5</v>
      </c>
      <c r="AT89" s="116">
        <v>2111</v>
      </c>
      <c r="AU89" s="47">
        <v>2335</v>
      </c>
      <c r="AV89" s="47">
        <v>14514</v>
      </c>
      <c r="AW89" s="46">
        <v>5760</v>
      </c>
      <c r="AX89" s="46">
        <v>5896</v>
      </c>
      <c r="AY89" s="92">
        <v>32</v>
      </c>
      <c r="AZ89" s="47">
        <v>-566</v>
      </c>
      <c r="BA89" s="44">
        <v>748</v>
      </c>
      <c r="BB89" s="23">
        <v>-2154</v>
      </c>
      <c r="BC89" s="47">
        <v>-1314</v>
      </c>
      <c r="BD89" s="44">
        <v>-1188</v>
      </c>
      <c r="BE89" s="47">
        <v>1247</v>
      </c>
      <c r="BF89" s="44">
        <v>5760</v>
      </c>
      <c r="BG89" s="46">
        <v>4854</v>
      </c>
      <c r="BH89" s="130">
        <v>464</v>
      </c>
      <c r="BI89" s="46">
        <v>442</v>
      </c>
      <c r="BJ89" s="129">
        <v>20.5</v>
      </c>
      <c r="BK89" s="44">
        <v>4682</v>
      </c>
      <c r="BL89" s="116">
        <v>2080</v>
      </c>
      <c r="BM89" s="47">
        <v>2349</v>
      </c>
      <c r="BN89" s="130">
        <v>14783</v>
      </c>
      <c r="BO89" s="46">
        <v>5994</v>
      </c>
      <c r="BP89" s="46">
        <v>5919</v>
      </c>
      <c r="BQ89" s="46">
        <v>35</v>
      </c>
      <c r="BR89" s="130">
        <v>-585</v>
      </c>
      <c r="BS89" s="44">
        <v>798</v>
      </c>
      <c r="BT89" s="92">
        <v>-517</v>
      </c>
      <c r="BU89" s="117">
        <v>-1267</v>
      </c>
      <c r="BV89" s="130">
        <v>-20</v>
      </c>
      <c r="BW89" s="48">
        <v>5994</v>
      </c>
      <c r="BX89" s="46">
        <v>4998</v>
      </c>
      <c r="BY89" s="130">
        <v>489</v>
      </c>
      <c r="BZ89" s="46">
        <v>507</v>
      </c>
      <c r="CA89" s="129">
        <v>20.5</v>
      </c>
      <c r="CB89" s="44">
        <v>6395</v>
      </c>
      <c r="CC89" s="116">
        <v>2038</v>
      </c>
      <c r="CD89" s="47">
        <v>1602</v>
      </c>
      <c r="CE89" s="130">
        <v>13953</v>
      </c>
      <c r="CF89" s="46">
        <v>6196</v>
      </c>
      <c r="CG89" s="46">
        <v>6103</v>
      </c>
      <c r="CH89" s="46">
        <v>62</v>
      </c>
      <c r="CI89" s="130">
        <v>-123</v>
      </c>
      <c r="CJ89" s="44">
        <v>807</v>
      </c>
      <c r="CK89" s="117">
        <v>-557</v>
      </c>
      <c r="CL89" s="117">
        <v>-821</v>
      </c>
      <c r="CM89" s="117">
        <v>-841</v>
      </c>
      <c r="CN89" s="48">
        <v>6196</v>
      </c>
      <c r="CO89" s="46">
        <v>5116</v>
      </c>
      <c r="CP89" s="130">
        <v>572</v>
      </c>
      <c r="CQ89" s="46">
        <v>508</v>
      </c>
      <c r="CR89" s="129">
        <v>21.5</v>
      </c>
      <c r="CS89" s="44">
        <v>8581</v>
      </c>
      <c r="CT89">
        <v>1994</v>
      </c>
      <c r="CU89">
        <v>6103</v>
      </c>
      <c r="CV89">
        <v>6711</v>
      </c>
      <c r="CW89">
        <v>1051</v>
      </c>
      <c r="CX89">
        <v>40</v>
      </c>
      <c r="CY89">
        <v>5027</v>
      </c>
      <c r="CZ89">
        <v>577</v>
      </c>
      <c r="DA89">
        <v>499</v>
      </c>
      <c r="DB89">
        <v>522</v>
      </c>
      <c r="DC89">
        <v>-67</v>
      </c>
      <c r="DD89">
        <v>835</v>
      </c>
      <c r="DE89">
        <v>7944</v>
      </c>
      <c r="DF89">
        <v>13263</v>
      </c>
      <c r="DG89">
        <v>-230</v>
      </c>
      <c r="DH89">
        <v>-1071</v>
      </c>
      <c r="DI89">
        <v>21.5</v>
      </c>
      <c r="DJ89" s="174">
        <v>1967</v>
      </c>
      <c r="DK89" s="34">
        <v>5883</v>
      </c>
      <c r="DL89" s="34">
        <v>6915</v>
      </c>
      <c r="DM89">
        <v>1167</v>
      </c>
      <c r="DN89" s="173">
        <v>-4</v>
      </c>
      <c r="DO89" s="34">
        <v>4685</v>
      </c>
      <c r="DP89" s="173">
        <v>706</v>
      </c>
      <c r="DQ89" s="34">
        <v>492</v>
      </c>
      <c r="DR89" s="173">
        <v>546</v>
      </c>
      <c r="DS89" s="173">
        <v>-1017</v>
      </c>
      <c r="DT89">
        <v>741</v>
      </c>
      <c r="DU89">
        <v>9465</v>
      </c>
      <c r="DV89" s="173">
        <v>13415</v>
      </c>
      <c r="DW89" s="173">
        <v>-97</v>
      </c>
      <c r="DX89" s="173">
        <v>-1167</v>
      </c>
      <c r="DY89" s="57">
        <v>21.5</v>
      </c>
      <c r="DZ89" s="184">
        <v>340</v>
      </c>
      <c r="EA89" s="116">
        <v>1910</v>
      </c>
      <c r="EB89" s="48">
        <v>5778</v>
      </c>
      <c r="EC89" s="46">
        <v>6695</v>
      </c>
      <c r="ED89" s="90">
        <v>1678</v>
      </c>
      <c r="EE89" s="186">
        <v>2</v>
      </c>
      <c r="EF89" s="46">
        <v>4554</v>
      </c>
      <c r="EG89" s="130">
        <v>664</v>
      </c>
      <c r="EH89" s="46">
        <v>560</v>
      </c>
      <c r="EI89" s="130">
        <v>681</v>
      </c>
      <c r="EJ89" s="48">
        <v>-132</v>
      </c>
      <c r="EK89" s="44">
        <v>611</v>
      </c>
      <c r="EL89" s="44">
        <v>8807</v>
      </c>
      <c r="EM89" s="130">
        <v>13472</v>
      </c>
      <c r="EN89" s="117">
        <v>161</v>
      </c>
      <c r="EO89" s="117">
        <v>-1006</v>
      </c>
      <c r="EP89" s="129">
        <v>21.5</v>
      </c>
    </row>
    <row r="90" spans="1:146" ht="15" x14ac:dyDescent="0.25">
      <c r="A90" s="27">
        <v>256</v>
      </c>
      <c r="B90" s="27" t="s">
        <v>218</v>
      </c>
      <c r="C90" s="27">
        <v>13</v>
      </c>
      <c r="D90" s="27" t="s">
        <v>111</v>
      </c>
      <c r="E90" s="27">
        <v>1</v>
      </c>
      <c r="F90" s="27" t="s">
        <v>103</v>
      </c>
      <c r="G90" s="29" t="s">
        <v>130</v>
      </c>
      <c r="H90" s="27" t="s">
        <v>98</v>
      </c>
      <c r="I90" s="31" t="s">
        <v>111</v>
      </c>
      <c r="J90" s="118">
        <v>218.81249232642585</v>
      </c>
      <c r="K90" s="118">
        <v>343.77612168732855</v>
      </c>
      <c r="L90" s="118">
        <v>4552.8471693131032</v>
      </c>
      <c r="M90" s="118">
        <v>3773.1279422375383</v>
      </c>
      <c r="N90" s="177">
        <v>2756</v>
      </c>
      <c r="O90" s="119">
        <v>3719</v>
      </c>
      <c r="P90" s="119">
        <v>3561</v>
      </c>
      <c r="Q90" s="120">
        <v>3212</v>
      </c>
      <c r="R90" s="177">
        <v>3252</v>
      </c>
      <c r="S90" s="177">
        <v>3252</v>
      </c>
      <c r="T90" s="121">
        <v>3685</v>
      </c>
      <c r="U90" s="121">
        <v>3707</v>
      </c>
      <c r="V90" s="121">
        <v>3723</v>
      </c>
      <c r="W90" s="106">
        <v>3727</v>
      </c>
      <c r="X90" s="121">
        <v>3178</v>
      </c>
      <c r="Y90" s="121">
        <v>3535</v>
      </c>
      <c r="Z90" s="121">
        <v>4362</v>
      </c>
      <c r="AA90" s="121">
        <v>4922</v>
      </c>
      <c r="AB90" s="122">
        <v>18</v>
      </c>
      <c r="AC90" s="123">
        <v>18</v>
      </c>
      <c r="AD90" s="124">
        <v>18</v>
      </c>
      <c r="AE90" s="125">
        <v>18</v>
      </c>
      <c r="AF90" s="126">
        <v>18</v>
      </c>
      <c r="AG90" s="123">
        <v>18.75</v>
      </c>
      <c r="AH90" s="123">
        <v>18.75</v>
      </c>
      <c r="AI90" s="127">
        <v>18.75</v>
      </c>
      <c r="AJ90" s="127">
        <v>18.75</v>
      </c>
      <c r="AK90" s="177">
        <v>19</v>
      </c>
      <c r="AL90" s="128">
        <v>19</v>
      </c>
      <c r="AM90" s="128">
        <v>19</v>
      </c>
      <c r="AN90" s="128">
        <v>19.5</v>
      </c>
      <c r="AO90" s="77">
        <v>19.5</v>
      </c>
      <c r="AP90" s="77">
        <v>20</v>
      </c>
      <c r="AQ90" s="129">
        <v>20</v>
      </c>
      <c r="AR90" s="129">
        <v>20.5</v>
      </c>
      <c r="AS90" s="129">
        <v>20.5</v>
      </c>
      <c r="AT90" s="116">
        <v>1769</v>
      </c>
      <c r="AU90" s="47">
        <v>2953</v>
      </c>
      <c r="AV90" s="47">
        <v>13723</v>
      </c>
      <c r="AW90" s="46">
        <v>4166</v>
      </c>
      <c r="AX90" s="46">
        <v>7592</v>
      </c>
      <c r="AY90" s="92">
        <v>98</v>
      </c>
      <c r="AZ90" s="47">
        <v>1086</v>
      </c>
      <c r="BA90" s="44">
        <v>742</v>
      </c>
      <c r="BB90" s="23">
        <v>-964</v>
      </c>
      <c r="BC90" s="47">
        <v>344</v>
      </c>
      <c r="BD90" s="44">
        <v>357</v>
      </c>
      <c r="BE90" s="47">
        <v>3535</v>
      </c>
      <c r="BF90" s="44">
        <v>4166</v>
      </c>
      <c r="BG90" s="46">
        <v>3453</v>
      </c>
      <c r="BH90" s="130">
        <v>420</v>
      </c>
      <c r="BI90" s="46">
        <v>293</v>
      </c>
      <c r="BJ90" s="129">
        <v>20</v>
      </c>
      <c r="BK90" s="44">
        <v>6500</v>
      </c>
      <c r="BL90" s="116">
        <v>1766</v>
      </c>
      <c r="BM90" s="47">
        <v>2789</v>
      </c>
      <c r="BN90" s="130">
        <v>13531</v>
      </c>
      <c r="BO90" s="46">
        <v>4616</v>
      </c>
      <c r="BP90" s="46">
        <v>7607</v>
      </c>
      <c r="BQ90" s="46">
        <v>80</v>
      </c>
      <c r="BR90" s="130">
        <v>1561</v>
      </c>
      <c r="BS90" s="44">
        <v>747</v>
      </c>
      <c r="BT90" s="92">
        <v>-235</v>
      </c>
      <c r="BU90" s="117">
        <v>827</v>
      </c>
      <c r="BV90" s="130">
        <v>4362</v>
      </c>
      <c r="BW90" s="48">
        <v>4616</v>
      </c>
      <c r="BX90" s="46">
        <v>3803</v>
      </c>
      <c r="BY90" s="130">
        <v>461</v>
      </c>
      <c r="BZ90" s="46">
        <v>352</v>
      </c>
      <c r="CA90" s="129">
        <v>20.5</v>
      </c>
      <c r="CB90" s="44">
        <v>6507</v>
      </c>
      <c r="CC90" s="116">
        <v>1745</v>
      </c>
      <c r="CD90" s="47">
        <v>2881</v>
      </c>
      <c r="CE90" s="130">
        <v>13777</v>
      </c>
      <c r="CF90" s="46">
        <v>4789</v>
      </c>
      <c r="CG90" s="46">
        <v>7344</v>
      </c>
      <c r="CH90" s="46">
        <v>105</v>
      </c>
      <c r="CI90" s="130">
        <v>1342</v>
      </c>
      <c r="CJ90" s="44">
        <v>794</v>
      </c>
      <c r="CK90" s="117">
        <v>-448</v>
      </c>
      <c r="CL90" s="117">
        <v>561</v>
      </c>
      <c r="CM90" s="117">
        <v>4922</v>
      </c>
      <c r="CN90" s="48">
        <v>4789</v>
      </c>
      <c r="CO90" s="46">
        <v>3880</v>
      </c>
      <c r="CP90" s="130">
        <v>544</v>
      </c>
      <c r="CQ90" s="46">
        <v>365</v>
      </c>
      <c r="CR90" s="129">
        <v>20.5</v>
      </c>
      <c r="CS90" s="44">
        <v>5900</v>
      </c>
      <c r="CT90">
        <v>1699</v>
      </c>
      <c r="CU90">
        <v>4765</v>
      </c>
      <c r="CV90">
        <v>7216</v>
      </c>
      <c r="CW90">
        <v>2739</v>
      </c>
      <c r="CX90">
        <v>79</v>
      </c>
      <c r="CY90">
        <v>3896</v>
      </c>
      <c r="CZ90">
        <v>505</v>
      </c>
      <c r="DA90">
        <v>364</v>
      </c>
      <c r="DB90">
        <v>937</v>
      </c>
      <c r="DC90">
        <v>-1148</v>
      </c>
      <c r="DD90">
        <v>744</v>
      </c>
      <c r="DE90">
        <v>5900</v>
      </c>
      <c r="DF90">
        <v>13862</v>
      </c>
      <c r="DG90">
        <v>206</v>
      </c>
      <c r="DH90">
        <v>5127</v>
      </c>
      <c r="DI90">
        <v>20.5</v>
      </c>
      <c r="DJ90" s="174">
        <v>1656</v>
      </c>
      <c r="DK90" s="34">
        <v>4781</v>
      </c>
      <c r="DL90" s="34">
        <v>7128</v>
      </c>
      <c r="DM90">
        <v>2343</v>
      </c>
      <c r="DN90" s="173">
        <v>77</v>
      </c>
      <c r="DO90" s="34">
        <v>3838</v>
      </c>
      <c r="DP90" s="173">
        <v>578</v>
      </c>
      <c r="DQ90" s="34">
        <v>365</v>
      </c>
      <c r="DR90" s="173">
        <v>1265</v>
      </c>
      <c r="DS90" s="173">
        <v>-96</v>
      </c>
      <c r="DT90">
        <v>787</v>
      </c>
      <c r="DU90">
        <v>5900</v>
      </c>
      <c r="DV90" s="173">
        <v>13064</v>
      </c>
      <c r="DW90" s="173">
        <v>491</v>
      </c>
      <c r="DX90" s="173">
        <v>5618</v>
      </c>
      <c r="DY90" s="57">
        <v>20.5</v>
      </c>
      <c r="DZ90" s="184">
        <v>340</v>
      </c>
      <c r="EA90" s="116">
        <v>1615</v>
      </c>
      <c r="EB90" s="48">
        <v>4603</v>
      </c>
      <c r="EC90" s="46">
        <v>6580</v>
      </c>
      <c r="ED90" s="90">
        <v>2172</v>
      </c>
      <c r="EE90" s="186">
        <v>74</v>
      </c>
      <c r="EF90" s="46">
        <v>3669</v>
      </c>
      <c r="EG90" s="130">
        <v>569</v>
      </c>
      <c r="EH90" s="46">
        <v>365</v>
      </c>
      <c r="EI90" s="130">
        <v>-215</v>
      </c>
      <c r="EJ90" s="48">
        <v>-1134</v>
      </c>
      <c r="EK90" s="44">
        <v>855</v>
      </c>
      <c r="EL90" s="44">
        <v>5900</v>
      </c>
      <c r="EM90" s="130">
        <v>13644</v>
      </c>
      <c r="EN90" s="117">
        <v>-1057</v>
      </c>
      <c r="EO90" s="117">
        <v>4561</v>
      </c>
      <c r="EP90" s="129">
        <v>20.5</v>
      </c>
    </row>
    <row r="91" spans="1:146" ht="15" x14ac:dyDescent="0.25">
      <c r="A91" s="27">
        <v>257</v>
      </c>
      <c r="B91" s="27" t="s">
        <v>219</v>
      </c>
      <c r="C91" s="27">
        <v>1</v>
      </c>
      <c r="D91" s="27" t="s">
        <v>121</v>
      </c>
      <c r="E91" s="27">
        <v>5</v>
      </c>
      <c r="F91" s="27" t="s">
        <v>101</v>
      </c>
      <c r="G91" s="29">
        <v>1</v>
      </c>
      <c r="H91" s="27" t="s">
        <v>97</v>
      </c>
      <c r="I91" s="31" t="s">
        <v>121</v>
      </c>
      <c r="J91" s="118">
        <v>4845.9987251355169</v>
      </c>
      <c r="K91" s="118">
        <v>7976.4806003636222</v>
      </c>
      <c r="L91" s="118">
        <v>11921.160227591901</v>
      </c>
      <c r="M91" s="118">
        <v>9898.1958481128459</v>
      </c>
      <c r="N91" s="22">
        <v>21735</v>
      </c>
      <c r="O91" s="119">
        <v>16360</v>
      </c>
      <c r="P91" s="119">
        <v>13780</v>
      </c>
      <c r="Q91" s="120">
        <v>13501</v>
      </c>
      <c r="R91" s="22">
        <v>17567</v>
      </c>
      <c r="S91" s="22">
        <v>24310</v>
      </c>
      <c r="T91" s="121">
        <v>25807</v>
      </c>
      <c r="U91" s="121">
        <v>19551</v>
      </c>
      <c r="V91" s="121">
        <v>28435</v>
      </c>
      <c r="W91" s="106">
        <v>38824</v>
      </c>
      <c r="X91" s="121">
        <v>30489</v>
      </c>
      <c r="Y91" s="121">
        <v>24034</v>
      </c>
      <c r="Z91" s="121">
        <v>22283</v>
      </c>
      <c r="AA91" s="121">
        <v>20606</v>
      </c>
      <c r="AB91" s="122">
        <v>17.25</v>
      </c>
      <c r="AC91" s="123">
        <v>17.25</v>
      </c>
      <c r="AD91" s="124">
        <v>17.25</v>
      </c>
      <c r="AE91" s="125">
        <v>17.25</v>
      </c>
      <c r="AF91" s="126">
        <v>17.75</v>
      </c>
      <c r="AG91" s="123">
        <v>17.75</v>
      </c>
      <c r="AH91" s="123">
        <v>17.75</v>
      </c>
      <c r="AI91" s="127">
        <v>18.25</v>
      </c>
      <c r="AJ91" s="127">
        <v>18.25</v>
      </c>
      <c r="AK91" s="22">
        <v>18.25</v>
      </c>
      <c r="AL91" s="128">
        <v>18.25</v>
      </c>
      <c r="AM91" s="128">
        <v>18.25</v>
      </c>
      <c r="AN91" s="128">
        <v>19</v>
      </c>
      <c r="AO91" s="77">
        <v>19</v>
      </c>
      <c r="AP91" s="77">
        <v>19</v>
      </c>
      <c r="AQ91" s="129">
        <v>19</v>
      </c>
      <c r="AR91" s="129">
        <v>19.5</v>
      </c>
      <c r="AS91" s="129">
        <v>19.5</v>
      </c>
      <c r="AT91" s="116">
        <v>37899</v>
      </c>
      <c r="AU91" s="47">
        <v>31973</v>
      </c>
      <c r="AV91" s="47">
        <v>217847</v>
      </c>
      <c r="AW91" s="46">
        <v>171133</v>
      </c>
      <c r="AX91" s="46">
        <v>23251</v>
      </c>
      <c r="AY91" s="92">
        <v>329</v>
      </c>
      <c r="AZ91" s="47">
        <v>6929</v>
      </c>
      <c r="BA91" s="44">
        <v>13552</v>
      </c>
      <c r="BB91" s="23">
        <v>-12073</v>
      </c>
      <c r="BC91" s="47">
        <v>-6623</v>
      </c>
      <c r="BD91" s="44">
        <v>-6455</v>
      </c>
      <c r="BE91" s="47">
        <v>24034</v>
      </c>
      <c r="BF91" s="44">
        <v>171133</v>
      </c>
      <c r="BG91" s="46">
        <v>156326</v>
      </c>
      <c r="BH91" s="130">
        <v>6451</v>
      </c>
      <c r="BI91" s="46">
        <v>8356</v>
      </c>
      <c r="BJ91" s="129">
        <v>19</v>
      </c>
      <c r="BK91" s="44">
        <v>89133</v>
      </c>
      <c r="BL91" s="116">
        <v>38220</v>
      </c>
      <c r="BM91" s="47">
        <v>29565</v>
      </c>
      <c r="BN91" s="130">
        <v>212712</v>
      </c>
      <c r="BO91" s="46">
        <v>174981</v>
      </c>
      <c r="BP91" s="46">
        <v>21630</v>
      </c>
      <c r="BQ91" s="46">
        <v>374</v>
      </c>
      <c r="BR91" s="130">
        <v>11934</v>
      </c>
      <c r="BS91" s="44">
        <v>13660</v>
      </c>
      <c r="BT91" s="92">
        <v>-11215</v>
      </c>
      <c r="BU91" s="117">
        <v>-1751</v>
      </c>
      <c r="BV91" s="130">
        <v>22283</v>
      </c>
      <c r="BW91" s="48">
        <v>174981</v>
      </c>
      <c r="BX91" s="46">
        <v>158314</v>
      </c>
      <c r="BY91" s="130">
        <v>7793</v>
      </c>
      <c r="BZ91" s="46">
        <v>8874</v>
      </c>
      <c r="CA91" s="129">
        <v>19.5</v>
      </c>
      <c r="CB91" s="44">
        <v>90342</v>
      </c>
      <c r="CC91" s="116">
        <v>38649</v>
      </c>
      <c r="CD91" s="47">
        <v>36643</v>
      </c>
      <c r="CE91" s="130">
        <v>223292</v>
      </c>
      <c r="CF91" s="46">
        <v>178491</v>
      </c>
      <c r="CG91" s="46">
        <v>20685</v>
      </c>
      <c r="CH91" s="46">
        <v>464</v>
      </c>
      <c r="CI91" s="130">
        <v>11198</v>
      </c>
      <c r="CJ91" s="44">
        <v>12954</v>
      </c>
      <c r="CK91" s="117">
        <v>-20626</v>
      </c>
      <c r="CL91" s="117">
        <v>-1381</v>
      </c>
      <c r="CM91" s="117">
        <v>20606</v>
      </c>
      <c r="CN91" s="48">
        <v>178491</v>
      </c>
      <c r="CO91" s="46">
        <v>160693</v>
      </c>
      <c r="CP91" s="130">
        <v>7947</v>
      </c>
      <c r="CQ91" s="46">
        <v>9851</v>
      </c>
      <c r="CR91" s="129">
        <v>19.5</v>
      </c>
      <c r="CS91" s="44">
        <v>92957</v>
      </c>
      <c r="CT91">
        <v>39033</v>
      </c>
      <c r="CU91">
        <v>184775</v>
      </c>
      <c r="CV91">
        <v>23966</v>
      </c>
      <c r="CW91">
        <v>32714</v>
      </c>
      <c r="CX91">
        <v>457</v>
      </c>
      <c r="CY91">
        <v>168325</v>
      </c>
      <c r="CZ91">
        <v>6644</v>
      </c>
      <c r="DA91">
        <v>9806</v>
      </c>
      <c r="DB91">
        <v>17538</v>
      </c>
      <c r="DC91">
        <v>-22455</v>
      </c>
      <c r="DD91">
        <v>13990</v>
      </c>
      <c r="DE91">
        <v>111077</v>
      </c>
      <c r="DF91">
        <v>223204</v>
      </c>
      <c r="DG91">
        <v>4214</v>
      </c>
      <c r="DH91">
        <v>24740</v>
      </c>
      <c r="DI91">
        <v>19.5</v>
      </c>
      <c r="DJ91" s="174">
        <v>39170</v>
      </c>
      <c r="DK91" s="34">
        <v>189719</v>
      </c>
      <c r="DL91" s="34">
        <v>22344</v>
      </c>
      <c r="DM91">
        <v>29697</v>
      </c>
      <c r="DN91" s="173">
        <v>-526</v>
      </c>
      <c r="DO91" s="34">
        <v>171018</v>
      </c>
      <c r="DP91" s="173">
        <v>7265</v>
      </c>
      <c r="DQ91" s="34">
        <v>11436</v>
      </c>
      <c r="DR91" s="173">
        <v>15849</v>
      </c>
      <c r="DS91" s="173">
        <v>-22057</v>
      </c>
      <c r="DT91">
        <v>14150</v>
      </c>
      <c r="DU91">
        <v>109562</v>
      </c>
      <c r="DV91" s="173">
        <v>225385</v>
      </c>
      <c r="DW91" s="173">
        <v>1792</v>
      </c>
      <c r="DX91" s="173">
        <v>26954</v>
      </c>
      <c r="DY91" s="57">
        <v>19.5</v>
      </c>
      <c r="DZ91" s="184">
        <v>120</v>
      </c>
      <c r="EA91" s="116">
        <v>39262</v>
      </c>
      <c r="EB91" s="48">
        <v>189347</v>
      </c>
      <c r="EC91" s="46">
        <v>21466</v>
      </c>
      <c r="ED91" s="90">
        <v>32529</v>
      </c>
      <c r="EE91" s="186">
        <v>-519</v>
      </c>
      <c r="EF91" s="46">
        <v>171177</v>
      </c>
      <c r="EG91" s="130">
        <v>6599</v>
      </c>
      <c r="EH91" s="46">
        <v>11571</v>
      </c>
      <c r="EI91" s="130">
        <v>11366</v>
      </c>
      <c r="EJ91" s="48">
        <v>-26383</v>
      </c>
      <c r="EK91" s="44">
        <v>15554</v>
      </c>
      <c r="EL91" s="44">
        <v>123405</v>
      </c>
      <c r="EM91" s="130">
        <v>231457</v>
      </c>
      <c r="EN91" s="117">
        <v>-4299</v>
      </c>
      <c r="EO91" s="117">
        <v>22655</v>
      </c>
      <c r="EP91" s="129">
        <v>19.5</v>
      </c>
    </row>
    <row r="92" spans="1:146" ht="15" x14ac:dyDescent="0.25">
      <c r="A92" s="27">
        <v>260</v>
      </c>
      <c r="B92" s="27" t="s">
        <v>220</v>
      </c>
      <c r="C92" s="27">
        <v>12</v>
      </c>
      <c r="D92" s="27" t="s">
        <v>116</v>
      </c>
      <c r="E92" s="27">
        <v>4</v>
      </c>
      <c r="F92" s="27" t="s">
        <v>100</v>
      </c>
      <c r="G92" s="29" t="s">
        <v>130</v>
      </c>
      <c r="H92" s="27" t="s">
        <v>98</v>
      </c>
      <c r="I92" s="31" t="s">
        <v>116</v>
      </c>
      <c r="J92" s="118">
        <v>-2361.6948633725378</v>
      </c>
      <c r="K92" s="118">
        <v>-1852.5900099735438</v>
      </c>
      <c r="L92" s="118">
        <v>-3798.5243191332265</v>
      </c>
      <c r="M92" s="118">
        <v>3.5319464556916955</v>
      </c>
      <c r="N92" s="22">
        <v>-806</v>
      </c>
      <c r="O92" s="119">
        <v>-222</v>
      </c>
      <c r="P92" s="119">
        <v>-977</v>
      </c>
      <c r="Q92" s="120">
        <v>-4107</v>
      </c>
      <c r="R92" s="22">
        <v>-4434</v>
      </c>
      <c r="S92" s="22">
        <v>-5424</v>
      </c>
      <c r="T92" s="121">
        <v>-8987</v>
      </c>
      <c r="U92" s="121">
        <v>-9711</v>
      </c>
      <c r="V92" s="121">
        <v>-10353</v>
      </c>
      <c r="W92" s="106">
        <v>-12024</v>
      </c>
      <c r="X92" s="121">
        <v>-10770</v>
      </c>
      <c r="Y92" s="121">
        <v>-11100</v>
      </c>
      <c r="Z92" s="121">
        <v>-2362</v>
      </c>
      <c r="AA92" s="121">
        <v>4191</v>
      </c>
      <c r="AB92" s="122">
        <v>17.5</v>
      </c>
      <c r="AC92" s="123">
        <v>18.5</v>
      </c>
      <c r="AD92" s="124">
        <v>18.5</v>
      </c>
      <c r="AE92" s="125">
        <v>18.5</v>
      </c>
      <c r="AF92" s="126">
        <v>18.5</v>
      </c>
      <c r="AG92" s="123">
        <v>19.5</v>
      </c>
      <c r="AH92" s="123">
        <v>19.5</v>
      </c>
      <c r="AI92" s="131">
        <v>19.5</v>
      </c>
      <c r="AJ92" s="131">
        <v>19.5</v>
      </c>
      <c r="AK92" s="22">
        <v>19.5</v>
      </c>
      <c r="AL92" s="128">
        <v>19.5</v>
      </c>
      <c r="AM92" s="128">
        <v>20.75</v>
      </c>
      <c r="AN92" s="128">
        <v>20.75</v>
      </c>
      <c r="AO92" s="77">
        <v>21.25</v>
      </c>
      <c r="AP92" s="77">
        <v>21.75</v>
      </c>
      <c r="AQ92" s="129">
        <v>21.5</v>
      </c>
      <c r="AR92" s="129">
        <v>22.5</v>
      </c>
      <c r="AS92" s="129">
        <v>22.5</v>
      </c>
      <c r="AT92" s="116">
        <v>11197</v>
      </c>
      <c r="AU92" s="47">
        <v>10943</v>
      </c>
      <c r="AV92" s="47">
        <v>77268</v>
      </c>
      <c r="AW92" s="46">
        <v>34253</v>
      </c>
      <c r="AX92" s="46">
        <v>34926</v>
      </c>
      <c r="AY92" s="92">
        <v>489</v>
      </c>
      <c r="AZ92" s="47">
        <v>2899</v>
      </c>
      <c r="BA92" s="44">
        <v>2177</v>
      </c>
      <c r="BB92" s="23">
        <v>-4567</v>
      </c>
      <c r="BC92" s="47">
        <v>722</v>
      </c>
      <c r="BD92" s="44">
        <v>819</v>
      </c>
      <c r="BE92" s="47">
        <v>-11100</v>
      </c>
      <c r="BF92" s="44">
        <v>34253</v>
      </c>
      <c r="BG92" s="46">
        <v>29634</v>
      </c>
      <c r="BH92" s="130">
        <v>1836</v>
      </c>
      <c r="BI92" s="46">
        <v>2783</v>
      </c>
      <c r="BJ92" s="129">
        <v>21.5</v>
      </c>
      <c r="BK92" s="44">
        <v>24420</v>
      </c>
      <c r="BL92" s="116">
        <v>10986</v>
      </c>
      <c r="BM92" s="47">
        <v>11152</v>
      </c>
      <c r="BN92" s="130">
        <v>75149</v>
      </c>
      <c r="BO92" s="46">
        <v>36823</v>
      </c>
      <c r="BP92" s="46">
        <v>37916</v>
      </c>
      <c r="BQ92" s="46">
        <v>487</v>
      </c>
      <c r="BR92" s="130">
        <v>10857</v>
      </c>
      <c r="BS92" s="44">
        <v>2384</v>
      </c>
      <c r="BT92" s="92">
        <v>-6412</v>
      </c>
      <c r="BU92" s="117">
        <v>8738</v>
      </c>
      <c r="BV92" s="130">
        <v>-2362</v>
      </c>
      <c r="BW92" s="48">
        <v>36823</v>
      </c>
      <c r="BX92" s="46">
        <v>31657</v>
      </c>
      <c r="BY92" s="130">
        <v>2075</v>
      </c>
      <c r="BZ92" s="46">
        <v>3091</v>
      </c>
      <c r="CA92" s="129">
        <v>22.5</v>
      </c>
      <c r="CB92" s="44">
        <v>21768</v>
      </c>
      <c r="CC92" s="116">
        <v>10832</v>
      </c>
      <c r="CD92" s="47">
        <v>11049</v>
      </c>
      <c r="CE92" s="130">
        <v>74899</v>
      </c>
      <c r="CF92" s="46">
        <v>36097</v>
      </c>
      <c r="CG92" s="46">
        <v>36704</v>
      </c>
      <c r="CH92" s="46">
        <v>992</v>
      </c>
      <c r="CI92" s="130">
        <v>9198</v>
      </c>
      <c r="CJ92" s="44">
        <v>2890</v>
      </c>
      <c r="CK92" s="117">
        <v>-5587</v>
      </c>
      <c r="CL92" s="117">
        <v>6553</v>
      </c>
      <c r="CM92" s="117">
        <v>4191</v>
      </c>
      <c r="CN92" s="48">
        <v>36097</v>
      </c>
      <c r="CO92" s="46">
        <v>30623</v>
      </c>
      <c r="CP92" s="130">
        <v>2374</v>
      </c>
      <c r="CQ92" s="46">
        <v>3100</v>
      </c>
      <c r="CR92" s="129">
        <v>22.5</v>
      </c>
      <c r="CS92" s="44">
        <v>17360</v>
      </c>
      <c r="CT92">
        <v>10719</v>
      </c>
      <c r="CU92">
        <v>34717</v>
      </c>
      <c r="CV92">
        <v>37676</v>
      </c>
      <c r="CW92">
        <v>11591</v>
      </c>
      <c r="CX92">
        <v>489</v>
      </c>
      <c r="CY92">
        <v>29349</v>
      </c>
      <c r="CZ92">
        <v>2263</v>
      </c>
      <c r="DA92">
        <v>3105</v>
      </c>
      <c r="DB92">
        <v>9149</v>
      </c>
      <c r="DC92">
        <v>-3094</v>
      </c>
      <c r="DD92">
        <v>3075</v>
      </c>
      <c r="DE92">
        <v>12929</v>
      </c>
      <c r="DF92">
        <v>75189</v>
      </c>
      <c r="DG92">
        <v>6145</v>
      </c>
      <c r="DH92">
        <v>10336</v>
      </c>
      <c r="DI92">
        <v>22</v>
      </c>
      <c r="DJ92" s="174">
        <v>10486</v>
      </c>
      <c r="DK92" s="34">
        <v>34322</v>
      </c>
      <c r="DL92" s="34">
        <v>37912</v>
      </c>
      <c r="DM92">
        <v>8988</v>
      </c>
      <c r="DN92" s="173">
        <v>948</v>
      </c>
      <c r="DO92" s="34">
        <v>28980</v>
      </c>
      <c r="DP92" s="173">
        <v>2594</v>
      </c>
      <c r="DQ92" s="34">
        <v>2748</v>
      </c>
      <c r="DR92" s="173">
        <v>9827</v>
      </c>
      <c r="DS92" s="173">
        <v>-830</v>
      </c>
      <c r="DT92">
        <v>3905</v>
      </c>
      <c r="DU92">
        <v>8101</v>
      </c>
      <c r="DV92" s="173">
        <v>71814</v>
      </c>
      <c r="DW92" s="173">
        <v>6522</v>
      </c>
      <c r="DX92" s="173">
        <v>16857</v>
      </c>
      <c r="DY92" s="57">
        <v>21.5</v>
      </c>
      <c r="DZ92" s="184">
        <v>340</v>
      </c>
      <c r="EA92" s="116">
        <v>10358</v>
      </c>
      <c r="EB92" s="48">
        <v>32159</v>
      </c>
      <c r="EC92" s="46">
        <v>37145</v>
      </c>
      <c r="ED92" s="90">
        <v>8668</v>
      </c>
      <c r="EE92" s="186">
        <v>354</v>
      </c>
      <c r="EF92" s="46">
        <v>27147</v>
      </c>
      <c r="EG92" s="130">
        <v>2167</v>
      </c>
      <c r="EH92" s="46">
        <v>2845</v>
      </c>
      <c r="EI92" s="130">
        <v>5635</v>
      </c>
      <c r="EJ92" s="48">
        <v>-2765</v>
      </c>
      <c r="EK92" s="44">
        <v>2909</v>
      </c>
      <c r="EL92" s="44">
        <v>4805</v>
      </c>
      <c r="EM92" s="130">
        <v>72691</v>
      </c>
      <c r="EN92" s="117">
        <v>2797</v>
      </c>
      <c r="EO92" s="117">
        <v>19655</v>
      </c>
      <c r="EP92" s="129">
        <v>21.5</v>
      </c>
    </row>
    <row r="93" spans="1:146" ht="15" x14ac:dyDescent="0.25">
      <c r="A93" s="27">
        <v>261</v>
      </c>
      <c r="B93" s="27" t="s">
        <v>221</v>
      </c>
      <c r="C93" s="27">
        <v>19</v>
      </c>
      <c r="D93" s="27" t="s">
        <v>113</v>
      </c>
      <c r="E93" s="27">
        <v>3</v>
      </c>
      <c r="F93" s="27" t="s">
        <v>743</v>
      </c>
      <c r="G93" s="29" t="s">
        <v>130</v>
      </c>
      <c r="H93" s="27" t="s">
        <v>98</v>
      </c>
      <c r="I93" s="31" t="s">
        <v>113</v>
      </c>
      <c r="J93" s="132">
        <v>-569.98888277806088</v>
      </c>
      <c r="K93" s="132">
        <v>-1050.838164531521</v>
      </c>
      <c r="L93" s="132">
        <v>-1390.4095880573116</v>
      </c>
      <c r="M93" s="132">
        <v>-1115.2541403662794</v>
      </c>
      <c r="N93" s="132">
        <v>3677</v>
      </c>
      <c r="O93" s="132">
        <v>3800</v>
      </c>
      <c r="P93" s="132">
        <v>3896</v>
      </c>
      <c r="Q93" s="132">
        <v>2053</v>
      </c>
      <c r="R93" s="132">
        <v>1074</v>
      </c>
      <c r="S93" s="132">
        <v>1538</v>
      </c>
      <c r="T93" s="132">
        <v>2866</v>
      </c>
      <c r="U93" s="132">
        <v>2575</v>
      </c>
      <c r="V93" s="132">
        <v>5458</v>
      </c>
      <c r="W93" s="106">
        <v>5443</v>
      </c>
      <c r="X93" s="132">
        <v>5384</v>
      </c>
      <c r="Y93" s="132">
        <v>4249</v>
      </c>
      <c r="Z93" s="132">
        <v>5250</v>
      </c>
      <c r="AA93" s="132">
        <v>7146</v>
      </c>
      <c r="AB93" s="133">
        <v>19</v>
      </c>
      <c r="AC93" s="134">
        <v>19</v>
      </c>
      <c r="AD93" s="135">
        <v>19</v>
      </c>
      <c r="AE93" s="136">
        <v>19</v>
      </c>
      <c r="AF93" s="137">
        <v>19</v>
      </c>
      <c r="AG93" s="134">
        <v>19</v>
      </c>
      <c r="AH93" s="134">
        <v>19</v>
      </c>
      <c r="AI93" s="138">
        <v>19</v>
      </c>
      <c r="AJ93" s="138">
        <v>19</v>
      </c>
      <c r="AK93" s="139">
        <v>19</v>
      </c>
      <c r="AL93" s="140">
        <v>19</v>
      </c>
      <c r="AM93" s="140">
        <v>19</v>
      </c>
      <c r="AN93" s="140">
        <v>19</v>
      </c>
      <c r="AO93" s="83">
        <v>19</v>
      </c>
      <c r="AP93" s="83">
        <v>19</v>
      </c>
      <c r="AQ93" s="129">
        <v>19</v>
      </c>
      <c r="AR93" s="129">
        <v>19.5</v>
      </c>
      <c r="AS93" s="129">
        <v>19.5</v>
      </c>
      <c r="AT93" s="116">
        <v>6478</v>
      </c>
      <c r="AU93" s="47">
        <v>6220</v>
      </c>
      <c r="AV93" s="47">
        <v>49645</v>
      </c>
      <c r="AW93" s="46">
        <v>23396</v>
      </c>
      <c r="AX93" s="46">
        <v>20225</v>
      </c>
      <c r="AY93" s="92">
        <v>1425</v>
      </c>
      <c r="AZ93" s="47">
        <v>1170</v>
      </c>
      <c r="BA93" s="44">
        <v>2428</v>
      </c>
      <c r="BB93" s="23">
        <v>-4658</v>
      </c>
      <c r="BC93" s="47">
        <v>-1258</v>
      </c>
      <c r="BD93" s="44">
        <v>-1135</v>
      </c>
      <c r="BE93" s="47">
        <v>4249</v>
      </c>
      <c r="BF93" s="44">
        <v>23396</v>
      </c>
      <c r="BG93" s="46">
        <v>17341</v>
      </c>
      <c r="BH93" s="130">
        <v>1297</v>
      </c>
      <c r="BI93" s="46">
        <v>4758</v>
      </c>
      <c r="BJ93" s="129">
        <v>19</v>
      </c>
      <c r="BK93" s="44">
        <v>26499</v>
      </c>
      <c r="BL93" s="116">
        <v>6470</v>
      </c>
      <c r="BM93" s="47">
        <v>9343</v>
      </c>
      <c r="BN93" s="130">
        <v>52598</v>
      </c>
      <c r="BO93" s="46">
        <v>25471</v>
      </c>
      <c r="BP93" s="46">
        <v>20879</v>
      </c>
      <c r="BQ93" s="46">
        <v>887</v>
      </c>
      <c r="BR93" s="130">
        <v>3226</v>
      </c>
      <c r="BS93" s="44">
        <v>2330</v>
      </c>
      <c r="BT93" s="92">
        <v>-7125</v>
      </c>
      <c r="BU93" s="117">
        <v>1001</v>
      </c>
      <c r="BV93" s="130">
        <v>5250</v>
      </c>
      <c r="BW93" s="48">
        <v>25471</v>
      </c>
      <c r="BX93" s="46">
        <v>18111</v>
      </c>
      <c r="BY93" s="130">
        <v>2369</v>
      </c>
      <c r="BZ93" s="46">
        <v>4991</v>
      </c>
      <c r="CA93" s="129">
        <v>19.5</v>
      </c>
      <c r="CB93" s="44">
        <v>30355</v>
      </c>
      <c r="CC93" s="116">
        <v>6416</v>
      </c>
      <c r="CD93" s="47">
        <v>6696</v>
      </c>
      <c r="CE93" s="130">
        <v>52106</v>
      </c>
      <c r="CF93" s="46">
        <v>27547</v>
      </c>
      <c r="CG93" s="46">
        <v>21182</v>
      </c>
      <c r="CH93" s="46">
        <v>2695</v>
      </c>
      <c r="CI93" s="130">
        <v>4270</v>
      </c>
      <c r="CJ93" s="44">
        <v>2595</v>
      </c>
      <c r="CK93" s="117">
        <v>-4097</v>
      </c>
      <c r="CL93" s="117">
        <v>1895</v>
      </c>
      <c r="CM93" s="117">
        <v>7146</v>
      </c>
      <c r="CN93" s="48">
        <v>27547</v>
      </c>
      <c r="CO93" s="46">
        <v>18371</v>
      </c>
      <c r="CP93" s="130">
        <v>4330</v>
      </c>
      <c r="CQ93" s="46">
        <v>4846</v>
      </c>
      <c r="CR93" s="129">
        <v>19.5</v>
      </c>
      <c r="CS93" s="44">
        <v>30917</v>
      </c>
      <c r="CT93">
        <v>6383</v>
      </c>
      <c r="CU93">
        <v>28495</v>
      </c>
      <c r="CV93">
        <v>21584</v>
      </c>
      <c r="CW93">
        <v>9245</v>
      </c>
      <c r="CX93">
        <v>1058</v>
      </c>
      <c r="CY93">
        <v>19016</v>
      </c>
      <c r="CZ93">
        <v>3484</v>
      </c>
      <c r="DA93">
        <v>5995</v>
      </c>
      <c r="DB93">
        <v>7578</v>
      </c>
      <c r="DC93">
        <v>-3326</v>
      </c>
      <c r="DD93">
        <v>3068</v>
      </c>
      <c r="DE93">
        <v>26662</v>
      </c>
      <c r="DF93">
        <v>52374</v>
      </c>
      <c r="DG93">
        <v>3719</v>
      </c>
      <c r="DH93">
        <v>10866</v>
      </c>
      <c r="DI93">
        <v>20.25</v>
      </c>
      <c r="DJ93" s="174">
        <v>6421</v>
      </c>
      <c r="DK93" s="34">
        <v>29144</v>
      </c>
      <c r="DL93" s="34">
        <v>20402</v>
      </c>
      <c r="DM93">
        <v>7508</v>
      </c>
      <c r="DN93" s="173">
        <v>946</v>
      </c>
      <c r="DO93" s="34">
        <v>19635</v>
      </c>
      <c r="DP93" s="173">
        <v>7107</v>
      </c>
      <c r="DQ93" s="34">
        <v>2402</v>
      </c>
      <c r="DR93" s="173">
        <v>6497</v>
      </c>
      <c r="DS93" s="173">
        <v>-1348</v>
      </c>
      <c r="DT93">
        <v>2771</v>
      </c>
      <c r="DU93">
        <v>21400</v>
      </c>
      <c r="DV93" s="173">
        <v>51502</v>
      </c>
      <c r="DW93" s="173">
        <v>1904</v>
      </c>
      <c r="DX93" s="173">
        <v>12769</v>
      </c>
      <c r="DY93" s="57">
        <v>20.25</v>
      </c>
      <c r="DZ93" s="184">
        <v>320</v>
      </c>
      <c r="EA93" s="116">
        <v>6436</v>
      </c>
      <c r="EB93" s="48">
        <v>28580</v>
      </c>
      <c r="EC93" s="46">
        <v>21114</v>
      </c>
      <c r="ED93" s="90">
        <v>9092</v>
      </c>
      <c r="EE93" s="186">
        <v>1173</v>
      </c>
      <c r="EF93" s="46">
        <v>19614</v>
      </c>
      <c r="EG93" s="130">
        <v>1926</v>
      </c>
      <c r="EH93" s="46">
        <v>7040</v>
      </c>
      <c r="EI93" s="130">
        <v>4169</v>
      </c>
      <c r="EJ93" s="48">
        <v>-109</v>
      </c>
      <c r="EK93" s="44">
        <v>2644</v>
      </c>
      <c r="EL93" s="44">
        <v>17380</v>
      </c>
      <c r="EM93" s="130">
        <v>55790</v>
      </c>
      <c r="EN93" s="117">
        <v>1694</v>
      </c>
      <c r="EO93" s="117">
        <v>14464</v>
      </c>
      <c r="EP93" s="129">
        <v>20.25</v>
      </c>
    </row>
    <row r="94" spans="1:146" ht="15" x14ac:dyDescent="0.25">
      <c r="A94" s="27">
        <v>263</v>
      </c>
      <c r="B94" s="27" t="s">
        <v>222</v>
      </c>
      <c r="C94" s="27">
        <v>11</v>
      </c>
      <c r="D94" s="27" t="s">
        <v>118</v>
      </c>
      <c r="E94" s="27">
        <v>3</v>
      </c>
      <c r="F94" s="27" t="s">
        <v>743</v>
      </c>
      <c r="G94" s="29" t="s">
        <v>130</v>
      </c>
      <c r="H94" s="27" t="s">
        <v>98</v>
      </c>
      <c r="I94" s="31" t="s">
        <v>118</v>
      </c>
      <c r="J94" s="118">
        <v>-306.4384020128731</v>
      </c>
      <c r="K94" s="118">
        <v>-118.40430022890376</v>
      </c>
      <c r="L94" s="118">
        <v>-49.783626232607261</v>
      </c>
      <c r="M94" s="118">
        <v>421.47894371254665</v>
      </c>
      <c r="N94" s="177">
        <v>2599</v>
      </c>
      <c r="O94" s="119">
        <v>4267</v>
      </c>
      <c r="P94" s="119">
        <v>5461</v>
      </c>
      <c r="Q94" s="120">
        <v>5551</v>
      </c>
      <c r="R94" s="177">
        <v>4686</v>
      </c>
      <c r="S94" s="177">
        <v>4541</v>
      </c>
      <c r="T94" s="121">
        <v>3844</v>
      </c>
      <c r="U94" s="121">
        <v>4656</v>
      </c>
      <c r="V94" s="121">
        <v>4466</v>
      </c>
      <c r="W94" s="106">
        <v>4755</v>
      </c>
      <c r="X94" s="121">
        <v>3448</v>
      </c>
      <c r="Y94" s="121">
        <v>1936</v>
      </c>
      <c r="Z94" s="121">
        <v>1936</v>
      </c>
      <c r="AA94" s="121">
        <v>1732</v>
      </c>
      <c r="AB94" s="122">
        <v>18.5</v>
      </c>
      <c r="AC94" s="123">
        <v>18.5</v>
      </c>
      <c r="AD94" s="124">
        <v>18.5</v>
      </c>
      <c r="AE94" s="125">
        <v>18.5</v>
      </c>
      <c r="AF94" s="126">
        <v>18.5</v>
      </c>
      <c r="AG94" s="123">
        <v>18.5</v>
      </c>
      <c r="AH94" s="123">
        <v>18.5</v>
      </c>
      <c r="AI94" s="127">
        <v>18.5</v>
      </c>
      <c r="AJ94" s="127">
        <v>18.5</v>
      </c>
      <c r="AK94" s="177">
        <v>19.25</v>
      </c>
      <c r="AL94" s="128">
        <v>19.25</v>
      </c>
      <c r="AM94" s="128">
        <v>19.75</v>
      </c>
      <c r="AN94" s="128">
        <v>19.75</v>
      </c>
      <c r="AO94" s="77">
        <v>19.75</v>
      </c>
      <c r="AP94" s="77">
        <v>19.75</v>
      </c>
      <c r="AQ94" s="129">
        <v>19.75</v>
      </c>
      <c r="AR94" s="129">
        <v>20.75</v>
      </c>
      <c r="AS94" s="129">
        <v>20.75</v>
      </c>
      <c r="AT94" s="116">
        <v>8866</v>
      </c>
      <c r="AU94" s="47">
        <v>6970</v>
      </c>
      <c r="AV94" s="47">
        <v>59686</v>
      </c>
      <c r="AW94" s="46">
        <v>23126</v>
      </c>
      <c r="AX94" s="46">
        <v>29710</v>
      </c>
      <c r="AY94" s="92">
        <v>1141</v>
      </c>
      <c r="AZ94" s="47">
        <v>1021</v>
      </c>
      <c r="BA94" s="44">
        <v>2552</v>
      </c>
      <c r="BB94" s="23">
        <v>-6814</v>
      </c>
      <c r="BC94" s="47">
        <v>-1531</v>
      </c>
      <c r="BD94" s="44">
        <v>-1512</v>
      </c>
      <c r="BE94" s="47">
        <v>1936</v>
      </c>
      <c r="BF94" s="44">
        <v>23126</v>
      </c>
      <c r="BG94" s="46">
        <v>20200</v>
      </c>
      <c r="BH94" s="130">
        <v>1418</v>
      </c>
      <c r="BI94" s="46">
        <v>1508</v>
      </c>
      <c r="BJ94" s="129">
        <v>19.75</v>
      </c>
      <c r="BK94" s="44">
        <v>27260</v>
      </c>
      <c r="BL94" s="116">
        <v>8752</v>
      </c>
      <c r="BM94" s="47">
        <v>7439</v>
      </c>
      <c r="BN94" s="130">
        <v>59969</v>
      </c>
      <c r="BO94" s="46">
        <v>24224</v>
      </c>
      <c r="BP94" s="46">
        <v>29919</v>
      </c>
      <c r="BQ94" s="46">
        <v>2352</v>
      </c>
      <c r="BR94" s="130">
        <v>2419</v>
      </c>
      <c r="BS94" s="44">
        <v>3670</v>
      </c>
      <c r="BT94" s="92">
        <v>-5439</v>
      </c>
      <c r="BU94" s="117">
        <v>0</v>
      </c>
      <c r="BV94" s="130">
        <v>1936</v>
      </c>
      <c r="BW94" s="48">
        <v>24224</v>
      </c>
      <c r="BX94" s="46">
        <v>20971</v>
      </c>
      <c r="BY94" s="130">
        <v>1639</v>
      </c>
      <c r="BZ94" s="46">
        <v>1614</v>
      </c>
      <c r="CA94" s="129">
        <v>20.75</v>
      </c>
      <c r="CB94" s="44">
        <v>29577</v>
      </c>
      <c r="CC94" s="116">
        <v>8600</v>
      </c>
      <c r="CD94" s="47">
        <v>7395</v>
      </c>
      <c r="CE94" s="130">
        <v>59951</v>
      </c>
      <c r="CF94" s="46">
        <v>24935</v>
      </c>
      <c r="CG94" s="46">
        <v>30238</v>
      </c>
      <c r="CH94" s="46">
        <v>1734</v>
      </c>
      <c r="CI94" s="130">
        <v>3580</v>
      </c>
      <c r="CJ94" s="44">
        <v>3803</v>
      </c>
      <c r="CK94" s="117">
        <v>-3230</v>
      </c>
      <c r="CL94" s="117">
        <v>-204</v>
      </c>
      <c r="CM94" s="117">
        <v>1732</v>
      </c>
      <c r="CN94" s="48">
        <v>24935</v>
      </c>
      <c r="CO94" s="46">
        <v>21344</v>
      </c>
      <c r="CP94" s="130">
        <v>1935</v>
      </c>
      <c r="CQ94" s="46">
        <v>1656</v>
      </c>
      <c r="CR94" s="129">
        <v>20.75</v>
      </c>
      <c r="CS94" s="44">
        <v>29926</v>
      </c>
      <c r="CT94">
        <v>8444</v>
      </c>
      <c r="CU94">
        <v>23556</v>
      </c>
      <c r="CV94">
        <v>31263</v>
      </c>
      <c r="CW94">
        <v>6945</v>
      </c>
      <c r="CX94">
        <v>855</v>
      </c>
      <c r="CY94">
        <v>20093</v>
      </c>
      <c r="CZ94">
        <v>1780</v>
      </c>
      <c r="DA94">
        <v>1683</v>
      </c>
      <c r="DB94">
        <v>2892</v>
      </c>
      <c r="DC94">
        <v>-3103</v>
      </c>
      <c r="DD94">
        <v>3652</v>
      </c>
      <c r="DE94">
        <v>29173</v>
      </c>
      <c r="DF94">
        <v>59259</v>
      </c>
      <c r="DG94">
        <v>-685</v>
      </c>
      <c r="DH94">
        <v>1047</v>
      </c>
      <c r="DI94">
        <v>20.75</v>
      </c>
      <c r="DJ94" s="174">
        <v>8283</v>
      </c>
      <c r="DK94" s="34">
        <v>24490</v>
      </c>
      <c r="DL94" s="34">
        <v>31246</v>
      </c>
      <c r="DM94">
        <v>6660</v>
      </c>
      <c r="DN94" s="173">
        <v>911</v>
      </c>
      <c r="DO94" s="34">
        <v>20787</v>
      </c>
      <c r="DP94" s="173">
        <v>1986</v>
      </c>
      <c r="DQ94" s="34">
        <v>1717</v>
      </c>
      <c r="DR94" s="173">
        <v>4236</v>
      </c>
      <c r="DS94" s="173">
        <v>-3915</v>
      </c>
      <c r="DT94">
        <v>3949</v>
      </c>
      <c r="DU94">
        <v>31379</v>
      </c>
      <c r="DV94" s="173">
        <v>59071</v>
      </c>
      <c r="DW94" s="173">
        <v>306</v>
      </c>
      <c r="DX94" s="173">
        <v>1389</v>
      </c>
      <c r="DY94" s="57">
        <v>20.75</v>
      </c>
      <c r="DZ94" s="184">
        <v>340</v>
      </c>
      <c r="EA94" s="116">
        <v>8153</v>
      </c>
      <c r="EB94" s="48">
        <v>23055</v>
      </c>
      <c r="EC94" s="46">
        <v>30688</v>
      </c>
      <c r="ED94" s="90">
        <v>6663</v>
      </c>
      <c r="EE94" s="186">
        <v>612</v>
      </c>
      <c r="EF94" s="46">
        <v>19533</v>
      </c>
      <c r="EG94" s="130">
        <v>1814</v>
      </c>
      <c r="EH94" s="46">
        <v>1708</v>
      </c>
      <c r="EI94" s="130">
        <v>2051</v>
      </c>
      <c r="EJ94" s="48">
        <v>-3523</v>
      </c>
      <c r="EK94" s="44">
        <v>3141</v>
      </c>
      <c r="EL94" s="44">
        <v>30242</v>
      </c>
      <c r="EM94" s="130">
        <v>58967</v>
      </c>
      <c r="EN94" s="117">
        <v>-1530</v>
      </c>
      <c r="EO94" s="117">
        <v>-141</v>
      </c>
      <c r="EP94" s="129">
        <v>20.75</v>
      </c>
    </row>
    <row r="95" spans="1:146" ht="15" x14ac:dyDescent="0.25">
      <c r="A95" s="27">
        <v>265</v>
      </c>
      <c r="B95" s="27" t="s">
        <v>223</v>
      </c>
      <c r="C95" s="27">
        <v>13</v>
      </c>
      <c r="D95" s="27" t="s">
        <v>111</v>
      </c>
      <c r="E95" s="27">
        <v>1</v>
      </c>
      <c r="F95" s="27" t="s">
        <v>103</v>
      </c>
      <c r="G95" s="29" t="s">
        <v>130</v>
      </c>
      <c r="H95" s="27" t="s">
        <v>98</v>
      </c>
      <c r="I95" s="31" t="s">
        <v>111</v>
      </c>
      <c r="J95" s="118">
        <v>16.14604094030506</v>
      </c>
      <c r="K95" s="118">
        <v>-190.38873275443049</v>
      </c>
      <c r="L95" s="118">
        <v>1053.1927955019821</v>
      </c>
      <c r="M95" s="118">
        <v>489.59505392945869</v>
      </c>
      <c r="N95" s="22">
        <v>503</v>
      </c>
      <c r="O95" s="119">
        <v>738</v>
      </c>
      <c r="P95" s="119">
        <v>867</v>
      </c>
      <c r="Q95" s="120">
        <v>443</v>
      </c>
      <c r="R95" s="22">
        <v>160</v>
      </c>
      <c r="S95" s="22">
        <v>0</v>
      </c>
      <c r="T95" s="121">
        <v>-115</v>
      </c>
      <c r="U95" s="121">
        <v>191</v>
      </c>
      <c r="V95" s="121">
        <v>1016</v>
      </c>
      <c r="W95" s="106">
        <v>743</v>
      </c>
      <c r="X95" s="121">
        <v>562</v>
      </c>
      <c r="Y95" s="121">
        <v>3578</v>
      </c>
      <c r="Z95" s="121">
        <v>3916</v>
      </c>
      <c r="AA95" s="121">
        <v>4543</v>
      </c>
      <c r="AB95" s="122">
        <v>19</v>
      </c>
      <c r="AC95" s="123">
        <v>19</v>
      </c>
      <c r="AD95" s="124">
        <v>19</v>
      </c>
      <c r="AE95" s="125">
        <v>19</v>
      </c>
      <c r="AF95" s="126">
        <v>19</v>
      </c>
      <c r="AG95" s="123">
        <v>19</v>
      </c>
      <c r="AH95" s="123">
        <v>19</v>
      </c>
      <c r="AI95" s="127">
        <v>19</v>
      </c>
      <c r="AJ95" s="127">
        <v>19</v>
      </c>
      <c r="AK95" s="22">
        <v>19</v>
      </c>
      <c r="AL95" s="128">
        <v>19</v>
      </c>
      <c r="AM95" s="128">
        <v>19</v>
      </c>
      <c r="AN95" s="128">
        <v>19.5</v>
      </c>
      <c r="AO95" s="77">
        <v>19.5</v>
      </c>
      <c r="AP95" s="77">
        <v>20</v>
      </c>
      <c r="AQ95" s="129">
        <v>20</v>
      </c>
      <c r="AR95" s="129">
        <v>20</v>
      </c>
      <c r="AS95" s="129">
        <v>21</v>
      </c>
      <c r="AT95" s="116">
        <v>1259</v>
      </c>
      <c r="AU95" s="47">
        <v>1676</v>
      </c>
      <c r="AV95" s="47">
        <v>10564</v>
      </c>
      <c r="AW95" s="46">
        <v>3218</v>
      </c>
      <c r="AX95" s="46">
        <v>5666</v>
      </c>
      <c r="AY95" s="92">
        <v>0</v>
      </c>
      <c r="AZ95" s="47">
        <v>-4</v>
      </c>
      <c r="BA95" s="44">
        <v>343</v>
      </c>
      <c r="BB95" s="23">
        <v>-450</v>
      </c>
      <c r="BC95" s="47">
        <v>-347</v>
      </c>
      <c r="BD95" s="44">
        <v>-347</v>
      </c>
      <c r="BE95" s="47">
        <v>3578</v>
      </c>
      <c r="BF95" s="44">
        <v>3218</v>
      </c>
      <c r="BG95" s="46">
        <v>2499</v>
      </c>
      <c r="BH95" s="130">
        <v>441</v>
      </c>
      <c r="BI95" s="46">
        <v>278</v>
      </c>
      <c r="BJ95" s="129">
        <v>20</v>
      </c>
      <c r="BK95" s="44">
        <v>1047</v>
      </c>
      <c r="BL95" s="116">
        <v>1244</v>
      </c>
      <c r="BM95" s="47">
        <v>1727</v>
      </c>
      <c r="BN95" s="130">
        <v>10324</v>
      </c>
      <c r="BO95" s="46">
        <v>3476</v>
      </c>
      <c r="BP95" s="46">
        <v>5859</v>
      </c>
      <c r="BQ95" s="46">
        <v>0</v>
      </c>
      <c r="BR95" s="130">
        <v>726</v>
      </c>
      <c r="BS95" s="44">
        <v>388</v>
      </c>
      <c r="BT95" s="92">
        <v>-971</v>
      </c>
      <c r="BU95" s="117">
        <v>338</v>
      </c>
      <c r="BV95" s="130">
        <v>3916</v>
      </c>
      <c r="BW95" s="48">
        <v>3476</v>
      </c>
      <c r="BX95" s="46">
        <v>2617</v>
      </c>
      <c r="BY95" s="130">
        <v>488</v>
      </c>
      <c r="BZ95" s="46">
        <v>371</v>
      </c>
      <c r="CA95" s="129">
        <v>20</v>
      </c>
      <c r="CB95" s="44">
        <v>950</v>
      </c>
      <c r="CC95" s="116">
        <v>1200</v>
      </c>
      <c r="CD95" s="47">
        <v>1706</v>
      </c>
      <c r="CE95" s="130">
        <v>10020</v>
      </c>
      <c r="CF95" s="46">
        <v>3585</v>
      </c>
      <c r="CG95" s="46">
        <v>5474</v>
      </c>
      <c r="CH95" s="46">
        <v>33</v>
      </c>
      <c r="CI95" s="130">
        <v>749</v>
      </c>
      <c r="CJ95" s="44">
        <v>476</v>
      </c>
      <c r="CK95" s="117">
        <v>-3217</v>
      </c>
      <c r="CL95" s="117">
        <v>273</v>
      </c>
      <c r="CM95" s="117">
        <v>4543</v>
      </c>
      <c r="CN95" s="48">
        <v>3585</v>
      </c>
      <c r="CO95" s="46">
        <v>2630</v>
      </c>
      <c r="CP95" s="130">
        <v>375</v>
      </c>
      <c r="CQ95" s="46">
        <v>580</v>
      </c>
      <c r="CR95" s="129">
        <v>21</v>
      </c>
      <c r="CS95" s="44">
        <v>5174</v>
      </c>
      <c r="CT95">
        <v>1161</v>
      </c>
      <c r="CU95">
        <v>3427</v>
      </c>
      <c r="CV95">
        <v>5513</v>
      </c>
      <c r="CW95">
        <v>1699</v>
      </c>
      <c r="CX95">
        <v>6</v>
      </c>
      <c r="CY95">
        <v>2511</v>
      </c>
      <c r="CZ95">
        <v>386</v>
      </c>
      <c r="DA95">
        <v>530</v>
      </c>
      <c r="DB95">
        <v>392</v>
      </c>
      <c r="DC95">
        <v>-185</v>
      </c>
      <c r="DD95">
        <v>1027</v>
      </c>
      <c r="DE95">
        <v>4866</v>
      </c>
      <c r="DF95">
        <v>10214</v>
      </c>
      <c r="DG95">
        <v>-614</v>
      </c>
      <c r="DH95">
        <v>3929</v>
      </c>
      <c r="DI95">
        <v>21</v>
      </c>
      <c r="DJ95" s="174">
        <v>1132</v>
      </c>
      <c r="DK95" s="34">
        <v>3516</v>
      </c>
      <c r="DL95" s="34">
        <v>5252</v>
      </c>
      <c r="DM95">
        <v>1548</v>
      </c>
      <c r="DN95" s="173">
        <v>-32</v>
      </c>
      <c r="DO95" s="34">
        <v>2518</v>
      </c>
      <c r="DP95" s="173">
        <v>619</v>
      </c>
      <c r="DQ95" s="34">
        <v>379</v>
      </c>
      <c r="DR95" s="173">
        <v>902</v>
      </c>
      <c r="DS95" s="173">
        <v>-231</v>
      </c>
      <c r="DT95">
        <v>1010</v>
      </c>
      <c r="DU95">
        <v>4558</v>
      </c>
      <c r="DV95" s="173">
        <v>9382</v>
      </c>
      <c r="DW95" s="173">
        <v>-88</v>
      </c>
      <c r="DX95" s="173">
        <v>3841</v>
      </c>
      <c r="DY95" s="57">
        <v>21</v>
      </c>
      <c r="DZ95" s="184">
        <v>340</v>
      </c>
      <c r="EA95" s="116">
        <v>1103</v>
      </c>
      <c r="EB95" s="48">
        <v>3489</v>
      </c>
      <c r="EC95" s="46">
        <v>4825</v>
      </c>
      <c r="ED95" s="90">
        <v>1596</v>
      </c>
      <c r="EE95" s="186">
        <v>-239</v>
      </c>
      <c r="EF95" s="46">
        <v>2441</v>
      </c>
      <c r="EG95" s="130">
        <v>609</v>
      </c>
      <c r="EH95" s="46">
        <v>439</v>
      </c>
      <c r="EI95" s="130">
        <v>39</v>
      </c>
      <c r="EJ95" s="48">
        <v>-352</v>
      </c>
      <c r="EK95" s="44">
        <v>777</v>
      </c>
      <c r="EL95" s="44">
        <v>4250</v>
      </c>
      <c r="EM95" s="130">
        <v>9632</v>
      </c>
      <c r="EN95" s="117">
        <v>-718</v>
      </c>
      <c r="EO95" s="117">
        <v>3123</v>
      </c>
      <c r="EP95" s="129">
        <v>21.5</v>
      </c>
    </row>
    <row r="96" spans="1:146" ht="15" x14ac:dyDescent="0.25">
      <c r="A96" s="27">
        <v>271</v>
      </c>
      <c r="B96" s="27" t="s">
        <v>224</v>
      </c>
      <c r="C96" s="27">
        <v>4</v>
      </c>
      <c r="D96" s="27" t="s">
        <v>120</v>
      </c>
      <c r="E96" s="27">
        <v>3</v>
      </c>
      <c r="F96" s="27" t="s">
        <v>743</v>
      </c>
      <c r="G96" s="29" t="s">
        <v>132</v>
      </c>
      <c r="H96" s="27" t="s">
        <v>99</v>
      </c>
      <c r="I96" s="31" t="s">
        <v>120</v>
      </c>
      <c r="J96" s="118">
        <v>-765.42325332633675</v>
      </c>
      <c r="K96" s="118">
        <v>-667.2015042728143</v>
      </c>
      <c r="L96" s="118">
        <v>-955.9801740072287</v>
      </c>
      <c r="M96" s="118">
        <v>4068.465941103952</v>
      </c>
      <c r="N96" s="22">
        <v>5907</v>
      </c>
      <c r="O96" s="119">
        <v>5410</v>
      </c>
      <c r="P96" s="119">
        <v>4397</v>
      </c>
      <c r="Q96" s="120">
        <v>1699</v>
      </c>
      <c r="R96" s="22">
        <v>1213</v>
      </c>
      <c r="S96" s="22">
        <v>-419</v>
      </c>
      <c r="T96" s="121">
        <v>1276</v>
      </c>
      <c r="U96" s="121">
        <v>1155</v>
      </c>
      <c r="V96" s="121">
        <v>1411</v>
      </c>
      <c r="W96" s="106">
        <v>1595</v>
      </c>
      <c r="X96" s="121">
        <v>676</v>
      </c>
      <c r="Y96" s="121">
        <v>714</v>
      </c>
      <c r="Z96" s="121">
        <v>-887</v>
      </c>
      <c r="AA96" s="121">
        <v>-676</v>
      </c>
      <c r="AB96" s="122">
        <v>18</v>
      </c>
      <c r="AC96" s="123">
        <v>18.75</v>
      </c>
      <c r="AD96" s="124">
        <v>18.75</v>
      </c>
      <c r="AE96" s="125">
        <v>18.75</v>
      </c>
      <c r="AF96" s="126">
        <v>18.75</v>
      </c>
      <c r="AG96" s="123">
        <v>18.75</v>
      </c>
      <c r="AH96" s="123">
        <v>18.75</v>
      </c>
      <c r="AI96" s="127">
        <v>18.75</v>
      </c>
      <c r="AJ96" s="127">
        <v>19.5</v>
      </c>
      <c r="AK96" s="22">
        <v>19.5</v>
      </c>
      <c r="AL96" s="128">
        <v>19.5</v>
      </c>
      <c r="AM96" s="128">
        <v>19.5</v>
      </c>
      <c r="AN96" s="128">
        <v>19.75</v>
      </c>
      <c r="AO96" s="77">
        <v>19.75</v>
      </c>
      <c r="AP96" s="77">
        <v>19.75</v>
      </c>
      <c r="AQ96" s="129">
        <v>20.25</v>
      </c>
      <c r="AR96" s="129">
        <v>20.75</v>
      </c>
      <c r="AS96" s="129">
        <v>21.25</v>
      </c>
      <c r="AT96" s="116">
        <v>7769</v>
      </c>
      <c r="AU96" s="47">
        <v>6212</v>
      </c>
      <c r="AV96" s="47">
        <v>48601</v>
      </c>
      <c r="AW96" s="46">
        <v>25149</v>
      </c>
      <c r="AX96" s="46">
        <v>17904</v>
      </c>
      <c r="AY96" s="92">
        <v>692</v>
      </c>
      <c r="AZ96" s="47">
        <v>520</v>
      </c>
      <c r="BA96" s="44">
        <v>1173</v>
      </c>
      <c r="BB96" s="23">
        <v>-990</v>
      </c>
      <c r="BC96" s="47">
        <v>39</v>
      </c>
      <c r="BD96" s="44">
        <v>39</v>
      </c>
      <c r="BE96" s="47">
        <v>714</v>
      </c>
      <c r="BF96" s="44">
        <v>25149</v>
      </c>
      <c r="BG96" s="46">
        <v>21902</v>
      </c>
      <c r="BH96" s="130">
        <v>1338</v>
      </c>
      <c r="BI96" s="46">
        <v>1909</v>
      </c>
      <c r="BJ96" s="129">
        <v>20.25</v>
      </c>
      <c r="BK96" s="44">
        <v>17123</v>
      </c>
      <c r="BL96" s="116">
        <v>7702</v>
      </c>
      <c r="BM96" s="47">
        <v>5385</v>
      </c>
      <c r="BN96" s="130">
        <v>49726</v>
      </c>
      <c r="BO96" s="46">
        <v>25929</v>
      </c>
      <c r="BP96" s="46">
        <v>18296</v>
      </c>
      <c r="BQ96" s="46">
        <v>85</v>
      </c>
      <c r="BR96" s="130">
        <v>-127</v>
      </c>
      <c r="BS96" s="44">
        <v>1473</v>
      </c>
      <c r="BT96" s="92">
        <v>-1269</v>
      </c>
      <c r="BU96" s="117">
        <v>-1601</v>
      </c>
      <c r="BV96" s="130">
        <v>-887</v>
      </c>
      <c r="BW96" s="48">
        <v>25929</v>
      </c>
      <c r="BX96" s="46">
        <v>22409</v>
      </c>
      <c r="BY96" s="130">
        <v>1441</v>
      </c>
      <c r="BZ96" s="46">
        <v>2079</v>
      </c>
      <c r="CA96" s="129">
        <v>20.75</v>
      </c>
      <c r="CB96" s="44">
        <v>19955</v>
      </c>
      <c r="CC96" s="116">
        <v>7591</v>
      </c>
      <c r="CD96" s="47">
        <v>4685</v>
      </c>
      <c r="CE96" s="130">
        <v>47824</v>
      </c>
      <c r="CF96" s="46">
        <v>27021</v>
      </c>
      <c r="CG96" s="46">
        <v>17945</v>
      </c>
      <c r="CH96" s="46">
        <v>73</v>
      </c>
      <c r="CI96" s="130">
        <v>1887</v>
      </c>
      <c r="CJ96" s="44">
        <v>1677</v>
      </c>
      <c r="CK96" s="117">
        <v>-2539</v>
      </c>
      <c r="CL96" s="117">
        <v>210</v>
      </c>
      <c r="CM96" s="117">
        <v>-676</v>
      </c>
      <c r="CN96" s="48">
        <v>27021</v>
      </c>
      <c r="CO96" s="46">
        <v>23112</v>
      </c>
      <c r="CP96" s="130">
        <v>1625</v>
      </c>
      <c r="CQ96" s="46">
        <v>2284</v>
      </c>
      <c r="CR96" s="129">
        <v>21.25</v>
      </c>
      <c r="CS96" s="44">
        <v>21844</v>
      </c>
      <c r="CT96">
        <v>7498</v>
      </c>
      <c r="CU96">
        <v>26503</v>
      </c>
      <c r="CV96">
        <v>18797</v>
      </c>
      <c r="CW96">
        <v>4896</v>
      </c>
      <c r="CX96">
        <v>126</v>
      </c>
      <c r="CY96">
        <v>22613</v>
      </c>
      <c r="CZ96">
        <v>1508</v>
      </c>
      <c r="DA96">
        <v>2382</v>
      </c>
      <c r="DB96">
        <v>1890</v>
      </c>
      <c r="DC96">
        <v>-3626</v>
      </c>
      <c r="DD96">
        <v>1554</v>
      </c>
      <c r="DE96">
        <v>24704</v>
      </c>
      <c r="DF96">
        <v>48432</v>
      </c>
      <c r="DG96">
        <v>336</v>
      </c>
      <c r="DH96">
        <v>-340</v>
      </c>
      <c r="DI96">
        <v>21.25</v>
      </c>
      <c r="DJ96" s="174">
        <v>7381</v>
      </c>
      <c r="DK96" s="34">
        <v>26828</v>
      </c>
      <c r="DL96" s="34">
        <v>17891</v>
      </c>
      <c r="DM96">
        <v>4631</v>
      </c>
      <c r="DN96" s="173">
        <v>126</v>
      </c>
      <c r="DO96" s="34">
        <v>22874</v>
      </c>
      <c r="DP96" s="173">
        <v>1653</v>
      </c>
      <c r="DQ96" s="34">
        <v>2301</v>
      </c>
      <c r="DR96" s="173">
        <v>2340</v>
      </c>
      <c r="DS96" s="173">
        <v>-1713</v>
      </c>
      <c r="DT96">
        <v>1720</v>
      </c>
      <c r="DU96">
        <v>23274</v>
      </c>
      <c r="DV96" s="173">
        <v>47136</v>
      </c>
      <c r="DW96" s="173">
        <v>620</v>
      </c>
      <c r="DX96" s="173">
        <v>280</v>
      </c>
      <c r="DY96" s="57">
        <v>21.75</v>
      </c>
      <c r="DZ96" s="184">
        <v>340</v>
      </c>
      <c r="EA96" s="116">
        <v>7226</v>
      </c>
      <c r="EB96" s="48">
        <v>25801</v>
      </c>
      <c r="EC96" s="46">
        <v>17346</v>
      </c>
      <c r="ED96" s="90">
        <v>4763</v>
      </c>
      <c r="EE96" s="186">
        <v>142</v>
      </c>
      <c r="EF96" s="46">
        <v>22047</v>
      </c>
      <c r="EG96" s="130">
        <v>1229</v>
      </c>
      <c r="EH96" s="46">
        <v>2525</v>
      </c>
      <c r="EI96" s="130">
        <v>1786</v>
      </c>
      <c r="EJ96" s="48">
        <v>-1408</v>
      </c>
      <c r="EK96" s="44">
        <v>1590</v>
      </c>
      <c r="EL96" s="44">
        <v>22202</v>
      </c>
      <c r="EM96" s="130">
        <v>46266</v>
      </c>
      <c r="EN96" s="117">
        <v>-259</v>
      </c>
      <c r="EO96" s="117">
        <v>21</v>
      </c>
      <c r="EP96" s="129">
        <v>21.75</v>
      </c>
    </row>
    <row r="97" spans="1:146" ht="15" x14ac:dyDescent="0.25">
      <c r="A97" s="27">
        <v>272</v>
      </c>
      <c r="B97" s="27" t="s">
        <v>225</v>
      </c>
      <c r="C97" s="27">
        <v>16</v>
      </c>
      <c r="D97" s="27" t="s">
        <v>110</v>
      </c>
      <c r="E97" s="27">
        <v>6</v>
      </c>
      <c r="F97" s="27" t="s">
        <v>102</v>
      </c>
      <c r="G97" s="29" t="s">
        <v>141</v>
      </c>
      <c r="H97" s="27" t="s">
        <v>97</v>
      </c>
      <c r="I97" s="31" t="s">
        <v>110</v>
      </c>
      <c r="J97" s="118">
        <v>9523.3049600301383</v>
      </c>
      <c r="K97" s="118">
        <v>12987.976245137266</v>
      </c>
      <c r="L97" s="118">
        <v>14006.858703641101</v>
      </c>
      <c r="M97" s="118">
        <v>15817.73810785219</v>
      </c>
      <c r="N97" s="22">
        <v>17437</v>
      </c>
      <c r="O97" s="119">
        <v>17208</v>
      </c>
      <c r="P97" s="119">
        <v>12705</v>
      </c>
      <c r="Q97" s="120">
        <v>8247</v>
      </c>
      <c r="R97" s="22">
        <v>8525</v>
      </c>
      <c r="S97" s="22">
        <v>8836</v>
      </c>
      <c r="T97" s="121">
        <v>13647</v>
      </c>
      <c r="U97" s="121">
        <v>16712</v>
      </c>
      <c r="V97" s="121">
        <v>18275</v>
      </c>
      <c r="W97" s="106">
        <v>15215</v>
      </c>
      <c r="X97" s="121">
        <v>7687</v>
      </c>
      <c r="Y97" s="121">
        <v>10889</v>
      </c>
      <c r="Z97" s="121">
        <v>26450</v>
      </c>
      <c r="AA97" s="121">
        <v>16875</v>
      </c>
      <c r="AB97" s="122">
        <v>19</v>
      </c>
      <c r="AC97" s="123">
        <v>19</v>
      </c>
      <c r="AD97" s="124">
        <v>18.75</v>
      </c>
      <c r="AE97" s="125">
        <v>18.75</v>
      </c>
      <c r="AF97" s="126">
        <v>18.75</v>
      </c>
      <c r="AG97" s="123">
        <v>18.75</v>
      </c>
      <c r="AH97" s="123">
        <v>19</v>
      </c>
      <c r="AI97" s="127">
        <v>19</v>
      </c>
      <c r="AJ97" s="127">
        <v>19</v>
      </c>
      <c r="AK97" s="22">
        <v>19.25</v>
      </c>
      <c r="AL97" s="128">
        <v>19.75</v>
      </c>
      <c r="AM97" s="128">
        <v>19.75</v>
      </c>
      <c r="AN97" s="128">
        <v>19.75</v>
      </c>
      <c r="AO97" s="77">
        <v>19.75</v>
      </c>
      <c r="AP97" s="77">
        <v>19.75</v>
      </c>
      <c r="AQ97" s="129">
        <v>20.5</v>
      </c>
      <c r="AR97" s="129">
        <v>20.5</v>
      </c>
      <c r="AS97" s="129">
        <v>21</v>
      </c>
      <c r="AT97" s="116">
        <v>47031</v>
      </c>
      <c r="AU97" s="47">
        <v>147465</v>
      </c>
      <c r="AV97" s="47">
        <v>371841</v>
      </c>
      <c r="AW97" s="46">
        <v>171672</v>
      </c>
      <c r="AX97" s="46">
        <v>76445</v>
      </c>
      <c r="AY97" s="92">
        <v>952</v>
      </c>
      <c r="AZ97" s="47">
        <v>22218</v>
      </c>
      <c r="BA97" s="44">
        <v>21715</v>
      </c>
      <c r="BB97" s="23">
        <v>-34172</v>
      </c>
      <c r="BC97" s="47">
        <v>503</v>
      </c>
      <c r="BD97" s="44">
        <v>3202</v>
      </c>
      <c r="BE97" s="47">
        <v>10889</v>
      </c>
      <c r="BF97" s="44">
        <v>171672</v>
      </c>
      <c r="BG97" s="46">
        <v>146444</v>
      </c>
      <c r="BH97" s="130">
        <v>13763</v>
      </c>
      <c r="BI97" s="46">
        <v>11465</v>
      </c>
      <c r="BJ97" s="129">
        <v>20.5</v>
      </c>
      <c r="BK97" s="44">
        <v>250931</v>
      </c>
      <c r="BL97" s="116">
        <v>47278</v>
      </c>
      <c r="BM97" s="47">
        <v>142694</v>
      </c>
      <c r="BN97" s="130">
        <v>367839</v>
      </c>
      <c r="BO97" s="46">
        <v>175899</v>
      </c>
      <c r="BP97" s="46">
        <v>77387</v>
      </c>
      <c r="BQ97" s="46">
        <v>10486</v>
      </c>
      <c r="BR97" s="130">
        <v>26150</v>
      </c>
      <c r="BS97" s="44">
        <v>21477</v>
      </c>
      <c r="BT97" s="92">
        <v>-44160</v>
      </c>
      <c r="BU97" s="117">
        <v>15485</v>
      </c>
      <c r="BV97" s="130">
        <v>26450</v>
      </c>
      <c r="BW97" s="48">
        <v>175899</v>
      </c>
      <c r="BX97" s="46">
        <v>148875</v>
      </c>
      <c r="BY97" s="130">
        <v>13181</v>
      </c>
      <c r="BZ97" s="46">
        <v>13843</v>
      </c>
      <c r="CA97" s="129">
        <v>20.5</v>
      </c>
      <c r="CB97" s="44">
        <v>283422</v>
      </c>
      <c r="CC97" s="116">
        <v>47570</v>
      </c>
      <c r="CD97" s="47">
        <v>88136</v>
      </c>
      <c r="CE97" s="130">
        <v>342272</v>
      </c>
      <c r="CF97" s="46">
        <v>182108</v>
      </c>
      <c r="CG97" s="46">
        <v>78907</v>
      </c>
      <c r="CH97" s="46">
        <v>722</v>
      </c>
      <c r="CI97" s="130">
        <v>5065</v>
      </c>
      <c r="CJ97" s="44">
        <v>15319</v>
      </c>
      <c r="CK97" s="117">
        <v>-59847</v>
      </c>
      <c r="CL97" s="117">
        <v>-9575</v>
      </c>
      <c r="CM97" s="117">
        <v>16875</v>
      </c>
      <c r="CN97" s="48">
        <v>182108</v>
      </c>
      <c r="CO97" s="46">
        <v>153250</v>
      </c>
      <c r="CP97" s="130">
        <v>14686</v>
      </c>
      <c r="CQ97" s="46">
        <v>14172</v>
      </c>
      <c r="CR97" s="129">
        <v>21</v>
      </c>
      <c r="CS97" s="44">
        <v>250888</v>
      </c>
      <c r="CT97">
        <v>47723</v>
      </c>
      <c r="CU97">
        <v>183911</v>
      </c>
      <c r="CV97">
        <v>86936</v>
      </c>
      <c r="CW97">
        <v>90781</v>
      </c>
      <c r="CX97">
        <v>1806</v>
      </c>
      <c r="CY97">
        <v>156556</v>
      </c>
      <c r="CZ97">
        <v>12923</v>
      </c>
      <c r="DA97">
        <v>14432</v>
      </c>
      <c r="DB97">
        <v>10306</v>
      </c>
      <c r="DC97">
        <v>-15224</v>
      </c>
      <c r="DD97">
        <v>15440</v>
      </c>
      <c r="DE97">
        <v>242833</v>
      </c>
      <c r="DF97">
        <v>350582</v>
      </c>
      <c r="DG97">
        <v>-5151</v>
      </c>
      <c r="DH97">
        <v>11724</v>
      </c>
      <c r="DI97">
        <v>21.5</v>
      </c>
      <c r="DJ97" s="174">
        <v>47723</v>
      </c>
      <c r="DK97" s="34">
        <v>190705</v>
      </c>
      <c r="DL97" s="34">
        <v>86873</v>
      </c>
      <c r="DM97">
        <v>47737</v>
      </c>
      <c r="DN97" s="173">
        <v>23741</v>
      </c>
      <c r="DO97" s="34">
        <v>159221</v>
      </c>
      <c r="DP97" s="173">
        <v>16028</v>
      </c>
      <c r="DQ97" s="34">
        <v>15456</v>
      </c>
      <c r="DR97" s="173">
        <v>20261</v>
      </c>
      <c r="DS97" s="173">
        <v>-13051</v>
      </c>
      <c r="DT97">
        <v>17298</v>
      </c>
      <c r="DU97">
        <v>245489</v>
      </c>
      <c r="DV97" s="173">
        <v>304324</v>
      </c>
      <c r="DW97" s="173">
        <v>2205</v>
      </c>
      <c r="DX97" s="173">
        <v>14803</v>
      </c>
      <c r="DY97" s="57">
        <v>21.75</v>
      </c>
      <c r="DZ97" s="184">
        <v>130</v>
      </c>
      <c r="EA97" s="116">
        <v>47657</v>
      </c>
      <c r="EB97" s="48">
        <v>188014</v>
      </c>
      <c r="EC97" s="46">
        <v>87938</v>
      </c>
      <c r="ED97" s="90">
        <v>45568</v>
      </c>
      <c r="EE97" s="186">
        <v>885</v>
      </c>
      <c r="EF97" s="46">
        <v>156967</v>
      </c>
      <c r="EG97" s="130">
        <v>15715</v>
      </c>
      <c r="EH97" s="46">
        <v>15332</v>
      </c>
      <c r="EI97" s="130">
        <v>11376</v>
      </c>
      <c r="EJ97" s="48">
        <v>-13244</v>
      </c>
      <c r="EK97" s="44">
        <v>15085</v>
      </c>
      <c r="EL97" s="44">
        <v>220573</v>
      </c>
      <c r="EM97" s="130">
        <v>311029</v>
      </c>
      <c r="EN97" s="117">
        <v>-1045</v>
      </c>
      <c r="EO97" s="117">
        <v>13759</v>
      </c>
      <c r="EP97" s="129">
        <v>21.75</v>
      </c>
    </row>
    <row r="98" spans="1:146" ht="15" x14ac:dyDescent="0.25">
      <c r="A98" s="170"/>
      <c r="B98" s="27" t="s">
        <v>226</v>
      </c>
      <c r="C98" s="170"/>
      <c r="D98" s="170"/>
      <c r="E98" s="170"/>
      <c r="F98" s="170"/>
      <c r="G98" s="171"/>
      <c r="H98" s="170"/>
      <c r="I98" s="31"/>
      <c r="J98" s="118">
        <v>329491.0801533201</v>
      </c>
      <c r="K98" s="118">
        <v>586203.54439236224</v>
      </c>
      <c r="L98" s="118">
        <v>1108006.5862392001</v>
      </c>
      <c r="M98" s="118">
        <v>1690244.7638893786</v>
      </c>
      <c r="N98" s="22">
        <v>2506289</v>
      </c>
      <c r="O98" s="119">
        <v>2683547</v>
      </c>
      <c r="P98" s="119">
        <v>2935434</v>
      </c>
      <c r="Q98" s="120">
        <v>2938092</v>
      </c>
      <c r="R98" s="22">
        <v>3525025</v>
      </c>
      <c r="S98" s="22">
        <v>4007290</v>
      </c>
      <c r="T98" s="121">
        <v>4929474</v>
      </c>
      <c r="U98" s="121">
        <v>5224743</v>
      </c>
      <c r="V98" s="121">
        <v>7005659</v>
      </c>
      <c r="W98" s="106">
        <v>7483853</v>
      </c>
      <c r="X98" s="121">
        <v>6571755</v>
      </c>
      <c r="Y98" s="121">
        <v>6961304</v>
      </c>
      <c r="Z98" s="121">
        <v>9362856</v>
      </c>
      <c r="AA98" s="121">
        <v>9422587</v>
      </c>
      <c r="AB98" s="122">
        <v>17.55</v>
      </c>
      <c r="AC98" s="123">
        <v>17.62</v>
      </c>
      <c r="AD98" s="124">
        <v>17.66</v>
      </c>
      <c r="AE98" s="125">
        <v>17.670000000000002</v>
      </c>
      <c r="AF98" s="126">
        <v>17.78</v>
      </c>
      <c r="AG98" s="123">
        <v>18.04</v>
      </c>
      <c r="AH98" s="123">
        <v>18.127354549830809</v>
      </c>
      <c r="AI98" s="127">
        <v>18.3</v>
      </c>
      <c r="AJ98" s="127">
        <v>18.397872581724915</v>
      </c>
      <c r="AK98" s="22">
        <v>18.46</v>
      </c>
      <c r="AL98" s="128">
        <v>18.559999999999999</v>
      </c>
      <c r="AM98" s="128">
        <v>18.600000000000001</v>
      </c>
      <c r="AN98" s="128">
        <v>18.97</v>
      </c>
      <c r="AO98" s="77">
        <v>19.18</v>
      </c>
      <c r="AP98" s="77">
        <v>19.260000000000002</v>
      </c>
      <c r="AQ98" s="129">
        <v>19.399999999999999</v>
      </c>
      <c r="AR98" s="129">
        <v>19.75</v>
      </c>
      <c r="AS98" s="129">
        <v>19.850000000000001</v>
      </c>
      <c r="AT98" s="116">
        <v>5422604</v>
      </c>
      <c r="AU98" s="47">
        <v>9099964</v>
      </c>
      <c r="AV98" s="47">
        <v>36154817</v>
      </c>
      <c r="AW98" s="46">
        <v>20550650</v>
      </c>
      <c r="AX98" s="46">
        <v>8252678</v>
      </c>
      <c r="AY98" s="92">
        <v>698187</v>
      </c>
      <c r="AZ98" s="47">
        <v>2062502</v>
      </c>
      <c r="BA98" s="44">
        <v>2058484</v>
      </c>
      <c r="BB98" s="23">
        <v>-2678018</v>
      </c>
      <c r="BC98" s="47">
        <v>370047</v>
      </c>
      <c r="BD98" s="44">
        <v>393357</v>
      </c>
      <c r="BE98" s="47">
        <v>6961304</v>
      </c>
      <c r="BF98" s="44">
        <v>20550650</v>
      </c>
      <c r="BG98" s="46">
        <v>17881106</v>
      </c>
      <c r="BH98" s="130">
        <v>1308621</v>
      </c>
      <c r="BI98" s="46">
        <v>1360351</v>
      </c>
      <c r="BJ98" s="129">
        <v>19.399999999999999</v>
      </c>
      <c r="BK98" s="44">
        <v>13786842</v>
      </c>
      <c r="BL98" s="116">
        <v>5442837</v>
      </c>
      <c r="BM98" s="47">
        <v>9119940</v>
      </c>
      <c r="BN98" s="130">
        <v>36434169</v>
      </c>
      <c r="BO98" s="46">
        <v>21068274</v>
      </c>
      <c r="BP98" s="46">
        <v>8160993</v>
      </c>
      <c r="BQ98" s="46">
        <v>2241767</v>
      </c>
      <c r="BR98" s="130">
        <v>2195426</v>
      </c>
      <c r="BS98" s="44">
        <v>2065374</v>
      </c>
      <c r="BT98" s="92">
        <v>-1572867</v>
      </c>
      <c r="BU98" s="117">
        <v>2445539</v>
      </c>
      <c r="BV98" s="130">
        <v>9362856</v>
      </c>
      <c r="BW98" s="48">
        <v>21068274</v>
      </c>
      <c r="BX98" s="46">
        <v>18102840</v>
      </c>
      <c r="BY98" s="130">
        <v>1456282</v>
      </c>
      <c r="BZ98" s="46">
        <v>1508596</v>
      </c>
      <c r="CA98" s="129">
        <v>19.75</v>
      </c>
      <c r="CB98" s="44">
        <v>14677147</v>
      </c>
      <c r="CC98" s="116">
        <v>5458325</v>
      </c>
      <c r="CD98" s="47">
        <v>8030301</v>
      </c>
      <c r="CE98" s="130">
        <v>36335521</v>
      </c>
      <c r="CF98" s="46">
        <v>21662871</v>
      </c>
      <c r="CG98" s="46">
        <v>8196322</v>
      </c>
      <c r="CH98" s="46">
        <v>885806</v>
      </c>
      <c r="CI98" s="130">
        <v>1894704</v>
      </c>
      <c r="CJ98" s="44">
        <v>2081911</v>
      </c>
      <c r="CK98" s="117">
        <v>-2491926</v>
      </c>
      <c r="CL98" s="117">
        <v>164651</v>
      </c>
      <c r="CM98" s="117">
        <v>9422587</v>
      </c>
      <c r="CN98" s="48">
        <v>21662871</v>
      </c>
      <c r="CO98" s="46">
        <v>18443219</v>
      </c>
      <c r="CP98" s="130">
        <v>1638497</v>
      </c>
      <c r="CQ98" s="46">
        <v>1581155</v>
      </c>
      <c r="CR98" s="129">
        <v>19.850000000000001</v>
      </c>
      <c r="CS98" s="44">
        <v>15504296</v>
      </c>
      <c r="CT98">
        <v>5471538</v>
      </c>
      <c r="CU98">
        <v>21987603</v>
      </c>
      <c r="CV98">
        <v>8792091</v>
      </c>
      <c r="CW98">
        <v>8072125</v>
      </c>
      <c r="CX98">
        <v>694665</v>
      </c>
      <c r="CY98">
        <v>18807344</v>
      </c>
      <c r="CZ98">
        <v>1539341</v>
      </c>
      <c r="DA98">
        <v>1640918</v>
      </c>
      <c r="DB98">
        <v>2695145</v>
      </c>
      <c r="DC98">
        <v>-2434419</v>
      </c>
      <c r="DD98">
        <v>2114293</v>
      </c>
      <c r="DE98">
        <v>16088917</v>
      </c>
      <c r="DF98">
        <v>36517141</v>
      </c>
      <c r="DG98">
        <v>866817</v>
      </c>
      <c r="DH98">
        <v>10310344</v>
      </c>
      <c r="DI98">
        <v>19.89</v>
      </c>
      <c r="DJ98" s="174">
        <v>5483641</v>
      </c>
      <c r="DK98" s="34">
        <v>22434785</v>
      </c>
      <c r="DL98" s="34">
        <v>8503554</v>
      </c>
      <c r="DM98" s="34">
        <v>7566028</v>
      </c>
      <c r="DN98" s="173">
        <v>634496</v>
      </c>
      <c r="DO98">
        <v>18827691</v>
      </c>
      <c r="DP98" s="173">
        <v>1887798</v>
      </c>
      <c r="DQ98" s="34">
        <v>1719296</v>
      </c>
      <c r="DR98" s="173">
        <v>3266069</v>
      </c>
      <c r="DS98" s="173">
        <v>-2379265</v>
      </c>
      <c r="DT98">
        <v>2195625</v>
      </c>
      <c r="DU98">
        <v>16125610</v>
      </c>
      <c r="DV98" s="34">
        <v>35690549</v>
      </c>
      <c r="DW98" s="173">
        <v>1175316</v>
      </c>
      <c r="DX98" s="173">
        <v>11311167</v>
      </c>
      <c r="DY98" s="57">
        <v>19.920000000000002</v>
      </c>
      <c r="DZ98" s="184"/>
      <c r="EA98" s="116">
        <v>5488130</v>
      </c>
      <c r="EB98" s="48">
        <v>22321220</v>
      </c>
      <c r="EC98" s="48">
        <v>8456755</v>
      </c>
      <c r="ED98" s="90">
        <v>7812168</v>
      </c>
      <c r="EE98" s="186">
        <v>435898</v>
      </c>
      <c r="EF98" s="44">
        <v>18664568</v>
      </c>
      <c r="EG98" s="130">
        <v>1866127</v>
      </c>
      <c r="EH98" s="46">
        <v>1790525</v>
      </c>
      <c r="EI98" s="130">
        <v>2065203</v>
      </c>
      <c r="EJ98" s="48">
        <v>-2784173</v>
      </c>
      <c r="EK98" s="44">
        <v>2192453</v>
      </c>
      <c r="EL98" s="44">
        <v>16729981</v>
      </c>
      <c r="EM98" s="46">
        <v>36914895</v>
      </c>
      <c r="EN98" s="117">
        <v>-24311</v>
      </c>
      <c r="EO98" s="117">
        <v>11261407</v>
      </c>
      <c r="EP98" s="129">
        <v>19.87</v>
      </c>
    </row>
    <row r="99" spans="1:146" ht="15" x14ac:dyDescent="0.25">
      <c r="A99" s="27">
        <v>273</v>
      </c>
      <c r="B99" s="27" t="s">
        <v>227</v>
      </c>
      <c r="C99" s="27">
        <v>19</v>
      </c>
      <c r="D99" s="27" t="s">
        <v>113</v>
      </c>
      <c r="E99" s="27">
        <v>2</v>
      </c>
      <c r="F99" s="27" t="s">
        <v>744</v>
      </c>
      <c r="G99" s="29" t="s">
        <v>130</v>
      </c>
      <c r="H99" s="27" t="s">
        <v>98</v>
      </c>
      <c r="I99" s="31" t="s">
        <v>113</v>
      </c>
      <c r="J99" s="118">
        <v>233.78121778150032</v>
      </c>
      <c r="K99" s="118">
        <v>-606.3174748937472</v>
      </c>
      <c r="L99" s="118">
        <v>-3662.9648504052489</v>
      </c>
      <c r="M99" s="118">
        <v>-4133.8910444974799</v>
      </c>
      <c r="N99" s="22">
        <v>-3503</v>
      </c>
      <c r="O99" s="119">
        <v>-2346</v>
      </c>
      <c r="P99" s="119">
        <v>-2539</v>
      </c>
      <c r="Q99" s="120">
        <v>-1752</v>
      </c>
      <c r="R99" s="22">
        <v>-2604</v>
      </c>
      <c r="S99" s="22">
        <v>-1778</v>
      </c>
      <c r="T99" s="143">
        <v>404</v>
      </c>
      <c r="U99" s="143">
        <v>1074</v>
      </c>
      <c r="V99" s="143">
        <v>2180</v>
      </c>
      <c r="W99" s="106">
        <v>3174</v>
      </c>
      <c r="X99" s="143">
        <v>3183</v>
      </c>
      <c r="Y99" s="143">
        <v>5128</v>
      </c>
      <c r="Z99" s="143">
        <v>6054</v>
      </c>
      <c r="AA99" s="143">
        <v>7275</v>
      </c>
      <c r="AB99" s="122">
        <v>19</v>
      </c>
      <c r="AC99" s="123">
        <v>19</v>
      </c>
      <c r="AD99" s="124">
        <v>19</v>
      </c>
      <c r="AE99" s="125">
        <v>19</v>
      </c>
      <c r="AF99" s="144">
        <v>19.5</v>
      </c>
      <c r="AG99" s="123">
        <v>19.5</v>
      </c>
      <c r="AH99" s="145">
        <v>19.5</v>
      </c>
      <c r="AI99" s="146">
        <v>19.5</v>
      </c>
      <c r="AJ99" s="146">
        <v>19.5</v>
      </c>
      <c r="AK99" s="22">
        <v>19.75</v>
      </c>
      <c r="AL99" s="128">
        <v>20</v>
      </c>
      <c r="AM99" s="128">
        <v>20</v>
      </c>
      <c r="AN99" s="128">
        <v>20</v>
      </c>
      <c r="AO99" s="77">
        <v>20</v>
      </c>
      <c r="AP99" s="77">
        <v>20</v>
      </c>
      <c r="AQ99" s="129">
        <v>20</v>
      </c>
      <c r="AR99" s="129">
        <v>20</v>
      </c>
      <c r="AS99" s="129">
        <v>20</v>
      </c>
      <c r="AT99" s="116">
        <v>3885</v>
      </c>
      <c r="AU99" s="47">
        <v>4949</v>
      </c>
      <c r="AV99" s="47">
        <v>27905</v>
      </c>
      <c r="AW99" s="46">
        <v>13568</v>
      </c>
      <c r="AX99" s="48">
        <v>12689</v>
      </c>
      <c r="AY99" s="92">
        <v>121</v>
      </c>
      <c r="AZ99" s="46">
        <v>3155</v>
      </c>
      <c r="BA99" s="44">
        <v>1340</v>
      </c>
      <c r="BB99" s="23">
        <v>-3698</v>
      </c>
      <c r="BC99" s="47">
        <v>1924</v>
      </c>
      <c r="BD99" s="44">
        <v>1944</v>
      </c>
      <c r="BE99" s="44">
        <v>5128</v>
      </c>
      <c r="BF99" s="44">
        <v>13568</v>
      </c>
      <c r="BG99" s="46">
        <v>10233</v>
      </c>
      <c r="BH99" s="130">
        <v>514</v>
      </c>
      <c r="BI99" s="46">
        <v>2821</v>
      </c>
      <c r="BJ99" s="129">
        <v>20</v>
      </c>
      <c r="BK99" s="44">
        <v>12370</v>
      </c>
      <c r="BL99" s="116">
        <v>3840</v>
      </c>
      <c r="BM99" s="46">
        <v>4714</v>
      </c>
      <c r="BN99" s="130">
        <v>29011</v>
      </c>
      <c r="BO99" s="46">
        <v>14244</v>
      </c>
      <c r="BP99" s="48">
        <v>12607</v>
      </c>
      <c r="BQ99" s="46">
        <v>31</v>
      </c>
      <c r="BR99" s="130">
        <v>2428</v>
      </c>
      <c r="BS99" s="44">
        <v>1515</v>
      </c>
      <c r="BT99" s="92">
        <v>-1348</v>
      </c>
      <c r="BU99" s="117">
        <v>926</v>
      </c>
      <c r="BV99" s="117">
        <v>6054</v>
      </c>
      <c r="BW99" s="46">
        <v>14244</v>
      </c>
      <c r="BX99" s="44">
        <v>10350</v>
      </c>
      <c r="BY99" s="130">
        <v>571</v>
      </c>
      <c r="BZ99" s="46">
        <v>3323</v>
      </c>
      <c r="CA99" s="129">
        <v>20</v>
      </c>
      <c r="CB99" s="44">
        <v>11411</v>
      </c>
      <c r="CC99" s="116">
        <v>3848</v>
      </c>
      <c r="CD99" s="46">
        <v>5786</v>
      </c>
      <c r="CE99" s="130">
        <v>29258</v>
      </c>
      <c r="CF99" s="46">
        <v>14217</v>
      </c>
      <c r="CG99" s="48">
        <v>12901</v>
      </c>
      <c r="CH99" s="46">
        <v>0</v>
      </c>
      <c r="CI99" s="130">
        <v>3512</v>
      </c>
      <c r="CJ99" s="44">
        <v>1609</v>
      </c>
      <c r="CK99" s="117">
        <v>-2133</v>
      </c>
      <c r="CL99" s="117">
        <v>1917</v>
      </c>
      <c r="CM99" s="117">
        <v>7275</v>
      </c>
      <c r="CN99" s="48">
        <v>14217</v>
      </c>
      <c r="CO99" s="44">
        <v>10300</v>
      </c>
      <c r="CP99" s="130">
        <v>683</v>
      </c>
      <c r="CQ99" s="46">
        <v>3234</v>
      </c>
      <c r="CR99" s="129">
        <v>20</v>
      </c>
      <c r="CS99" s="44">
        <v>9293</v>
      </c>
      <c r="CT99">
        <v>3827</v>
      </c>
      <c r="CU99">
        <v>13926</v>
      </c>
      <c r="CV99">
        <v>14194</v>
      </c>
      <c r="CW99">
        <v>4607</v>
      </c>
      <c r="CX99">
        <v>15</v>
      </c>
      <c r="CY99">
        <v>10199</v>
      </c>
      <c r="CZ99">
        <v>630</v>
      </c>
      <c r="DA99">
        <v>3097</v>
      </c>
      <c r="DB99">
        <v>3451</v>
      </c>
      <c r="DC99">
        <v>-2222</v>
      </c>
      <c r="DD99">
        <v>1701</v>
      </c>
      <c r="DE99">
        <v>8124</v>
      </c>
      <c r="DF99">
        <v>29189</v>
      </c>
      <c r="DG99">
        <v>1764</v>
      </c>
      <c r="DH99">
        <v>9767</v>
      </c>
      <c r="DI99">
        <v>20</v>
      </c>
      <c r="DJ99" s="174">
        <v>3854</v>
      </c>
      <c r="DK99" s="34">
        <v>14131</v>
      </c>
      <c r="DL99" s="34">
        <v>14401</v>
      </c>
      <c r="DM99">
        <v>4535</v>
      </c>
      <c r="DN99" s="173">
        <v>-68</v>
      </c>
      <c r="DO99" s="34">
        <v>9989</v>
      </c>
      <c r="DP99" s="173">
        <v>3410</v>
      </c>
      <c r="DQ99" s="34">
        <v>732</v>
      </c>
      <c r="DR99" s="173">
        <v>4012</v>
      </c>
      <c r="DS99" s="173">
        <v>-2078</v>
      </c>
      <c r="DT99">
        <v>1530</v>
      </c>
      <c r="DU99">
        <v>7030</v>
      </c>
      <c r="DV99" s="173">
        <v>28987</v>
      </c>
      <c r="DW99" s="173">
        <v>2496</v>
      </c>
      <c r="DX99" s="173">
        <v>12263</v>
      </c>
      <c r="DY99" s="57">
        <v>20</v>
      </c>
      <c r="DZ99" s="184">
        <v>320</v>
      </c>
      <c r="EA99" s="116">
        <v>3834</v>
      </c>
      <c r="EB99" s="48">
        <v>14856</v>
      </c>
      <c r="EC99" s="46">
        <v>14322</v>
      </c>
      <c r="ED99" s="90">
        <v>4475</v>
      </c>
      <c r="EE99" s="186">
        <v>-58</v>
      </c>
      <c r="EF99" s="46">
        <v>10418</v>
      </c>
      <c r="EG99" s="130">
        <v>762</v>
      </c>
      <c r="EH99" s="46">
        <v>3676</v>
      </c>
      <c r="EI99" s="130">
        <v>2701</v>
      </c>
      <c r="EJ99" s="48">
        <v>-1630</v>
      </c>
      <c r="EK99" s="44">
        <v>1552</v>
      </c>
      <c r="EL99" s="44">
        <v>6111</v>
      </c>
      <c r="EM99" s="130">
        <v>30894</v>
      </c>
      <c r="EN99" s="117">
        <v>1163</v>
      </c>
      <c r="EO99" s="117">
        <v>13426</v>
      </c>
      <c r="EP99" s="148">
        <v>20</v>
      </c>
    </row>
    <row r="100" spans="1:146" ht="15" x14ac:dyDescent="0.25">
      <c r="A100" s="27">
        <v>275</v>
      </c>
      <c r="B100" s="27" t="s">
        <v>228</v>
      </c>
      <c r="C100" s="27">
        <v>13</v>
      </c>
      <c r="D100" s="27" t="s">
        <v>111</v>
      </c>
      <c r="E100" s="27">
        <v>2</v>
      </c>
      <c r="F100" s="27" t="s">
        <v>744</v>
      </c>
      <c r="G100" s="29" t="s">
        <v>130</v>
      </c>
      <c r="H100" s="27" t="s">
        <v>98</v>
      </c>
      <c r="I100" s="31" t="s">
        <v>111</v>
      </c>
      <c r="J100" s="118">
        <v>771.81439453187409</v>
      </c>
      <c r="K100" s="118">
        <v>2015.2277348618252</v>
      </c>
      <c r="L100" s="118">
        <v>2400.3780864586856</v>
      </c>
      <c r="M100" s="118">
        <v>1904.0555154707665</v>
      </c>
      <c r="N100" s="22">
        <v>2097</v>
      </c>
      <c r="O100" s="119">
        <v>2857</v>
      </c>
      <c r="P100" s="119">
        <v>3611</v>
      </c>
      <c r="Q100" s="120">
        <v>3358</v>
      </c>
      <c r="R100" s="22">
        <v>3412</v>
      </c>
      <c r="S100" s="22">
        <v>3596</v>
      </c>
      <c r="T100" s="121">
        <v>3622</v>
      </c>
      <c r="U100" s="121">
        <v>4533</v>
      </c>
      <c r="V100" s="121">
        <v>5542</v>
      </c>
      <c r="W100" s="106">
        <v>5646</v>
      </c>
      <c r="X100" s="121">
        <v>5033</v>
      </c>
      <c r="Y100" s="121">
        <v>4890</v>
      </c>
      <c r="Z100" s="121">
        <v>5273</v>
      </c>
      <c r="AA100" s="121">
        <v>5713</v>
      </c>
      <c r="AB100" s="122">
        <v>18</v>
      </c>
      <c r="AC100" s="123">
        <v>18</v>
      </c>
      <c r="AD100" s="124">
        <v>18</v>
      </c>
      <c r="AE100" s="125">
        <v>18</v>
      </c>
      <c r="AF100" s="126">
        <v>18</v>
      </c>
      <c r="AG100" s="123">
        <v>18</v>
      </c>
      <c r="AH100" s="123">
        <v>18</v>
      </c>
      <c r="AI100" s="127">
        <v>18</v>
      </c>
      <c r="AJ100" s="127">
        <v>19</v>
      </c>
      <c r="AK100" s="22">
        <v>19</v>
      </c>
      <c r="AL100" s="147">
        <v>19</v>
      </c>
      <c r="AM100" s="147">
        <v>19</v>
      </c>
      <c r="AN100" s="147">
        <v>19.5</v>
      </c>
      <c r="AO100" s="77">
        <v>19.5</v>
      </c>
      <c r="AP100" s="77">
        <v>20</v>
      </c>
      <c r="AQ100" s="148">
        <v>21</v>
      </c>
      <c r="AR100" s="148">
        <v>21</v>
      </c>
      <c r="AS100" s="148">
        <v>21.5</v>
      </c>
      <c r="AT100" s="116">
        <v>2846</v>
      </c>
      <c r="AU100" s="47">
        <v>3521</v>
      </c>
      <c r="AV100" s="47">
        <v>20298</v>
      </c>
      <c r="AW100" s="46">
        <v>8393</v>
      </c>
      <c r="AX100" s="46">
        <v>9165</v>
      </c>
      <c r="AY100" s="92">
        <v>176</v>
      </c>
      <c r="AZ100" s="47">
        <v>869</v>
      </c>
      <c r="BA100" s="44">
        <v>633</v>
      </c>
      <c r="BB100" s="23">
        <v>-917</v>
      </c>
      <c r="BC100" s="46">
        <v>236</v>
      </c>
      <c r="BD100" s="44">
        <v>236</v>
      </c>
      <c r="BE100" s="47">
        <v>4890</v>
      </c>
      <c r="BF100" s="44">
        <v>8393</v>
      </c>
      <c r="BG100" s="46">
        <v>7238</v>
      </c>
      <c r="BH100" s="130">
        <v>548</v>
      </c>
      <c r="BI100" s="46">
        <v>607</v>
      </c>
      <c r="BJ100" s="148">
        <v>21</v>
      </c>
      <c r="BK100" s="44">
        <v>9141</v>
      </c>
      <c r="BL100" s="116">
        <v>2831</v>
      </c>
      <c r="BM100" s="47">
        <v>3476</v>
      </c>
      <c r="BN100" s="130">
        <v>20269</v>
      </c>
      <c r="BO100" s="46">
        <v>8196</v>
      </c>
      <c r="BP100" s="46">
        <v>9257</v>
      </c>
      <c r="BQ100" s="46">
        <v>380</v>
      </c>
      <c r="BR100" s="130">
        <v>713</v>
      </c>
      <c r="BS100" s="44">
        <v>574</v>
      </c>
      <c r="BT100" s="92">
        <v>-1559</v>
      </c>
      <c r="BU100" s="117">
        <v>383</v>
      </c>
      <c r="BV100" s="130">
        <v>5273</v>
      </c>
      <c r="BW100" s="48">
        <v>8196</v>
      </c>
      <c r="BX100" s="46">
        <v>6878</v>
      </c>
      <c r="BY100" s="130">
        <v>602</v>
      </c>
      <c r="BZ100" s="46">
        <v>716</v>
      </c>
      <c r="CA100" s="148">
        <v>21</v>
      </c>
      <c r="CB100" s="44">
        <v>9164</v>
      </c>
      <c r="CC100" s="116">
        <v>2757</v>
      </c>
      <c r="CD100" s="47">
        <v>3577</v>
      </c>
      <c r="CE100" s="130">
        <v>20218</v>
      </c>
      <c r="CF100" s="46">
        <v>8842</v>
      </c>
      <c r="CG100" s="46">
        <v>8870</v>
      </c>
      <c r="CH100" s="46">
        <v>306</v>
      </c>
      <c r="CI100" s="130">
        <v>1142</v>
      </c>
      <c r="CJ100" s="44">
        <v>703</v>
      </c>
      <c r="CK100" s="117">
        <v>-5538</v>
      </c>
      <c r="CL100" s="117">
        <v>439</v>
      </c>
      <c r="CM100" s="117">
        <v>5713</v>
      </c>
      <c r="CN100" s="48">
        <v>8842</v>
      </c>
      <c r="CO100" s="46">
        <v>7372</v>
      </c>
      <c r="CP100" s="130">
        <v>703</v>
      </c>
      <c r="CQ100" s="46">
        <v>767</v>
      </c>
      <c r="CR100" s="148">
        <v>21.5</v>
      </c>
      <c r="CS100" s="44">
        <v>11057</v>
      </c>
      <c r="CT100">
        <v>2753</v>
      </c>
      <c r="CU100">
        <v>8717</v>
      </c>
      <c r="CV100">
        <v>9398</v>
      </c>
      <c r="CW100">
        <v>4022</v>
      </c>
      <c r="CX100">
        <v>57</v>
      </c>
      <c r="CY100">
        <v>7270</v>
      </c>
      <c r="CZ100">
        <v>675</v>
      </c>
      <c r="DA100">
        <v>772</v>
      </c>
      <c r="DB100">
        <v>593</v>
      </c>
      <c r="DC100">
        <v>-5726</v>
      </c>
      <c r="DD100">
        <v>884</v>
      </c>
      <c r="DE100">
        <v>18308</v>
      </c>
      <c r="DF100">
        <v>21505</v>
      </c>
      <c r="DG100">
        <v>-291</v>
      </c>
      <c r="DH100">
        <v>5455</v>
      </c>
      <c r="DI100">
        <v>21.5</v>
      </c>
      <c r="DJ100" s="174">
        <v>2748</v>
      </c>
      <c r="DK100" s="34">
        <v>8814</v>
      </c>
      <c r="DL100" s="34">
        <v>9002</v>
      </c>
      <c r="DM100">
        <v>3774</v>
      </c>
      <c r="DN100" s="173">
        <v>-10</v>
      </c>
      <c r="DO100" s="34">
        <v>7241</v>
      </c>
      <c r="DP100" s="173">
        <v>808</v>
      </c>
      <c r="DQ100" s="34">
        <v>765</v>
      </c>
      <c r="DR100" s="173">
        <v>-122</v>
      </c>
      <c r="DS100" s="173">
        <v>-3009</v>
      </c>
      <c r="DT100">
        <v>1336</v>
      </c>
      <c r="DU100">
        <v>21543</v>
      </c>
      <c r="DV100" s="173">
        <v>21702</v>
      </c>
      <c r="DW100" s="173">
        <v>-1458</v>
      </c>
      <c r="DX100" s="173">
        <v>3995</v>
      </c>
      <c r="DY100" s="57">
        <v>21.5</v>
      </c>
      <c r="DZ100" s="184">
        <v>330</v>
      </c>
      <c r="EA100" s="116">
        <v>2698</v>
      </c>
      <c r="EB100" s="48">
        <v>8917</v>
      </c>
      <c r="EC100" s="46">
        <v>8792</v>
      </c>
      <c r="ED100" s="90">
        <v>3562</v>
      </c>
      <c r="EE100" s="186">
        <v>-28</v>
      </c>
      <c r="EF100" s="46">
        <v>7329</v>
      </c>
      <c r="EG100" s="130">
        <v>806</v>
      </c>
      <c r="EH100" s="46">
        <v>782</v>
      </c>
      <c r="EI100" s="130">
        <v>-29</v>
      </c>
      <c r="EJ100" s="48">
        <v>-922</v>
      </c>
      <c r="EK100" s="44">
        <v>1365</v>
      </c>
      <c r="EL100" s="44">
        <v>21604</v>
      </c>
      <c r="EM100" s="130">
        <v>21272</v>
      </c>
      <c r="EN100" s="117">
        <v>-1394</v>
      </c>
      <c r="EO100" s="117">
        <v>2601</v>
      </c>
      <c r="EP100" s="129">
        <v>22</v>
      </c>
    </row>
    <row r="101" spans="1:146" ht="15" x14ac:dyDescent="0.25">
      <c r="A101" s="27">
        <v>276</v>
      </c>
      <c r="B101" s="27" t="s">
        <v>229</v>
      </c>
      <c r="C101" s="27">
        <v>12</v>
      </c>
      <c r="D101" s="27" t="s">
        <v>116</v>
      </c>
      <c r="E101" s="27">
        <v>4</v>
      </c>
      <c r="F101" s="27" t="s">
        <v>100</v>
      </c>
      <c r="G101" s="29">
        <v>2</v>
      </c>
      <c r="H101" s="27" t="s">
        <v>99</v>
      </c>
      <c r="I101" s="31" t="s">
        <v>116</v>
      </c>
      <c r="J101" s="118">
        <v>-625.82727436328253</v>
      </c>
      <c r="K101" s="118">
        <v>-948.74809316938376</v>
      </c>
      <c r="L101" s="118">
        <v>-1334.0666326927055</v>
      </c>
      <c r="M101" s="118">
        <v>420.30162822731609</v>
      </c>
      <c r="N101" s="22">
        <v>2695</v>
      </c>
      <c r="O101" s="119">
        <v>3586</v>
      </c>
      <c r="P101" s="119">
        <v>7607</v>
      </c>
      <c r="Q101" s="120">
        <v>5766</v>
      </c>
      <c r="R101" s="22">
        <v>6613</v>
      </c>
      <c r="S101" s="22">
        <v>7716</v>
      </c>
      <c r="T101" s="121">
        <v>9430</v>
      </c>
      <c r="U101" s="121">
        <v>10179</v>
      </c>
      <c r="V101" s="121">
        <v>12379</v>
      </c>
      <c r="W101" s="106">
        <v>14129</v>
      </c>
      <c r="X101" s="121">
        <v>12513</v>
      </c>
      <c r="Y101" s="121">
        <v>12345</v>
      </c>
      <c r="Z101" s="121">
        <v>11848</v>
      </c>
      <c r="AA101" s="121">
        <v>14389</v>
      </c>
      <c r="AB101" s="122">
        <v>17.75</v>
      </c>
      <c r="AC101" s="123">
        <v>18.25</v>
      </c>
      <c r="AD101" s="124">
        <v>18.25</v>
      </c>
      <c r="AE101" s="125">
        <v>18.25</v>
      </c>
      <c r="AF101" s="126">
        <v>18.75</v>
      </c>
      <c r="AG101" s="123">
        <v>18.75</v>
      </c>
      <c r="AH101" s="123">
        <v>18.75</v>
      </c>
      <c r="AI101" s="127">
        <v>18.75</v>
      </c>
      <c r="AJ101" s="127">
        <v>18.75</v>
      </c>
      <c r="AK101" s="22">
        <v>19</v>
      </c>
      <c r="AL101" s="128">
        <v>19</v>
      </c>
      <c r="AM101" s="128">
        <v>19</v>
      </c>
      <c r="AN101" s="128">
        <v>19</v>
      </c>
      <c r="AO101" s="77">
        <v>19.25</v>
      </c>
      <c r="AP101" s="77">
        <v>19.25</v>
      </c>
      <c r="AQ101" s="129">
        <v>19.75</v>
      </c>
      <c r="AR101" s="129">
        <v>19.75</v>
      </c>
      <c r="AS101" s="129">
        <v>20.5</v>
      </c>
      <c r="AT101" s="116">
        <v>14422</v>
      </c>
      <c r="AU101" s="47">
        <v>12613</v>
      </c>
      <c r="AV101" s="47">
        <v>75178</v>
      </c>
      <c r="AW101" s="46">
        <v>44885</v>
      </c>
      <c r="AX101" s="46">
        <v>23112</v>
      </c>
      <c r="AY101" s="92">
        <v>269</v>
      </c>
      <c r="AZ101" s="47">
        <v>4737</v>
      </c>
      <c r="BA101" s="44">
        <v>4986</v>
      </c>
      <c r="BB101" s="23">
        <v>-4540</v>
      </c>
      <c r="BC101" s="47">
        <v>-249</v>
      </c>
      <c r="BD101" s="44">
        <v>-169</v>
      </c>
      <c r="BE101" s="47">
        <v>12345</v>
      </c>
      <c r="BF101" s="44">
        <v>44885</v>
      </c>
      <c r="BG101" s="46">
        <v>41195</v>
      </c>
      <c r="BH101" s="130">
        <v>1665</v>
      </c>
      <c r="BI101" s="46">
        <v>2025</v>
      </c>
      <c r="BJ101" s="129">
        <v>19.75</v>
      </c>
      <c r="BK101" s="44">
        <v>49379</v>
      </c>
      <c r="BL101" s="116">
        <v>14681</v>
      </c>
      <c r="BM101" s="47">
        <v>13957</v>
      </c>
      <c r="BN101" s="130">
        <v>78407</v>
      </c>
      <c r="BO101" s="46">
        <v>46501</v>
      </c>
      <c r="BP101" s="46">
        <v>22243</v>
      </c>
      <c r="BQ101" s="46">
        <v>259</v>
      </c>
      <c r="BR101" s="130">
        <v>3640</v>
      </c>
      <c r="BS101" s="44">
        <v>4217</v>
      </c>
      <c r="BT101" s="92">
        <v>-4503</v>
      </c>
      <c r="BU101" s="117">
        <v>-497</v>
      </c>
      <c r="BV101" s="130">
        <v>11848</v>
      </c>
      <c r="BW101" s="48">
        <v>46501</v>
      </c>
      <c r="BX101" s="46">
        <v>42709</v>
      </c>
      <c r="BY101" s="130">
        <v>1643</v>
      </c>
      <c r="BZ101" s="46">
        <v>2149</v>
      </c>
      <c r="CA101" s="129">
        <v>19.75</v>
      </c>
      <c r="CB101" s="44">
        <v>44492</v>
      </c>
      <c r="CC101" s="116">
        <v>14827</v>
      </c>
      <c r="CD101" s="47">
        <v>13324</v>
      </c>
      <c r="CE101" s="130">
        <v>78562</v>
      </c>
      <c r="CF101" s="46">
        <v>50282</v>
      </c>
      <c r="CG101" s="46">
        <v>22194</v>
      </c>
      <c r="CH101" s="46">
        <v>512</v>
      </c>
      <c r="CI101" s="130">
        <v>6676</v>
      </c>
      <c r="CJ101" s="44">
        <v>4214</v>
      </c>
      <c r="CK101" s="117">
        <v>-3531</v>
      </c>
      <c r="CL101" s="117">
        <v>2542</v>
      </c>
      <c r="CM101" s="117">
        <v>14389</v>
      </c>
      <c r="CN101" s="48">
        <v>50282</v>
      </c>
      <c r="CO101" s="46">
        <v>45667</v>
      </c>
      <c r="CP101" s="130">
        <v>2104</v>
      </c>
      <c r="CQ101" s="46">
        <v>2511</v>
      </c>
      <c r="CR101" s="129">
        <v>20.5</v>
      </c>
      <c r="CS101" s="44">
        <v>43601</v>
      </c>
      <c r="CT101">
        <v>14806</v>
      </c>
      <c r="CU101">
        <v>50879</v>
      </c>
      <c r="CV101">
        <v>23860</v>
      </c>
      <c r="CW101">
        <v>13457</v>
      </c>
      <c r="CX101">
        <v>296</v>
      </c>
      <c r="CY101">
        <v>46273</v>
      </c>
      <c r="CZ101">
        <v>2005</v>
      </c>
      <c r="DA101">
        <v>2601</v>
      </c>
      <c r="DB101">
        <v>7360</v>
      </c>
      <c r="DC101">
        <v>4646</v>
      </c>
      <c r="DD101">
        <v>4085</v>
      </c>
      <c r="DE101">
        <v>39131</v>
      </c>
      <c r="DF101">
        <v>80369</v>
      </c>
      <c r="DG101">
        <v>3355</v>
      </c>
      <c r="DH101">
        <v>17744</v>
      </c>
      <c r="DI101">
        <v>20.5</v>
      </c>
      <c r="DJ101" s="174">
        <v>14830</v>
      </c>
      <c r="DK101" s="34">
        <v>50751</v>
      </c>
      <c r="DL101" s="34">
        <v>23393</v>
      </c>
      <c r="DM101">
        <v>11867</v>
      </c>
      <c r="DN101" s="173">
        <v>11</v>
      </c>
      <c r="DO101" s="34">
        <v>46157</v>
      </c>
      <c r="DP101" s="173">
        <v>1873</v>
      </c>
      <c r="DQ101" s="34">
        <v>2721</v>
      </c>
      <c r="DR101" s="173">
        <v>4919</v>
      </c>
      <c r="DS101" s="173">
        <v>-5084</v>
      </c>
      <c r="DT101">
        <v>3850</v>
      </c>
      <c r="DU101">
        <v>32452</v>
      </c>
      <c r="DV101" s="173">
        <v>80708</v>
      </c>
      <c r="DW101" s="173">
        <v>1544</v>
      </c>
      <c r="DX101" s="173">
        <v>19289</v>
      </c>
      <c r="DY101" s="57">
        <v>20.5</v>
      </c>
      <c r="DZ101" s="184">
        <v>220</v>
      </c>
      <c r="EA101" s="116">
        <v>14849</v>
      </c>
      <c r="EB101" s="48">
        <v>49314</v>
      </c>
      <c r="EC101" s="46">
        <v>23015</v>
      </c>
      <c r="ED101" s="90">
        <v>11689</v>
      </c>
      <c r="EE101" s="186">
        <v>-204</v>
      </c>
      <c r="EF101" s="46">
        <v>45058</v>
      </c>
      <c r="EG101" s="130">
        <v>1444</v>
      </c>
      <c r="EH101" s="46">
        <v>2812</v>
      </c>
      <c r="EI101" s="130">
        <v>90</v>
      </c>
      <c r="EJ101" s="48">
        <v>-6779</v>
      </c>
      <c r="EK101" s="44">
        <v>3829</v>
      </c>
      <c r="EL101" s="44">
        <v>36971</v>
      </c>
      <c r="EM101" s="130">
        <v>83688</v>
      </c>
      <c r="EN101" s="117">
        <v>-3623</v>
      </c>
      <c r="EO101" s="117">
        <v>15667</v>
      </c>
      <c r="EP101" s="129">
        <v>20.5</v>
      </c>
    </row>
    <row r="102" spans="1:146" ht="15" x14ac:dyDescent="0.25">
      <c r="A102" s="27">
        <v>280</v>
      </c>
      <c r="B102" s="27" t="s">
        <v>230</v>
      </c>
      <c r="C102" s="27">
        <v>15</v>
      </c>
      <c r="D102" s="27" t="s">
        <v>115</v>
      </c>
      <c r="E102" s="27">
        <v>2</v>
      </c>
      <c r="F102" s="27" t="s">
        <v>744</v>
      </c>
      <c r="G102" s="29" t="s">
        <v>130</v>
      </c>
      <c r="H102" s="27" t="s">
        <v>98</v>
      </c>
      <c r="I102" s="31" t="s">
        <v>115</v>
      </c>
      <c r="J102" s="118">
        <v>1443.0524090397646</v>
      </c>
      <c r="K102" s="118">
        <v>1818.7842367547803</v>
      </c>
      <c r="L102" s="118">
        <v>884.50030526108651</v>
      </c>
      <c r="M102" s="118">
        <v>1851.9172582676979</v>
      </c>
      <c r="N102" s="22">
        <v>2167</v>
      </c>
      <c r="O102" s="119">
        <v>2100</v>
      </c>
      <c r="P102" s="119">
        <v>1937</v>
      </c>
      <c r="Q102" s="120">
        <v>2185</v>
      </c>
      <c r="R102" s="22">
        <v>2313</v>
      </c>
      <c r="S102" s="22">
        <v>2676</v>
      </c>
      <c r="T102" s="121">
        <v>3287</v>
      </c>
      <c r="U102" s="121">
        <v>3642</v>
      </c>
      <c r="V102" s="121">
        <v>4101</v>
      </c>
      <c r="W102" s="106">
        <v>4472</v>
      </c>
      <c r="X102" s="121">
        <v>4483</v>
      </c>
      <c r="Y102" s="121">
        <v>4638</v>
      </c>
      <c r="Z102" s="121">
        <v>5002</v>
      </c>
      <c r="AA102" s="121">
        <v>4718</v>
      </c>
      <c r="AB102" s="122">
        <v>18.5</v>
      </c>
      <c r="AC102" s="123">
        <v>18.75</v>
      </c>
      <c r="AD102" s="124">
        <v>19</v>
      </c>
      <c r="AE102" s="125">
        <v>19.25</v>
      </c>
      <c r="AF102" s="126">
        <v>19.25</v>
      </c>
      <c r="AG102" s="123">
        <v>19.25</v>
      </c>
      <c r="AH102" s="123">
        <v>19.25</v>
      </c>
      <c r="AI102" s="127">
        <v>19.5</v>
      </c>
      <c r="AJ102" s="127">
        <v>19.5</v>
      </c>
      <c r="AK102" s="22">
        <v>19.75</v>
      </c>
      <c r="AL102" s="128">
        <v>19.75</v>
      </c>
      <c r="AM102" s="128">
        <v>19.75</v>
      </c>
      <c r="AN102" s="128">
        <v>19.75</v>
      </c>
      <c r="AO102" s="77">
        <v>19.75</v>
      </c>
      <c r="AP102" s="77">
        <v>19.75</v>
      </c>
      <c r="AQ102" s="129">
        <v>20</v>
      </c>
      <c r="AR102" s="129">
        <v>21</v>
      </c>
      <c r="AS102" s="129">
        <v>21</v>
      </c>
      <c r="AT102" s="116">
        <v>2218</v>
      </c>
      <c r="AU102" s="47">
        <v>2860</v>
      </c>
      <c r="AV102" s="47">
        <v>15528</v>
      </c>
      <c r="AW102" s="46">
        <v>6959</v>
      </c>
      <c r="AX102" s="46">
        <v>6336</v>
      </c>
      <c r="AY102" s="92">
        <v>26</v>
      </c>
      <c r="AZ102" s="47">
        <v>631</v>
      </c>
      <c r="BA102" s="44">
        <v>791</v>
      </c>
      <c r="BB102" s="23">
        <v>-1521</v>
      </c>
      <c r="BC102" s="47">
        <v>-160</v>
      </c>
      <c r="BD102" s="44">
        <v>155</v>
      </c>
      <c r="BE102" s="47">
        <v>4638</v>
      </c>
      <c r="BF102" s="44">
        <v>6959</v>
      </c>
      <c r="BG102" s="46">
        <v>5699</v>
      </c>
      <c r="BH102" s="130">
        <v>764</v>
      </c>
      <c r="BI102" s="46">
        <v>496</v>
      </c>
      <c r="BJ102" s="129">
        <v>20</v>
      </c>
      <c r="BK102" s="44">
        <v>1086</v>
      </c>
      <c r="BL102" s="116">
        <v>2219</v>
      </c>
      <c r="BM102" s="47">
        <v>2845</v>
      </c>
      <c r="BN102" s="130">
        <v>15789</v>
      </c>
      <c r="BO102" s="46">
        <v>7915</v>
      </c>
      <c r="BP102" s="46">
        <v>6188</v>
      </c>
      <c r="BQ102" s="46">
        <v>20</v>
      </c>
      <c r="BR102" s="130">
        <v>1142</v>
      </c>
      <c r="BS102" s="44">
        <v>834</v>
      </c>
      <c r="BT102" s="92">
        <v>-1508</v>
      </c>
      <c r="BU102" s="117">
        <v>364</v>
      </c>
      <c r="BV102" s="130">
        <v>5002</v>
      </c>
      <c r="BW102" s="48">
        <v>7915</v>
      </c>
      <c r="BX102" s="46">
        <v>6440</v>
      </c>
      <c r="BY102" s="130">
        <v>835</v>
      </c>
      <c r="BZ102" s="46">
        <v>640</v>
      </c>
      <c r="CA102" s="129">
        <v>21</v>
      </c>
      <c r="CB102" s="44">
        <v>1302</v>
      </c>
      <c r="CC102" s="116">
        <v>2201</v>
      </c>
      <c r="CD102" s="47">
        <v>2666</v>
      </c>
      <c r="CE102" s="130">
        <v>15292</v>
      </c>
      <c r="CF102" s="46">
        <v>6631</v>
      </c>
      <c r="CG102" s="46">
        <v>6345</v>
      </c>
      <c r="CH102" s="46">
        <v>20</v>
      </c>
      <c r="CI102" s="130">
        <v>334</v>
      </c>
      <c r="CJ102" s="44">
        <v>936</v>
      </c>
      <c r="CK102" s="117">
        <v>-1284</v>
      </c>
      <c r="CL102" s="117">
        <v>-284</v>
      </c>
      <c r="CM102" s="117">
        <v>4718</v>
      </c>
      <c r="CN102" s="48">
        <v>6631</v>
      </c>
      <c r="CO102" s="46">
        <v>5014</v>
      </c>
      <c r="CP102" s="130">
        <v>969</v>
      </c>
      <c r="CQ102" s="46">
        <v>648</v>
      </c>
      <c r="CR102" s="129">
        <v>21</v>
      </c>
      <c r="CS102" s="44">
        <v>1546</v>
      </c>
      <c r="CT102">
        <v>2171</v>
      </c>
      <c r="CU102">
        <v>7043</v>
      </c>
      <c r="CV102">
        <v>7121</v>
      </c>
      <c r="CW102">
        <v>2764</v>
      </c>
      <c r="CX102">
        <v>5</v>
      </c>
      <c r="CY102">
        <v>5467</v>
      </c>
      <c r="CZ102">
        <v>882</v>
      </c>
      <c r="DA102">
        <v>694</v>
      </c>
      <c r="DB102">
        <v>1964</v>
      </c>
      <c r="DC102">
        <v>-1375</v>
      </c>
      <c r="DD102">
        <v>978</v>
      </c>
      <c r="DE102">
        <v>1818</v>
      </c>
      <c r="DF102">
        <v>14929</v>
      </c>
      <c r="DG102">
        <v>283</v>
      </c>
      <c r="DH102">
        <v>5001</v>
      </c>
      <c r="DI102">
        <v>21</v>
      </c>
      <c r="DJ102" s="174">
        <v>2154</v>
      </c>
      <c r="DK102" s="34">
        <v>7091</v>
      </c>
      <c r="DL102" s="34">
        <v>6824</v>
      </c>
      <c r="DM102">
        <v>2609</v>
      </c>
      <c r="DN102" s="173">
        <v>-15</v>
      </c>
      <c r="DO102" s="34">
        <v>5407</v>
      </c>
      <c r="DP102" s="173">
        <v>975</v>
      </c>
      <c r="DQ102" s="34">
        <v>709</v>
      </c>
      <c r="DR102" s="173">
        <v>1492</v>
      </c>
      <c r="DS102" s="173">
        <v>-1306</v>
      </c>
      <c r="DT102">
        <v>960</v>
      </c>
      <c r="DU102">
        <v>1590</v>
      </c>
      <c r="DV102" s="173">
        <v>15017</v>
      </c>
      <c r="DW102" s="173">
        <v>343</v>
      </c>
      <c r="DX102" s="173">
        <v>5344</v>
      </c>
      <c r="DY102" s="57">
        <v>21</v>
      </c>
      <c r="DZ102" s="184">
        <v>340</v>
      </c>
      <c r="EA102" s="116">
        <v>2122</v>
      </c>
      <c r="EB102" s="48">
        <v>6639</v>
      </c>
      <c r="EC102" s="46">
        <v>6535</v>
      </c>
      <c r="ED102" s="90">
        <v>2525</v>
      </c>
      <c r="EE102" s="186">
        <v>-21</v>
      </c>
      <c r="EF102" s="46">
        <v>5066</v>
      </c>
      <c r="EG102" s="130">
        <v>852</v>
      </c>
      <c r="EH102" s="46">
        <v>721</v>
      </c>
      <c r="EI102" s="130">
        <v>501</v>
      </c>
      <c r="EJ102" s="48">
        <v>-667</v>
      </c>
      <c r="EK102" s="44">
        <v>1035</v>
      </c>
      <c r="EL102" s="44">
        <v>862</v>
      </c>
      <c r="EM102" s="130">
        <v>15177</v>
      </c>
      <c r="EN102" s="117">
        <v>-214</v>
      </c>
      <c r="EO102" s="117">
        <v>5130</v>
      </c>
      <c r="EP102" s="129">
        <v>21</v>
      </c>
    </row>
    <row r="103" spans="1:146" ht="15" x14ac:dyDescent="0.25">
      <c r="A103" s="27">
        <v>284</v>
      </c>
      <c r="B103" s="27" t="s">
        <v>231</v>
      </c>
      <c r="C103" s="27">
        <v>2</v>
      </c>
      <c r="D103" s="27" t="s">
        <v>122</v>
      </c>
      <c r="E103" s="27">
        <v>2</v>
      </c>
      <c r="F103" s="27" t="s">
        <v>744</v>
      </c>
      <c r="G103" s="29" t="s">
        <v>130</v>
      </c>
      <c r="H103" s="27" t="s">
        <v>98</v>
      </c>
      <c r="I103" s="31" t="s">
        <v>122</v>
      </c>
      <c r="J103" s="118">
        <v>2480.267351527903</v>
      </c>
      <c r="K103" s="118">
        <v>2629.4500422992633</v>
      </c>
      <c r="L103" s="118">
        <v>2629.2818543728017</v>
      </c>
      <c r="M103" s="118">
        <v>3157.0555676090239</v>
      </c>
      <c r="N103" s="22">
        <v>3401</v>
      </c>
      <c r="O103" s="119">
        <v>3489</v>
      </c>
      <c r="P103" s="119">
        <v>3019</v>
      </c>
      <c r="Q103" s="120">
        <v>2660</v>
      </c>
      <c r="R103" s="22">
        <v>2570</v>
      </c>
      <c r="S103" s="22">
        <v>1877</v>
      </c>
      <c r="T103" s="121">
        <v>1756</v>
      </c>
      <c r="U103" s="121">
        <v>1692</v>
      </c>
      <c r="V103" s="121">
        <v>1980</v>
      </c>
      <c r="W103" s="106">
        <v>2227</v>
      </c>
      <c r="X103" s="121">
        <v>2443</v>
      </c>
      <c r="Y103" s="121">
        <v>2993</v>
      </c>
      <c r="Z103" s="121">
        <v>3467</v>
      </c>
      <c r="AA103" s="121">
        <v>3716</v>
      </c>
      <c r="AB103" s="122">
        <v>17</v>
      </c>
      <c r="AC103" s="123">
        <v>17</v>
      </c>
      <c r="AD103" s="124">
        <v>17</v>
      </c>
      <c r="AE103" s="125">
        <v>17</v>
      </c>
      <c r="AF103" s="126">
        <v>17.5</v>
      </c>
      <c r="AG103" s="123">
        <v>17.5</v>
      </c>
      <c r="AH103" s="123">
        <v>17.5</v>
      </c>
      <c r="AI103" s="131">
        <v>17.5</v>
      </c>
      <c r="AJ103" s="131">
        <v>18</v>
      </c>
      <c r="AK103" s="22">
        <v>18</v>
      </c>
      <c r="AL103" s="128">
        <v>18.5</v>
      </c>
      <c r="AM103" s="128">
        <v>18.5</v>
      </c>
      <c r="AN103" s="128">
        <v>19</v>
      </c>
      <c r="AO103" s="77">
        <v>19</v>
      </c>
      <c r="AP103" s="77">
        <v>19</v>
      </c>
      <c r="AQ103" s="129">
        <v>19.5</v>
      </c>
      <c r="AR103" s="129">
        <v>19.5</v>
      </c>
      <c r="AS103" s="129">
        <v>19.5</v>
      </c>
      <c r="AT103" s="116">
        <v>2423</v>
      </c>
      <c r="AU103" s="47">
        <v>2943</v>
      </c>
      <c r="AV103" s="47">
        <v>15467</v>
      </c>
      <c r="AW103" s="46">
        <v>6482</v>
      </c>
      <c r="AX103" s="46">
        <v>7450</v>
      </c>
      <c r="AY103" s="92">
        <v>361</v>
      </c>
      <c r="AZ103" s="47">
        <v>1465</v>
      </c>
      <c r="BA103" s="44">
        <v>595</v>
      </c>
      <c r="BB103" s="23">
        <v>-1455</v>
      </c>
      <c r="BC103" s="47">
        <v>1174</v>
      </c>
      <c r="BD103" s="44">
        <v>550</v>
      </c>
      <c r="BE103" s="47">
        <v>2993</v>
      </c>
      <c r="BF103" s="44">
        <v>6482</v>
      </c>
      <c r="BG103" s="46">
        <v>5828</v>
      </c>
      <c r="BH103" s="130">
        <v>315</v>
      </c>
      <c r="BI103" s="46">
        <v>339</v>
      </c>
      <c r="BJ103" s="129">
        <v>19.5</v>
      </c>
      <c r="BK103" s="44">
        <v>400</v>
      </c>
      <c r="BL103" s="116">
        <v>2438</v>
      </c>
      <c r="BM103" s="47">
        <v>3006</v>
      </c>
      <c r="BN103" s="130">
        <v>15927</v>
      </c>
      <c r="BO103" s="46">
        <v>6574</v>
      </c>
      <c r="BP103" s="46">
        <v>7424</v>
      </c>
      <c r="BQ103" s="46">
        <v>70</v>
      </c>
      <c r="BR103" s="130">
        <v>1147</v>
      </c>
      <c r="BS103" s="44">
        <v>597</v>
      </c>
      <c r="BT103" s="92">
        <v>-1080</v>
      </c>
      <c r="BU103" s="117">
        <v>475</v>
      </c>
      <c r="BV103" s="130">
        <v>3467</v>
      </c>
      <c r="BW103" s="48">
        <v>6574</v>
      </c>
      <c r="BX103" s="46">
        <v>5856</v>
      </c>
      <c r="BY103" s="130">
        <v>345</v>
      </c>
      <c r="BZ103" s="46">
        <v>373</v>
      </c>
      <c r="CA103" s="129">
        <v>19.5</v>
      </c>
      <c r="CB103" s="44">
        <v>300</v>
      </c>
      <c r="CC103" s="116">
        <v>2399</v>
      </c>
      <c r="CD103" s="47">
        <v>3140</v>
      </c>
      <c r="CE103" s="130">
        <v>16619</v>
      </c>
      <c r="CF103" s="46">
        <v>6869</v>
      </c>
      <c r="CG103" s="46">
        <v>7425</v>
      </c>
      <c r="CH103" s="46">
        <v>53</v>
      </c>
      <c r="CI103" s="130">
        <v>852</v>
      </c>
      <c r="CJ103" s="44">
        <v>629</v>
      </c>
      <c r="CK103" s="117">
        <v>-700</v>
      </c>
      <c r="CL103" s="117">
        <v>249</v>
      </c>
      <c r="CM103" s="117">
        <v>3716</v>
      </c>
      <c r="CN103" s="48">
        <v>6869</v>
      </c>
      <c r="CO103" s="46">
        <v>6010</v>
      </c>
      <c r="CP103" s="130">
        <v>379</v>
      </c>
      <c r="CQ103" s="46">
        <v>480</v>
      </c>
      <c r="CR103" s="129">
        <v>19.5</v>
      </c>
      <c r="CS103" s="44">
        <v>200</v>
      </c>
      <c r="CT103">
        <v>2416</v>
      </c>
      <c r="CU103">
        <v>6787</v>
      </c>
      <c r="CV103">
        <v>7515</v>
      </c>
      <c r="CW103">
        <v>3412</v>
      </c>
      <c r="CX103">
        <v>34</v>
      </c>
      <c r="CY103">
        <v>5938</v>
      </c>
      <c r="CZ103">
        <v>374</v>
      </c>
      <c r="DA103">
        <v>475</v>
      </c>
      <c r="DB103">
        <v>870</v>
      </c>
      <c r="DC103">
        <v>-1371</v>
      </c>
      <c r="DD103">
        <v>664</v>
      </c>
      <c r="DE103">
        <v>100</v>
      </c>
      <c r="DF103">
        <v>16878</v>
      </c>
      <c r="DG103">
        <v>243</v>
      </c>
      <c r="DH103">
        <v>3959</v>
      </c>
      <c r="DI103">
        <v>19.5</v>
      </c>
      <c r="DJ103" s="174">
        <v>2359</v>
      </c>
      <c r="DK103" s="34">
        <v>7438</v>
      </c>
      <c r="DL103" s="34">
        <v>7397</v>
      </c>
      <c r="DM103">
        <v>3364</v>
      </c>
      <c r="DN103" s="173">
        <v>27</v>
      </c>
      <c r="DO103" s="34">
        <v>6359</v>
      </c>
      <c r="DP103" s="173">
        <v>543</v>
      </c>
      <c r="DQ103" s="34">
        <v>536</v>
      </c>
      <c r="DR103" s="173">
        <v>1533</v>
      </c>
      <c r="DS103" s="173">
        <v>-1644</v>
      </c>
      <c r="DT103">
        <v>695</v>
      </c>
      <c r="DU103">
        <v>0</v>
      </c>
      <c r="DV103" s="173">
        <v>16693</v>
      </c>
      <c r="DW103" s="173">
        <v>376</v>
      </c>
      <c r="DX103" s="173">
        <v>4335</v>
      </c>
      <c r="DY103" s="57">
        <v>19.5</v>
      </c>
      <c r="DZ103" s="184">
        <v>340</v>
      </c>
      <c r="EA103" s="116">
        <v>2340</v>
      </c>
      <c r="EB103" s="48">
        <v>6712</v>
      </c>
      <c r="EC103" s="46">
        <v>7517</v>
      </c>
      <c r="ED103" s="90">
        <v>3312</v>
      </c>
      <c r="EE103" s="186">
        <v>18</v>
      </c>
      <c r="EF103" s="46">
        <v>5587</v>
      </c>
      <c r="EG103" s="130">
        <v>599</v>
      </c>
      <c r="EH103" s="46">
        <v>526</v>
      </c>
      <c r="EI103" s="130">
        <v>-61</v>
      </c>
      <c r="EJ103" s="48">
        <v>-1008</v>
      </c>
      <c r="EK103" s="44">
        <v>793</v>
      </c>
      <c r="EL103" s="44">
        <v>0</v>
      </c>
      <c r="EM103" s="130">
        <v>17620</v>
      </c>
      <c r="EN103" s="117">
        <v>-814</v>
      </c>
      <c r="EO103" s="117">
        <v>3520</v>
      </c>
      <c r="EP103" s="129">
        <v>19.5</v>
      </c>
    </row>
    <row r="104" spans="1:146" ht="15" x14ac:dyDescent="0.25">
      <c r="A104" s="27">
        <v>285</v>
      </c>
      <c r="B104" s="27" t="s">
        <v>232</v>
      </c>
      <c r="C104" s="27">
        <v>8</v>
      </c>
      <c r="D104" s="27" t="s">
        <v>112</v>
      </c>
      <c r="E104" s="27">
        <v>6</v>
      </c>
      <c r="F104" s="27" t="s">
        <v>102</v>
      </c>
      <c r="G104" s="29" t="s">
        <v>141</v>
      </c>
      <c r="H104" s="27" t="s">
        <v>97</v>
      </c>
      <c r="I104" s="31" t="s">
        <v>112</v>
      </c>
      <c r="J104" s="118">
        <v>-4590.6894527669438</v>
      </c>
      <c r="K104" s="118">
        <v>-3322.384299320689</v>
      </c>
      <c r="L104" s="118">
        <v>-8793.0329833342585</v>
      </c>
      <c r="M104" s="118">
        <v>-10635.195341867189</v>
      </c>
      <c r="N104" s="177">
        <v>5245</v>
      </c>
      <c r="O104" s="119">
        <v>12370</v>
      </c>
      <c r="P104" s="119">
        <v>8019</v>
      </c>
      <c r="Q104" s="120">
        <v>-4067</v>
      </c>
      <c r="R104" s="177">
        <v>-9022</v>
      </c>
      <c r="S104" s="177">
        <v>-9435</v>
      </c>
      <c r="T104" s="121">
        <v>-5645</v>
      </c>
      <c r="U104" s="121">
        <v>-10546</v>
      </c>
      <c r="V104" s="121">
        <v>-4398</v>
      </c>
      <c r="W104" s="106">
        <v>-3892</v>
      </c>
      <c r="X104" s="121">
        <v>-30092</v>
      </c>
      <c r="Y104" s="121">
        <v>-42819</v>
      </c>
      <c r="Z104" s="121">
        <v>-32750</v>
      </c>
      <c r="AA104" s="121">
        <v>-41277</v>
      </c>
      <c r="AB104" s="122">
        <v>17.5</v>
      </c>
      <c r="AC104" s="123">
        <v>17.5</v>
      </c>
      <c r="AD104" s="124">
        <v>18</v>
      </c>
      <c r="AE104" s="125">
        <v>18</v>
      </c>
      <c r="AF104" s="126">
        <v>18</v>
      </c>
      <c r="AG104" s="123">
        <v>18</v>
      </c>
      <c r="AH104" s="123">
        <v>18</v>
      </c>
      <c r="AI104" s="127">
        <v>18.75</v>
      </c>
      <c r="AJ104" s="127">
        <v>18.75</v>
      </c>
      <c r="AK104" s="177">
        <v>18.75</v>
      </c>
      <c r="AL104" s="128">
        <v>19.5</v>
      </c>
      <c r="AM104" s="128">
        <v>19.5</v>
      </c>
      <c r="AN104" s="128">
        <v>19.5</v>
      </c>
      <c r="AO104" s="77">
        <v>19.5</v>
      </c>
      <c r="AP104" s="77">
        <v>19.5</v>
      </c>
      <c r="AQ104" s="129">
        <v>20.5</v>
      </c>
      <c r="AR104" s="129">
        <v>20.5</v>
      </c>
      <c r="AS104" s="129">
        <v>20.5</v>
      </c>
      <c r="AT104" s="116">
        <v>54771</v>
      </c>
      <c r="AU104" s="47">
        <v>92287</v>
      </c>
      <c r="AV104" s="47">
        <v>385446</v>
      </c>
      <c r="AW104" s="46">
        <v>207652</v>
      </c>
      <c r="AX104" s="46">
        <v>90210</v>
      </c>
      <c r="AY104" s="92">
        <v>5826</v>
      </c>
      <c r="AZ104" s="47">
        <v>5964</v>
      </c>
      <c r="BA104" s="44">
        <v>21345</v>
      </c>
      <c r="BB104" s="23">
        <v>-12035</v>
      </c>
      <c r="BC104" s="47">
        <v>-13954</v>
      </c>
      <c r="BD104" s="44">
        <v>-12727</v>
      </c>
      <c r="BE104" s="47">
        <v>-42819</v>
      </c>
      <c r="BF104" s="44">
        <v>207652</v>
      </c>
      <c r="BG104" s="46">
        <v>185757</v>
      </c>
      <c r="BH104" s="130">
        <v>8583</v>
      </c>
      <c r="BI104" s="46">
        <v>13312</v>
      </c>
      <c r="BJ104" s="129">
        <v>20.5</v>
      </c>
      <c r="BK104" s="44">
        <v>253273</v>
      </c>
      <c r="BL104" s="116">
        <v>54518</v>
      </c>
      <c r="BM104" s="47">
        <v>94191</v>
      </c>
      <c r="BN104" s="130">
        <v>388050</v>
      </c>
      <c r="BO104" s="46">
        <v>209467</v>
      </c>
      <c r="BP104" s="46">
        <v>91082</v>
      </c>
      <c r="BQ104" s="46">
        <v>22925</v>
      </c>
      <c r="BR104" s="130">
        <v>7378</v>
      </c>
      <c r="BS104" s="44">
        <v>20524</v>
      </c>
      <c r="BT104" s="92">
        <v>-18675</v>
      </c>
      <c r="BU104" s="117">
        <v>10069</v>
      </c>
      <c r="BV104" s="130">
        <v>-32750</v>
      </c>
      <c r="BW104" s="48">
        <v>209467</v>
      </c>
      <c r="BX104" s="46">
        <v>184750</v>
      </c>
      <c r="BY104" s="130">
        <v>10842</v>
      </c>
      <c r="BZ104" s="46">
        <v>13875</v>
      </c>
      <c r="CA104" s="129">
        <v>20.5</v>
      </c>
      <c r="CB104" s="44">
        <v>266382</v>
      </c>
      <c r="CC104" s="116">
        <v>54319</v>
      </c>
      <c r="CD104" s="47">
        <v>90753</v>
      </c>
      <c r="CE104" s="130">
        <v>390951</v>
      </c>
      <c r="CF104" s="46">
        <v>211078</v>
      </c>
      <c r="CG104" s="46">
        <v>96737</v>
      </c>
      <c r="CH104" s="46">
        <v>11109</v>
      </c>
      <c r="CI104" s="130">
        <v>9886</v>
      </c>
      <c r="CJ104" s="44">
        <v>18684</v>
      </c>
      <c r="CK104" s="117">
        <v>-22621</v>
      </c>
      <c r="CL104" s="117">
        <v>-8527</v>
      </c>
      <c r="CM104" s="117">
        <v>-41277</v>
      </c>
      <c r="CN104" s="48">
        <v>211078</v>
      </c>
      <c r="CO104" s="46">
        <v>185520</v>
      </c>
      <c r="CP104" s="130">
        <v>10334</v>
      </c>
      <c r="CQ104" s="46">
        <v>15224</v>
      </c>
      <c r="CR104" s="129">
        <v>20.5</v>
      </c>
      <c r="CS104" s="44">
        <v>281271</v>
      </c>
      <c r="CT104">
        <v>54187</v>
      </c>
      <c r="CU104">
        <v>209578</v>
      </c>
      <c r="CV104">
        <v>106309</v>
      </c>
      <c r="CW104">
        <v>94611</v>
      </c>
      <c r="CX104">
        <v>3932</v>
      </c>
      <c r="CY104">
        <v>185958</v>
      </c>
      <c r="CZ104">
        <v>8225</v>
      </c>
      <c r="DA104">
        <v>15395</v>
      </c>
      <c r="DB104">
        <v>14707</v>
      </c>
      <c r="DC104">
        <v>-18844</v>
      </c>
      <c r="DD104">
        <v>21888</v>
      </c>
      <c r="DE104">
        <v>310433</v>
      </c>
      <c r="DF104">
        <v>397740</v>
      </c>
      <c r="DG104">
        <v>-6752</v>
      </c>
      <c r="DH104">
        <v>-48029</v>
      </c>
      <c r="DI104">
        <v>20.5</v>
      </c>
      <c r="DJ104" s="174">
        <v>53539</v>
      </c>
      <c r="DK104" s="34">
        <v>216188</v>
      </c>
      <c r="DL104" s="34">
        <v>106223</v>
      </c>
      <c r="DM104">
        <v>86553</v>
      </c>
      <c r="DN104" s="173">
        <v>42882</v>
      </c>
      <c r="DO104" s="34">
        <v>191014</v>
      </c>
      <c r="DP104" s="173">
        <v>10128</v>
      </c>
      <c r="DQ104" s="34">
        <v>15046</v>
      </c>
      <c r="DR104" s="173">
        <v>28889</v>
      </c>
      <c r="DS104" s="173">
        <v>19210</v>
      </c>
      <c r="DT104">
        <v>26616</v>
      </c>
      <c r="DU104">
        <v>300666</v>
      </c>
      <c r="DV104" s="173">
        <v>381106</v>
      </c>
      <c r="DW104" s="173">
        <v>41741</v>
      </c>
      <c r="DX104" s="173">
        <v>-6259</v>
      </c>
      <c r="DY104" s="57">
        <v>21.5</v>
      </c>
      <c r="DZ104" s="184">
        <v>140</v>
      </c>
      <c r="EA104" s="116">
        <v>52883</v>
      </c>
      <c r="EB104" s="48">
        <v>212482</v>
      </c>
      <c r="EC104" s="46">
        <v>112200</v>
      </c>
      <c r="ED104" s="90">
        <v>86184</v>
      </c>
      <c r="EE104" s="186">
        <v>8058</v>
      </c>
      <c r="EF104" s="46">
        <v>187770</v>
      </c>
      <c r="EG104" s="130">
        <v>9500</v>
      </c>
      <c r="EH104" s="46">
        <v>15212</v>
      </c>
      <c r="EI104" s="130">
        <v>11937</v>
      </c>
      <c r="EJ104" s="48">
        <v>-13650</v>
      </c>
      <c r="EK104" s="44">
        <v>20032</v>
      </c>
      <c r="EL104" s="44">
        <v>322101</v>
      </c>
      <c r="EM104" s="130">
        <v>399115</v>
      </c>
      <c r="EN104" s="117">
        <v>48</v>
      </c>
      <c r="EO104" s="117">
        <v>-6211</v>
      </c>
      <c r="EP104" s="129">
        <v>21.5</v>
      </c>
    </row>
    <row r="105" spans="1:146" ht="15" x14ac:dyDescent="0.25">
      <c r="A105" s="27">
        <v>286</v>
      </c>
      <c r="B105" s="27" t="s">
        <v>233</v>
      </c>
      <c r="C105" s="27">
        <v>8</v>
      </c>
      <c r="D105" s="27" t="s">
        <v>112</v>
      </c>
      <c r="E105" s="27">
        <v>6</v>
      </c>
      <c r="F105" s="27" t="s">
        <v>102</v>
      </c>
      <c r="G105" s="29" t="s">
        <v>141</v>
      </c>
      <c r="H105" s="27" t="s">
        <v>97</v>
      </c>
      <c r="I105" s="31" t="s">
        <v>112</v>
      </c>
      <c r="J105" s="118">
        <v>-2062.6567301239711</v>
      </c>
      <c r="K105" s="118">
        <v>1669.0969822040354</v>
      </c>
      <c r="L105" s="118">
        <v>2220.4170051448687</v>
      </c>
      <c r="M105" s="118">
        <v>4032.64191276765</v>
      </c>
      <c r="N105" s="22">
        <v>7982</v>
      </c>
      <c r="O105" s="119">
        <v>8753</v>
      </c>
      <c r="P105" s="119">
        <v>8978</v>
      </c>
      <c r="Q105" s="120">
        <v>10225</v>
      </c>
      <c r="R105" s="22">
        <v>13538</v>
      </c>
      <c r="S105" s="22">
        <v>14239</v>
      </c>
      <c r="T105" s="121">
        <v>13702</v>
      </c>
      <c r="U105" s="121">
        <v>0</v>
      </c>
      <c r="V105" s="121">
        <v>2892</v>
      </c>
      <c r="W105" s="106">
        <v>1646</v>
      </c>
      <c r="X105" s="121">
        <v>-8532</v>
      </c>
      <c r="Y105" s="121">
        <v>-4619</v>
      </c>
      <c r="Z105" s="121">
        <v>3408</v>
      </c>
      <c r="AA105" s="121">
        <v>-954</v>
      </c>
      <c r="AB105" s="122">
        <v>18</v>
      </c>
      <c r="AC105" s="123">
        <v>18</v>
      </c>
      <c r="AD105" s="124">
        <v>18</v>
      </c>
      <c r="AE105" s="125">
        <v>18</v>
      </c>
      <c r="AF105" s="126">
        <v>18</v>
      </c>
      <c r="AG105" s="123">
        <v>19</v>
      </c>
      <c r="AH105" s="123">
        <v>19</v>
      </c>
      <c r="AI105" s="131">
        <v>19</v>
      </c>
      <c r="AJ105" s="131">
        <v>19</v>
      </c>
      <c r="AK105" s="22">
        <v>19</v>
      </c>
      <c r="AL105" s="128">
        <v>19</v>
      </c>
      <c r="AM105" s="128">
        <v>19</v>
      </c>
      <c r="AN105" s="128">
        <v>19</v>
      </c>
      <c r="AO105" s="77">
        <v>20</v>
      </c>
      <c r="AP105" s="77">
        <v>20</v>
      </c>
      <c r="AQ105" s="129">
        <v>20</v>
      </c>
      <c r="AR105" s="129">
        <v>20</v>
      </c>
      <c r="AS105" s="129">
        <v>20.5</v>
      </c>
      <c r="AT105" s="116">
        <v>86926</v>
      </c>
      <c r="AU105" s="47">
        <v>94363</v>
      </c>
      <c r="AV105" s="47">
        <v>567273</v>
      </c>
      <c r="AW105" s="46">
        <v>326022</v>
      </c>
      <c r="AX105" s="46">
        <v>164042</v>
      </c>
      <c r="AY105" s="92">
        <v>8565</v>
      </c>
      <c r="AZ105" s="47">
        <v>24368</v>
      </c>
      <c r="BA105" s="44">
        <v>20556</v>
      </c>
      <c r="BB105" s="23">
        <v>-33451</v>
      </c>
      <c r="BC105" s="47">
        <v>3812</v>
      </c>
      <c r="BD105" s="44">
        <v>3914</v>
      </c>
      <c r="BE105" s="47">
        <v>-4619</v>
      </c>
      <c r="BF105" s="44">
        <v>326022</v>
      </c>
      <c r="BG105" s="46">
        <v>286092</v>
      </c>
      <c r="BH105" s="130">
        <v>16241</v>
      </c>
      <c r="BI105" s="46">
        <v>23689</v>
      </c>
      <c r="BJ105" s="129">
        <v>20</v>
      </c>
      <c r="BK105" s="44">
        <v>186118</v>
      </c>
      <c r="BL105" s="116">
        <v>86453</v>
      </c>
      <c r="BM105" s="47">
        <v>93311</v>
      </c>
      <c r="BN105" s="130">
        <v>580690</v>
      </c>
      <c r="BO105" s="46">
        <v>322188</v>
      </c>
      <c r="BP105" s="46">
        <v>163960</v>
      </c>
      <c r="BQ105" s="46">
        <v>34343</v>
      </c>
      <c r="BR105" s="130">
        <v>5515</v>
      </c>
      <c r="BS105" s="44">
        <v>23019</v>
      </c>
      <c r="BT105" s="92">
        <v>700</v>
      </c>
      <c r="BU105" s="117">
        <v>8327</v>
      </c>
      <c r="BV105" s="130">
        <v>3408</v>
      </c>
      <c r="BW105" s="48">
        <v>322188</v>
      </c>
      <c r="BX105" s="46">
        <v>278689</v>
      </c>
      <c r="BY105" s="130">
        <v>18159</v>
      </c>
      <c r="BZ105" s="46">
        <v>25340</v>
      </c>
      <c r="CA105" s="129">
        <v>20</v>
      </c>
      <c r="CB105" s="44">
        <v>178913</v>
      </c>
      <c r="CC105" s="116">
        <v>85855</v>
      </c>
      <c r="CD105" s="47">
        <v>77332</v>
      </c>
      <c r="CE105" s="130">
        <v>570794</v>
      </c>
      <c r="CF105" s="46">
        <v>332743</v>
      </c>
      <c r="CG105" s="46">
        <v>166672</v>
      </c>
      <c r="CH105" s="46">
        <v>18779</v>
      </c>
      <c r="CI105" s="130">
        <v>14582</v>
      </c>
      <c r="CJ105" s="44">
        <v>20923</v>
      </c>
      <c r="CK105" s="117">
        <v>-23379</v>
      </c>
      <c r="CL105" s="117">
        <v>-4363</v>
      </c>
      <c r="CM105" s="117">
        <v>-954</v>
      </c>
      <c r="CN105" s="48">
        <v>332743</v>
      </c>
      <c r="CO105" s="46">
        <v>288291</v>
      </c>
      <c r="CP105" s="130">
        <v>19392</v>
      </c>
      <c r="CQ105" s="46">
        <v>25060</v>
      </c>
      <c r="CR105" s="129">
        <v>20.5</v>
      </c>
      <c r="CS105" s="44">
        <v>203512</v>
      </c>
      <c r="CT105">
        <v>85306</v>
      </c>
      <c r="CU105">
        <v>340900</v>
      </c>
      <c r="CV105">
        <v>175852</v>
      </c>
      <c r="CW105">
        <v>78574</v>
      </c>
      <c r="CX105">
        <v>8955</v>
      </c>
      <c r="CY105">
        <v>294657</v>
      </c>
      <c r="CZ105">
        <v>17467</v>
      </c>
      <c r="DA105">
        <v>28776</v>
      </c>
      <c r="DB105">
        <v>24625</v>
      </c>
      <c r="DC105">
        <v>-18700</v>
      </c>
      <c r="DD105">
        <v>20424</v>
      </c>
      <c r="DE105">
        <v>182451</v>
      </c>
      <c r="DF105">
        <v>577446</v>
      </c>
      <c r="DG105">
        <v>5798</v>
      </c>
      <c r="DH105">
        <v>4843</v>
      </c>
      <c r="DI105">
        <v>20.75</v>
      </c>
      <c r="DJ105" s="174">
        <v>84196</v>
      </c>
      <c r="DK105" s="34">
        <v>338135</v>
      </c>
      <c r="DL105" s="34">
        <v>169167</v>
      </c>
      <c r="DM105">
        <v>71747</v>
      </c>
      <c r="DN105" s="173">
        <v>8529</v>
      </c>
      <c r="DO105" s="34">
        <v>289198</v>
      </c>
      <c r="DP105" s="173">
        <v>20631</v>
      </c>
      <c r="DQ105" s="34">
        <v>28306</v>
      </c>
      <c r="DR105" s="173">
        <v>22675</v>
      </c>
      <c r="DS105" s="173">
        <v>-29611</v>
      </c>
      <c r="DT105">
        <v>25517</v>
      </c>
      <c r="DU105">
        <v>199712</v>
      </c>
      <c r="DV105" s="173">
        <v>564903</v>
      </c>
      <c r="DW105" s="173">
        <v>-2740</v>
      </c>
      <c r="DX105" s="173">
        <v>2174</v>
      </c>
      <c r="DY105" s="57">
        <v>20.75</v>
      </c>
      <c r="DZ105" s="184">
        <v>140</v>
      </c>
      <c r="EA105" s="116">
        <v>83177</v>
      </c>
      <c r="EB105" s="48">
        <v>331075</v>
      </c>
      <c r="EC105" s="46">
        <v>170036</v>
      </c>
      <c r="ED105" s="90">
        <v>71324</v>
      </c>
      <c r="EE105" s="186">
        <v>6327</v>
      </c>
      <c r="EF105" s="46">
        <v>283094</v>
      </c>
      <c r="EG105" s="130">
        <v>27768</v>
      </c>
      <c r="EH105" s="46">
        <v>20213</v>
      </c>
      <c r="EI105" s="130">
        <v>-5749</v>
      </c>
      <c r="EJ105" s="48">
        <v>-29940</v>
      </c>
      <c r="EK105" s="44">
        <v>20279</v>
      </c>
      <c r="EL105" s="44">
        <v>232688</v>
      </c>
      <c r="EM105" s="130">
        <v>584511</v>
      </c>
      <c r="EN105" s="117">
        <v>-25921</v>
      </c>
      <c r="EO105" s="117">
        <v>10140</v>
      </c>
      <c r="EP105" s="129">
        <v>20.75</v>
      </c>
    </row>
    <row r="106" spans="1:146" ht="15" x14ac:dyDescent="0.25">
      <c r="A106" s="27">
        <v>287</v>
      </c>
      <c r="B106" s="27" t="s">
        <v>234</v>
      </c>
      <c r="C106" s="27">
        <v>15</v>
      </c>
      <c r="D106" s="27" t="s">
        <v>115</v>
      </c>
      <c r="E106" s="27">
        <v>3</v>
      </c>
      <c r="F106" s="27" t="s">
        <v>743</v>
      </c>
      <c r="G106" s="29" t="s">
        <v>130</v>
      </c>
      <c r="H106" s="27" t="s">
        <v>98</v>
      </c>
      <c r="I106" s="31" t="s">
        <v>115</v>
      </c>
      <c r="J106" s="118">
        <v>-1473.4944237292982</v>
      </c>
      <c r="K106" s="118">
        <v>-1494.6861024634486</v>
      </c>
      <c r="L106" s="118">
        <v>-2253.7182145842476</v>
      </c>
      <c r="M106" s="118">
        <v>-3179.2563739019429</v>
      </c>
      <c r="N106" s="22">
        <v>-2729</v>
      </c>
      <c r="O106" s="119">
        <v>-2093</v>
      </c>
      <c r="P106" s="119">
        <v>-3278</v>
      </c>
      <c r="Q106" s="120">
        <v>-4490</v>
      </c>
      <c r="R106" s="22">
        <v>-3436</v>
      </c>
      <c r="S106" s="22">
        <v>-2241</v>
      </c>
      <c r="T106" s="121">
        <v>1175</v>
      </c>
      <c r="U106" s="121">
        <v>1432</v>
      </c>
      <c r="V106" s="121">
        <v>2970</v>
      </c>
      <c r="W106" s="106">
        <v>1512</v>
      </c>
      <c r="X106" s="121">
        <v>-726</v>
      </c>
      <c r="Y106" s="121">
        <v>-2299</v>
      </c>
      <c r="Z106" s="121">
        <v>22</v>
      </c>
      <c r="AA106" s="121">
        <v>843</v>
      </c>
      <c r="AB106" s="122">
        <v>19</v>
      </c>
      <c r="AC106" s="123">
        <v>19</v>
      </c>
      <c r="AD106" s="124">
        <v>19</v>
      </c>
      <c r="AE106" s="125">
        <v>19</v>
      </c>
      <c r="AF106" s="126">
        <v>19</v>
      </c>
      <c r="AG106" s="123">
        <v>19.5</v>
      </c>
      <c r="AH106" s="123">
        <v>19.5</v>
      </c>
      <c r="AI106" s="127">
        <v>19.5</v>
      </c>
      <c r="AJ106" s="127">
        <v>20</v>
      </c>
      <c r="AK106" s="22">
        <v>20</v>
      </c>
      <c r="AL106" s="128">
        <v>20</v>
      </c>
      <c r="AM106" s="128">
        <v>20</v>
      </c>
      <c r="AN106" s="128">
        <v>20</v>
      </c>
      <c r="AO106" s="77">
        <v>20</v>
      </c>
      <c r="AP106" s="77">
        <v>20</v>
      </c>
      <c r="AQ106" s="129">
        <v>20.5</v>
      </c>
      <c r="AR106" s="129">
        <v>21</v>
      </c>
      <c r="AS106" s="129">
        <v>21.5</v>
      </c>
      <c r="AT106" s="116">
        <v>7001</v>
      </c>
      <c r="AU106" s="47">
        <v>7607</v>
      </c>
      <c r="AV106" s="47">
        <v>47562</v>
      </c>
      <c r="AW106" s="46">
        <v>21633</v>
      </c>
      <c r="AX106" s="46">
        <v>19052</v>
      </c>
      <c r="AY106" s="92">
        <v>55</v>
      </c>
      <c r="AZ106" s="47">
        <v>320</v>
      </c>
      <c r="BA106" s="44">
        <v>1887</v>
      </c>
      <c r="BB106" s="23">
        <v>-4442</v>
      </c>
      <c r="BC106" s="47">
        <v>-1567</v>
      </c>
      <c r="BD106" s="44">
        <v>-1573</v>
      </c>
      <c r="BE106" s="47">
        <v>-2299</v>
      </c>
      <c r="BF106" s="44">
        <v>21633</v>
      </c>
      <c r="BG106" s="46">
        <v>19054</v>
      </c>
      <c r="BH106" s="130">
        <v>921</v>
      </c>
      <c r="BI106" s="46">
        <v>1658</v>
      </c>
      <c r="BJ106" s="129">
        <v>20.5</v>
      </c>
      <c r="BK106" s="44">
        <v>23472</v>
      </c>
      <c r="BL106" s="116">
        <v>6845</v>
      </c>
      <c r="BM106" s="47">
        <v>9544</v>
      </c>
      <c r="BN106" s="130">
        <v>47797</v>
      </c>
      <c r="BO106" s="46">
        <v>23260</v>
      </c>
      <c r="BP106" s="46">
        <v>20107</v>
      </c>
      <c r="BQ106" s="46">
        <v>16</v>
      </c>
      <c r="BR106" s="130">
        <v>4528</v>
      </c>
      <c r="BS106" s="44">
        <v>2213</v>
      </c>
      <c r="BT106" s="92">
        <v>-2235</v>
      </c>
      <c r="BU106" s="117">
        <v>2315</v>
      </c>
      <c r="BV106" s="130">
        <v>22</v>
      </c>
      <c r="BW106" s="48">
        <v>23260</v>
      </c>
      <c r="BX106" s="46">
        <v>20472</v>
      </c>
      <c r="BY106" s="130">
        <v>1013</v>
      </c>
      <c r="BZ106" s="46">
        <v>1775</v>
      </c>
      <c r="CA106" s="129">
        <v>21</v>
      </c>
      <c r="CB106" s="44">
        <v>25536</v>
      </c>
      <c r="CC106" s="116">
        <v>6793</v>
      </c>
      <c r="CD106" s="47">
        <v>8655</v>
      </c>
      <c r="CE106" s="130">
        <v>47622</v>
      </c>
      <c r="CF106" s="46">
        <v>23239</v>
      </c>
      <c r="CG106" s="46">
        <v>19390</v>
      </c>
      <c r="CH106" s="46">
        <v>0</v>
      </c>
      <c r="CI106" s="130">
        <v>3099</v>
      </c>
      <c r="CJ106" s="44">
        <v>2278</v>
      </c>
      <c r="CK106" s="117">
        <v>-2134</v>
      </c>
      <c r="CL106" s="117">
        <v>821</v>
      </c>
      <c r="CM106" s="117">
        <v>843</v>
      </c>
      <c r="CN106" s="48">
        <v>23239</v>
      </c>
      <c r="CO106" s="46">
        <v>20266</v>
      </c>
      <c r="CP106" s="130">
        <v>1185</v>
      </c>
      <c r="CQ106" s="46">
        <v>1788</v>
      </c>
      <c r="CR106" s="129">
        <v>21.5</v>
      </c>
      <c r="CS106" s="44">
        <v>24680</v>
      </c>
      <c r="CT106">
        <v>6727</v>
      </c>
      <c r="CU106">
        <v>23254</v>
      </c>
      <c r="CV106">
        <v>20967</v>
      </c>
      <c r="CW106">
        <v>10828</v>
      </c>
      <c r="CX106">
        <v>44</v>
      </c>
      <c r="CY106">
        <v>19971</v>
      </c>
      <c r="CZ106">
        <v>1257</v>
      </c>
      <c r="DA106">
        <v>2026</v>
      </c>
      <c r="DB106">
        <v>8097</v>
      </c>
      <c r="DC106">
        <v>-824</v>
      </c>
      <c r="DD106">
        <v>2491</v>
      </c>
      <c r="DE106">
        <v>20981</v>
      </c>
      <c r="DF106">
        <v>46578</v>
      </c>
      <c r="DG106">
        <v>5606</v>
      </c>
      <c r="DH106">
        <v>6449</v>
      </c>
      <c r="DI106">
        <v>21.5</v>
      </c>
      <c r="DJ106" s="174">
        <v>6638</v>
      </c>
      <c r="DK106" s="34">
        <v>24097</v>
      </c>
      <c r="DL106" s="34">
        <v>20662</v>
      </c>
      <c r="DM106">
        <v>9118</v>
      </c>
      <c r="DN106" s="173">
        <v>-359</v>
      </c>
      <c r="DO106" s="34">
        <v>20406</v>
      </c>
      <c r="DP106" s="173">
        <v>1573</v>
      </c>
      <c r="DQ106" s="34">
        <v>2118</v>
      </c>
      <c r="DR106" s="173">
        <v>5549</v>
      </c>
      <c r="DS106" s="173">
        <v>-6925</v>
      </c>
      <c r="DT106">
        <v>2526</v>
      </c>
      <c r="DU106">
        <v>19382</v>
      </c>
      <c r="DV106" s="173">
        <v>47965</v>
      </c>
      <c r="DW106" s="173">
        <v>3020</v>
      </c>
      <c r="DX106" s="173">
        <v>9469</v>
      </c>
      <c r="DY106" s="57">
        <v>21.5</v>
      </c>
      <c r="DZ106" s="184">
        <v>330</v>
      </c>
      <c r="EA106" s="116">
        <v>6596</v>
      </c>
      <c r="EB106" s="48">
        <v>23469</v>
      </c>
      <c r="EC106" s="46">
        <v>20205</v>
      </c>
      <c r="ED106" s="90">
        <v>8072</v>
      </c>
      <c r="EE106" s="186">
        <v>-309</v>
      </c>
      <c r="EF106" s="46">
        <v>19548</v>
      </c>
      <c r="EG106" s="130">
        <v>1369</v>
      </c>
      <c r="EH106" s="46">
        <v>2552</v>
      </c>
      <c r="EI106" s="130">
        <v>2828</v>
      </c>
      <c r="EJ106" s="48">
        <v>-5389</v>
      </c>
      <c r="EK106" s="44">
        <v>2550</v>
      </c>
      <c r="EL106" s="44">
        <v>27716</v>
      </c>
      <c r="EM106" s="130">
        <v>48609</v>
      </c>
      <c r="EN106" s="117">
        <v>278</v>
      </c>
      <c r="EO106" s="117">
        <v>9746</v>
      </c>
      <c r="EP106" s="129">
        <v>21.5</v>
      </c>
    </row>
    <row r="107" spans="1:146" ht="15" x14ac:dyDescent="0.25">
      <c r="A107" s="27">
        <v>288</v>
      </c>
      <c r="B107" s="27" t="s">
        <v>235</v>
      </c>
      <c r="C107" s="27">
        <v>15</v>
      </c>
      <c r="D107" s="27" t="s">
        <v>115</v>
      </c>
      <c r="E107" s="27">
        <v>3</v>
      </c>
      <c r="F107" s="27" t="s">
        <v>743</v>
      </c>
      <c r="G107" s="29" t="s">
        <v>130</v>
      </c>
      <c r="H107" s="27" t="s">
        <v>98</v>
      </c>
      <c r="I107" s="31" t="s">
        <v>115</v>
      </c>
      <c r="J107" s="118">
        <v>-849.68540448355373</v>
      </c>
      <c r="K107" s="118">
        <v>-1033.6829960324467</v>
      </c>
      <c r="L107" s="118">
        <v>-1500.2363040366783</v>
      </c>
      <c r="M107" s="118">
        <v>-1050.5017886785979</v>
      </c>
      <c r="N107" s="22">
        <v>42</v>
      </c>
      <c r="O107" s="119">
        <v>-109</v>
      </c>
      <c r="P107" s="119">
        <v>250</v>
      </c>
      <c r="Q107" s="120">
        <v>406</v>
      </c>
      <c r="R107" s="22">
        <v>1687</v>
      </c>
      <c r="S107" s="22">
        <v>2896</v>
      </c>
      <c r="T107" s="121">
        <v>4547</v>
      </c>
      <c r="U107" s="121">
        <v>5055</v>
      </c>
      <c r="V107" s="121">
        <v>5010</v>
      </c>
      <c r="W107" s="106">
        <v>4537</v>
      </c>
      <c r="X107" s="121">
        <v>3763</v>
      </c>
      <c r="Y107" s="121">
        <v>2075</v>
      </c>
      <c r="Z107" s="121">
        <v>5878</v>
      </c>
      <c r="AA107" s="121">
        <v>5408</v>
      </c>
      <c r="AB107" s="122">
        <v>19.5</v>
      </c>
      <c r="AC107" s="123">
        <v>19.5</v>
      </c>
      <c r="AD107" s="124">
        <v>19.5</v>
      </c>
      <c r="AE107" s="125">
        <v>19.5</v>
      </c>
      <c r="AF107" s="126">
        <v>19.5</v>
      </c>
      <c r="AG107" s="123">
        <v>19.5</v>
      </c>
      <c r="AH107" s="123">
        <v>19.5</v>
      </c>
      <c r="AI107" s="127">
        <v>19.5</v>
      </c>
      <c r="AJ107" s="127">
        <v>19.5</v>
      </c>
      <c r="AK107" s="22">
        <v>19.5</v>
      </c>
      <c r="AL107" s="128">
        <v>19.5</v>
      </c>
      <c r="AM107" s="128">
        <v>19.5</v>
      </c>
      <c r="AN107" s="128">
        <v>19.5</v>
      </c>
      <c r="AO107" s="77">
        <v>19.5</v>
      </c>
      <c r="AP107" s="77">
        <v>19.5</v>
      </c>
      <c r="AQ107" s="129">
        <v>19.5</v>
      </c>
      <c r="AR107" s="129">
        <v>20</v>
      </c>
      <c r="AS107" s="129">
        <v>20.75</v>
      </c>
      <c r="AT107" s="116">
        <v>6682</v>
      </c>
      <c r="AU107" s="47">
        <v>6713</v>
      </c>
      <c r="AV107" s="47">
        <v>44206</v>
      </c>
      <c r="AW107" s="46">
        <v>20108</v>
      </c>
      <c r="AX107" s="46">
        <v>17375</v>
      </c>
      <c r="AY107" s="92">
        <v>112</v>
      </c>
      <c r="AZ107" s="47">
        <v>-216</v>
      </c>
      <c r="BA107" s="44">
        <v>1468</v>
      </c>
      <c r="BB107" s="23">
        <v>-3350</v>
      </c>
      <c r="BC107" s="47">
        <v>-1687</v>
      </c>
      <c r="BD107" s="44">
        <v>-1687</v>
      </c>
      <c r="BE107" s="47">
        <v>2075</v>
      </c>
      <c r="BF107" s="44">
        <v>20108</v>
      </c>
      <c r="BG107" s="46">
        <v>17409</v>
      </c>
      <c r="BH107" s="130">
        <v>1578</v>
      </c>
      <c r="BI107" s="46">
        <v>1121</v>
      </c>
      <c r="BJ107" s="129">
        <v>19.5</v>
      </c>
      <c r="BK107" s="44">
        <v>13484</v>
      </c>
      <c r="BL107" s="116">
        <v>6662</v>
      </c>
      <c r="BM107" s="47">
        <v>6420</v>
      </c>
      <c r="BN107" s="130">
        <v>43720</v>
      </c>
      <c r="BO107" s="46">
        <v>21404</v>
      </c>
      <c r="BP107" s="46">
        <v>16705</v>
      </c>
      <c r="BQ107" s="46">
        <v>4985</v>
      </c>
      <c r="BR107" s="130">
        <v>554</v>
      </c>
      <c r="BS107" s="44">
        <v>1631</v>
      </c>
      <c r="BT107" s="92">
        <v>-3526</v>
      </c>
      <c r="BU107" s="117">
        <v>3803</v>
      </c>
      <c r="BV107" s="130">
        <v>5878</v>
      </c>
      <c r="BW107" s="48">
        <v>21404</v>
      </c>
      <c r="BX107" s="46">
        <v>18154</v>
      </c>
      <c r="BY107" s="130">
        <v>1893</v>
      </c>
      <c r="BZ107" s="46">
        <v>1357</v>
      </c>
      <c r="CA107" s="129">
        <v>20</v>
      </c>
      <c r="CB107" s="44">
        <v>18469</v>
      </c>
      <c r="CC107" s="116">
        <v>6682</v>
      </c>
      <c r="CD107" s="47">
        <v>4211</v>
      </c>
      <c r="CE107" s="130">
        <v>41925</v>
      </c>
      <c r="CF107" s="46">
        <v>22777</v>
      </c>
      <c r="CG107" s="46">
        <v>16004</v>
      </c>
      <c r="CH107" s="46">
        <v>42</v>
      </c>
      <c r="CI107" s="130">
        <v>721</v>
      </c>
      <c r="CJ107" s="44">
        <v>1090</v>
      </c>
      <c r="CK107" s="117">
        <v>-2716</v>
      </c>
      <c r="CL107" s="117">
        <v>-369</v>
      </c>
      <c r="CM107" s="117">
        <v>5408</v>
      </c>
      <c r="CN107" s="48">
        <v>22777</v>
      </c>
      <c r="CO107" s="46">
        <v>19049</v>
      </c>
      <c r="CP107" s="130">
        <v>1504</v>
      </c>
      <c r="CQ107" s="46">
        <v>2224</v>
      </c>
      <c r="CR107" s="129">
        <v>20.75</v>
      </c>
      <c r="CS107" s="44">
        <v>20364</v>
      </c>
      <c r="CT107">
        <v>6620</v>
      </c>
      <c r="CU107">
        <v>22338</v>
      </c>
      <c r="CV107">
        <v>16499</v>
      </c>
      <c r="CW107">
        <v>3313</v>
      </c>
      <c r="CX107">
        <v>228</v>
      </c>
      <c r="CY107">
        <v>18792</v>
      </c>
      <c r="CZ107">
        <v>1509</v>
      </c>
      <c r="DA107">
        <v>2037</v>
      </c>
      <c r="DB107">
        <v>1073</v>
      </c>
      <c r="DC107">
        <v>-2043</v>
      </c>
      <c r="DD107">
        <v>1125</v>
      </c>
      <c r="DE107">
        <v>20906</v>
      </c>
      <c r="DF107">
        <v>40954</v>
      </c>
      <c r="DG107">
        <v>-52</v>
      </c>
      <c r="DH107">
        <v>5355</v>
      </c>
      <c r="DI107">
        <v>20.75</v>
      </c>
      <c r="DJ107" s="174">
        <v>6531</v>
      </c>
      <c r="DK107" s="34">
        <v>22757</v>
      </c>
      <c r="DL107" s="34">
        <v>16625</v>
      </c>
      <c r="DM107">
        <v>2616</v>
      </c>
      <c r="DN107" s="173">
        <v>-105</v>
      </c>
      <c r="DO107" s="34">
        <v>18706</v>
      </c>
      <c r="DP107" s="173">
        <v>1585</v>
      </c>
      <c r="DQ107" s="34">
        <v>2466</v>
      </c>
      <c r="DR107" s="173">
        <v>1920</v>
      </c>
      <c r="DS107" s="173">
        <v>-2534</v>
      </c>
      <c r="DT107">
        <v>1132</v>
      </c>
      <c r="DU107">
        <v>22392</v>
      </c>
      <c r="DV107" s="173">
        <v>39973</v>
      </c>
      <c r="DW107" s="173">
        <v>788</v>
      </c>
      <c r="DX107" s="173">
        <v>6287</v>
      </c>
      <c r="DY107" s="57">
        <v>21.25</v>
      </c>
      <c r="DZ107" s="184">
        <v>330</v>
      </c>
      <c r="EA107" s="116">
        <v>6509</v>
      </c>
      <c r="EB107" s="48">
        <v>23584</v>
      </c>
      <c r="EC107" s="46">
        <v>16364</v>
      </c>
      <c r="ED107" s="90">
        <v>2559</v>
      </c>
      <c r="EE107" s="186">
        <v>6</v>
      </c>
      <c r="EF107" s="46">
        <v>19461</v>
      </c>
      <c r="EG107" s="130">
        <v>2316</v>
      </c>
      <c r="EH107" s="46">
        <v>1807</v>
      </c>
      <c r="EI107" s="130">
        <v>1419</v>
      </c>
      <c r="EJ107" s="48">
        <v>-674</v>
      </c>
      <c r="EK107" s="44">
        <v>1464</v>
      </c>
      <c r="EL107" s="44">
        <v>21600</v>
      </c>
      <c r="EM107" s="130">
        <v>41094</v>
      </c>
      <c r="EN107" s="117">
        <v>-45</v>
      </c>
      <c r="EO107" s="117">
        <v>5973</v>
      </c>
      <c r="EP107" s="129">
        <v>22</v>
      </c>
    </row>
    <row r="108" spans="1:146" ht="15" x14ac:dyDescent="0.25">
      <c r="A108" s="27">
        <v>290</v>
      </c>
      <c r="B108" s="27" t="s">
        <v>236</v>
      </c>
      <c r="C108" s="27">
        <v>18</v>
      </c>
      <c r="D108" s="27" t="s">
        <v>108</v>
      </c>
      <c r="E108" s="27">
        <v>3</v>
      </c>
      <c r="F108" s="27" t="s">
        <v>743</v>
      </c>
      <c r="G108" s="29" t="s">
        <v>132</v>
      </c>
      <c r="H108" s="27" t="s">
        <v>99</v>
      </c>
      <c r="I108" s="31" t="s">
        <v>108</v>
      </c>
      <c r="J108" s="118">
        <v>16.14604094030506</v>
      </c>
      <c r="K108" s="118">
        <v>109.15396427352066</v>
      </c>
      <c r="L108" s="118">
        <v>-1217.5123996548784</v>
      </c>
      <c r="M108" s="118">
        <v>-2363.2085547106917</v>
      </c>
      <c r="N108" s="22">
        <v>-761</v>
      </c>
      <c r="O108" s="119">
        <v>-76</v>
      </c>
      <c r="P108" s="119">
        <v>-735</v>
      </c>
      <c r="Q108" s="120">
        <v>-1703</v>
      </c>
      <c r="R108" s="22">
        <v>-1950</v>
      </c>
      <c r="S108" s="22">
        <v>-1695</v>
      </c>
      <c r="T108" s="121">
        <v>-950</v>
      </c>
      <c r="U108" s="121">
        <v>-661</v>
      </c>
      <c r="V108" s="121">
        <v>426</v>
      </c>
      <c r="W108" s="106">
        <v>-1449</v>
      </c>
      <c r="X108" s="121">
        <v>-4830</v>
      </c>
      <c r="Y108" s="121">
        <v>-3218</v>
      </c>
      <c r="Z108" s="121">
        <v>1483</v>
      </c>
      <c r="AA108" s="121">
        <v>1763</v>
      </c>
      <c r="AB108" s="122">
        <v>19</v>
      </c>
      <c r="AC108" s="123">
        <v>18.5</v>
      </c>
      <c r="AD108" s="124">
        <v>18.5</v>
      </c>
      <c r="AE108" s="125">
        <v>18.5</v>
      </c>
      <c r="AF108" s="126">
        <v>19</v>
      </c>
      <c r="AG108" s="123">
        <v>19</v>
      </c>
      <c r="AH108" s="123">
        <v>19</v>
      </c>
      <c r="AI108" s="127">
        <v>19</v>
      </c>
      <c r="AJ108" s="127">
        <v>19</v>
      </c>
      <c r="AK108" s="22">
        <v>19</v>
      </c>
      <c r="AL108" s="128">
        <v>19.75</v>
      </c>
      <c r="AM108" s="128">
        <v>19.75</v>
      </c>
      <c r="AN108" s="128">
        <v>20.25</v>
      </c>
      <c r="AO108" s="77">
        <v>20.25</v>
      </c>
      <c r="AP108" s="77">
        <v>20.25</v>
      </c>
      <c r="AQ108" s="129">
        <v>21</v>
      </c>
      <c r="AR108" s="129">
        <v>21.5</v>
      </c>
      <c r="AS108" s="129">
        <v>21.5</v>
      </c>
      <c r="AT108" s="116">
        <v>9104</v>
      </c>
      <c r="AU108" s="47">
        <v>9398</v>
      </c>
      <c r="AV108" s="47">
        <v>67248</v>
      </c>
      <c r="AW108" s="46">
        <v>27411</v>
      </c>
      <c r="AX108" s="46">
        <v>32024</v>
      </c>
      <c r="AY108" s="92">
        <v>1994</v>
      </c>
      <c r="AZ108" s="47">
        <v>2204</v>
      </c>
      <c r="BA108" s="44">
        <v>1840</v>
      </c>
      <c r="BB108" s="23">
        <v>-2441</v>
      </c>
      <c r="BC108" s="47">
        <v>1570</v>
      </c>
      <c r="BD108" s="44">
        <v>1612</v>
      </c>
      <c r="BE108" s="47">
        <v>-3218</v>
      </c>
      <c r="BF108" s="44">
        <v>27411</v>
      </c>
      <c r="BG108" s="46">
        <v>23558</v>
      </c>
      <c r="BH108" s="130">
        <v>2348</v>
      </c>
      <c r="BI108" s="46">
        <v>1505</v>
      </c>
      <c r="BJ108" s="129">
        <v>21</v>
      </c>
      <c r="BK108" s="44">
        <v>18274</v>
      </c>
      <c r="BL108" s="116">
        <v>8950</v>
      </c>
      <c r="BM108" s="47">
        <v>9026</v>
      </c>
      <c r="BN108" s="130">
        <v>67611</v>
      </c>
      <c r="BO108" s="46">
        <v>29499</v>
      </c>
      <c r="BP108" s="46">
        <v>32825</v>
      </c>
      <c r="BQ108" s="46">
        <v>3291</v>
      </c>
      <c r="BR108" s="130">
        <v>5943</v>
      </c>
      <c r="BS108" s="44">
        <v>2154</v>
      </c>
      <c r="BT108" s="92">
        <v>-712</v>
      </c>
      <c r="BU108" s="117">
        <v>4701</v>
      </c>
      <c r="BV108" s="130">
        <v>1483</v>
      </c>
      <c r="BW108" s="48">
        <v>29499</v>
      </c>
      <c r="BX108" s="46">
        <v>24833</v>
      </c>
      <c r="BY108" s="130">
        <v>2630</v>
      </c>
      <c r="BZ108" s="46">
        <v>2036</v>
      </c>
      <c r="CA108" s="129">
        <v>21.5</v>
      </c>
      <c r="CB108" s="44">
        <v>17967</v>
      </c>
      <c r="CC108" s="116">
        <v>8806</v>
      </c>
      <c r="CD108" s="47">
        <v>6916</v>
      </c>
      <c r="CE108" s="130">
        <v>67361</v>
      </c>
      <c r="CF108" s="46">
        <v>29580</v>
      </c>
      <c r="CG108" s="46">
        <v>32479</v>
      </c>
      <c r="CH108" s="46">
        <v>652</v>
      </c>
      <c r="CI108" s="130">
        <v>2157</v>
      </c>
      <c r="CJ108" s="44">
        <v>1920</v>
      </c>
      <c r="CK108" s="117">
        <v>-7949</v>
      </c>
      <c r="CL108" s="117">
        <v>280</v>
      </c>
      <c r="CM108" s="117">
        <v>1763</v>
      </c>
      <c r="CN108" s="48">
        <v>29580</v>
      </c>
      <c r="CO108" s="46">
        <v>24548</v>
      </c>
      <c r="CP108" s="130">
        <v>2949</v>
      </c>
      <c r="CQ108" s="46">
        <v>2083</v>
      </c>
      <c r="CR108" s="129">
        <v>21.5</v>
      </c>
      <c r="CS108" s="44">
        <v>20107</v>
      </c>
      <c r="CT108">
        <v>8647</v>
      </c>
      <c r="CU108">
        <v>28707</v>
      </c>
      <c r="CV108">
        <v>32534</v>
      </c>
      <c r="CW108">
        <v>6890</v>
      </c>
      <c r="CX108">
        <v>1260</v>
      </c>
      <c r="CY108">
        <v>23817</v>
      </c>
      <c r="CZ108">
        <v>2734</v>
      </c>
      <c r="DA108">
        <v>2156</v>
      </c>
      <c r="DB108">
        <v>2306</v>
      </c>
      <c r="DC108">
        <v>-6029</v>
      </c>
      <c r="DD108">
        <v>2051</v>
      </c>
      <c r="DE108">
        <v>26239</v>
      </c>
      <c r="DF108">
        <v>66733</v>
      </c>
      <c r="DG108">
        <v>564</v>
      </c>
      <c r="DH108">
        <v>2327</v>
      </c>
      <c r="DI108">
        <v>21.5</v>
      </c>
      <c r="DJ108" s="174">
        <v>8499</v>
      </c>
      <c r="DK108" s="34">
        <v>29097</v>
      </c>
      <c r="DL108" s="34">
        <v>32233</v>
      </c>
      <c r="DM108">
        <v>7003</v>
      </c>
      <c r="DN108" s="173">
        <v>1193</v>
      </c>
      <c r="DO108" s="34">
        <v>23766</v>
      </c>
      <c r="DP108" s="173">
        <v>3190</v>
      </c>
      <c r="DQ108" s="34">
        <v>2141</v>
      </c>
      <c r="DR108" s="173">
        <v>2863</v>
      </c>
      <c r="DS108" s="173">
        <v>-13029</v>
      </c>
      <c r="DT108">
        <v>2311</v>
      </c>
      <c r="DU108">
        <v>36524</v>
      </c>
      <c r="DV108" s="173">
        <v>66663</v>
      </c>
      <c r="DW108" s="173">
        <v>594</v>
      </c>
      <c r="DX108" s="173">
        <v>2922</v>
      </c>
      <c r="DY108" s="57">
        <v>21.5</v>
      </c>
      <c r="DZ108" s="184">
        <v>240</v>
      </c>
      <c r="EA108" s="116">
        <v>8329</v>
      </c>
      <c r="EB108" s="48">
        <v>27788</v>
      </c>
      <c r="EC108" s="46">
        <v>32246</v>
      </c>
      <c r="ED108" s="90">
        <v>6672</v>
      </c>
      <c r="EE108" s="186">
        <v>-143</v>
      </c>
      <c r="EF108" s="46">
        <v>22756</v>
      </c>
      <c r="EG108" s="130">
        <v>2888</v>
      </c>
      <c r="EH108" s="46">
        <v>2144</v>
      </c>
      <c r="EI108" s="130">
        <v>-601</v>
      </c>
      <c r="EJ108" s="48">
        <v>-3370</v>
      </c>
      <c r="EK108" s="44">
        <v>2546</v>
      </c>
      <c r="EL108" s="44">
        <v>36486</v>
      </c>
      <c r="EM108" s="130">
        <v>67164</v>
      </c>
      <c r="EN108" s="117">
        <v>-3104</v>
      </c>
      <c r="EO108" s="117">
        <v>-182</v>
      </c>
      <c r="EP108" s="129">
        <v>21.5</v>
      </c>
    </row>
    <row r="109" spans="1:146" ht="15" x14ac:dyDescent="0.25">
      <c r="A109" s="27">
        <v>291</v>
      </c>
      <c r="B109" s="27" t="s">
        <v>237</v>
      </c>
      <c r="C109" s="27">
        <v>13</v>
      </c>
      <c r="D109" s="27" t="s">
        <v>111</v>
      </c>
      <c r="E109" s="27">
        <v>2</v>
      </c>
      <c r="F109" s="27" t="s">
        <v>744</v>
      </c>
      <c r="G109" s="29" t="s">
        <v>130</v>
      </c>
      <c r="H109" s="27" t="s">
        <v>98</v>
      </c>
      <c r="I109" s="31" t="s">
        <v>111</v>
      </c>
      <c r="J109" s="118">
        <v>1042.5969561349068</v>
      </c>
      <c r="K109" s="118">
        <v>728.92647328418877</v>
      </c>
      <c r="L109" s="118">
        <v>826.13909477894219</v>
      </c>
      <c r="M109" s="118">
        <v>933.44299186138619</v>
      </c>
      <c r="N109" s="22">
        <v>-2032</v>
      </c>
      <c r="O109" s="119">
        <v>-1931</v>
      </c>
      <c r="P109" s="119">
        <v>-2844</v>
      </c>
      <c r="Q109" s="120">
        <v>-443</v>
      </c>
      <c r="R109" s="22">
        <v>-63</v>
      </c>
      <c r="S109" s="22">
        <v>-85</v>
      </c>
      <c r="T109" s="121">
        <v>771</v>
      </c>
      <c r="U109" s="121">
        <v>1585</v>
      </c>
      <c r="V109" s="121">
        <v>2469</v>
      </c>
      <c r="W109" s="106">
        <v>3225</v>
      </c>
      <c r="X109" s="121">
        <v>3634</v>
      </c>
      <c r="Y109" s="121">
        <v>3229</v>
      </c>
      <c r="Z109" s="121">
        <v>3507</v>
      </c>
      <c r="AA109" s="121">
        <v>4199</v>
      </c>
      <c r="AB109" s="122">
        <v>18</v>
      </c>
      <c r="AC109" s="123">
        <v>18</v>
      </c>
      <c r="AD109" s="124">
        <v>18.5</v>
      </c>
      <c r="AE109" s="125">
        <v>18.5</v>
      </c>
      <c r="AF109" s="126">
        <v>18.5</v>
      </c>
      <c r="AG109" s="123">
        <v>19</v>
      </c>
      <c r="AH109" s="123">
        <v>19</v>
      </c>
      <c r="AI109" s="127">
        <v>19</v>
      </c>
      <c r="AJ109" s="127">
        <v>19</v>
      </c>
      <c r="AK109" s="22">
        <v>19</v>
      </c>
      <c r="AL109" s="128">
        <v>19</v>
      </c>
      <c r="AM109" s="128">
        <v>19</v>
      </c>
      <c r="AN109" s="128">
        <v>19.75</v>
      </c>
      <c r="AO109" s="77">
        <v>19.75</v>
      </c>
      <c r="AP109" s="77">
        <v>19.75</v>
      </c>
      <c r="AQ109" s="129">
        <v>19.75</v>
      </c>
      <c r="AR109" s="129">
        <v>19.75</v>
      </c>
      <c r="AS109" s="129">
        <v>20.75</v>
      </c>
      <c r="AT109" s="116">
        <v>2409</v>
      </c>
      <c r="AU109" s="47">
        <v>2485</v>
      </c>
      <c r="AV109" s="47">
        <v>18222</v>
      </c>
      <c r="AW109" s="46">
        <v>7542</v>
      </c>
      <c r="AX109" s="46">
        <v>8981</v>
      </c>
      <c r="AY109" s="92">
        <v>118</v>
      </c>
      <c r="AZ109" s="47">
        <v>904</v>
      </c>
      <c r="BA109" s="44">
        <v>1321</v>
      </c>
      <c r="BB109" s="23">
        <v>-2213</v>
      </c>
      <c r="BC109" s="47">
        <v>-417</v>
      </c>
      <c r="BD109" s="44">
        <v>-405</v>
      </c>
      <c r="BE109" s="47">
        <v>3229</v>
      </c>
      <c r="BF109" s="44">
        <v>7542</v>
      </c>
      <c r="BG109" s="46">
        <v>5692</v>
      </c>
      <c r="BH109" s="130">
        <v>658</v>
      </c>
      <c r="BI109" s="46">
        <v>1192</v>
      </c>
      <c r="BJ109" s="129">
        <v>19.75</v>
      </c>
      <c r="BK109" s="44">
        <v>2761</v>
      </c>
      <c r="BL109" s="116">
        <v>2374</v>
      </c>
      <c r="BM109" s="47">
        <v>2877</v>
      </c>
      <c r="BN109" s="130">
        <v>18376</v>
      </c>
      <c r="BO109" s="46">
        <v>7685</v>
      </c>
      <c r="BP109" s="46">
        <v>9076</v>
      </c>
      <c r="BQ109" s="46">
        <v>121</v>
      </c>
      <c r="BR109" s="130">
        <v>1383</v>
      </c>
      <c r="BS109" s="44">
        <v>1117</v>
      </c>
      <c r="BT109" s="92">
        <v>-1233</v>
      </c>
      <c r="BU109" s="117">
        <v>278</v>
      </c>
      <c r="BV109" s="130">
        <v>3507</v>
      </c>
      <c r="BW109" s="48">
        <v>7685</v>
      </c>
      <c r="BX109" s="46">
        <v>5609</v>
      </c>
      <c r="BY109" s="130">
        <v>748</v>
      </c>
      <c r="BZ109" s="46">
        <v>1328</v>
      </c>
      <c r="CA109" s="129">
        <v>19.75</v>
      </c>
      <c r="CB109" s="44">
        <v>3917</v>
      </c>
      <c r="CC109" s="116">
        <v>2334</v>
      </c>
      <c r="CD109" s="47">
        <v>2664</v>
      </c>
      <c r="CE109" s="130">
        <v>18119</v>
      </c>
      <c r="CF109" s="46">
        <v>8155</v>
      </c>
      <c r="CG109" s="46">
        <v>9040</v>
      </c>
      <c r="CH109" s="46">
        <v>93</v>
      </c>
      <c r="CI109" s="130">
        <v>1803</v>
      </c>
      <c r="CJ109" s="44">
        <v>1114</v>
      </c>
      <c r="CK109" s="117">
        <v>-1436</v>
      </c>
      <c r="CL109" s="117">
        <v>692</v>
      </c>
      <c r="CM109" s="117">
        <v>4199</v>
      </c>
      <c r="CN109" s="48">
        <v>8155</v>
      </c>
      <c r="CO109" s="46">
        <v>5917</v>
      </c>
      <c r="CP109" s="130">
        <v>906</v>
      </c>
      <c r="CQ109" s="46">
        <v>1332</v>
      </c>
      <c r="CR109" s="129">
        <v>20.75</v>
      </c>
      <c r="CS109" s="44">
        <v>2620</v>
      </c>
      <c r="CT109">
        <v>2286</v>
      </c>
      <c r="CU109">
        <v>8267</v>
      </c>
      <c r="CV109">
        <v>9352</v>
      </c>
      <c r="CW109">
        <v>2285</v>
      </c>
      <c r="CX109">
        <v>142</v>
      </c>
      <c r="CY109">
        <v>6063</v>
      </c>
      <c r="CZ109">
        <v>861</v>
      </c>
      <c r="DA109">
        <v>1343</v>
      </c>
      <c r="DB109">
        <v>1840</v>
      </c>
      <c r="DC109">
        <v>-897</v>
      </c>
      <c r="DD109">
        <v>1074</v>
      </c>
      <c r="DE109">
        <v>1459</v>
      </c>
      <c r="DF109">
        <v>18206</v>
      </c>
      <c r="DG109">
        <v>771</v>
      </c>
      <c r="DH109">
        <v>4970</v>
      </c>
      <c r="DI109">
        <v>20.75</v>
      </c>
      <c r="DJ109" s="174">
        <v>2252</v>
      </c>
      <c r="DK109" s="34">
        <v>8067</v>
      </c>
      <c r="DL109" s="34">
        <v>9252</v>
      </c>
      <c r="DM109">
        <v>2327</v>
      </c>
      <c r="DN109" s="173">
        <v>109</v>
      </c>
      <c r="DO109" s="34">
        <v>5721</v>
      </c>
      <c r="DP109" s="173">
        <v>1005</v>
      </c>
      <c r="DQ109" s="34">
        <v>1341</v>
      </c>
      <c r="DR109" s="173">
        <v>2372</v>
      </c>
      <c r="DS109" s="173">
        <v>-970</v>
      </c>
      <c r="DT109">
        <v>1304</v>
      </c>
      <c r="DU109">
        <v>812</v>
      </c>
      <c r="DV109" s="173">
        <v>17383</v>
      </c>
      <c r="DW109" s="173">
        <v>1105</v>
      </c>
      <c r="DX109" s="173">
        <v>6075</v>
      </c>
      <c r="DY109" s="57">
        <v>20.75</v>
      </c>
      <c r="DZ109" s="184">
        <v>340</v>
      </c>
      <c r="EA109" s="116">
        <v>2238</v>
      </c>
      <c r="EB109" s="48">
        <v>8040</v>
      </c>
      <c r="EC109" s="46">
        <v>8645</v>
      </c>
      <c r="ED109" s="90">
        <v>2746</v>
      </c>
      <c r="EE109" s="186">
        <v>138</v>
      </c>
      <c r="EF109" s="46">
        <v>5685</v>
      </c>
      <c r="EG109" s="130">
        <v>1013</v>
      </c>
      <c r="EH109" s="46">
        <v>1342</v>
      </c>
      <c r="EI109" s="130">
        <v>1243</v>
      </c>
      <c r="EJ109" s="48">
        <v>-2567</v>
      </c>
      <c r="EK109" s="44">
        <v>1108</v>
      </c>
      <c r="EL109" s="44">
        <v>465</v>
      </c>
      <c r="EM109" s="130">
        <v>18326</v>
      </c>
      <c r="EN109" s="117">
        <v>135</v>
      </c>
      <c r="EO109" s="117">
        <v>6210</v>
      </c>
      <c r="EP109" s="129">
        <v>20.75</v>
      </c>
    </row>
    <row r="110" spans="1:146" ht="15" x14ac:dyDescent="0.25">
      <c r="A110" s="27">
        <v>297</v>
      </c>
      <c r="B110" s="27" t="s">
        <v>238</v>
      </c>
      <c r="C110" s="27">
        <v>11</v>
      </c>
      <c r="D110" s="27" t="s">
        <v>118</v>
      </c>
      <c r="E110" s="27">
        <v>7</v>
      </c>
      <c r="F110" s="27" t="s">
        <v>104</v>
      </c>
      <c r="G110" s="29" t="s">
        <v>141</v>
      </c>
      <c r="H110" s="27" t="s">
        <v>97</v>
      </c>
      <c r="I110" s="31" t="s">
        <v>118</v>
      </c>
      <c r="J110" s="118">
        <v>-15510.122390354087</v>
      </c>
      <c r="K110" s="118">
        <v>-9728.3260423867196</v>
      </c>
      <c r="L110" s="118">
        <v>-18909.200384141226</v>
      </c>
      <c r="M110" s="118">
        <v>-9983.1307509759099</v>
      </c>
      <c r="N110" s="22">
        <v>10908</v>
      </c>
      <c r="O110" s="119">
        <v>13820</v>
      </c>
      <c r="P110" s="119">
        <v>1942</v>
      </c>
      <c r="Q110" s="120">
        <v>-10192</v>
      </c>
      <c r="R110" s="22">
        <v>36276</v>
      </c>
      <c r="S110" s="22">
        <v>20367</v>
      </c>
      <c r="T110" s="121">
        <v>6420</v>
      </c>
      <c r="U110" s="121">
        <v>7820</v>
      </c>
      <c r="V110" s="121">
        <v>14735</v>
      </c>
      <c r="W110" s="106">
        <v>19048</v>
      </c>
      <c r="X110" s="121">
        <v>5863</v>
      </c>
      <c r="Y110" s="121">
        <v>1838</v>
      </c>
      <c r="Z110" s="121">
        <v>119365</v>
      </c>
      <c r="AA110" s="121">
        <v>106556</v>
      </c>
      <c r="AB110" s="122">
        <v>18</v>
      </c>
      <c r="AC110" s="123">
        <v>18</v>
      </c>
      <c r="AD110" s="124">
        <v>18</v>
      </c>
      <c r="AE110" s="125">
        <v>18</v>
      </c>
      <c r="AF110" s="126">
        <v>18</v>
      </c>
      <c r="AG110" s="123">
        <v>18</v>
      </c>
      <c r="AH110" s="123">
        <v>18</v>
      </c>
      <c r="AI110" s="127">
        <v>18.75</v>
      </c>
      <c r="AJ110" s="127">
        <v>18.75</v>
      </c>
      <c r="AK110" s="22">
        <v>18.75</v>
      </c>
      <c r="AL110" s="128">
        <v>18.75</v>
      </c>
      <c r="AM110" s="128">
        <v>18.75</v>
      </c>
      <c r="AN110" s="128">
        <v>19.5</v>
      </c>
      <c r="AO110" s="77">
        <v>19.5</v>
      </c>
      <c r="AP110" s="77">
        <v>19.5</v>
      </c>
      <c r="AQ110" s="129">
        <v>19.5</v>
      </c>
      <c r="AR110" s="129">
        <v>20.5</v>
      </c>
      <c r="AS110" s="129">
        <v>20.5</v>
      </c>
      <c r="AT110" s="116">
        <v>115108</v>
      </c>
      <c r="AU110" s="47">
        <v>263147</v>
      </c>
      <c r="AV110" s="47">
        <v>813768</v>
      </c>
      <c r="AW110" s="46">
        <v>412238</v>
      </c>
      <c r="AX110" s="46">
        <v>176640</v>
      </c>
      <c r="AY110" s="92">
        <v>11537</v>
      </c>
      <c r="AZ110" s="47">
        <v>41042</v>
      </c>
      <c r="BA110" s="44">
        <v>47068</v>
      </c>
      <c r="BB110" s="23">
        <v>-59799</v>
      </c>
      <c r="BC110" s="47">
        <v>-2518</v>
      </c>
      <c r="BD110" s="44">
        <v>-2074</v>
      </c>
      <c r="BE110" s="47">
        <v>1838</v>
      </c>
      <c r="BF110" s="44">
        <v>412238</v>
      </c>
      <c r="BG110" s="46">
        <v>360485</v>
      </c>
      <c r="BH110" s="130">
        <v>17987</v>
      </c>
      <c r="BI110" s="46">
        <v>33766</v>
      </c>
      <c r="BJ110" s="129">
        <v>19.5</v>
      </c>
      <c r="BK110" s="44">
        <v>276890</v>
      </c>
      <c r="BL110" s="116">
        <v>116171</v>
      </c>
      <c r="BM110" s="47">
        <v>266338</v>
      </c>
      <c r="BN110" s="130">
        <v>829637</v>
      </c>
      <c r="BO110" s="46">
        <v>431833</v>
      </c>
      <c r="BP110" s="46">
        <v>173164</v>
      </c>
      <c r="BQ110" s="46">
        <v>129729</v>
      </c>
      <c r="BR110" s="130">
        <v>43319</v>
      </c>
      <c r="BS110" s="44">
        <v>52044</v>
      </c>
      <c r="BT110" s="92">
        <v>-9200</v>
      </c>
      <c r="BU110" s="117">
        <v>115420</v>
      </c>
      <c r="BV110" s="130">
        <v>119365</v>
      </c>
      <c r="BW110" s="48">
        <v>431833</v>
      </c>
      <c r="BX110" s="46">
        <v>375700</v>
      </c>
      <c r="BY110" s="130">
        <v>20355</v>
      </c>
      <c r="BZ110" s="46">
        <v>35778</v>
      </c>
      <c r="CA110" s="129">
        <v>20.5</v>
      </c>
      <c r="CB110" s="44">
        <v>334991</v>
      </c>
      <c r="CC110" s="116">
        <v>116923</v>
      </c>
      <c r="CD110" s="47">
        <v>208589</v>
      </c>
      <c r="CE110" s="130">
        <v>801431</v>
      </c>
      <c r="CF110" s="46">
        <v>445125</v>
      </c>
      <c r="CG110" s="46">
        <v>178715</v>
      </c>
      <c r="CH110" s="46">
        <v>8586</v>
      </c>
      <c r="CI110" s="130">
        <v>37580</v>
      </c>
      <c r="CJ110" s="44">
        <v>51924</v>
      </c>
      <c r="CK110" s="117">
        <v>-33836</v>
      </c>
      <c r="CL110" s="117">
        <v>-13515</v>
      </c>
      <c r="CM110" s="117">
        <v>106556</v>
      </c>
      <c r="CN110" s="48">
        <v>445125</v>
      </c>
      <c r="CO110" s="46">
        <v>383129</v>
      </c>
      <c r="CP110" s="130">
        <v>22477</v>
      </c>
      <c r="CQ110" s="46">
        <v>39519</v>
      </c>
      <c r="CR110" s="129">
        <v>20.5</v>
      </c>
      <c r="CS110" s="44">
        <v>338592</v>
      </c>
      <c r="CT110">
        <v>117740</v>
      </c>
      <c r="CU110">
        <v>443860</v>
      </c>
      <c r="CV110">
        <v>198225</v>
      </c>
      <c r="CW110">
        <v>209462</v>
      </c>
      <c r="CX110">
        <v>11959</v>
      </c>
      <c r="CY110">
        <v>385118</v>
      </c>
      <c r="CZ110">
        <v>21122</v>
      </c>
      <c r="DA110">
        <v>37620</v>
      </c>
      <c r="DB110">
        <v>43794</v>
      </c>
      <c r="DC110">
        <v>-42074</v>
      </c>
      <c r="DD110">
        <v>53399</v>
      </c>
      <c r="DE110">
        <v>339597</v>
      </c>
      <c r="DF110">
        <v>814442</v>
      </c>
      <c r="DG110">
        <v>-8361</v>
      </c>
      <c r="DH110">
        <v>98195</v>
      </c>
      <c r="DI110">
        <v>20.5</v>
      </c>
      <c r="DJ110" s="174">
        <v>118209</v>
      </c>
      <c r="DK110" s="34">
        <v>452739</v>
      </c>
      <c r="DL110" s="34">
        <v>197311</v>
      </c>
      <c r="DM110">
        <v>201705</v>
      </c>
      <c r="DN110" s="173">
        <v>6585</v>
      </c>
      <c r="DO110" s="34">
        <v>388768</v>
      </c>
      <c r="DP110" s="173">
        <v>38434</v>
      </c>
      <c r="DQ110" s="34">
        <v>25537</v>
      </c>
      <c r="DR110" s="173">
        <v>57522</v>
      </c>
      <c r="DS110" s="173">
        <v>-49120</v>
      </c>
      <c r="DT110">
        <v>48339</v>
      </c>
      <c r="DU110">
        <v>329808</v>
      </c>
      <c r="DV110" s="173">
        <v>800818</v>
      </c>
      <c r="DW110" s="173">
        <v>9572</v>
      </c>
      <c r="DX110" s="173">
        <v>106091</v>
      </c>
      <c r="DY110" s="57">
        <v>20.5</v>
      </c>
      <c r="DZ110" s="184">
        <v>120</v>
      </c>
      <c r="EA110" s="116">
        <v>118664</v>
      </c>
      <c r="EB110" s="48">
        <v>441274</v>
      </c>
      <c r="EC110" s="46">
        <v>197256</v>
      </c>
      <c r="ED110" s="90">
        <v>210324</v>
      </c>
      <c r="EE110" s="186">
        <v>26462</v>
      </c>
      <c r="EF110" s="46">
        <v>378301</v>
      </c>
      <c r="EG110" s="130">
        <v>24219</v>
      </c>
      <c r="EH110" s="46">
        <v>38754</v>
      </c>
      <c r="EI110" s="130">
        <v>31585</v>
      </c>
      <c r="EJ110" s="48">
        <v>-66311</v>
      </c>
      <c r="EK110" s="44">
        <v>48135</v>
      </c>
      <c r="EL110" s="44">
        <v>343027</v>
      </c>
      <c r="EM110" s="130">
        <v>830447</v>
      </c>
      <c r="EN110" s="117">
        <v>-3948</v>
      </c>
      <c r="EO110" s="117">
        <v>102143</v>
      </c>
      <c r="EP110" s="129">
        <v>20.5</v>
      </c>
    </row>
    <row r="111" spans="1:146" ht="15" x14ac:dyDescent="0.25">
      <c r="A111" s="27">
        <v>300</v>
      </c>
      <c r="B111" s="27" t="s">
        <v>239</v>
      </c>
      <c r="C111" s="27">
        <v>14</v>
      </c>
      <c r="D111" s="27" t="s">
        <v>106</v>
      </c>
      <c r="E111" s="27">
        <v>2</v>
      </c>
      <c r="F111" s="27" t="s">
        <v>744</v>
      </c>
      <c r="G111" s="29" t="s">
        <v>130</v>
      </c>
      <c r="H111" s="27" t="s">
        <v>98</v>
      </c>
      <c r="I111" s="31" t="s">
        <v>106</v>
      </c>
      <c r="J111" s="132">
        <v>6390.3002659051117</v>
      </c>
      <c r="K111" s="132">
        <v>5888.9320571233475</v>
      </c>
      <c r="L111" s="132">
        <v>4741.8903986558416</v>
      </c>
      <c r="M111" s="132">
        <v>4499.0270328454199</v>
      </c>
      <c r="N111" s="132">
        <v>5222</v>
      </c>
      <c r="O111" s="132">
        <v>4685</v>
      </c>
      <c r="P111" s="132">
        <v>4350</v>
      </c>
      <c r="Q111" s="132">
        <v>4163</v>
      </c>
      <c r="R111" s="132">
        <v>3640</v>
      </c>
      <c r="S111" s="132">
        <v>3330</v>
      </c>
      <c r="T111" s="132">
        <v>3187</v>
      </c>
      <c r="U111" s="132">
        <v>3566</v>
      </c>
      <c r="V111" s="132">
        <v>3547</v>
      </c>
      <c r="W111" s="106">
        <v>3704</v>
      </c>
      <c r="X111" s="132">
        <v>2427</v>
      </c>
      <c r="Y111" s="132">
        <v>988</v>
      </c>
      <c r="Z111" s="132">
        <v>1253</v>
      </c>
      <c r="AA111" s="132">
        <v>720</v>
      </c>
      <c r="AB111" s="133">
        <v>17.5</v>
      </c>
      <c r="AC111" s="134">
        <v>17.5</v>
      </c>
      <c r="AD111" s="135">
        <v>17.5</v>
      </c>
      <c r="AE111" s="136">
        <v>18</v>
      </c>
      <c r="AF111" s="137">
        <v>18</v>
      </c>
      <c r="AG111" s="134">
        <v>18</v>
      </c>
      <c r="AH111" s="134">
        <v>18</v>
      </c>
      <c r="AI111" s="138">
        <v>18.5</v>
      </c>
      <c r="AJ111" s="138">
        <v>18.5</v>
      </c>
      <c r="AK111" s="139">
        <v>19</v>
      </c>
      <c r="AL111" s="140">
        <v>19.5</v>
      </c>
      <c r="AM111" s="140">
        <v>19.5</v>
      </c>
      <c r="AN111" s="140">
        <v>19.5</v>
      </c>
      <c r="AO111" s="77">
        <v>19.5</v>
      </c>
      <c r="AP111" s="77">
        <v>20</v>
      </c>
      <c r="AQ111" s="44">
        <v>20</v>
      </c>
      <c r="AR111" s="44">
        <v>21</v>
      </c>
      <c r="AS111" s="129">
        <v>21</v>
      </c>
      <c r="AT111" s="44">
        <v>3819</v>
      </c>
      <c r="AU111" s="44">
        <v>3610</v>
      </c>
      <c r="AV111" s="44">
        <v>26618</v>
      </c>
      <c r="AW111" s="44">
        <v>10519</v>
      </c>
      <c r="AX111" s="44">
        <v>11930</v>
      </c>
      <c r="AY111" s="44">
        <v>22</v>
      </c>
      <c r="AZ111" s="44">
        <v>-544</v>
      </c>
      <c r="BA111" s="44">
        <v>895</v>
      </c>
      <c r="BB111" s="44">
        <v>-3325</v>
      </c>
      <c r="BC111" s="44">
        <v>-1439</v>
      </c>
      <c r="BD111" s="44">
        <v>-1439</v>
      </c>
      <c r="BE111" s="44">
        <v>988</v>
      </c>
      <c r="BF111" s="44">
        <v>10519</v>
      </c>
      <c r="BG111" s="44">
        <v>9341</v>
      </c>
      <c r="BH111" s="44">
        <v>512</v>
      </c>
      <c r="BI111" s="44">
        <v>666</v>
      </c>
      <c r="BJ111" s="44">
        <v>20</v>
      </c>
      <c r="BK111" s="44">
        <v>6856</v>
      </c>
      <c r="BL111" s="44">
        <v>3727</v>
      </c>
      <c r="BM111" s="44">
        <v>4115</v>
      </c>
      <c r="BN111" s="44">
        <v>26559</v>
      </c>
      <c r="BO111" s="44">
        <v>11425</v>
      </c>
      <c r="BP111" s="44">
        <v>12288</v>
      </c>
      <c r="BQ111" s="44">
        <v>20</v>
      </c>
      <c r="BR111" s="44">
        <v>1288</v>
      </c>
      <c r="BS111" s="44">
        <v>1022</v>
      </c>
      <c r="BT111" s="44">
        <v>-1788</v>
      </c>
      <c r="BU111" s="44">
        <v>266</v>
      </c>
      <c r="BV111" s="44">
        <v>1253</v>
      </c>
      <c r="BW111" s="44">
        <v>11425</v>
      </c>
      <c r="BX111" s="44">
        <v>10035</v>
      </c>
      <c r="BY111" s="44">
        <v>526</v>
      </c>
      <c r="BZ111" s="44">
        <v>864</v>
      </c>
      <c r="CA111" s="44">
        <v>21</v>
      </c>
      <c r="CB111" s="44">
        <v>7314</v>
      </c>
      <c r="CC111" s="116">
        <v>3715</v>
      </c>
      <c r="CD111" s="47">
        <v>3836</v>
      </c>
      <c r="CE111" s="130">
        <v>26514</v>
      </c>
      <c r="CF111" s="46">
        <v>11001</v>
      </c>
      <c r="CG111" s="46">
        <v>12477</v>
      </c>
      <c r="CH111" s="46">
        <v>28</v>
      </c>
      <c r="CI111" s="130">
        <v>828</v>
      </c>
      <c r="CJ111" s="44">
        <v>1143</v>
      </c>
      <c r="CK111" s="117">
        <v>-1210</v>
      </c>
      <c r="CL111" s="117">
        <v>-315</v>
      </c>
      <c r="CM111" s="117">
        <v>720</v>
      </c>
      <c r="CN111" s="48">
        <v>11001</v>
      </c>
      <c r="CO111" s="46">
        <v>9670</v>
      </c>
      <c r="CP111" s="130">
        <v>611</v>
      </c>
      <c r="CQ111" s="46">
        <v>720</v>
      </c>
      <c r="CR111" s="129">
        <v>21</v>
      </c>
      <c r="CS111" s="44">
        <v>7482</v>
      </c>
      <c r="CT111">
        <v>3690</v>
      </c>
      <c r="CU111">
        <v>11112</v>
      </c>
      <c r="CV111">
        <v>13380</v>
      </c>
      <c r="CW111">
        <v>2915</v>
      </c>
      <c r="CX111">
        <v>26</v>
      </c>
      <c r="CY111">
        <v>9655</v>
      </c>
      <c r="CZ111">
        <v>602</v>
      </c>
      <c r="DA111">
        <v>855</v>
      </c>
      <c r="DB111">
        <v>2182</v>
      </c>
      <c r="DC111">
        <v>-1624</v>
      </c>
      <c r="DD111">
        <v>1191</v>
      </c>
      <c r="DE111">
        <v>8010</v>
      </c>
      <c r="DF111">
        <v>25251</v>
      </c>
      <c r="DG111">
        <v>991</v>
      </c>
      <c r="DH111">
        <v>1711</v>
      </c>
      <c r="DI111">
        <v>21</v>
      </c>
      <c r="DJ111" s="174">
        <v>3637</v>
      </c>
      <c r="DK111" s="34">
        <v>11305</v>
      </c>
      <c r="DL111" s="34">
        <v>13511</v>
      </c>
      <c r="DM111">
        <v>3004</v>
      </c>
      <c r="DN111" s="173">
        <v>-129</v>
      </c>
      <c r="DO111" s="34">
        <v>9700</v>
      </c>
      <c r="DP111" s="173">
        <v>755</v>
      </c>
      <c r="DQ111" s="34">
        <v>850</v>
      </c>
      <c r="DR111" s="173">
        <v>2176</v>
      </c>
      <c r="DS111" s="173">
        <v>-748</v>
      </c>
      <c r="DT111">
        <v>1522</v>
      </c>
      <c r="DU111">
        <v>6979</v>
      </c>
      <c r="DV111" s="173">
        <v>25515</v>
      </c>
      <c r="DW111" s="173">
        <v>654</v>
      </c>
      <c r="DX111" s="173">
        <v>2365</v>
      </c>
      <c r="DY111" s="57">
        <v>21</v>
      </c>
      <c r="DZ111" s="184">
        <v>340</v>
      </c>
      <c r="EA111" s="116">
        <v>3572</v>
      </c>
      <c r="EB111" s="48">
        <v>10776</v>
      </c>
      <c r="EC111" s="46">
        <v>13497</v>
      </c>
      <c r="ED111" s="90">
        <v>2973</v>
      </c>
      <c r="EE111" s="186">
        <v>176</v>
      </c>
      <c r="EF111" s="46">
        <v>9230</v>
      </c>
      <c r="EG111" s="130">
        <v>707</v>
      </c>
      <c r="EH111" s="46">
        <v>839</v>
      </c>
      <c r="EI111" s="130">
        <v>1456</v>
      </c>
      <c r="EJ111" s="48">
        <v>-1749</v>
      </c>
      <c r="EK111" s="44">
        <v>1217</v>
      </c>
      <c r="EL111" s="44">
        <v>6874</v>
      </c>
      <c r="EM111" s="130">
        <v>25966</v>
      </c>
      <c r="EN111" s="117">
        <v>239</v>
      </c>
      <c r="EO111" s="117">
        <v>2604</v>
      </c>
      <c r="EP111" s="129">
        <v>21</v>
      </c>
    </row>
    <row r="112" spans="1:146" ht="15" x14ac:dyDescent="0.25">
      <c r="A112" s="27">
        <v>301</v>
      </c>
      <c r="B112" s="27" t="s">
        <v>240</v>
      </c>
      <c r="C112" s="27">
        <v>14</v>
      </c>
      <c r="D112" s="27" t="s">
        <v>106</v>
      </c>
      <c r="E112" s="27">
        <v>5</v>
      </c>
      <c r="F112" s="27" t="s">
        <v>101</v>
      </c>
      <c r="G112" s="29" t="s">
        <v>132</v>
      </c>
      <c r="H112" s="27" t="s">
        <v>99</v>
      </c>
      <c r="I112" s="31" t="s">
        <v>106</v>
      </c>
      <c r="J112" s="118">
        <v>4339.0803147805236</v>
      </c>
      <c r="K112" s="118">
        <v>3250.5680547216234</v>
      </c>
      <c r="L112" s="118">
        <v>2488.8449357774402</v>
      </c>
      <c r="M112" s="118">
        <v>3128.968183889951</v>
      </c>
      <c r="N112" s="22">
        <v>6631</v>
      </c>
      <c r="O112" s="119">
        <v>7064</v>
      </c>
      <c r="P112" s="119">
        <v>8476</v>
      </c>
      <c r="Q112" s="120">
        <v>31032</v>
      </c>
      <c r="R112" s="22">
        <v>36194</v>
      </c>
      <c r="S112" s="22">
        <v>49897</v>
      </c>
      <c r="T112" s="121">
        <v>53637</v>
      </c>
      <c r="U112" s="121">
        <v>58923</v>
      </c>
      <c r="V112" s="121">
        <v>59144</v>
      </c>
      <c r="W112" s="106">
        <v>22571</v>
      </c>
      <c r="X112" s="121">
        <v>16507</v>
      </c>
      <c r="Y112" s="121">
        <v>26249</v>
      </c>
      <c r="Z112" s="121">
        <v>22567</v>
      </c>
      <c r="AA112" s="121">
        <v>19874</v>
      </c>
      <c r="AB112" s="122">
        <v>17</v>
      </c>
      <c r="AC112" s="123">
        <v>17.5</v>
      </c>
      <c r="AD112" s="124">
        <v>17.5</v>
      </c>
      <c r="AE112" s="125">
        <v>17.5</v>
      </c>
      <c r="AF112" s="126">
        <v>17.5</v>
      </c>
      <c r="AG112" s="123">
        <v>17.5</v>
      </c>
      <c r="AH112" s="123">
        <v>17.5</v>
      </c>
      <c r="AI112" s="131">
        <v>17.5</v>
      </c>
      <c r="AJ112" s="131">
        <v>18</v>
      </c>
      <c r="AK112" s="22">
        <v>18</v>
      </c>
      <c r="AL112" s="128">
        <v>18</v>
      </c>
      <c r="AM112" s="128">
        <v>18</v>
      </c>
      <c r="AN112" s="128">
        <v>18</v>
      </c>
      <c r="AO112" s="77">
        <v>18</v>
      </c>
      <c r="AP112" s="77">
        <v>18</v>
      </c>
      <c r="AQ112" s="129">
        <v>19</v>
      </c>
      <c r="AR112" s="129">
        <v>19</v>
      </c>
      <c r="AS112" s="129">
        <v>19</v>
      </c>
      <c r="AT112" s="116">
        <v>22309</v>
      </c>
      <c r="AU112" s="47">
        <v>28574</v>
      </c>
      <c r="AV112" s="47">
        <v>157270</v>
      </c>
      <c r="AW112" s="46">
        <v>61706</v>
      </c>
      <c r="AX112" s="46">
        <v>53566</v>
      </c>
      <c r="AY112" s="92">
        <v>32614</v>
      </c>
      <c r="AZ112" s="47">
        <v>799</v>
      </c>
      <c r="BA112" s="44">
        <v>6684</v>
      </c>
      <c r="BB112" s="23">
        <v>6088</v>
      </c>
      <c r="BC112" s="47">
        <v>12506</v>
      </c>
      <c r="BD112" s="44">
        <v>9742</v>
      </c>
      <c r="BE112" s="47">
        <v>26249</v>
      </c>
      <c r="BF112" s="44">
        <v>61706</v>
      </c>
      <c r="BG112" s="46">
        <v>55319</v>
      </c>
      <c r="BH112" s="130">
        <v>3287</v>
      </c>
      <c r="BI112" s="46">
        <v>3100</v>
      </c>
      <c r="BJ112" s="129">
        <v>19</v>
      </c>
      <c r="BK112" s="44">
        <v>43883</v>
      </c>
      <c r="BL112" s="116">
        <v>22073</v>
      </c>
      <c r="BM112" s="47">
        <v>23684</v>
      </c>
      <c r="BN112" s="130">
        <v>159954</v>
      </c>
      <c r="BO112" s="46">
        <v>64253</v>
      </c>
      <c r="BP112" s="46">
        <v>59080</v>
      </c>
      <c r="BQ112" s="46">
        <v>9163</v>
      </c>
      <c r="BR112" s="130">
        <v>-3855</v>
      </c>
      <c r="BS112" s="44">
        <v>5764</v>
      </c>
      <c r="BT112" s="92">
        <v>-6338</v>
      </c>
      <c r="BU112" s="117">
        <v>-7835</v>
      </c>
      <c r="BV112" s="130">
        <v>22567</v>
      </c>
      <c r="BW112" s="48">
        <v>64253</v>
      </c>
      <c r="BX112" s="46">
        <v>57324</v>
      </c>
      <c r="BY112" s="130">
        <v>3437</v>
      </c>
      <c r="BZ112" s="46">
        <v>3492</v>
      </c>
      <c r="CA112" s="129">
        <v>19</v>
      </c>
      <c r="CB112" s="44">
        <v>63679</v>
      </c>
      <c r="CC112" s="116">
        <v>21734</v>
      </c>
      <c r="CD112" s="47">
        <v>22356</v>
      </c>
      <c r="CE112" s="130">
        <v>152560</v>
      </c>
      <c r="CF112" s="46">
        <v>65450</v>
      </c>
      <c r="CG112" s="46">
        <v>58869</v>
      </c>
      <c r="CH112" s="46">
        <v>18373</v>
      </c>
      <c r="CI112" s="130">
        <v>3226</v>
      </c>
      <c r="CJ112" s="44">
        <v>6444</v>
      </c>
      <c r="CK112" s="117">
        <v>-5800</v>
      </c>
      <c r="CL112" s="117">
        <v>-2693</v>
      </c>
      <c r="CM112" s="117">
        <v>19874</v>
      </c>
      <c r="CN112" s="48">
        <v>65450</v>
      </c>
      <c r="CO112" s="46">
        <v>58136</v>
      </c>
      <c r="CP112" s="130">
        <v>3745</v>
      </c>
      <c r="CQ112" s="46">
        <v>3569</v>
      </c>
      <c r="CR112" s="129">
        <v>19</v>
      </c>
      <c r="CS112" s="44">
        <v>72086</v>
      </c>
      <c r="CT112">
        <v>21501</v>
      </c>
      <c r="CU112">
        <v>63169</v>
      </c>
      <c r="CV112">
        <v>59705</v>
      </c>
      <c r="CW112">
        <v>22523</v>
      </c>
      <c r="CX112">
        <v>7138</v>
      </c>
      <c r="CY112">
        <v>55388</v>
      </c>
      <c r="CZ112">
        <v>3439</v>
      </c>
      <c r="DA112">
        <v>4342</v>
      </c>
      <c r="DB112">
        <v>2857</v>
      </c>
      <c r="DC112">
        <v>-2988</v>
      </c>
      <c r="DD112">
        <v>8853</v>
      </c>
      <c r="DE112">
        <v>80719</v>
      </c>
      <c r="DF112">
        <v>149678</v>
      </c>
      <c r="DG112">
        <v>-5571</v>
      </c>
      <c r="DH112">
        <v>14303</v>
      </c>
      <c r="DI112">
        <v>20</v>
      </c>
      <c r="DJ112" s="174">
        <v>21203</v>
      </c>
      <c r="DK112" s="34">
        <v>66489</v>
      </c>
      <c r="DL112" s="34">
        <v>61586</v>
      </c>
      <c r="DM112">
        <v>21779</v>
      </c>
      <c r="DN112" s="173">
        <v>8871</v>
      </c>
      <c r="DO112" s="34">
        <v>57835</v>
      </c>
      <c r="DP112" s="173">
        <v>4318</v>
      </c>
      <c r="DQ112" s="34">
        <v>4336</v>
      </c>
      <c r="DR112" s="173">
        <v>10206</v>
      </c>
      <c r="DS112" s="173">
        <v>-5473</v>
      </c>
      <c r="DT112">
        <v>6508</v>
      </c>
      <c r="DU112">
        <v>80288</v>
      </c>
      <c r="DV112" s="173">
        <v>148519</v>
      </c>
      <c r="DW112" s="173">
        <v>4080</v>
      </c>
      <c r="DX112" s="173">
        <v>18383</v>
      </c>
      <c r="DY112" s="57">
        <v>21</v>
      </c>
      <c r="DZ112" s="184">
        <v>240</v>
      </c>
      <c r="EA112" s="116">
        <v>20952</v>
      </c>
      <c r="EB112" s="48">
        <v>63772</v>
      </c>
      <c r="EC112" s="46">
        <v>61226</v>
      </c>
      <c r="ED112" s="90">
        <v>21077</v>
      </c>
      <c r="EE112" s="186">
        <v>9577</v>
      </c>
      <c r="EF112" s="46">
        <v>55377</v>
      </c>
      <c r="EG112" s="130">
        <v>4019</v>
      </c>
      <c r="EH112" s="46">
        <v>4376</v>
      </c>
      <c r="EI112" s="130">
        <v>8171</v>
      </c>
      <c r="EJ112" s="48">
        <v>-11067</v>
      </c>
      <c r="EK112" s="44">
        <v>6714</v>
      </c>
      <c r="EL112" s="44">
        <v>81362</v>
      </c>
      <c r="EM112" s="130">
        <v>147481</v>
      </c>
      <c r="EN112" s="117">
        <v>1770</v>
      </c>
      <c r="EO112" s="117">
        <v>22516</v>
      </c>
      <c r="EP112" s="129">
        <v>21</v>
      </c>
    </row>
    <row r="113" spans="1:146" ht="15" x14ac:dyDescent="0.25">
      <c r="A113" s="27">
        <v>304</v>
      </c>
      <c r="B113" s="27" t="s">
        <v>241</v>
      </c>
      <c r="C113" s="27">
        <v>2</v>
      </c>
      <c r="D113" s="27" t="s">
        <v>122</v>
      </c>
      <c r="E113" s="27">
        <v>1</v>
      </c>
      <c r="F113" s="27" t="s">
        <v>103</v>
      </c>
      <c r="G113" s="29" t="s">
        <v>130</v>
      </c>
      <c r="H113" s="27" t="s">
        <v>98</v>
      </c>
      <c r="I113" s="31" t="s">
        <v>122</v>
      </c>
      <c r="J113" s="132">
        <v>688.89774678634922</v>
      </c>
      <c r="K113" s="132">
        <v>938.99319343461605</v>
      </c>
      <c r="L113" s="132">
        <v>901.65547376016059</v>
      </c>
      <c r="M113" s="132">
        <v>634.40485861281968</v>
      </c>
      <c r="N113" s="132">
        <v>681</v>
      </c>
      <c r="O113" s="132">
        <v>541</v>
      </c>
      <c r="P113" s="132">
        <v>443</v>
      </c>
      <c r="Q113" s="132">
        <v>369</v>
      </c>
      <c r="R113" s="132">
        <v>423</v>
      </c>
      <c r="S113" s="132">
        <v>468</v>
      </c>
      <c r="T113" s="132">
        <v>587</v>
      </c>
      <c r="U113" s="132">
        <v>761</v>
      </c>
      <c r="V113" s="132">
        <v>935</v>
      </c>
      <c r="W113" s="106">
        <v>1124</v>
      </c>
      <c r="X113" s="132">
        <v>1522</v>
      </c>
      <c r="Y113" s="132">
        <v>2056</v>
      </c>
      <c r="Z113" s="132">
        <v>2366</v>
      </c>
      <c r="AA113" s="132">
        <v>2584</v>
      </c>
      <c r="AB113" s="133">
        <v>18.25</v>
      </c>
      <c r="AC113" s="134">
        <v>18.25</v>
      </c>
      <c r="AD113" s="135">
        <v>18.25</v>
      </c>
      <c r="AE113" s="136">
        <v>18.25</v>
      </c>
      <c r="AF113" s="137">
        <v>18.75</v>
      </c>
      <c r="AG113" s="134">
        <v>18.75</v>
      </c>
      <c r="AH113" s="134">
        <v>18.75</v>
      </c>
      <c r="AI113" s="138">
        <v>18.75</v>
      </c>
      <c r="AJ113" s="138">
        <v>19.25</v>
      </c>
      <c r="AK113" s="139">
        <v>19.25</v>
      </c>
      <c r="AL113" s="140">
        <v>19.25</v>
      </c>
      <c r="AM113" s="140">
        <v>19.25</v>
      </c>
      <c r="AN113" s="140">
        <v>19.25</v>
      </c>
      <c r="AO113" s="83">
        <v>19.25</v>
      </c>
      <c r="AP113" s="83">
        <v>19.25</v>
      </c>
      <c r="AQ113" s="116">
        <v>19.25</v>
      </c>
      <c r="AR113" s="116">
        <v>19.25</v>
      </c>
      <c r="AS113" s="116">
        <v>19.25</v>
      </c>
      <c r="AT113" s="116">
        <v>869</v>
      </c>
      <c r="AU113" s="116">
        <v>1062</v>
      </c>
      <c r="AV113" s="116">
        <v>6800</v>
      </c>
      <c r="AW113" s="116">
        <v>3895</v>
      </c>
      <c r="AX113" s="116">
        <v>2603</v>
      </c>
      <c r="AY113" s="116">
        <v>41</v>
      </c>
      <c r="AZ113" s="116">
        <v>738</v>
      </c>
      <c r="BA113" s="116">
        <v>255</v>
      </c>
      <c r="BB113" s="116">
        <v>-860</v>
      </c>
      <c r="BC113" s="116">
        <v>516</v>
      </c>
      <c r="BD113" s="116">
        <v>534</v>
      </c>
      <c r="BE113" s="116">
        <v>2056</v>
      </c>
      <c r="BF113" s="116">
        <v>3895</v>
      </c>
      <c r="BG113" s="116">
        <v>2551</v>
      </c>
      <c r="BH113" s="116">
        <v>135</v>
      </c>
      <c r="BI113" s="116">
        <v>1209</v>
      </c>
      <c r="BJ113" s="116">
        <v>19.25</v>
      </c>
      <c r="BK113" s="116">
        <v>1530</v>
      </c>
      <c r="BL113" s="116">
        <v>892</v>
      </c>
      <c r="BM113" s="116">
        <v>1222</v>
      </c>
      <c r="BN113" s="116">
        <v>7042</v>
      </c>
      <c r="BO113" s="116">
        <v>3979</v>
      </c>
      <c r="BP113" s="116">
        <v>2453</v>
      </c>
      <c r="BQ113" s="116">
        <v>8</v>
      </c>
      <c r="BR113" s="116">
        <v>587</v>
      </c>
      <c r="BS113" s="116">
        <v>270</v>
      </c>
      <c r="BT113" s="116">
        <v>-495</v>
      </c>
      <c r="BU113" s="116">
        <v>309</v>
      </c>
      <c r="BV113" s="116">
        <v>2366</v>
      </c>
      <c r="BW113" s="116">
        <v>3979</v>
      </c>
      <c r="BX113" s="116">
        <v>2469</v>
      </c>
      <c r="BY113" s="116">
        <v>142</v>
      </c>
      <c r="BZ113" s="116">
        <v>1368</v>
      </c>
      <c r="CA113" s="116">
        <v>19.25</v>
      </c>
      <c r="CB113" s="116">
        <v>1731</v>
      </c>
      <c r="CC113" s="116">
        <v>895</v>
      </c>
      <c r="CD113" s="116">
        <v>1230</v>
      </c>
      <c r="CE113" s="116">
        <v>7128</v>
      </c>
      <c r="CF113" s="116">
        <v>4028</v>
      </c>
      <c r="CG113" s="116">
        <v>2363</v>
      </c>
      <c r="CH113" s="116">
        <v>12</v>
      </c>
      <c r="CI113" s="116">
        <v>471</v>
      </c>
      <c r="CJ113" s="116">
        <v>271</v>
      </c>
      <c r="CK113" s="116">
        <v>-535</v>
      </c>
      <c r="CL113" s="116">
        <v>218</v>
      </c>
      <c r="CM113" s="116">
        <v>2584</v>
      </c>
      <c r="CN113" s="116">
        <v>4028</v>
      </c>
      <c r="CO113" s="116">
        <v>2502</v>
      </c>
      <c r="CP113" s="116">
        <v>167</v>
      </c>
      <c r="CQ113" s="116">
        <v>1359</v>
      </c>
      <c r="CR113" s="116">
        <v>19.25</v>
      </c>
      <c r="CS113" s="116">
        <v>1476</v>
      </c>
      <c r="CT113">
        <v>908</v>
      </c>
      <c r="CU113">
        <v>4233</v>
      </c>
      <c r="CV113">
        <v>2492</v>
      </c>
      <c r="CW113">
        <v>1204</v>
      </c>
      <c r="CX113">
        <v>5</v>
      </c>
      <c r="CY113">
        <v>2684</v>
      </c>
      <c r="CZ113">
        <v>149</v>
      </c>
      <c r="DA113">
        <v>1400</v>
      </c>
      <c r="DB113">
        <v>746</v>
      </c>
      <c r="DC113">
        <v>-880</v>
      </c>
      <c r="DD113">
        <v>276</v>
      </c>
      <c r="DE113">
        <v>1884</v>
      </c>
      <c r="DF113">
        <v>7163</v>
      </c>
      <c r="DG113">
        <v>88</v>
      </c>
      <c r="DH113">
        <v>2673</v>
      </c>
      <c r="DI113">
        <v>19.25</v>
      </c>
      <c r="DJ113" s="174">
        <v>923</v>
      </c>
      <c r="DK113" s="34">
        <v>4028</v>
      </c>
      <c r="DL113" s="34">
        <v>2367</v>
      </c>
      <c r="DM113">
        <v>1587</v>
      </c>
      <c r="DN113" s="173">
        <v>-21</v>
      </c>
      <c r="DO113" s="34">
        <v>2425</v>
      </c>
      <c r="DP113" s="173">
        <v>201</v>
      </c>
      <c r="DQ113" s="34">
        <v>1402</v>
      </c>
      <c r="DR113" s="173">
        <v>928</v>
      </c>
      <c r="DS113" s="173">
        <v>-1000</v>
      </c>
      <c r="DT113">
        <v>300</v>
      </c>
      <c r="DU113">
        <v>1999</v>
      </c>
      <c r="DV113" s="173">
        <v>7033</v>
      </c>
      <c r="DW113" s="173">
        <v>646</v>
      </c>
      <c r="DX113" s="173">
        <v>3319</v>
      </c>
      <c r="DY113" s="57">
        <v>19</v>
      </c>
      <c r="DZ113" s="184">
        <v>320</v>
      </c>
      <c r="EA113" s="116">
        <v>926</v>
      </c>
      <c r="EB113" s="48">
        <v>4471</v>
      </c>
      <c r="EC113" s="46">
        <v>2303</v>
      </c>
      <c r="ED113" s="90">
        <v>1588</v>
      </c>
      <c r="EE113" s="186">
        <v>-30</v>
      </c>
      <c r="EF113" s="46">
        <v>2827</v>
      </c>
      <c r="EG113" s="130">
        <v>223</v>
      </c>
      <c r="EH113" s="46">
        <v>1421</v>
      </c>
      <c r="EI113" s="130">
        <v>671</v>
      </c>
      <c r="EJ113" s="48">
        <v>-207</v>
      </c>
      <c r="EK113" s="44">
        <v>385</v>
      </c>
      <c r="EL113" s="44">
        <v>1656</v>
      </c>
      <c r="EM113" s="130">
        <v>7661</v>
      </c>
      <c r="EN113" s="117">
        <v>314</v>
      </c>
      <c r="EO113" s="117">
        <v>3633</v>
      </c>
      <c r="EP113" s="129">
        <v>18.75</v>
      </c>
    </row>
    <row r="114" spans="1:146" ht="15" x14ac:dyDescent="0.25">
      <c r="A114" s="27">
        <v>305</v>
      </c>
      <c r="B114" s="27" t="s">
        <v>242</v>
      </c>
      <c r="C114" s="27">
        <v>17</v>
      </c>
      <c r="D114" s="27" t="s">
        <v>117</v>
      </c>
      <c r="E114" s="27">
        <v>4</v>
      </c>
      <c r="F114" s="27" t="s">
        <v>100</v>
      </c>
      <c r="G114" s="29" t="s">
        <v>132</v>
      </c>
      <c r="H114" s="27" t="s">
        <v>99</v>
      </c>
      <c r="I114" s="31" t="s">
        <v>117</v>
      </c>
      <c r="J114" s="118">
        <v>0</v>
      </c>
      <c r="K114" s="118">
        <v>942.18876403738477</v>
      </c>
      <c r="L114" s="118">
        <v>1506.7956331686773</v>
      </c>
      <c r="M114" s="118">
        <v>2261.6230471279387</v>
      </c>
      <c r="N114" s="22">
        <v>5655</v>
      </c>
      <c r="O114" s="119">
        <v>7724</v>
      </c>
      <c r="P114" s="119">
        <v>4849</v>
      </c>
      <c r="Q114" s="120">
        <v>5389</v>
      </c>
      <c r="R114" s="22">
        <v>6182</v>
      </c>
      <c r="S114" s="22">
        <v>8210</v>
      </c>
      <c r="T114" s="121">
        <v>8511</v>
      </c>
      <c r="U114" s="121">
        <v>7591</v>
      </c>
      <c r="V114" s="121">
        <v>7713</v>
      </c>
      <c r="W114" s="106">
        <v>6701</v>
      </c>
      <c r="X114" s="121">
        <v>6260</v>
      </c>
      <c r="Y114" s="121">
        <v>7575</v>
      </c>
      <c r="Z114" s="121">
        <v>11262</v>
      </c>
      <c r="AA114" s="121">
        <v>11680</v>
      </c>
      <c r="AB114" s="122">
        <v>18</v>
      </c>
      <c r="AC114" s="123">
        <v>18</v>
      </c>
      <c r="AD114" s="124">
        <v>18</v>
      </c>
      <c r="AE114" s="125">
        <v>18</v>
      </c>
      <c r="AF114" s="126">
        <v>18</v>
      </c>
      <c r="AG114" s="123">
        <v>18</v>
      </c>
      <c r="AH114" s="123">
        <v>18</v>
      </c>
      <c r="AI114" s="127">
        <v>18</v>
      </c>
      <c r="AJ114" s="127">
        <v>18.75</v>
      </c>
      <c r="AK114" s="22">
        <v>18.75</v>
      </c>
      <c r="AL114" s="128">
        <v>18.75</v>
      </c>
      <c r="AM114" s="128">
        <v>18.75</v>
      </c>
      <c r="AN114" s="128">
        <v>19.5</v>
      </c>
      <c r="AO114" s="77">
        <v>19.5</v>
      </c>
      <c r="AP114" s="77">
        <v>19.5</v>
      </c>
      <c r="AQ114" s="129">
        <v>19.5</v>
      </c>
      <c r="AR114" s="129">
        <v>20</v>
      </c>
      <c r="AS114" s="129">
        <v>20</v>
      </c>
      <c r="AT114" s="116">
        <v>15952</v>
      </c>
      <c r="AU114" s="47">
        <v>21172</v>
      </c>
      <c r="AV114" s="47">
        <v>112012</v>
      </c>
      <c r="AW114" s="46">
        <v>49923</v>
      </c>
      <c r="AX114" s="46">
        <v>45545</v>
      </c>
      <c r="AY114" s="92">
        <v>1838</v>
      </c>
      <c r="AZ114" s="47">
        <v>5852</v>
      </c>
      <c r="BA114" s="44">
        <v>4347</v>
      </c>
      <c r="BB114" s="23">
        <v>-3269</v>
      </c>
      <c r="BC114" s="47">
        <v>1505</v>
      </c>
      <c r="BD114" s="44">
        <v>1860</v>
      </c>
      <c r="BE114" s="47">
        <v>7575</v>
      </c>
      <c r="BF114" s="44">
        <v>49923</v>
      </c>
      <c r="BG114" s="46">
        <v>40653</v>
      </c>
      <c r="BH114" s="130">
        <v>2957</v>
      </c>
      <c r="BI114" s="46">
        <v>6313</v>
      </c>
      <c r="BJ114" s="129">
        <v>19.5</v>
      </c>
      <c r="BK114" s="44">
        <v>26951</v>
      </c>
      <c r="BL114" s="116">
        <v>15823</v>
      </c>
      <c r="BM114" s="47">
        <v>21054</v>
      </c>
      <c r="BN114" s="130">
        <v>111640</v>
      </c>
      <c r="BO114" s="46">
        <v>52361</v>
      </c>
      <c r="BP114" s="46">
        <v>45662</v>
      </c>
      <c r="BQ114" s="46">
        <v>1401</v>
      </c>
      <c r="BR114" s="130">
        <v>8291</v>
      </c>
      <c r="BS114" s="44">
        <v>4686</v>
      </c>
      <c r="BT114" s="92">
        <v>-6672</v>
      </c>
      <c r="BU114" s="117">
        <v>3866</v>
      </c>
      <c r="BV114" s="130">
        <v>11262</v>
      </c>
      <c r="BW114" s="48">
        <v>52361</v>
      </c>
      <c r="BX114" s="46">
        <v>42428</v>
      </c>
      <c r="BY114" s="130">
        <v>3086</v>
      </c>
      <c r="BZ114" s="46">
        <v>6847</v>
      </c>
      <c r="CA114" s="129">
        <v>20</v>
      </c>
      <c r="CB114" s="44">
        <v>27748</v>
      </c>
      <c r="CC114" s="116">
        <v>15688</v>
      </c>
      <c r="CD114" s="47">
        <v>19506</v>
      </c>
      <c r="CE114" s="130">
        <v>112862</v>
      </c>
      <c r="CF114" s="46">
        <v>52714</v>
      </c>
      <c r="CG114" s="46">
        <v>44846</v>
      </c>
      <c r="CH114" s="46">
        <v>1604</v>
      </c>
      <c r="CI114" s="130">
        <v>5254</v>
      </c>
      <c r="CJ114" s="44">
        <v>5147</v>
      </c>
      <c r="CK114" s="117">
        <v>-4308</v>
      </c>
      <c r="CL114" s="117">
        <v>634</v>
      </c>
      <c r="CM114" s="117">
        <v>11680</v>
      </c>
      <c r="CN114" s="48">
        <v>52714</v>
      </c>
      <c r="CO114" s="46">
        <v>42246</v>
      </c>
      <c r="CP114" s="130">
        <v>3595</v>
      </c>
      <c r="CQ114" s="46">
        <v>6873</v>
      </c>
      <c r="CR114" s="129">
        <v>20</v>
      </c>
      <c r="CS114" s="44">
        <v>29369</v>
      </c>
      <c r="CT114">
        <v>15533</v>
      </c>
      <c r="CU114">
        <v>51794</v>
      </c>
      <c r="CV114">
        <v>46600</v>
      </c>
      <c r="CW114">
        <v>23693</v>
      </c>
      <c r="CX114">
        <v>1466</v>
      </c>
      <c r="CY114">
        <v>41662</v>
      </c>
      <c r="CZ114">
        <v>3304</v>
      </c>
      <c r="DA114">
        <v>6828</v>
      </c>
      <c r="DB114">
        <v>7905</v>
      </c>
      <c r="DC114">
        <v>-5899</v>
      </c>
      <c r="DD114">
        <v>6251</v>
      </c>
      <c r="DE114">
        <v>32260</v>
      </c>
      <c r="DF114">
        <v>115111</v>
      </c>
      <c r="DG114">
        <v>2194</v>
      </c>
      <c r="DH114">
        <v>14582</v>
      </c>
      <c r="DI114">
        <v>20</v>
      </c>
      <c r="DJ114" s="174">
        <v>15386</v>
      </c>
      <c r="DK114" s="34">
        <v>52585</v>
      </c>
      <c r="DL114" s="34">
        <v>46187</v>
      </c>
      <c r="DM114">
        <v>22209</v>
      </c>
      <c r="DN114" s="173">
        <v>302</v>
      </c>
      <c r="DO114" s="34">
        <v>41781</v>
      </c>
      <c r="DP114" s="173">
        <v>4067</v>
      </c>
      <c r="DQ114" s="34">
        <v>6737</v>
      </c>
      <c r="DR114" s="173">
        <v>8054</v>
      </c>
      <c r="DS114" s="173">
        <v>-7552</v>
      </c>
      <c r="DT114">
        <v>7051</v>
      </c>
      <c r="DU114">
        <v>28066</v>
      </c>
      <c r="DV114" s="173">
        <v>113229</v>
      </c>
      <c r="DW114" s="173">
        <v>1417</v>
      </c>
      <c r="DX114" s="173">
        <v>15999</v>
      </c>
      <c r="DY114" s="57">
        <v>20</v>
      </c>
      <c r="DZ114" s="184">
        <v>240</v>
      </c>
      <c r="EA114" s="116">
        <v>15207</v>
      </c>
      <c r="EB114" s="48">
        <v>51250</v>
      </c>
      <c r="EC114" s="46">
        <v>44886</v>
      </c>
      <c r="ED114" s="90">
        <v>23143</v>
      </c>
      <c r="EE114" s="186">
        <v>-358</v>
      </c>
      <c r="EF114" s="46">
        <v>40189</v>
      </c>
      <c r="EG114" s="130">
        <v>3843</v>
      </c>
      <c r="EH114" s="46">
        <v>7218</v>
      </c>
      <c r="EI114" s="130">
        <v>3087</v>
      </c>
      <c r="EJ114" s="48">
        <v>-8676</v>
      </c>
      <c r="EK114" s="44">
        <v>5135</v>
      </c>
      <c r="EL114" s="44">
        <v>34637</v>
      </c>
      <c r="EM114" s="130">
        <v>115834</v>
      </c>
      <c r="EN114" s="117">
        <v>-1631</v>
      </c>
      <c r="EO114" s="117">
        <v>15450</v>
      </c>
      <c r="EP114" s="129">
        <v>20</v>
      </c>
    </row>
    <row r="115" spans="1:146" ht="15" x14ac:dyDescent="0.25">
      <c r="A115" s="27">
        <v>312</v>
      </c>
      <c r="B115" s="27" t="s">
        <v>243</v>
      </c>
      <c r="C115" s="27">
        <v>13</v>
      </c>
      <c r="D115" s="27" t="s">
        <v>111</v>
      </c>
      <c r="E115" s="27">
        <v>1</v>
      </c>
      <c r="F115" s="27" t="s">
        <v>103</v>
      </c>
      <c r="G115" s="29" t="s">
        <v>130</v>
      </c>
      <c r="H115" s="27" t="s">
        <v>98</v>
      </c>
      <c r="I115" s="31" t="s">
        <v>111</v>
      </c>
      <c r="J115" s="118">
        <v>59.538525967374902</v>
      </c>
      <c r="K115" s="118">
        <v>-199.30269285689056</v>
      </c>
      <c r="L115" s="118">
        <v>4161.9784282165519</v>
      </c>
      <c r="M115" s="118">
        <v>3707.5346509175492</v>
      </c>
      <c r="N115" s="22">
        <v>2454</v>
      </c>
      <c r="O115" s="119">
        <v>2419</v>
      </c>
      <c r="P115" s="119">
        <v>1519</v>
      </c>
      <c r="Q115" s="120">
        <v>702</v>
      </c>
      <c r="R115" s="22">
        <v>1895</v>
      </c>
      <c r="S115" s="22">
        <v>2123</v>
      </c>
      <c r="T115" s="121">
        <v>2605</v>
      </c>
      <c r="U115" s="121">
        <v>3408</v>
      </c>
      <c r="V115" s="121">
        <v>3446</v>
      </c>
      <c r="W115" s="106">
        <v>3403</v>
      </c>
      <c r="X115" s="121">
        <v>2132</v>
      </c>
      <c r="Y115" s="121">
        <v>909</v>
      </c>
      <c r="Z115" s="121">
        <v>942</v>
      </c>
      <c r="AA115" s="121">
        <v>2008</v>
      </c>
      <c r="AB115" s="122">
        <v>18.5</v>
      </c>
      <c r="AC115" s="123">
        <v>18.5</v>
      </c>
      <c r="AD115" s="124">
        <v>18.5</v>
      </c>
      <c r="AE115" s="125">
        <v>18.5</v>
      </c>
      <c r="AF115" s="126">
        <v>18.5</v>
      </c>
      <c r="AG115" s="123">
        <v>18.5</v>
      </c>
      <c r="AH115" s="123">
        <v>18.5</v>
      </c>
      <c r="AI115" s="127">
        <v>18.5</v>
      </c>
      <c r="AJ115" s="127">
        <v>19</v>
      </c>
      <c r="AK115" s="22">
        <v>19</v>
      </c>
      <c r="AL115" s="128">
        <v>19</v>
      </c>
      <c r="AM115" s="128">
        <v>19</v>
      </c>
      <c r="AN115" s="128">
        <v>19</v>
      </c>
      <c r="AO115" s="77">
        <v>19</v>
      </c>
      <c r="AP115" s="77">
        <v>19.5</v>
      </c>
      <c r="AQ115" s="129">
        <v>19.5</v>
      </c>
      <c r="AR115" s="129">
        <v>20.5</v>
      </c>
      <c r="AS115" s="129">
        <v>20.5</v>
      </c>
      <c r="AT115" s="116">
        <v>1431</v>
      </c>
      <c r="AU115" s="47">
        <v>1718</v>
      </c>
      <c r="AV115" s="47">
        <v>11373</v>
      </c>
      <c r="AW115" s="46">
        <v>3946</v>
      </c>
      <c r="AX115" s="46">
        <v>4859</v>
      </c>
      <c r="AY115" s="92">
        <v>112</v>
      </c>
      <c r="AZ115" s="47">
        <v>-738</v>
      </c>
      <c r="BA115" s="44">
        <v>485</v>
      </c>
      <c r="BB115" s="23">
        <v>-568</v>
      </c>
      <c r="BC115" s="47">
        <v>-1223</v>
      </c>
      <c r="BD115" s="44">
        <v>-1223</v>
      </c>
      <c r="BE115" s="47">
        <v>909</v>
      </c>
      <c r="BF115" s="44">
        <v>3946</v>
      </c>
      <c r="BG115" s="46">
        <v>3184</v>
      </c>
      <c r="BH115" s="130">
        <v>530</v>
      </c>
      <c r="BI115" s="46">
        <v>232</v>
      </c>
      <c r="BJ115" s="129">
        <v>19.5</v>
      </c>
      <c r="BK115" s="44">
        <v>8247</v>
      </c>
      <c r="BL115" s="116">
        <v>1399</v>
      </c>
      <c r="BM115" s="47">
        <v>1751</v>
      </c>
      <c r="BN115" s="130">
        <v>11034</v>
      </c>
      <c r="BO115" s="46">
        <v>4283</v>
      </c>
      <c r="BP115" s="46">
        <v>4878</v>
      </c>
      <c r="BQ115" s="46">
        <v>661</v>
      </c>
      <c r="BR115" s="130">
        <v>29</v>
      </c>
      <c r="BS115" s="44">
        <v>505</v>
      </c>
      <c r="BT115" s="92">
        <v>-225</v>
      </c>
      <c r="BU115" s="117">
        <v>34</v>
      </c>
      <c r="BV115" s="130">
        <v>942</v>
      </c>
      <c r="BW115" s="48">
        <v>4283</v>
      </c>
      <c r="BX115" s="46">
        <v>3288</v>
      </c>
      <c r="BY115" s="130">
        <v>704</v>
      </c>
      <c r="BZ115" s="46">
        <v>291</v>
      </c>
      <c r="CA115" s="129">
        <v>20.5</v>
      </c>
      <c r="CB115" s="44">
        <v>8942</v>
      </c>
      <c r="CC115" s="116">
        <v>1379</v>
      </c>
      <c r="CD115" s="47">
        <v>1753</v>
      </c>
      <c r="CE115" s="130">
        <v>10364</v>
      </c>
      <c r="CF115" s="46">
        <v>4527</v>
      </c>
      <c r="CG115" s="46">
        <v>4528</v>
      </c>
      <c r="CH115" s="46">
        <v>430</v>
      </c>
      <c r="CI115" s="130">
        <v>863</v>
      </c>
      <c r="CJ115" s="44">
        <v>523</v>
      </c>
      <c r="CK115" s="117">
        <v>-1335</v>
      </c>
      <c r="CL115" s="117">
        <v>340</v>
      </c>
      <c r="CM115" s="117">
        <v>2008</v>
      </c>
      <c r="CN115" s="48">
        <v>4527</v>
      </c>
      <c r="CO115" s="46">
        <v>3519</v>
      </c>
      <c r="CP115" s="130">
        <v>723</v>
      </c>
      <c r="CQ115" s="46">
        <v>285</v>
      </c>
      <c r="CR115" s="129">
        <v>20.5</v>
      </c>
      <c r="CS115" s="44">
        <v>10152</v>
      </c>
      <c r="CT115">
        <v>1375</v>
      </c>
      <c r="CU115">
        <v>3907</v>
      </c>
      <c r="CV115">
        <v>4259</v>
      </c>
      <c r="CW115">
        <v>1608</v>
      </c>
      <c r="CX115">
        <v>104</v>
      </c>
      <c r="CY115">
        <v>3083</v>
      </c>
      <c r="CZ115">
        <v>541</v>
      </c>
      <c r="DA115">
        <v>283</v>
      </c>
      <c r="DB115">
        <v>-869</v>
      </c>
      <c r="DC115">
        <v>-466</v>
      </c>
      <c r="DD115">
        <v>565</v>
      </c>
      <c r="DE115">
        <v>10122</v>
      </c>
      <c r="DF115">
        <v>10747</v>
      </c>
      <c r="DG115">
        <v>-1434</v>
      </c>
      <c r="DH115">
        <v>574</v>
      </c>
      <c r="DI115">
        <v>20.5</v>
      </c>
      <c r="DJ115" s="174">
        <v>1352</v>
      </c>
      <c r="DK115" s="34">
        <v>4319</v>
      </c>
      <c r="DL115" s="34">
        <v>4420</v>
      </c>
      <c r="DM115">
        <v>1581</v>
      </c>
      <c r="DN115" s="173">
        <v>358</v>
      </c>
      <c r="DO115" s="34">
        <v>3421</v>
      </c>
      <c r="DP115" s="173">
        <v>577</v>
      </c>
      <c r="DQ115" s="34">
        <v>321</v>
      </c>
      <c r="DR115" s="173">
        <v>578</v>
      </c>
      <c r="DS115" s="173">
        <v>-536</v>
      </c>
      <c r="DT115">
        <v>556</v>
      </c>
      <c r="DU115">
        <v>10272</v>
      </c>
      <c r="DV115" s="173">
        <v>10100</v>
      </c>
      <c r="DW115" s="173">
        <v>22</v>
      </c>
      <c r="DX115" s="173">
        <v>596</v>
      </c>
      <c r="DY115" s="57">
        <v>21</v>
      </c>
      <c r="DZ115" s="184">
        <v>340</v>
      </c>
      <c r="EA115" s="116">
        <v>1343</v>
      </c>
      <c r="EB115" s="48">
        <v>4384</v>
      </c>
      <c r="EC115" s="46">
        <v>4149</v>
      </c>
      <c r="ED115" s="90">
        <v>1549</v>
      </c>
      <c r="EE115" s="186">
        <v>443</v>
      </c>
      <c r="EF115" s="46">
        <v>3406</v>
      </c>
      <c r="EG115" s="130">
        <v>597</v>
      </c>
      <c r="EH115" s="46">
        <v>381</v>
      </c>
      <c r="EI115" s="130">
        <v>85</v>
      </c>
      <c r="EJ115" s="48">
        <v>-736</v>
      </c>
      <c r="EK115" s="44">
        <v>470</v>
      </c>
      <c r="EL115" s="44">
        <v>11192</v>
      </c>
      <c r="EM115" s="130">
        <v>10440</v>
      </c>
      <c r="EN115" s="117">
        <v>-385</v>
      </c>
      <c r="EO115" s="117">
        <v>211</v>
      </c>
      <c r="EP115" s="129">
        <v>21.75</v>
      </c>
    </row>
    <row r="116" spans="1:146" ht="15" x14ac:dyDescent="0.25">
      <c r="A116" s="27">
        <v>316</v>
      </c>
      <c r="B116" s="27" t="s">
        <v>244</v>
      </c>
      <c r="C116" s="27">
        <v>7</v>
      </c>
      <c r="D116" s="27" t="s">
        <v>119</v>
      </c>
      <c r="E116" s="27">
        <v>2</v>
      </c>
      <c r="F116" s="27" t="s">
        <v>744</v>
      </c>
      <c r="G116" s="29" t="s">
        <v>130</v>
      </c>
      <c r="H116" s="27" t="s">
        <v>98</v>
      </c>
      <c r="I116" s="31" t="s">
        <v>119</v>
      </c>
      <c r="J116" s="118">
        <v>-957.83024119830532</v>
      </c>
      <c r="K116" s="118">
        <v>-1065.8068899865955</v>
      </c>
      <c r="L116" s="118">
        <v>-1891.1050451332301</v>
      </c>
      <c r="M116" s="118">
        <v>-1764.1231606547892</v>
      </c>
      <c r="N116" s="22">
        <v>-1088</v>
      </c>
      <c r="O116" s="119">
        <v>-1771</v>
      </c>
      <c r="P116" s="119">
        <v>-1767</v>
      </c>
      <c r="Q116" s="120">
        <v>-1262</v>
      </c>
      <c r="R116" s="22">
        <v>-993</v>
      </c>
      <c r="S116" s="22">
        <v>-1642</v>
      </c>
      <c r="T116" s="121">
        <v>-448</v>
      </c>
      <c r="U116" s="121">
        <v>-48</v>
      </c>
      <c r="V116" s="121">
        <v>-426</v>
      </c>
      <c r="W116" s="106">
        <v>29</v>
      </c>
      <c r="X116" s="121">
        <v>-2607</v>
      </c>
      <c r="Y116" s="121">
        <v>-4252</v>
      </c>
      <c r="Z116" s="121">
        <v>-299</v>
      </c>
      <c r="AA116" s="121">
        <v>-1456</v>
      </c>
      <c r="AB116" s="122">
        <v>17.5</v>
      </c>
      <c r="AC116" s="123">
        <v>18</v>
      </c>
      <c r="AD116" s="124">
        <v>18</v>
      </c>
      <c r="AE116" s="125">
        <v>18</v>
      </c>
      <c r="AF116" s="126">
        <v>18.5</v>
      </c>
      <c r="AG116" s="123">
        <v>18.5</v>
      </c>
      <c r="AH116" s="123">
        <v>18.5</v>
      </c>
      <c r="AI116" s="127">
        <v>19</v>
      </c>
      <c r="AJ116" s="127">
        <v>19</v>
      </c>
      <c r="AK116" s="22">
        <v>19</v>
      </c>
      <c r="AL116" s="128">
        <v>19</v>
      </c>
      <c r="AM116" s="128">
        <v>19.75</v>
      </c>
      <c r="AN116" s="128">
        <v>20.25</v>
      </c>
      <c r="AO116" s="77">
        <v>20.25</v>
      </c>
      <c r="AP116" s="77">
        <v>20.75</v>
      </c>
      <c r="AQ116" s="129">
        <v>20.75</v>
      </c>
      <c r="AR116" s="129">
        <v>21</v>
      </c>
      <c r="AS116" s="129">
        <v>21.75</v>
      </c>
      <c r="AT116" s="116">
        <v>4755</v>
      </c>
      <c r="AU116" s="47">
        <v>4951</v>
      </c>
      <c r="AV116" s="47">
        <v>29510</v>
      </c>
      <c r="AW116" s="46">
        <v>15358</v>
      </c>
      <c r="AX116" s="46">
        <v>8933</v>
      </c>
      <c r="AY116" s="92">
        <v>0</v>
      </c>
      <c r="AZ116" s="47">
        <v>-420</v>
      </c>
      <c r="BA116" s="44">
        <v>1226</v>
      </c>
      <c r="BB116" s="23">
        <v>-1165</v>
      </c>
      <c r="BC116" s="47">
        <v>-1646</v>
      </c>
      <c r="BD116" s="44">
        <v>-1646</v>
      </c>
      <c r="BE116" s="47">
        <v>-4252</v>
      </c>
      <c r="BF116" s="44">
        <v>15358</v>
      </c>
      <c r="BG116" s="46">
        <v>13982</v>
      </c>
      <c r="BH116" s="130">
        <v>416</v>
      </c>
      <c r="BI116" s="46">
        <v>960</v>
      </c>
      <c r="BJ116" s="129">
        <v>20.75</v>
      </c>
      <c r="BK116" s="44">
        <v>12283</v>
      </c>
      <c r="BL116" s="116">
        <v>4647</v>
      </c>
      <c r="BM116" s="47">
        <v>8755</v>
      </c>
      <c r="BN116" s="130">
        <v>27709</v>
      </c>
      <c r="BO116" s="46">
        <v>15460</v>
      </c>
      <c r="BP116" s="46">
        <v>8877</v>
      </c>
      <c r="BQ116" s="46">
        <v>0</v>
      </c>
      <c r="BR116" s="130">
        <v>5221</v>
      </c>
      <c r="BS116" s="44">
        <v>1268</v>
      </c>
      <c r="BT116" s="92">
        <v>2128</v>
      </c>
      <c r="BU116" s="117">
        <v>3953</v>
      </c>
      <c r="BV116" s="130">
        <v>-299</v>
      </c>
      <c r="BW116" s="48">
        <v>15460</v>
      </c>
      <c r="BX116" s="46">
        <v>13914</v>
      </c>
      <c r="BY116" s="130">
        <v>478</v>
      </c>
      <c r="BZ116" s="46">
        <v>1068</v>
      </c>
      <c r="CA116" s="129">
        <v>21</v>
      </c>
      <c r="CB116" s="44">
        <v>14185</v>
      </c>
      <c r="CC116" s="116">
        <v>4604</v>
      </c>
      <c r="CD116" s="47">
        <v>4441</v>
      </c>
      <c r="CE116" s="130">
        <v>28280</v>
      </c>
      <c r="CF116" s="46">
        <v>16170</v>
      </c>
      <c r="CG116" s="46">
        <v>7954</v>
      </c>
      <c r="CH116" s="46">
        <v>0</v>
      </c>
      <c r="CI116" s="130">
        <v>147</v>
      </c>
      <c r="CJ116" s="44">
        <v>1304</v>
      </c>
      <c r="CK116" s="117">
        <v>-1572</v>
      </c>
      <c r="CL116" s="117">
        <v>-1157</v>
      </c>
      <c r="CM116" s="117">
        <v>-1456</v>
      </c>
      <c r="CN116" s="48">
        <v>16170</v>
      </c>
      <c r="CO116" s="46">
        <v>14315</v>
      </c>
      <c r="CP116" s="130">
        <v>627</v>
      </c>
      <c r="CQ116" s="46">
        <v>1228</v>
      </c>
      <c r="CR116" s="129">
        <v>21.75</v>
      </c>
      <c r="CS116" s="44">
        <v>16087</v>
      </c>
      <c r="CT116">
        <v>4540</v>
      </c>
      <c r="CU116">
        <v>16223</v>
      </c>
      <c r="CV116">
        <v>8576</v>
      </c>
      <c r="CW116">
        <v>2877</v>
      </c>
      <c r="CX116">
        <v>4862</v>
      </c>
      <c r="CY116">
        <v>14435</v>
      </c>
      <c r="CZ116">
        <v>625</v>
      </c>
      <c r="DA116">
        <v>1163</v>
      </c>
      <c r="DB116">
        <v>909</v>
      </c>
      <c r="DC116">
        <v>-628</v>
      </c>
      <c r="DD116">
        <v>1062</v>
      </c>
      <c r="DE116">
        <v>9488</v>
      </c>
      <c r="DF116">
        <v>26698</v>
      </c>
      <c r="DG116">
        <v>4691</v>
      </c>
      <c r="DH116">
        <v>3235</v>
      </c>
      <c r="DI116">
        <v>21.75</v>
      </c>
      <c r="DJ116" s="174">
        <v>4508</v>
      </c>
      <c r="DK116" s="34">
        <v>16687</v>
      </c>
      <c r="DL116" s="34">
        <v>8203</v>
      </c>
      <c r="DM116">
        <v>2935</v>
      </c>
      <c r="DN116" s="173">
        <v>-94</v>
      </c>
      <c r="DO116" s="34">
        <v>14790</v>
      </c>
      <c r="DP116" s="173">
        <v>736</v>
      </c>
      <c r="DQ116" s="34">
        <v>1161</v>
      </c>
      <c r="DR116" s="173">
        <v>2390</v>
      </c>
      <c r="DS116" s="173">
        <v>-199</v>
      </c>
      <c r="DT116">
        <v>999</v>
      </c>
      <c r="DU116">
        <v>8890</v>
      </c>
      <c r="DV116" s="173">
        <v>25341</v>
      </c>
      <c r="DW116" s="173">
        <v>1391</v>
      </c>
      <c r="DX116" s="173">
        <v>4626</v>
      </c>
      <c r="DY116" s="57">
        <v>21.75</v>
      </c>
      <c r="DZ116" s="184">
        <v>330</v>
      </c>
      <c r="EA116" s="116">
        <v>4451</v>
      </c>
      <c r="EB116" s="48">
        <v>15664</v>
      </c>
      <c r="EC116" s="46">
        <v>7861</v>
      </c>
      <c r="ED116" s="90">
        <v>2491</v>
      </c>
      <c r="EE116" s="186">
        <v>-62</v>
      </c>
      <c r="EF116" s="46">
        <v>13911</v>
      </c>
      <c r="EG116" s="130">
        <v>616</v>
      </c>
      <c r="EH116" s="46">
        <v>1137</v>
      </c>
      <c r="EI116" s="130">
        <v>230</v>
      </c>
      <c r="EJ116" s="48">
        <v>-577</v>
      </c>
      <c r="EK116" s="44">
        <v>936</v>
      </c>
      <c r="EL116" s="44">
        <v>8292</v>
      </c>
      <c r="EM116" s="130">
        <v>25724</v>
      </c>
      <c r="EN116" s="117">
        <v>-706</v>
      </c>
      <c r="EO116" s="117">
        <v>3920</v>
      </c>
      <c r="EP116" s="129">
        <v>21.75</v>
      </c>
    </row>
    <row r="117" spans="1:146" ht="15" x14ac:dyDescent="0.25">
      <c r="A117" s="27">
        <v>317</v>
      </c>
      <c r="B117" s="27" t="s">
        <v>245</v>
      </c>
      <c r="C117" s="27">
        <v>17</v>
      </c>
      <c r="D117" s="27" t="s">
        <v>117</v>
      </c>
      <c r="E117" s="27">
        <v>2</v>
      </c>
      <c r="F117" s="27" t="s">
        <v>744</v>
      </c>
      <c r="G117" s="29" t="s">
        <v>130</v>
      </c>
      <c r="H117" s="27" t="s">
        <v>98</v>
      </c>
      <c r="I117" s="31" t="s">
        <v>117</v>
      </c>
      <c r="J117" s="118">
        <v>14.127785822766926</v>
      </c>
      <c r="K117" s="118">
        <v>60.379465599682462</v>
      </c>
      <c r="L117" s="118">
        <v>-336.54404084948357</v>
      </c>
      <c r="M117" s="118">
        <v>-397.42807022855055</v>
      </c>
      <c r="N117" s="22">
        <v>107</v>
      </c>
      <c r="O117" s="119">
        <v>146</v>
      </c>
      <c r="P117" s="119">
        <v>-8</v>
      </c>
      <c r="Q117" s="120">
        <v>-229</v>
      </c>
      <c r="R117" s="22">
        <v>-1031</v>
      </c>
      <c r="S117" s="22">
        <v>-998</v>
      </c>
      <c r="T117" s="121">
        <v>-1452</v>
      </c>
      <c r="U117" s="121">
        <v>-621</v>
      </c>
      <c r="V117" s="121">
        <v>-1078</v>
      </c>
      <c r="W117" s="106">
        <v>-571</v>
      </c>
      <c r="X117" s="121">
        <v>-918</v>
      </c>
      <c r="Y117" s="121">
        <v>2246</v>
      </c>
      <c r="Z117" s="121">
        <v>2636</v>
      </c>
      <c r="AA117" s="121">
        <v>3219</v>
      </c>
      <c r="AB117" s="122">
        <v>19.5</v>
      </c>
      <c r="AC117" s="123">
        <v>19.5</v>
      </c>
      <c r="AD117" s="124">
        <v>18.5</v>
      </c>
      <c r="AE117" s="125">
        <v>18.5</v>
      </c>
      <c r="AF117" s="126">
        <v>18.5</v>
      </c>
      <c r="AG117" s="123">
        <v>18.5</v>
      </c>
      <c r="AH117" s="123">
        <v>19.5</v>
      </c>
      <c r="AI117" s="131">
        <v>19.5</v>
      </c>
      <c r="AJ117" s="131">
        <v>19.5</v>
      </c>
      <c r="AK117" s="22">
        <v>20.5</v>
      </c>
      <c r="AL117" s="128">
        <v>20.5</v>
      </c>
      <c r="AM117" s="128">
        <v>20.5</v>
      </c>
      <c r="AN117" s="128">
        <v>20.75</v>
      </c>
      <c r="AO117" s="77">
        <v>20.75</v>
      </c>
      <c r="AP117" s="77">
        <v>20.75</v>
      </c>
      <c r="AQ117" s="129">
        <v>20.75</v>
      </c>
      <c r="AR117" s="129">
        <v>21.5</v>
      </c>
      <c r="AS117" s="129">
        <v>21.5</v>
      </c>
      <c r="AT117" s="116">
        <v>2721</v>
      </c>
      <c r="AU117" s="47">
        <v>2283</v>
      </c>
      <c r="AV117" s="47">
        <v>19122</v>
      </c>
      <c r="AW117" s="46">
        <v>6204</v>
      </c>
      <c r="AX117" s="46">
        <v>10827</v>
      </c>
      <c r="AY117" s="92">
        <v>1485</v>
      </c>
      <c r="AZ117" s="47">
        <v>1524</v>
      </c>
      <c r="BA117" s="44">
        <v>492</v>
      </c>
      <c r="BB117" s="23">
        <v>-191</v>
      </c>
      <c r="BC117" s="47">
        <v>-146</v>
      </c>
      <c r="BD117" s="44">
        <v>3165</v>
      </c>
      <c r="BE117" s="47">
        <v>2246</v>
      </c>
      <c r="BF117" s="44">
        <v>6204</v>
      </c>
      <c r="BG117" s="46">
        <v>5641</v>
      </c>
      <c r="BH117" s="130">
        <v>365</v>
      </c>
      <c r="BI117" s="46">
        <v>198</v>
      </c>
      <c r="BJ117" s="129">
        <v>20.75</v>
      </c>
      <c r="BK117" s="44">
        <v>12439</v>
      </c>
      <c r="BL117" s="116">
        <v>2696</v>
      </c>
      <c r="BM117" s="47">
        <v>1853</v>
      </c>
      <c r="BN117" s="130">
        <v>18995</v>
      </c>
      <c r="BO117" s="46">
        <v>7065</v>
      </c>
      <c r="BP117" s="46">
        <v>10857</v>
      </c>
      <c r="BQ117" s="46">
        <v>191</v>
      </c>
      <c r="BR117" s="130">
        <v>843</v>
      </c>
      <c r="BS117" s="44">
        <v>509</v>
      </c>
      <c r="BT117" s="92">
        <v>-694</v>
      </c>
      <c r="BU117" s="117">
        <v>389</v>
      </c>
      <c r="BV117" s="130">
        <v>2636</v>
      </c>
      <c r="BW117" s="48">
        <v>7065</v>
      </c>
      <c r="BX117" s="46">
        <v>6228</v>
      </c>
      <c r="BY117" s="130">
        <v>397</v>
      </c>
      <c r="BZ117" s="46">
        <v>440</v>
      </c>
      <c r="CA117" s="129">
        <v>21.5</v>
      </c>
      <c r="CB117" s="44">
        <v>12826</v>
      </c>
      <c r="CC117" s="116">
        <v>2658</v>
      </c>
      <c r="CD117" s="47">
        <v>2571</v>
      </c>
      <c r="CE117" s="130">
        <v>19759</v>
      </c>
      <c r="CF117" s="46">
        <v>7215</v>
      </c>
      <c r="CG117" s="46">
        <v>10794</v>
      </c>
      <c r="CH117" s="46">
        <v>321</v>
      </c>
      <c r="CI117" s="130">
        <v>1041</v>
      </c>
      <c r="CJ117" s="44">
        <v>513</v>
      </c>
      <c r="CK117" s="117">
        <v>-741</v>
      </c>
      <c r="CL117" s="117">
        <v>583</v>
      </c>
      <c r="CM117" s="117">
        <v>3219</v>
      </c>
      <c r="CN117" s="48">
        <v>7215</v>
      </c>
      <c r="CO117" s="46">
        <v>6235</v>
      </c>
      <c r="CP117" s="130">
        <v>476</v>
      </c>
      <c r="CQ117" s="46">
        <v>504</v>
      </c>
      <c r="CR117" s="129">
        <v>21.5</v>
      </c>
      <c r="CS117" s="44">
        <v>12910</v>
      </c>
      <c r="CT117">
        <v>2655</v>
      </c>
      <c r="CU117">
        <v>7063</v>
      </c>
      <c r="CV117">
        <v>11223</v>
      </c>
      <c r="CW117">
        <v>3067</v>
      </c>
      <c r="CX117">
        <v>220</v>
      </c>
      <c r="CY117">
        <v>6065</v>
      </c>
      <c r="CZ117">
        <v>500</v>
      </c>
      <c r="DA117">
        <v>498</v>
      </c>
      <c r="DB117">
        <v>1439</v>
      </c>
      <c r="DC117">
        <v>-86</v>
      </c>
      <c r="DD117">
        <v>583</v>
      </c>
      <c r="DE117">
        <v>11828</v>
      </c>
      <c r="DF117">
        <v>20065</v>
      </c>
      <c r="DG117">
        <v>946</v>
      </c>
      <c r="DH117">
        <v>4167</v>
      </c>
      <c r="DI117">
        <v>21.5</v>
      </c>
      <c r="DJ117" s="174">
        <v>2611</v>
      </c>
      <c r="DK117" s="34">
        <v>6877</v>
      </c>
      <c r="DL117" s="34">
        <v>11270</v>
      </c>
      <c r="DM117">
        <v>2547</v>
      </c>
      <c r="DN117" s="173">
        <v>408</v>
      </c>
      <c r="DO117" s="34">
        <v>5781</v>
      </c>
      <c r="DP117" s="173">
        <v>626</v>
      </c>
      <c r="DQ117" s="34">
        <v>470</v>
      </c>
      <c r="DR117" s="173">
        <v>1143</v>
      </c>
      <c r="DS117" s="173">
        <v>-663</v>
      </c>
      <c r="DT117">
        <v>1030</v>
      </c>
      <c r="DU117">
        <v>12908</v>
      </c>
      <c r="DV117" s="173">
        <v>19959</v>
      </c>
      <c r="DW117" s="173">
        <v>446</v>
      </c>
      <c r="DX117" s="173">
        <v>4986</v>
      </c>
      <c r="DY117" s="57">
        <v>21.5</v>
      </c>
      <c r="DZ117" s="184">
        <v>330</v>
      </c>
      <c r="EA117" s="116">
        <v>2613</v>
      </c>
      <c r="EB117" s="48">
        <v>7030</v>
      </c>
      <c r="EC117" s="46">
        <v>11483</v>
      </c>
      <c r="ED117" s="90">
        <v>2215</v>
      </c>
      <c r="EE117" s="186">
        <v>205</v>
      </c>
      <c r="EF117" s="46">
        <v>5855</v>
      </c>
      <c r="EG117" s="130">
        <v>589</v>
      </c>
      <c r="EH117" s="46">
        <v>586</v>
      </c>
      <c r="EI117" s="130">
        <v>1044</v>
      </c>
      <c r="EJ117" s="48">
        <v>-621</v>
      </c>
      <c r="EK117" s="44">
        <v>628</v>
      </c>
      <c r="EL117" s="44">
        <v>12490</v>
      </c>
      <c r="EM117" s="130">
        <v>19889</v>
      </c>
      <c r="EN117" s="117">
        <v>471</v>
      </c>
      <c r="EO117" s="117">
        <v>5457</v>
      </c>
      <c r="EP117" s="129">
        <v>21.5</v>
      </c>
    </row>
    <row r="118" spans="1:146" ht="15" x14ac:dyDescent="0.25">
      <c r="A118" s="27">
        <v>398</v>
      </c>
      <c r="B118" s="27" t="s">
        <v>246</v>
      </c>
      <c r="C118" s="27">
        <v>7</v>
      </c>
      <c r="D118" s="27" t="s">
        <v>119</v>
      </c>
      <c r="E118" s="27">
        <v>7</v>
      </c>
      <c r="F118" s="27" t="s">
        <v>104</v>
      </c>
      <c r="G118" s="29" t="s">
        <v>141</v>
      </c>
      <c r="H118" s="27" t="s">
        <v>97</v>
      </c>
      <c r="I118" s="31" t="s">
        <v>119</v>
      </c>
      <c r="J118" s="118">
        <v>36914.89522733121</v>
      </c>
      <c r="K118" s="118">
        <v>38991.006991572096</v>
      </c>
      <c r="L118" s="118">
        <v>29674.236805236695</v>
      </c>
      <c r="M118" s="118">
        <v>54068.213659214256</v>
      </c>
      <c r="N118" s="22">
        <v>73398</v>
      </c>
      <c r="O118" s="119">
        <v>64971</v>
      </c>
      <c r="P118" s="119">
        <v>61310</v>
      </c>
      <c r="Q118" s="120">
        <v>42411</v>
      </c>
      <c r="R118" s="22">
        <v>62400</v>
      </c>
      <c r="S118" s="22">
        <v>69421</v>
      </c>
      <c r="T118" s="121">
        <v>95657</v>
      </c>
      <c r="U118" s="121">
        <v>105710</v>
      </c>
      <c r="V118" s="121">
        <v>117765</v>
      </c>
      <c r="W118" s="106">
        <v>130984</v>
      </c>
      <c r="X118" s="121">
        <v>135316</v>
      </c>
      <c r="Y118" s="121">
        <v>104714</v>
      </c>
      <c r="Z118" s="121">
        <v>128889</v>
      </c>
      <c r="AA118" s="121">
        <v>127583</v>
      </c>
      <c r="AB118" s="122">
        <v>17.75</v>
      </c>
      <c r="AC118" s="123">
        <v>17.75</v>
      </c>
      <c r="AD118" s="124">
        <v>17.75</v>
      </c>
      <c r="AE118" s="125">
        <v>18.25</v>
      </c>
      <c r="AF118" s="126">
        <v>18.25</v>
      </c>
      <c r="AG118" s="123">
        <v>18.25</v>
      </c>
      <c r="AH118" s="123">
        <v>18.25</v>
      </c>
      <c r="AI118" s="127">
        <v>19</v>
      </c>
      <c r="AJ118" s="127">
        <v>19</v>
      </c>
      <c r="AK118" s="22">
        <v>19</v>
      </c>
      <c r="AL118" s="128">
        <v>19</v>
      </c>
      <c r="AM118" s="128">
        <v>19</v>
      </c>
      <c r="AN118" s="128">
        <v>19</v>
      </c>
      <c r="AO118" s="77">
        <v>19.5</v>
      </c>
      <c r="AP118" s="77">
        <v>19.5</v>
      </c>
      <c r="AQ118" s="129">
        <v>19.5</v>
      </c>
      <c r="AR118" s="129">
        <v>20.25</v>
      </c>
      <c r="AS118" s="129">
        <v>20.25</v>
      </c>
      <c r="AT118" s="116">
        <v>118349</v>
      </c>
      <c r="AU118" s="47">
        <v>113957</v>
      </c>
      <c r="AV118" s="47">
        <v>707930</v>
      </c>
      <c r="AW118" s="46">
        <v>426649</v>
      </c>
      <c r="AX118" s="46">
        <v>169887</v>
      </c>
      <c r="AY118" s="92">
        <v>7537</v>
      </c>
      <c r="AZ118" s="47">
        <v>9453</v>
      </c>
      <c r="BA118" s="44">
        <v>41249</v>
      </c>
      <c r="BB118" s="23">
        <v>-59925</v>
      </c>
      <c r="BC118" s="47">
        <v>-31796</v>
      </c>
      <c r="BD118" s="44">
        <v>-30602</v>
      </c>
      <c r="BE118" s="47">
        <v>104714</v>
      </c>
      <c r="BF118" s="44">
        <v>426649</v>
      </c>
      <c r="BG118" s="46">
        <v>373113</v>
      </c>
      <c r="BH118" s="130">
        <v>22733</v>
      </c>
      <c r="BI118" s="46">
        <v>30803</v>
      </c>
      <c r="BJ118" s="129">
        <v>19.5</v>
      </c>
      <c r="BK118" s="44">
        <v>597445</v>
      </c>
      <c r="BL118" s="116">
        <v>118644</v>
      </c>
      <c r="BM118" s="47">
        <v>141558</v>
      </c>
      <c r="BN118" s="130">
        <v>700549</v>
      </c>
      <c r="BO118" s="46">
        <v>438254</v>
      </c>
      <c r="BP118" s="46">
        <v>168530</v>
      </c>
      <c r="BQ118" s="46">
        <v>16021</v>
      </c>
      <c r="BR118" s="130">
        <v>57865</v>
      </c>
      <c r="BS118" s="44">
        <v>39926</v>
      </c>
      <c r="BT118" s="92">
        <v>-62504</v>
      </c>
      <c r="BU118" s="117">
        <v>22359</v>
      </c>
      <c r="BV118" s="130">
        <v>128889</v>
      </c>
      <c r="BW118" s="48">
        <v>438254</v>
      </c>
      <c r="BX118" s="46">
        <v>381479</v>
      </c>
      <c r="BY118" s="130">
        <v>24450</v>
      </c>
      <c r="BZ118" s="46">
        <v>32325</v>
      </c>
      <c r="CA118" s="129">
        <v>20.25</v>
      </c>
      <c r="CB118" s="44">
        <v>652116</v>
      </c>
      <c r="CC118" s="116">
        <v>118743</v>
      </c>
      <c r="CD118" s="47">
        <v>133507</v>
      </c>
      <c r="CE118" s="130">
        <v>731130</v>
      </c>
      <c r="CF118" s="46">
        <v>447282</v>
      </c>
      <c r="CG118" s="46">
        <v>177694</v>
      </c>
      <c r="CH118" s="46">
        <v>32665</v>
      </c>
      <c r="CI118" s="130">
        <v>34298</v>
      </c>
      <c r="CJ118" s="44">
        <v>43564</v>
      </c>
      <c r="CK118" s="117">
        <v>-82237</v>
      </c>
      <c r="CL118" s="117">
        <v>554</v>
      </c>
      <c r="CM118" s="117">
        <v>127583</v>
      </c>
      <c r="CN118" s="48">
        <v>447282</v>
      </c>
      <c r="CO118" s="46">
        <v>385158</v>
      </c>
      <c r="CP118" s="130">
        <v>25660</v>
      </c>
      <c r="CQ118" s="46">
        <v>36464</v>
      </c>
      <c r="CR118" s="129">
        <v>20.25</v>
      </c>
      <c r="CS118" s="44">
        <v>734105</v>
      </c>
      <c r="CT118">
        <v>119452</v>
      </c>
      <c r="CU118">
        <v>449177</v>
      </c>
      <c r="CV118">
        <v>193429</v>
      </c>
      <c r="CW118">
        <v>130722</v>
      </c>
      <c r="CX118">
        <v>11165</v>
      </c>
      <c r="CY118">
        <v>390502</v>
      </c>
      <c r="CZ118">
        <v>22132</v>
      </c>
      <c r="DA118">
        <v>36543</v>
      </c>
      <c r="DB118">
        <v>38686</v>
      </c>
      <c r="DC118">
        <v>-39603</v>
      </c>
      <c r="DD118">
        <v>49416</v>
      </c>
      <c r="DE118">
        <v>744458</v>
      </c>
      <c r="DF118">
        <v>739180</v>
      </c>
      <c r="DG118">
        <v>-9286</v>
      </c>
      <c r="DH118">
        <v>137950</v>
      </c>
      <c r="DI118">
        <v>20.25</v>
      </c>
      <c r="DJ118" s="174">
        <v>119573</v>
      </c>
      <c r="DK118" s="34">
        <v>452800</v>
      </c>
      <c r="DL118" s="34">
        <v>188981</v>
      </c>
      <c r="DM118">
        <v>92017</v>
      </c>
      <c r="DN118" s="173">
        <v>13872</v>
      </c>
      <c r="DO118" s="34">
        <v>390185</v>
      </c>
      <c r="DP118" s="173">
        <v>26717</v>
      </c>
      <c r="DQ118" s="34">
        <v>35898</v>
      </c>
      <c r="DR118" s="173">
        <v>60684</v>
      </c>
      <c r="DS118" s="173">
        <v>-37572</v>
      </c>
      <c r="DT118">
        <v>45557</v>
      </c>
      <c r="DU118">
        <v>755017</v>
      </c>
      <c r="DV118" s="173">
        <v>684870</v>
      </c>
      <c r="DW118" s="173">
        <v>17334</v>
      </c>
      <c r="DX118" s="173">
        <v>152028</v>
      </c>
      <c r="DY118" s="57">
        <v>20.25</v>
      </c>
      <c r="DZ118" s="184">
        <v>120</v>
      </c>
      <c r="EA118" s="116">
        <v>119951</v>
      </c>
      <c r="EB118" s="48">
        <v>465139</v>
      </c>
      <c r="EC118" s="46">
        <v>191367</v>
      </c>
      <c r="ED118" s="90">
        <v>92614</v>
      </c>
      <c r="EE118" s="186">
        <v>11373</v>
      </c>
      <c r="EF118" s="46">
        <v>396744</v>
      </c>
      <c r="EG118" s="130">
        <v>27427</v>
      </c>
      <c r="EH118" s="46">
        <v>40968</v>
      </c>
      <c r="EI118" s="130">
        <v>45668</v>
      </c>
      <c r="EJ118" s="48">
        <v>-101452</v>
      </c>
      <c r="EK118" s="44">
        <v>45146</v>
      </c>
      <c r="EL118" s="44">
        <v>797162</v>
      </c>
      <c r="EM118" s="130">
        <v>714825</v>
      </c>
      <c r="EN118" s="117">
        <v>634</v>
      </c>
      <c r="EO118" s="117">
        <v>152662</v>
      </c>
      <c r="EP118" s="129">
        <v>20.75</v>
      </c>
    </row>
    <row r="119" spans="1:146" ht="15" x14ac:dyDescent="0.25">
      <c r="A119" s="27">
        <v>399</v>
      </c>
      <c r="B119" s="27" t="s">
        <v>247</v>
      </c>
      <c r="C119" s="27">
        <v>15</v>
      </c>
      <c r="D119" s="27" t="s">
        <v>115</v>
      </c>
      <c r="E119" s="27">
        <v>3</v>
      </c>
      <c r="F119" s="27" t="s">
        <v>743</v>
      </c>
      <c r="G119" s="29" t="s">
        <v>132</v>
      </c>
      <c r="H119" s="27" t="s">
        <v>99</v>
      </c>
      <c r="I119" s="31" t="s">
        <v>115</v>
      </c>
      <c r="J119" s="132">
        <v>-236.30403667842299</v>
      </c>
      <c r="K119" s="132">
        <v>139.76416688951568</v>
      </c>
      <c r="L119" s="132">
        <v>-107.80846086182856</v>
      </c>
      <c r="M119" s="132">
        <v>-420.8061920067006</v>
      </c>
      <c r="N119" s="132">
        <v>1091</v>
      </c>
      <c r="O119" s="132">
        <v>766</v>
      </c>
      <c r="P119" s="132">
        <v>185</v>
      </c>
      <c r="Q119" s="132">
        <v>-351</v>
      </c>
      <c r="R119" s="132">
        <v>-489</v>
      </c>
      <c r="S119" s="132">
        <v>-347</v>
      </c>
      <c r="T119" s="132">
        <v>1929</v>
      </c>
      <c r="U119" s="132">
        <v>4327</v>
      </c>
      <c r="V119" s="132">
        <v>4873</v>
      </c>
      <c r="W119" s="106">
        <v>3463</v>
      </c>
      <c r="X119" s="132">
        <v>2580</v>
      </c>
      <c r="Y119" s="132">
        <v>-237</v>
      </c>
      <c r="Z119" s="132">
        <v>1749</v>
      </c>
      <c r="AA119" s="132">
        <v>764</v>
      </c>
      <c r="AB119" s="133">
        <v>18</v>
      </c>
      <c r="AC119" s="134">
        <v>18</v>
      </c>
      <c r="AD119" s="135">
        <v>18</v>
      </c>
      <c r="AE119" s="136">
        <v>18</v>
      </c>
      <c r="AF119" s="137">
        <v>18.5</v>
      </c>
      <c r="AG119" s="134">
        <v>18.5</v>
      </c>
      <c r="AH119" s="134">
        <v>18.5</v>
      </c>
      <c r="AI119" s="138">
        <v>18.5</v>
      </c>
      <c r="AJ119" s="138">
        <v>19</v>
      </c>
      <c r="AK119" s="139">
        <v>19</v>
      </c>
      <c r="AL119" s="140">
        <v>19.5</v>
      </c>
      <c r="AM119" s="140">
        <v>19.5</v>
      </c>
      <c r="AN119" s="140">
        <v>19.5</v>
      </c>
      <c r="AO119" s="83">
        <v>19.5</v>
      </c>
      <c r="AP119" s="83">
        <v>19.75</v>
      </c>
      <c r="AQ119" s="116">
        <v>20</v>
      </c>
      <c r="AR119" s="116">
        <v>20.75</v>
      </c>
      <c r="AS119" s="116">
        <v>21.5</v>
      </c>
      <c r="AT119" s="116">
        <v>8007</v>
      </c>
      <c r="AU119" s="116">
        <v>7079</v>
      </c>
      <c r="AV119" s="116">
        <v>48827</v>
      </c>
      <c r="AW119" s="116">
        <v>26922</v>
      </c>
      <c r="AX119" s="116">
        <v>13989</v>
      </c>
      <c r="AY119" s="116">
        <v>61</v>
      </c>
      <c r="AZ119" s="116">
        <v>-914</v>
      </c>
      <c r="BA119" s="116">
        <v>1886</v>
      </c>
      <c r="BB119" s="116">
        <v>-3959</v>
      </c>
      <c r="BC119" s="116">
        <v>-2919</v>
      </c>
      <c r="BD119" s="116">
        <v>-2817</v>
      </c>
      <c r="BE119" s="116">
        <v>-237</v>
      </c>
      <c r="BF119" s="116">
        <v>26922</v>
      </c>
      <c r="BG119" s="116">
        <v>24598</v>
      </c>
      <c r="BH119" s="116">
        <v>1106</v>
      </c>
      <c r="BI119" s="116">
        <v>1218</v>
      </c>
      <c r="BJ119" s="116">
        <v>20</v>
      </c>
      <c r="BK119" s="116">
        <v>14929</v>
      </c>
      <c r="BL119" s="116">
        <v>8068</v>
      </c>
      <c r="BM119" s="116">
        <v>6960</v>
      </c>
      <c r="BN119" s="116">
        <v>48884</v>
      </c>
      <c r="BO119" s="116">
        <v>29015</v>
      </c>
      <c r="BP119" s="116">
        <v>14152</v>
      </c>
      <c r="BQ119" s="116">
        <v>45</v>
      </c>
      <c r="BR119" s="116">
        <v>1099</v>
      </c>
      <c r="BS119" s="116">
        <v>1738</v>
      </c>
      <c r="BT119" s="116">
        <v>-3615</v>
      </c>
      <c r="BU119" s="116">
        <v>-537</v>
      </c>
      <c r="BV119" s="116">
        <v>1749</v>
      </c>
      <c r="BW119" s="116">
        <v>29015</v>
      </c>
      <c r="BX119" s="116">
        <v>26577</v>
      </c>
      <c r="BY119" s="116">
        <v>1112</v>
      </c>
      <c r="BZ119" s="116">
        <v>1326</v>
      </c>
      <c r="CA119" s="116">
        <v>20.75</v>
      </c>
      <c r="CB119" s="116">
        <v>18636</v>
      </c>
      <c r="CC119" s="116">
        <v>8090</v>
      </c>
      <c r="CD119" s="116">
        <v>7019</v>
      </c>
      <c r="CE119" s="116">
        <v>49366</v>
      </c>
      <c r="CF119" s="116">
        <v>29825</v>
      </c>
      <c r="CG119" s="116">
        <v>13595</v>
      </c>
      <c r="CH119" s="116">
        <v>49</v>
      </c>
      <c r="CI119" s="116">
        <v>971</v>
      </c>
      <c r="CJ119" s="116">
        <v>1976</v>
      </c>
      <c r="CK119" s="116">
        <v>-2256</v>
      </c>
      <c r="CL119" s="116">
        <v>-903</v>
      </c>
      <c r="CM119" s="116">
        <v>764</v>
      </c>
      <c r="CN119" s="116">
        <v>29825</v>
      </c>
      <c r="CO119" s="116">
        <v>27383</v>
      </c>
      <c r="CP119" s="116">
        <v>1090</v>
      </c>
      <c r="CQ119" s="116">
        <v>1352</v>
      </c>
      <c r="CR119" s="116">
        <v>21.5</v>
      </c>
      <c r="CS119" s="116">
        <v>19312</v>
      </c>
      <c r="CT119">
        <v>8139</v>
      </c>
      <c r="CU119">
        <v>29214</v>
      </c>
      <c r="CV119">
        <v>14938</v>
      </c>
      <c r="CW119">
        <v>6595</v>
      </c>
      <c r="CX119">
        <v>43</v>
      </c>
      <c r="CY119">
        <v>27054</v>
      </c>
      <c r="CZ119">
        <v>933</v>
      </c>
      <c r="DA119">
        <v>1227</v>
      </c>
      <c r="DB119">
        <v>-68</v>
      </c>
      <c r="DC119">
        <v>-4072</v>
      </c>
      <c r="DD119">
        <v>1721</v>
      </c>
      <c r="DE119">
        <v>23227</v>
      </c>
      <c r="DF119">
        <v>50706</v>
      </c>
      <c r="DG119">
        <v>-1687</v>
      </c>
      <c r="DH119">
        <v>-1114</v>
      </c>
      <c r="DI119">
        <v>21.5</v>
      </c>
      <c r="DJ119" s="174">
        <v>8051</v>
      </c>
      <c r="DK119" s="34">
        <v>30009</v>
      </c>
      <c r="DL119" s="34">
        <v>15041</v>
      </c>
      <c r="DM119">
        <v>6233</v>
      </c>
      <c r="DN119" s="173">
        <v>-146</v>
      </c>
      <c r="DO119" s="34">
        <v>27660</v>
      </c>
      <c r="DP119" s="173">
        <v>1217</v>
      </c>
      <c r="DQ119" s="34">
        <v>1132</v>
      </c>
      <c r="DR119" s="173">
        <v>1666</v>
      </c>
      <c r="DS119" s="173">
        <v>-7163</v>
      </c>
      <c r="DT119">
        <v>1825</v>
      </c>
      <c r="DU119">
        <v>27203</v>
      </c>
      <c r="DV119" s="173">
        <v>49471</v>
      </c>
      <c r="DW119" s="173">
        <v>-54</v>
      </c>
      <c r="DX119" s="173">
        <v>-1168</v>
      </c>
      <c r="DY119" s="57">
        <v>21.75</v>
      </c>
      <c r="DZ119" s="184">
        <v>230</v>
      </c>
      <c r="EA119" s="116">
        <v>8058</v>
      </c>
      <c r="EB119" s="48">
        <v>29190</v>
      </c>
      <c r="EC119" s="46">
        <v>15050</v>
      </c>
      <c r="ED119" s="90">
        <v>5648</v>
      </c>
      <c r="EE119" s="186">
        <v>19</v>
      </c>
      <c r="EF119" s="46">
        <v>26941</v>
      </c>
      <c r="EG119" s="130">
        <v>1015</v>
      </c>
      <c r="EH119" s="46">
        <v>1234</v>
      </c>
      <c r="EI119" s="130">
        <v>421</v>
      </c>
      <c r="EJ119" s="48">
        <v>-2202</v>
      </c>
      <c r="EK119" s="44">
        <v>1953</v>
      </c>
      <c r="EL119" s="44">
        <v>31285</v>
      </c>
      <c r="EM119" s="130">
        <v>49486</v>
      </c>
      <c r="EN119" s="117">
        <v>-1427</v>
      </c>
      <c r="EO119" s="117">
        <v>-2593</v>
      </c>
      <c r="EP119" s="129">
        <v>21.75</v>
      </c>
    </row>
    <row r="120" spans="1:146" ht="15" x14ac:dyDescent="0.25">
      <c r="A120" s="27">
        <v>400</v>
      </c>
      <c r="B120" s="27" t="s">
        <v>248</v>
      </c>
      <c r="C120" s="27">
        <v>2</v>
      </c>
      <c r="D120" s="27" t="s">
        <v>122</v>
      </c>
      <c r="E120" s="27">
        <v>3</v>
      </c>
      <c r="F120" s="27" t="s">
        <v>743</v>
      </c>
      <c r="G120" s="29" t="s">
        <v>132</v>
      </c>
      <c r="H120" s="27" t="s">
        <v>99</v>
      </c>
      <c r="I120" s="31" t="s">
        <v>122</v>
      </c>
      <c r="J120" s="118">
        <v>-982.38567846168587</v>
      </c>
      <c r="K120" s="118">
        <v>-2056.0974009919723</v>
      </c>
      <c r="L120" s="118">
        <v>-1868.5678629873876</v>
      </c>
      <c r="M120" s="118">
        <v>-3020.9915351016612</v>
      </c>
      <c r="N120" s="22">
        <v>-1</v>
      </c>
      <c r="O120" s="119">
        <v>342</v>
      </c>
      <c r="P120" s="119">
        <v>1167</v>
      </c>
      <c r="Q120" s="120">
        <v>-759</v>
      </c>
      <c r="R120" s="22">
        <v>-1577</v>
      </c>
      <c r="S120" s="22">
        <v>219</v>
      </c>
      <c r="T120" s="121">
        <v>3070</v>
      </c>
      <c r="U120" s="121">
        <v>4114</v>
      </c>
      <c r="V120" s="121">
        <v>4672</v>
      </c>
      <c r="W120" s="106">
        <v>5429</v>
      </c>
      <c r="X120" s="121">
        <v>4901</v>
      </c>
      <c r="Y120" s="121">
        <v>4663</v>
      </c>
      <c r="Z120" s="121">
        <v>4710</v>
      </c>
      <c r="AA120" s="121">
        <v>5180</v>
      </c>
      <c r="AB120" s="122">
        <v>17.5</v>
      </c>
      <c r="AC120" s="123">
        <v>17.5</v>
      </c>
      <c r="AD120" s="124">
        <v>18.25</v>
      </c>
      <c r="AE120" s="125">
        <v>18.25</v>
      </c>
      <c r="AF120" s="126">
        <v>18.25</v>
      </c>
      <c r="AG120" s="123">
        <v>18.25</v>
      </c>
      <c r="AH120" s="123">
        <v>18.75</v>
      </c>
      <c r="AI120" s="127">
        <v>18.75</v>
      </c>
      <c r="AJ120" s="127">
        <v>19.25</v>
      </c>
      <c r="AK120" s="22">
        <v>19.25</v>
      </c>
      <c r="AL120" s="128">
        <v>19.75</v>
      </c>
      <c r="AM120" s="128">
        <v>19.75</v>
      </c>
      <c r="AN120" s="128">
        <v>19.75</v>
      </c>
      <c r="AO120" s="77">
        <v>19.75</v>
      </c>
      <c r="AP120" s="77">
        <v>20.25</v>
      </c>
      <c r="AQ120" s="129">
        <v>20.25</v>
      </c>
      <c r="AR120" s="129">
        <v>20.25</v>
      </c>
      <c r="AS120" s="129">
        <v>20.75</v>
      </c>
      <c r="AT120" s="116">
        <v>8487</v>
      </c>
      <c r="AU120" s="47">
        <v>10067</v>
      </c>
      <c r="AV120" s="47">
        <v>54225</v>
      </c>
      <c r="AW120" s="46">
        <v>27308</v>
      </c>
      <c r="AX120" s="46">
        <v>18528</v>
      </c>
      <c r="AY120" s="92">
        <v>51</v>
      </c>
      <c r="AZ120" s="47">
        <v>1698</v>
      </c>
      <c r="BA120" s="44">
        <v>1925</v>
      </c>
      <c r="BB120" s="23">
        <v>-4511</v>
      </c>
      <c r="BC120" s="47">
        <v>-386</v>
      </c>
      <c r="BD120" s="44">
        <v>-237</v>
      </c>
      <c r="BE120" s="47">
        <v>4663</v>
      </c>
      <c r="BF120" s="44">
        <v>27308</v>
      </c>
      <c r="BG120" s="46">
        <v>24179</v>
      </c>
      <c r="BH120" s="130">
        <v>1726</v>
      </c>
      <c r="BI120" s="46">
        <v>1403</v>
      </c>
      <c r="BJ120" s="129">
        <v>20.25</v>
      </c>
      <c r="BK120" s="44">
        <v>12435</v>
      </c>
      <c r="BL120" s="116">
        <v>8542</v>
      </c>
      <c r="BM120" s="47">
        <v>10232</v>
      </c>
      <c r="BN120" s="130">
        <v>55899</v>
      </c>
      <c r="BO120" s="46">
        <v>27957</v>
      </c>
      <c r="BP120" s="46">
        <v>19331</v>
      </c>
      <c r="BQ120" s="46">
        <v>371</v>
      </c>
      <c r="BR120" s="130">
        <v>1659</v>
      </c>
      <c r="BS120" s="44">
        <v>2052</v>
      </c>
      <c r="BT120" s="92">
        <v>-2959</v>
      </c>
      <c r="BU120" s="117">
        <v>46</v>
      </c>
      <c r="BV120" s="130">
        <v>4710</v>
      </c>
      <c r="BW120" s="48">
        <v>27957</v>
      </c>
      <c r="BX120" s="46">
        <v>24188</v>
      </c>
      <c r="BY120" s="130">
        <v>2035</v>
      </c>
      <c r="BZ120" s="46">
        <v>1734</v>
      </c>
      <c r="CA120" s="129">
        <v>20.25</v>
      </c>
      <c r="CB120" s="44">
        <v>12905</v>
      </c>
      <c r="CC120" s="116">
        <v>8520</v>
      </c>
      <c r="CD120" s="47">
        <v>10096</v>
      </c>
      <c r="CE120" s="130">
        <v>55974</v>
      </c>
      <c r="CF120" s="46">
        <v>29255</v>
      </c>
      <c r="CG120" s="46">
        <v>19164</v>
      </c>
      <c r="CH120" s="46">
        <v>91</v>
      </c>
      <c r="CI120" s="130">
        <v>2571</v>
      </c>
      <c r="CJ120" s="44">
        <v>2250</v>
      </c>
      <c r="CK120" s="117">
        <v>-3554</v>
      </c>
      <c r="CL120" s="117">
        <v>470</v>
      </c>
      <c r="CM120" s="117">
        <v>5180</v>
      </c>
      <c r="CN120" s="48">
        <v>29255</v>
      </c>
      <c r="CO120" s="46">
        <v>25205</v>
      </c>
      <c r="CP120" s="130">
        <v>2160</v>
      </c>
      <c r="CQ120" s="46">
        <v>1890</v>
      </c>
      <c r="CR120" s="129">
        <v>20.75</v>
      </c>
      <c r="CS120" s="44">
        <v>13425</v>
      </c>
      <c r="CT120">
        <v>8520</v>
      </c>
      <c r="CU120">
        <v>28684</v>
      </c>
      <c r="CV120">
        <v>20487</v>
      </c>
      <c r="CW120">
        <v>10500</v>
      </c>
      <c r="CX120">
        <v>47</v>
      </c>
      <c r="CY120">
        <v>24978</v>
      </c>
      <c r="CZ120">
        <v>1928</v>
      </c>
      <c r="DA120">
        <v>1778</v>
      </c>
      <c r="DB120">
        <v>3249</v>
      </c>
      <c r="DC120">
        <v>-4175</v>
      </c>
      <c r="DD120">
        <v>2368</v>
      </c>
      <c r="DE120">
        <v>15545</v>
      </c>
      <c r="DF120">
        <v>56456</v>
      </c>
      <c r="DG120">
        <v>1030</v>
      </c>
      <c r="DH120">
        <v>6210</v>
      </c>
      <c r="DI120">
        <v>20.75</v>
      </c>
      <c r="DJ120" s="174">
        <v>8610</v>
      </c>
      <c r="DK120" s="34">
        <v>29232</v>
      </c>
      <c r="DL120" s="34">
        <v>20509</v>
      </c>
      <c r="DM120">
        <v>10160</v>
      </c>
      <c r="DN120" s="173">
        <v>79</v>
      </c>
      <c r="DO120" s="34">
        <v>25112</v>
      </c>
      <c r="DP120" s="173">
        <v>2046</v>
      </c>
      <c r="DQ120" s="34">
        <v>2074</v>
      </c>
      <c r="DR120" s="173">
        <v>3950</v>
      </c>
      <c r="DS120" s="173">
        <v>-3637</v>
      </c>
      <c r="DT120">
        <v>4630</v>
      </c>
      <c r="DU120">
        <v>14315</v>
      </c>
      <c r="DV120" s="173">
        <v>56030</v>
      </c>
      <c r="DW120" s="173">
        <v>-387</v>
      </c>
      <c r="DX120" s="173">
        <v>5824</v>
      </c>
      <c r="DY120" s="57">
        <v>20.75</v>
      </c>
      <c r="DZ120" s="184">
        <v>220</v>
      </c>
      <c r="EA120" s="116">
        <v>8647</v>
      </c>
      <c r="EB120" s="48">
        <v>29006</v>
      </c>
      <c r="EC120" s="46">
        <v>20352</v>
      </c>
      <c r="ED120" s="90">
        <v>9486</v>
      </c>
      <c r="EE120" s="186">
        <v>83</v>
      </c>
      <c r="EF120" s="46">
        <v>24995</v>
      </c>
      <c r="EG120" s="130">
        <v>1948</v>
      </c>
      <c r="EH120" s="46">
        <v>2063</v>
      </c>
      <c r="EI120" s="130">
        <v>1674</v>
      </c>
      <c r="EJ120" s="48">
        <v>-9093</v>
      </c>
      <c r="EK120" s="44">
        <v>2698</v>
      </c>
      <c r="EL120" s="44">
        <v>23085</v>
      </c>
      <c r="EM120" s="130">
        <v>57253</v>
      </c>
      <c r="EN120" s="117">
        <v>-903</v>
      </c>
      <c r="EO120" s="117">
        <v>4921</v>
      </c>
      <c r="EP120" s="129">
        <v>20.5</v>
      </c>
    </row>
    <row r="121" spans="1:146" ht="15" x14ac:dyDescent="0.25">
      <c r="A121" s="27">
        <v>407</v>
      </c>
      <c r="B121" s="27" t="s">
        <v>249</v>
      </c>
      <c r="C121" s="27">
        <v>1</v>
      </c>
      <c r="D121" s="27" t="s">
        <v>121</v>
      </c>
      <c r="E121" s="27">
        <v>2</v>
      </c>
      <c r="F121" s="27" t="s">
        <v>744</v>
      </c>
      <c r="G121" s="29" t="s">
        <v>130</v>
      </c>
      <c r="H121" s="27" t="s">
        <v>98</v>
      </c>
      <c r="I121" s="31" t="s">
        <v>121</v>
      </c>
      <c r="J121" s="118">
        <v>163.64685244705024</v>
      </c>
      <c r="K121" s="118">
        <v>-40.869666130147181</v>
      </c>
      <c r="L121" s="118">
        <v>-561.57948645498527</v>
      </c>
      <c r="M121" s="118">
        <v>-576.88458776298285</v>
      </c>
      <c r="N121" s="22">
        <v>67</v>
      </c>
      <c r="O121" s="119">
        <v>631</v>
      </c>
      <c r="P121" s="119">
        <v>1121</v>
      </c>
      <c r="Q121" s="120">
        <v>1307</v>
      </c>
      <c r="R121" s="22">
        <v>1307</v>
      </c>
      <c r="S121" s="22">
        <v>1403</v>
      </c>
      <c r="T121" s="121">
        <v>1455</v>
      </c>
      <c r="U121" s="121">
        <v>1594</v>
      </c>
      <c r="V121" s="121">
        <v>1078</v>
      </c>
      <c r="W121" s="106">
        <v>1167</v>
      </c>
      <c r="X121" s="121">
        <v>2185</v>
      </c>
      <c r="Y121" s="121">
        <v>2765</v>
      </c>
      <c r="Z121" s="121">
        <v>2445</v>
      </c>
      <c r="AA121" s="121">
        <v>2796</v>
      </c>
      <c r="AB121" s="122">
        <v>18</v>
      </c>
      <c r="AC121" s="123">
        <v>18</v>
      </c>
      <c r="AD121" s="124">
        <v>18</v>
      </c>
      <c r="AE121" s="125">
        <v>18</v>
      </c>
      <c r="AF121" s="126">
        <v>18.75</v>
      </c>
      <c r="AG121" s="123">
        <v>19</v>
      </c>
      <c r="AH121" s="123">
        <v>19</v>
      </c>
      <c r="AI121" s="127">
        <v>19</v>
      </c>
      <c r="AJ121" s="127">
        <v>19</v>
      </c>
      <c r="AK121" s="22">
        <v>19</v>
      </c>
      <c r="AL121" s="128">
        <v>19</v>
      </c>
      <c r="AM121" s="128">
        <v>19</v>
      </c>
      <c r="AN121" s="128">
        <v>19</v>
      </c>
      <c r="AO121" s="77">
        <v>19</v>
      </c>
      <c r="AP121" s="77">
        <v>20.5</v>
      </c>
      <c r="AQ121" s="129">
        <v>20.5</v>
      </c>
      <c r="AR121" s="129">
        <v>20.5</v>
      </c>
      <c r="AS121" s="129">
        <v>20.5</v>
      </c>
      <c r="AT121" s="116">
        <v>2820</v>
      </c>
      <c r="AU121" s="47">
        <v>6847</v>
      </c>
      <c r="AV121" s="47">
        <v>21888</v>
      </c>
      <c r="AW121" s="46">
        <v>8591</v>
      </c>
      <c r="AX121" s="46">
        <v>6876</v>
      </c>
      <c r="AY121" s="92">
        <v>1077</v>
      </c>
      <c r="AZ121" s="47">
        <v>1355</v>
      </c>
      <c r="BA121" s="44">
        <v>616</v>
      </c>
      <c r="BB121" s="23">
        <v>-603</v>
      </c>
      <c r="BC121" s="47">
        <v>580</v>
      </c>
      <c r="BD121" s="44">
        <v>580</v>
      </c>
      <c r="BE121" s="47">
        <v>2765</v>
      </c>
      <c r="BF121" s="44">
        <v>8591</v>
      </c>
      <c r="BG121" s="46">
        <v>7789</v>
      </c>
      <c r="BH121" s="130">
        <v>326</v>
      </c>
      <c r="BI121" s="46">
        <v>476</v>
      </c>
      <c r="BJ121" s="129">
        <v>20.5</v>
      </c>
      <c r="BK121" s="44">
        <v>4996</v>
      </c>
      <c r="BL121" s="116">
        <v>2779</v>
      </c>
      <c r="BM121" s="47">
        <v>3693</v>
      </c>
      <c r="BN121" s="130">
        <v>19576</v>
      </c>
      <c r="BO121" s="46">
        <v>8741</v>
      </c>
      <c r="BP121" s="46">
        <v>6840</v>
      </c>
      <c r="BQ121" s="46">
        <v>771</v>
      </c>
      <c r="BR121" s="130">
        <v>356</v>
      </c>
      <c r="BS121" s="44">
        <v>677</v>
      </c>
      <c r="BT121" s="92">
        <v>-1600</v>
      </c>
      <c r="BU121" s="117">
        <v>-319</v>
      </c>
      <c r="BV121" s="130">
        <v>2445</v>
      </c>
      <c r="BW121" s="48">
        <v>8741</v>
      </c>
      <c r="BX121" s="46">
        <v>7818</v>
      </c>
      <c r="BY121" s="130">
        <v>355</v>
      </c>
      <c r="BZ121" s="46">
        <v>568</v>
      </c>
      <c r="CA121" s="129">
        <v>20.5</v>
      </c>
      <c r="CB121" s="44">
        <v>6127</v>
      </c>
      <c r="CC121" s="116">
        <v>2774</v>
      </c>
      <c r="CD121" s="47">
        <v>3309</v>
      </c>
      <c r="CE121" s="130">
        <v>18232</v>
      </c>
      <c r="CF121" s="46">
        <v>8824</v>
      </c>
      <c r="CG121" s="46">
        <v>6525</v>
      </c>
      <c r="CH121" s="46">
        <v>1573</v>
      </c>
      <c r="CI121" s="130">
        <v>1117</v>
      </c>
      <c r="CJ121" s="44">
        <v>733</v>
      </c>
      <c r="CK121" s="117">
        <v>-139</v>
      </c>
      <c r="CL121" s="117">
        <v>402</v>
      </c>
      <c r="CM121" s="117">
        <v>2796</v>
      </c>
      <c r="CN121" s="48">
        <v>8824</v>
      </c>
      <c r="CO121" s="46">
        <v>7854</v>
      </c>
      <c r="CP121" s="130">
        <v>417</v>
      </c>
      <c r="CQ121" s="46">
        <v>553</v>
      </c>
      <c r="CR121" s="129">
        <v>20.5</v>
      </c>
      <c r="CS121" s="44">
        <v>5117</v>
      </c>
      <c r="CT121">
        <v>2739</v>
      </c>
      <c r="CU121">
        <v>8502</v>
      </c>
      <c r="CV121">
        <v>6589</v>
      </c>
      <c r="CW121">
        <v>2371</v>
      </c>
      <c r="CX121">
        <v>809</v>
      </c>
      <c r="CY121">
        <v>7551</v>
      </c>
      <c r="CZ121">
        <v>406</v>
      </c>
      <c r="DA121">
        <v>545</v>
      </c>
      <c r="DB121">
        <v>-243</v>
      </c>
      <c r="DC121">
        <v>-556</v>
      </c>
      <c r="DD121">
        <v>781</v>
      </c>
      <c r="DE121">
        <v>5642</v>
      </c>
      <c r="DF121">
        <v>18441</v>
      </c>
      <c r="DG121">
        <v>-1024</v>
      </c>
      <c r="DH121">
        <v>1674</v>
      </c>
      <c r="DI121">
        <v>20.5</v>
      </c>
      <c r="DJ121" s="174">
        <v>2706</v>
      </c>
      <c r="DK121" s="34">
        <v>8650</v>
      </c>
      <c r="DL121" s="34">
        <v>6800</v>
      </c>
      <c r="DM121">
        <v>2637</v>
      </c>
      <c r="DN121" s="173">
        <v>1470</v>
      </c>
      <c r="DO121" s="34">
        <v>7595</v>
      </c>
      <c r="DP121" s="173">
        <v>508</v>
      </c>
      <c r="DQ121" s="34">
        <v>547</v>
      </c>
      <c r="DR121" s="173">
        <v>-230</v>
      </c>
      <c r="DS121" s="173">
        <v>-1141</v>
      </c>
      <c r="DT121">
        <v>759</v>
      </c>
      <c r="DU121">
        <v>6995</v>
      </c>
      <c r="DV121" s="173">
        <v>19059</v>
      </c>
      <c r="DW121" s="173">
        <v>-261</v>
      </c>
      <c r="DX121" s="173">
        <v>1413</v>
      </c>
      <c r="DY121" s="57">
        <v>20.5</v>
      </c>
      <c r="DZ121" s="184">
        <v>340</v>
      </c>
      <c r="EA121" s="116">
        <v>2665</v>
      </c>
      <c r="EB121" s="48">
        <v>8456</v>
      </c>
      <c r="EC121" s="46">
        <v>6822</v>
      </c>
      <c r="ED121" s="90">
        <v>2941</v>
      </c>
      <c r="EE121" s="186">
        <v>803</v>
      </c>
      <c r="EF121" s="46">
        <v>7362</v>
      </c>
      <c r="EG121" s="130">
        <v>549</v>
      </c>
      <c r="EH121" s="46">
        <v>545</v>
      </c>
      <c r="EI121" s="130">
        <v>-16</v>
      </c>
      <c r="EJ121" s="48">
        <v>-859</v>
      </c>
      <c r="EK121" s="44">
        <v>581</v>
      </c>
      <c r="EL121" s="44">
        <v>7258</v>
      </c>
      <c r="EM121" s="130">
        <v>19038</v>
      </c>
      <c r="EN121" s="117">
        <v>-597</v>
      </c>
      <c r="EO121" s="117">
        <v>816</v>
      </c>
      <c r="EP121" s="129">
        <v>20.5</v>
      </c>
    </row>
    <row r="122" spans="1:146" ht="15" x14ac:dyDescent="0.25">
      <c r="A122" s="27">
        <v>402</v>
      </c>
      <c r="B122" s="27" t="s">
        <v>250</v>
      </c>
      <c r="C122" s="27">
        <v>11</v>
      </c>
      <c r="D122" s="27" t="s">
        <v>118</v>
      </c>
      <c r="E122" s="27">
        <v>3</v>
      </c>
      <c r="F122" s="27" t="s">
        <v>743</v>
      </c>
      <c r="G122" s="29" t="s">
        <v>130</v>
      </c>
      <c r="H122" s="27" t="s">
        <v>98</v>
      </c>
      <c r="I122" s="31" t="s">
        <v>118</v>
      </c>
      <c r="J122" s="118">
        <v>768.45063600264393</v>
      </c>
      <c r="K122" s="118">
        <v>796.20164386879321</v>
      </c>
      <c r="L122" s="118">
        <v>545.7698213676033</v>
      </c>
      <c r="M122" s="118">
        <v>2021.2825002144396</v>
      </c>
      <c r="N122" s="22">
        <v>4256</v>
      </c>
      <c r="O122" s="119">
        <v>3503</v>
      </c>
      <c r="P122" s="119">
        <v>2635</v>
      </c>
      <c r="Q122" s="120">
        <v>2832</v>
      </c>
      <c r="R122" s="22">
        <v>2793</v>
      </c>
      <c r="S122" s="22">
        <v>4141</v>
      </c>
      <c r="T122" s="121">
        <v>7788</v>
      </c>
      <c r="U122" s="121">
        <v>8297</v>
      </c>
      <c r="V122" s="121">
        <v>8690</v>
      </c>
      <c r="W122" s="106">
        <v>8230</v>
      </c>
      <c r="X122" s="121">
        <v>4835</v>
      </c>
      <c r="Y122" s="121">
        <v>2483</v>
      </c>
      <c r="Z122" s="121">
        <v>2301</v>
      </c>
      <c r="AA122" s="121">
        <v>1356</v>
      </c>
      <c r="AB122" s="122">
        <v>17</v>
      </c>
      <c r="AC122" s="123">
        <v>17</v>
      </c>
      <c r="AD122" s="124">
        <v>17</v>
      </c>
      <c r="AE122" s="125">
        <v>17</v>
      </c>
      <c r="AF122" s="126">
        <v>17</v>
      </c>
      <c r="AG122" s="123">
        <v>17</v>
      </c>
      <c r="AH122" s="123">
        <v>17</v>
      </c>
      <c r="AI122" s="127">
        <v>18</v>
      </c>
      <c r="AJ122" s="127">
        <v>18</v>
      </c>
      <c r="AK122" s="22">
        <v>18</v>
      </c>
      <c r="AL122" s="128">
        <v>18.5</v>
      </c>
      <c r="AM122" s="128">
        <v>18.5</v>
      </c>
      <c r="AN122" s="128">
        <v>18.5</v>
      </c>
      <c r="AO122" s="77">
        <v>18.5</v>
      </c>
      <c r="AP122" s="77">
        <v>18.5</v>
      </c>
      <c r="AQ122" s="129">
        <v>19.5</v>
      </c>
      <c r="AR122" s="129">
        <v>19.5</v>
      </c>
      <c r="AS122" s="129">
        <v>20.25</v>
      </c>
      <c r="AT122" s="116">
        <v>10176</v>
      </c>
      <c r="AU122" s="47">
        <v>8659</v>
      </c>
      <c r="AV122" s="47">
        <v>66605</v>
      </c>
      <c r="AW122" s="46">
        <v>27887</v>
      </c>
      <c r="AX122" s="46">
        <v>30256</v>
      </c>
      <c r="AY122" s="92">
        <v>881</v>
      </c>
      <c r="AZ122" s="47">
        <v>1078</v>
      </c>
      <c r="BA122" s="44">
        <v>3440</v>
      </c>
      <c r="BB122" s="23">
        <v>-4852</v>
      </c>
      <c r="BC122" s="47">
        <v>-2412</v>
      </c>
      <c r="BD122" s="44">
        <v>-2353</v>
      </c>
      <c r="BE122" s="47">
        <v>2483</v>
      </c>
      <c r="BF122" s="44">
        <v>27887</v>
      </c>
      <c r="BG122" s="46">
        <v>24448</v>
      </c>
      <c r="BH122" s="130">
        <v>1501</v>
      </c>
      <c r="BI122" s="46">
        <v>1938</v>
      </c>
      <c r="BJ122" s="129">
        <v>19.5</v>
      </c>
      <c r="BK122" s="44">
        <v>25192</v>
      </c>
      <c r="BL122" s="116">
        <v>10093</v>
      </c>
      <c r="BM122" s="47">
        <v>8464</v>
      </c>
      <c r="BN122" s="130">
        <v>66767</v>
      </c>
      <c r="BO122" s="46">
        <v>29143</v>
      </c>
      <c r="BP122" s="46">
        <v>30244</v>
      </c>
      <c r="BQ122" s="46">
        <v>1386</v>
      </c>
      <c r="BR122" s="130">
        <v>2470</v>
      </c>
      <c r="BS122" s="44">
        <v>2710</v>
      </c>
      <c r="BT122" s="92">
        <v>-5928</v>
      </c>
      <c r="BU122" s="117">
        <v>-181</v>
      </c>
      <c r="BV122" s="130">
        <v>2301</v>
      </c>
      <c r="BW122" s="48">
        <v>29143</v>
      </c>
      <c r="BX122" s="46">
        <v>25213</v>
      </c>
      <c r="BY122" s="130">
        <v>1800</v>
      </c>
      <c r="BZ122" s="46">
        <v>2130</v>
      </c>
      <c r="CA122" s="129">
        <v>19.5</v>
      </c>
      <c r="CB122" s="44">
        <v>28238</v>
      </c>
      <c r="CC122" s="116">
        <v>9982</v>
      </c>
      <c r="CD122" s="47">
        <v>8144</v>
      </c>
      <c r="CE122" s="130">
        <v>67208</v>
      </c>
      <c r="CF122" s="46">
        <v>30058</v>
      </c>
      <c r="CG122" s="46">
        <v>29995</v>
      </c>
      <c r="CH122" s="46">
        <v>1636</v>
      </c>
      <c r="CI122" s="130">
        <v>1985</v>
      </c>
      <c r="CJ122" s="44">
        <v>2989</v>
      </c>
      <c r="CK122" s="117">
        <v>-3207</v>
      </c>
      <c r="CL122" s="117">
        <v>-945</v>
      </c>
      <c r="CM122" s="117">
        <v>1356</v>
      </c>
      <c r="CN122" s="48">
        <v>30058</v>
      </c>
      <c r="CO122" s="46">
        <v>25822</v>
      </c>
      <c r="CP122" s="130">
        <v>2008</v>
      </c>
      <c r="CQ122" s="46">
        <v>2228</v>
      </c>
      <c r="CR122" s="129">
        <v>20.25</v>
      </c>
      <c r="CS122" s="44">
        <v>29100</v>
      </c>
      <c r="CT122">
        <v>9882</v>
      </c>
      <c r="CU122">
        <v>29230</v>
      </c>
      <c r="CV122">
        <v>31242</v>
      </c>
      <c r="CW122">
        <v>8174</v>
      </c>
      <c r="CX122">
        <v>770</v>
      </c>
      <c r="CY122">
        <v>25300</v>
      </c>
      <c r="CZ122">
        <v>1707</v>
      </c>
      <c r="DA122">
        <v>2223</v>
      </c>
      <c r="DB122">
        <v>1390</v>
      </c>
      <c r="DC122">
        <v>-4868</v>
      </c>
      <c r="DD122">
        <v>3113</v>
      </c>
      <c r="DE122">
        <v>30508</v>
      </c>
      <c r="DF122">
        <v>68026</v>
      </c>
      <c r="DG122">
        <v>-1664</v>
      </c>
      <c r="DH122">
        <v>-308</v>
      </c>
      <c r="DI122">
        <v>20.25</v>
      </c>
      <c r="DJ122" s="174">
        <v>9692</v>
      </c>
      <c r="DK122" s="34">
        <v>29398</v>
      </c>
      <c r="DL122" s="34">
        <v>31179</v>
      </c>
      <c r="DM122">
        <v>7894</v>
      </c>
      <c r="DN122" s="173">
        <v>1080</v>
      </c>
      <c r="DO122" s="34">
        <v>25412</v>
      </c>
      <c r="DP122" s="173">
        <v>1767</v>
      </c>
      <c r="DQ122" s="34">
        <v>2219</v>
      </c>
      <c r="DR122" s="173">
        <v>4070</v>
      </c>
      <c r="DS122" s="173">
        <v>-926</v>
      </c>
      <c r="DT122">
        <v>2806</v>
      </c>
      <c r="DU122">
        <v>29230</v>
      </c>
      <c r="DV122" s="173">
        <v>65481</v>
      </c>
      <c r="DW122" s="173">
        <v>1323</v>
      </c>
      <c r="DX122" s="173">
        <v>1015</v>
      </c>
      <c r="DY122" s="57">
        <v>20.25</v>
      </c>
      <c r="DZ122" s="184">
        <v>340</v>
      </c>
      <c r="EA122" s="116">
        <v>9617</v>
      </c>
      <c r="EB122" s="48">
        <v>29188</v>
      </c>
      <c r="EC122" s="46">
        <v>30251</v>
      </c>
      <c r="ED122" s="90">
        <v>7308</v>
      </c>
      <c r="EE122" s="186">
        <v>996</v>
      </c>
      <c r="EF122" s="46">
        <v>25409</v>
      </c>
      <c r="EG122" s="130">
        <v>1555</v>
      </c>
      <c r="EH122" s="46">
        <v>2224</v>
      </c>
      <c r="EI122" s="130">
        <v>3310</v>
      </c>
      <c r="EJ122" s="48">
        <v>-4580</v>
      </c>
      <c r="EK122" s="44">
        <v>2784</v>
      </c>
      <c r="EL122" s="44">
        <v>28443</v>
      </c>
      <c r="EM122" s="130">
        <v>64433</v>
      </c>
      <c r="EN122" s="117">
        <v>585</v>
      </c>
      <c r="EO122" s="117">
        <v>1600</v>
      </c>
      <c r="EP122" s="129">
        <v>21.25</v>
      </c>
    </row>
    <row r="123" spans="1:146" ht="15" x14ac:dyDescent="0.25">
      <c r="A123" s="27">
        <v>403</v>
      </c>
      <c r="B123" s="27" t="s">
        <v>251</v>
      </c>
      <c r="C123" s="27">
        <v>14</v>
      </c>
      <c r="D123" s="27" t="s">
        <v>106</v>
      </c>
      <c r="E123" s="27">
        <v>2</v>
      </c>
      <c r="F123" s="27" t="s">
        <v>744</v>
      </c>
      <c r="G123" s="29" t="s">
        <v>130</v>
      </c>
      <c r="H123" s="27" t="s">
        <v>98</v>
      </c>
      <c r="I123" s="31" t="s">
        <v>106</v>
      </c>
      <c r="J123" s="106">
        <v>434.42941405008298</v>
      </c>
      <c r="K123" s="106">
        <v>-391.8778686553207</v>
      </c>
      <c r="L123" s="106">
        <v>-213.76685453258051</v>
      </c>
      <c r="M123" s="106">
        <v>-234.62215741380788</v>
      </c>
      <c r="N123" s="106">
        <v>740</v>
      </c>
      <c r="O123" s="106">
        <v>213</v>
      </c>
      <c r="P123" s="106">
        <v>24</v>
      </c>
      <c r="Q123" s="106">
        <v>-584</v>
      </c>
      <c r="R123" s="106">
        <v>-1153</v>
      </c>
      <c r="S123" s="106">
        <v>-931</v>
      </c>
      <c r="T123" s="106">
        <v>-312</v>
      </c>
      <c r="U123" s="106">
        <v>193</v>
      </c>
      <c r="V123" s="106">
        <v>282</v>
      </c>
      <c r="W123" s="106">
        <v>-480</v>
      </c>
      <c r="X123" s="106">
        <v>-714</v>
      </c>
      <c r="Y123" s="106">
        <v>-669</v>
      </c>
      <c r="Z123" s="106">
        <v>-379</v>
      </c>
      <c r="AA123" s="106">
        <v>91</v>
      </c>
      <c r="AB123" s="107">
        <v>18.5</v>
      </c>
      <c r="AC123" s="108">
        <v>18.5</v>
      </c>
      <c r="AD123" s="109">
        <v>18.5</v>
      </c>
      <c r="AE123" s="110">
        <v>18.5</v>
      </c>
      <c r="AF123" s="111">
        <v>19</v>
      </c>
      <c r="AG123" s="108">
        <v>19</v>
      </c>
      <c r="AH123" s="108">
        <v>19</v>
      </c>
      <c r="AI123" s="149">
        <v>19.5</v>
      </c>
      <c r="AJ123" s="149">
        <v>19.5</v>
      </c>
      <c r="AK123" s="113">
        <v>19.5</v>
      </c>
      <c r="AL123" s="142">
        <v>19.75</v>
      </c>
      <c r="AM123" s="142">
        <v>20</v>
      </c>
      <c r="AN123" s="142">
        <v>20</v>
      </c>
      <c r="AO123" s="77">
        <v>20</v>
      </c>
      <c r="AP123" s="77">
        <v>21</v>
      </c>
      <c r="AQ123" s="129">
        <v>21</v>
      </c>
      <c r="AR123" s="129">
        <v>21</v>
      </c>
      <c r="AS123" s="129">
        <v>21</v>
      </c>
      <c r="AT123" s="116">
        <v>3317</v>
      </c>
      <c r="AU123" s="47">
        <v>2356</v>
      </c>
      <c r="AV123" s="47">
        <v>21038</v>
      </c>
      <c r="AW123" s="46">
        <v>9894</v>
      </c>
      <c r="AX123" s="46">
        <v>9891</v>
      </c>
      <c r="AY123" s="92">
        <v>16</v>
      </c>
      <c r="AZ123" s="47">
        <v>1010</v>
      </c>
      <c r="BA123" s="44">
        <v>993</v>
      </c>
      <c r="BB123" s="23">
        <v>-4396</v>
      </c>
      <c r="BC123" s="47">
        <v>17</v>
      </c>
      <c r="BD123" s="44">
        <v>45</v>
      </c>
      <c r="BE123" s="47">
        <v>-669</v>
      </c>
      <c r="BF123" s="44">
        <v>9894</v>
      </c>
      <c r="BG123" s="46">
        <v>8495</v>
      </c>
      <c r="BH123" s="130">
        <v>725</v>
      </c>
      <c r="BI123" s="46">
        <v>674</v>
      </c>
      <c r="BJ123" s="129">
        <v>21</v>
      </c>
      <c r="BK123" s="44">
        <v>10027</v>
      </c>
      <c r="BL123" s="116">
        <v>3259</v>
      </c>
      <c r="BM123" s="47">
        <v>2444</v>
      </c>
      <c r="BN123" s="130">
        <v>21192</v>
      </c>
      <c r="BO123" s="46">
        <v>10264</v>
      </c>
      <c r="BP123" s="46">
        <v>10037</v>
      </c>
      <c r="BQ123" s="46">
        <v>19</v>
      </c>
      <c r="BR123" s="130">
        <v>1456</v>
      </c>
      <c r="BS123" s="44">
        <v>1194</v>
      </c>
      <c r="BT123" s="92">
        <v>-1455</v>
      </c>
      <c r="BU123" s="117">
        <v>289</v>
      </c>
      <c r="BV123" s="130">
        <v>-379</v>
      </c>
      <c r="BW123" s="48">
        <v>10264</v>
      </c>
      <c r="BX123" s="46">
        <v>8602</v>
      </c>
      <c r="BY123" s="130">
        <v>912</v>
      </c>
      <c r="BZ123" s="46">
        <v>750</v>
      </c>
      <c r="CA123" s="129">
        <v>21</v>
      </c>
      <c r="CB123" s="44">
        <v>10847</v>
      </c>
      <c r="CC123" s="116">
        <v>3215</v>
      </c>
      <c r="CD123" s="47">
        <v>1862</v>
      </c>
      <c r="CE123" s="130">
        <v>20591</v>
      </c>
      <c r="CF123" s="46">
        <v>10293</v>
      </c>
      <c r="CG123" s="46">
        <v>10091</v>
      </c>
      <c r="CH123" s="46">
        <v>17</v>
      </c>
      <c r="CI123" s="130">
        <v>1566</v>
      </c>
      <c r="CJ123" s="44">
        <v>1122</v>
      </c>
      <c r="CK123" s="117">
        <v>-2828</v>
      </c>
      <c r="CL123" s="117">
        <v>470</v>
      </c>
      <c r="CM123" s="117">
        <v>91</v>
      </c>
      <c r="CN123" s="48">
        <v>10293</v>
      </c>
      <c r="CO123" s="46">
        <v>8254</v>
      </c>
      <c r="CP123" s="130">
        <v>1116</v>
      </c>
      <c r="CQ123" s="46">
        <v>923</v>
      </c>
      <c r="CR123" s="129">
        <v>21</v>
      </c>
      <c r="CS123" s="44">
        <v>10712</v>
      </c>
      <c r="CT123">
        <v>3176</v>
      </c>
      <c r="CU123">
        <v>10354</v>
      </c>
      <c r="CV123">
        <v>10793</v>
      </c>
      <c r="CW123">
        <v>2189</v>
      </c>
      <c r="CX123">
        <v>16</v>
      </c>
      <c r="CY123">
        <v>8424</v>
      </c>
      <c r="CZ123">
        <v>1003</v>
      </c>
      <c r="DA123">
        <v>927</v>
      </c>
      <c r="DB123">
        <v>2140</v>
      </c>
      <c r="DC123">
        <v>-1111</v>
      </c>
      <c r="DD123">
        <v>1203</v>
      </c>
      <c r="DE123">
        <v>10899</v>
      </c>
      <c r="DF123">
        <v>21116</v>
      </c>
      <c r="DG123">
        <v>964</v>
      </c>
      <c r="DH123">
        <v>1054</v>
      </c>
      <c r="DI123">
        <v>21</v>
      </c>
      <c r="DJ123" s="174">
        <v>3140</v>
      </c>
      <c r="DK123" s="34">
        <v>9906</v>
      </c>
      <c r="DL123" s="34">
        <v>10822</v>
      </c>
      <c r="DM123">
        <v>2126</v>
      </c>
      <c r="DN123" s="173">
        <v>-76</v>
      </c>
      <c r="DO123" s="34">
        <v>8038</v>
      </c>
      <c r="DP123" s="173">
        <v>982</v>
      </c>
      <c r="DQ123" s="34">
        <v>886</v>
      </c>
      <c r="DR123" s="173">
        <v>1324</v>
      </c>
      <c r="DS123" s="173">
        <v>-1507</v>
      </c>
      <c r="DT123">
        <v>1238</v>
      </c>
      <c r="DU123">
        <v>11636</v>
      </c>
      <c r="DV123" s="173">
        <v>21454</v>
      </c>
      <c r="DW123" s="173">
        <v>114</v>
      </c>
      <c r="DX123" s="173">
        <v>1168</v>
      </c>
      <c r="DY123" s="57">
        <v>21</v>
      </c>
      <c r="DZ123" s="184">
        <v>340</v>
      </c>
      <c r="EA123" s="116">
        <v>3078</v>
      </c>
      <c r="EB123" s="48">
        <v>9318</v>
      </c>
      <c r="EC123" s="46">
        <v>10825</v>
      </c>
      <c r="ED123" s="90">
        <v>4329</v>
      </c>
      <c r="EE123" s="186">
        <v>15</v>
      </c>
      <c r="EF123" s="46">
        <v>7532</v>
      </c>
      <c r="EG123" s="130">
        <v>757</v>
      </c>
      <c r="EH123" s="46">
        <v>1029</v>
      </c>
      <c r="EI123" s="130">
        <v>1841</v>
      </c>
      <c r="EJ123" s="48">
        <v>5395</v>
      </c>
      <c r="EK123" s="44">
        <v>1739</v>
      </c>
      <c r="EL123" s="44">
        <v>7700</v>
      </c>
      <c r="EM123" s="130">
        <v>22646</v>
      </c>
      <c r="EN123" s="117">
        <v>129</v>
      </c>
      <c r="EO123" s="117">
        <v>1297</v>
      </c>
      <c r="EP123" s="129">
        <v>21</v>
      </c>
    </row>
    <row r="124" spans="1:146" ht="15" x14ac:dyDescent="0.25">
      <c r="A124" s="27">
        <v>405</v>
      </c>
      <c r="B124" s="27" t="s">
        <v>252</v>
      </c>
      <c r="C124" s="27">
        <v>9</v>
      </c>
      <c r="D124" s="27" t="s">
        <v>105</v>
      </c>
      <c r="E124" s="27">
        <v>6</v>
      </c>
      <c r="F124" s="27" t="s">
        <v>102</v>
      </c>
      <c r="G124" s="29" t="s">
        <v>141</v>
      </c>
      <c r="H124" s="27" t="s">
        <v>97</v>
      </c>
      <c r="I124" s="31" t="s">
        <v>105</v>
      </c>
      <c r="J124" s="118">
        <v>-251.94551383934353</v>
      </c>
      <c r="K124" s="118">
        <v>4771.8278495659906</v>
      </c>
      <c r="L124" s="118">
        <v>1952.8300141446045</v>
      </c>
      <c r="M124" s="118">
        <v>4009.2637909895002</v>
      </c>
      <c r="N124" s="22">
        <v>46522</v>
      </c>
      <c r="O124" s="119">
        <v>37099</v>
      </c>
      <c r="P124" s="119">
        <v>27399</v>
      </c>
      <c r="Q124" s="120">
        <v>22682</v>
      </c>
      <c r="R124" s="22">
        <v>22748</v>
      </c>
      <c r="S124" s="22">
        <v>29642</v>
      </c>
      <c r="T124" s="121">
        <v>22466</v>
      </c>
      <c r="U124" s="121">
        <v>50974</v>
      </c>
      <c r="V124" s="121">
        <v>51442</v>
      </c>
      <c r="W124" s="106">
        <v>52525</v>
      </c>
      <c r="X124" s="121">
        <v>47429</v>
      </c>
      <c r="Y124" s="121">
        <v>49739</v>
      </c>
      <c r="Z124" s="121">
        <v>52116</v>
      </c>
      <c r="AA124" s="121">
        <v>56791</v>
      </c>
      <c r="AB124" s="122">
        <v>17.5</v>
      </c>
      <c r="AC124" s="123">
        <v>18</v>
      </c>
      <c r="AD124" s="124">
        <v>18</v>
      </c>
      <c r="AE124" s="125">
        <v>18</v>
      </c>
      <c r="AF124" s="126">
        <v>18</v>
      </c>
      <c r="AG124" s="123">
        <v>18</v>
      </c>
      <c r="AH124" s="123">
        <v>18</v>
      </c>
      <c r="AI124" s="131">
        <v>18.75</v>
      </c>
      <c r="AJ124" s="131">
        <v>18.75</v>
      </c>
      <c r="AK124" s="22">
        <v>18.75</v>
      </c>
      <c r="AL124" s="128">
        <v>18.75</v>
      </c>
      <c r="AM124" s="128">
        <v>18.75</v>
      </c>
      <c r="AN124" s="128">
        <v>19.5</v>
      </c>
      <c r="AO124" s="77">
        <v>19.5</v>
      </c>
      <c r="AP124" s="77">
        <v>19.5</v>
      </c>
      <c r="AQ124" s="129">
        <v>19.5</v>
      </c>
      <c r="AR124" s="129">
        <v>21</v>
      </c>
      <c r="AS124" s="129">
        <v>21</v>
      </c>
      <c r="AT124" s="116">
        <v>72658</v>
      </c>
      <c r="AU124" s="47">
        <v>81401</v>
      </c>
      <c r="AV124" s="47">
        <v>433760</v>
      </c>
      <c r="AW124" s="46">
        <v>265499</v>
      </c>
      <c r="AX124" s="46">
        <v>103064</v>
      </c>
      <c r="AY124" s="92">
        <v>8568</v>
      </c>
      <c r="AZ124" s="47">
        <v>24772</v>
      </c>
      <c r="BA124" s="44">
        <v>21869</v>
      </c>
      <c r="BB124" s="23">
        <v>-33542</v>
      </c>
      <c r="BC124" s="47">
        <v>2903</v>
      </c>
      <c r="BD124" s="44">
        <v>2311</v>
      </c>
      <c r="BE124" s="47">
        <v>49739</v>
      </c>
      <c r="BF124" s="44">
        <v>265499</v>
      </c>
      <c r="BG124" s="46">
        <v>230427</v>
      </c>
      <c r="BH124" s="130">
        <v>17161</v>
      </c>
      <c r="BI124" s="46">
        <v>17911</v>
      </c>
      <c r="BJ124" s="129">
        <v>19.5</v>
      </c>
      <c r="BK124" s="44">
        <v>236566</v>
      </c>
      <c r="BL124" s="116">
        <v>72794</v>
      </c>
      <c r="BM124" s="47">
        <v>67873</v>
      </c>
      <c r="BN124" s="130">
        <v>441813</v>
      </c>
      <c r="BO124" s="46">
        <v>289866</v>
      </c>
      <c r="BP124" s="46">
        <v>102007</v>
      </c>
      <c r="BQ124" s="46">
        <v>8086</v>
      </c>
      <c r="BR124" s="130">
        <v>26019</v>
      </c>
      <c r="BS124" s="44">
        <v>19434</v>
      </c>
      <c r="BT124" s="92">
        <v>-18879</v>
      </c>
      <c r="BU124" s="117">
        <v>2376</v>
      </c>
      <c r="BV124" s="130">
        <v>52116</v>
      </c>
      <c r="BW124" s="48">
        <v>289866</v>
      </c>
      <c r="BX124" s="46">
        <v>246967</v>
      </c>
      <c r="BY124" s="130">
        <v>19664</v>
      </c>
      <c r="BZ124" s="46">
        <v>23235</v>
      </c>
      <c r="CA124" s="129">
        <v>21</v>
      </c>
      <c r="CB124" s="44">
        <v>246295</v>
      </c>
      <c r="CC124" s="116">
        <v>72875</v>
      </c>
      <c r="CD124" s="47">
        <v>65400</v>
      </c>
      <c r="CE124" s="130">
        <v>447020</v>
      </c>
      <c r="CF124" s="46">
        <v>296962</v>
      </c>
      <c r="CG124" s="46">
        <v>99980</v>
      </c>
      <c r="CH124" s="46">
        <v>18012</v>
      </c>
      <c r="CI124" s="130">
        <v>26728</v>
      </c>
      <c r="CJ124" s="44">
        <v>22092</v>
      </c>
      <c r="CK124" s="117">
        <v>-24149</v>
      </c>
      <c r="CL124" s="117">
        <v>4675</v>
      </c>
      <c r="CM124" s="117">
        <v>56791</v>
      </c>
      <c r="CN124" s="48">
        <v>296962</v>
      </c>
      <c r="CO124" s="46">
        <v>249786</v>
      </c>
      <c r="CP124" s="130">
        <v>23032</v>
      </c>
      <c r="CQ124" s="46">
        <v>24144</v>
      </c>
      <c r="CR124" s="129">
        <v>21</v>
      </c>
      <c r="CS124" s="44">
        <v>233160</v>
      </c>
      <c r="CT124">
        <v>72872</v>
      </c>
      <c r="CU124">
        <v>296421</v>
      </c>
      <c r="CV124">
        <v>108074</v>
      </c>
      <c r="CW124">
        <v>73990</v>
      </c>
      <c r="CX124">
        <v>11457</v>
      </c>
      <c r="CY124">
        <v>250126</v>
      </c>
      <c r="CZ124">
        <v>21482</v>
      </c>
      <c r="DA124">
        <v>24813</v>
      </c>
      <c r="DB124">
        <v>26856</v>
      </c>
      <c r="DC124">
        <v>-16801</v>
      </c>
      <c r="DD124">
        <v>23364</v>
      </c>
      <c r="DE124">
        <v>226973</v>
      </c>
      <c r="DF124">
        <v>463086</v>
      </c>
      <c r="DG124">
        <v>3519</v>
      </c>
      <c r="DH124">
        <v>60310</v>
      </c>
      <c r="DI124">
        <v>21</v>
      </c>
      <c r="DJ124" s="174">
        <v>72909</v>
      </c>
      <c r="DK124" s="34">
        <v>293933</v>
      </c>
      <c r="DL124" s="34">
        <v>104995</v>
      </c>
      <c r="DM124">
        <v>70439</v>
      </c>
      <c r="DN124" s="173">
        <v>9247</v>
      </c>
      <c r="DO124" s="34">
        <v>244562</v>
      </c>
      <c r="DP124" s="173">
        <v>24745</v>
      </c>
      <c r="DQ124" s="34">
        <v>24626</v>
      </c>
      <c r="DR124" s="173">
        <v>33209</v>
      </c>
      <c r="DS124" s="173">
        <v>-6437</v>
      </c>
      <c r="DT124">
        <v>30844</v>
      </c>
      <c r="DU124">
        <v>218041</v>
      </c>
      <c r="DV124" s="173">
        <v>445405</v>
      </c>
      <c r="DW124" s="173">
        <v>2183</v>
      </c>
      <c r="DX124" s="173">
        <v>62494</v>
      </c>
      <c r="DY124" s="57">
        <v>21</v>
      </c>
      <c r="DZ124" s="184">
        <v>130</v>
      </c>
      <c r="EA124" s="116">
        <v>72699</v>
      </c>
      <c r="EB124" s="48">
        <v>290688</v>
      </c>
      <c r="EC124" s="46">
        <v>106908</v>
      </c>
      <c r="ED124" s="90">
        <v>42948</v>
      </c>
      <c r="EE124" s="186">
        <v>9910</v>
      </c>
      <c r="EF124" s="46">
        <v>243607</v>
      </c>
      <c r="EG124" s="130">
        <v>22310</v>
      </c>
      <c r="EH124" s="46">
        <v>24771</v>
      </c>
      <c r="EI124" s="130">
        <v>18993</v>
      </c>
      <c r="EJ124" s="48">
        <v>-18756</v>
      </c>
      <c r="EK124" s="44">
        <v>22268</v>
      </c>
      <c r="EL124" s="44">
        <v>204647</v>
      </c>
      <c r="EM124" s="130">
        <v>431461</v>
      </c>
      <c r="EN124" s="117">
        <v>-3286</v>
      </c>
      <c r="EO124" s="117">
        <v>59210</v>
      </c>
      <c r="EP124" s="129">
        <v>21</v>
      </c>
    </row>
    <row r="125" spans="1:146" ht="15" x14ac:dyDescent="0.25">
      <c r="A125" s="27">
        <v>408</v>
      </c>
      <c r="B125" s="27" t="s">
        <v>253</v>
      </c>
      <c r="C125" s="27">
        <v>14</v>
      </c>
      <c r="D125" s="27" t="s">
        <v>106</v>
      </c>
      <c r="E125" s="27">
        <v>4</v>
      </c>
      <c r="F125" s="27" t="s">
        <v>100</v>
      </c>
      <c r="G125" s="29" t="s">
        <v>132</v>
      </c>
      <c r="H125" s="27" t="s">
        <v>99</v>
      </c>
      <c r="I125" s="31" t="s">
        <v>106</v>
      </c>
      <c r="J125" s="118">
        <v>-499.34995366422623</v>
      </c>
      <c r="K125" s="118">
        <v>-641.46875152420307</v>
      </c>
      <c r="L125" s="118">
        <v>-1055.7156143989048</v>
      </c>
      <c r="M125" s="118">
        <v>-1820.9706797987801</v>
      </c>
      <c r="N125" s="22">
        <v>13062</v>
      </c>
      <c r="O125" s="119">
        <v>13437</v>
      </c>
      <c r="P125" s="119">
        <v>12903</v>
      </c>
      <c r="Q125" s="120">
        <v>12483</v>
      </c>
      <c r="R125" s="22">
        <v>11323</v>
      </c>
      <c r="S125" s="22">
        <v>10915</v>
      </c>
      <c r="T125" s="121">
        <v>13467</v>
      </c>
      <c r="U125" s="121">
        <v>14459</v>
      </c>
      <c r="V125" s="121">
        <v>16533</v>
      </c>
      <c r="W125" s="106">
        <v>15276</v>
      </c>
      <c r="X125" s="121">
        <v>13147</v>
      </c>
      <c r="Y125" s="121">
        <v>9760</v>
      </c>
      <c r="Z125" s="121">
        <v>11531</v>
      </c>
      <c r="AA125" s="121">
        <v>11918</v>
      </c>
      <c r="AB125" s="122">
        <v>17.5</v>
      </c>
      <c r="AC125" s="123">
        <v>18</v>
      </c>
      <c r="AD125" s="124">
        <v>18</v>
      </c>
      <c r="AE125" s="125">
        <v>18</v>
      </c>
      <c r="AF125" s="126">
        <v>18</v>
      </c>
      <c r="AG125" s="123">
        <v>18</v>
      </c>
      <c r="AH125" s="123">
        <v>18</v>
      </c>
      <c r="AI125" s="131">
        <v>18.5</v>
      </c>
      <c r="AJ125" s="131">
        <v>18.5</v>
      </c>
      <c r="AK125" s="22">
        <v>18.5</v>
      </c>
      <c r="AL125" s="128">
        <v>19.5</v>
      </c>
      <c r="AM125" s="128">
        <v>19.5</v>
      </c>
      <c r="AN125" s="128">
        <v>19.5</v>
      </c>
      <c r="AO125" s="77">
        <v>19.5</v>
      </c>
      <c r="AP125" s="77">
        <v>20</v>
      </c>
      <c r="AQ125" s="129">
        <v>20</v>
      </c>
      <c r="AR125" s="129">
        <v>21</v>
      </c>
      <c r="AS125" s="129">
        <v>21</v>
      </c>
      <c r="AT125" s="116">
        <v>14692</v>
      </c>
      <c r="AU125" s="47">
        <v>13432</v>
      </c>
      <c r="AV125" s="47">
        <v>88657</v>
      </c>
      <c r="AW125" s="46">
        <v>45337</v>
      </c>
      <c r="AX125" s="46">
        <v>32492</v>
      </c>
      <c r="AY125" s="92">
        <v>265</v>
      </c>
      <c r="AZ125" s="47">
        <v>2227</v>
      </c>
      <c r="BA125" s="44">
        <v>5614</v>
      </c>
      <c r="BB125" s="23">
        <v>-13386</v>
      </c>
      <c r="BC125" s="47">
        <v>-3387</v>
      </c>
      <c r="BD125" s="44">
        <v>-3387</v>
      </c>
      <c r="BE125" s="47">
        <v>9760</v>
      </c>
      <c r="BF125" s="44">
        <v>45337</v>
      </c>
      <c r="BG125" s="46">
        <v>40677</v>
      </c>
      <c r="BH125" s="130">
        <v>2381</v>
      </c>
      <c r="BI125" s="46">
        <v>2279</v>
      </c>
      <c r="BJ125" s="129">
        <v>20</v>
      </c>
      <c r="BK125" s="44">
        <v>37553</v>
      </c>
      <c r="BL125" s="116">
        <v>14733</v>
      </c>
      <c r="BM125" s="47">
        <v>13233</v>
      </c>
      <c r="BN125" s="130">
        <v>87775</v>
      </c>
      <c r="BO125" s="46">
        <v>48103</v>
      </c>
      <c r="BP125" s="46">
        <v>32743</v>
      </c>
      <c r="BQ125" s="46">
        <v>371</v>
      </c>
      <c r="BR125" s="130">
        <v>6148</v>
      </c>
      <c r="BS125" s="44">
        <v>4377</v>
      </c>
      <c r="BT125" s="92">
        <v>-10756</v>
      </c>
      <c r="BU125" s="117">
        <v>1771</v>
      </c>
      <c r="BV125" s="130">
        <v>11531</v>
      </c>
      <c r="BW125" s="48">
        <v>48103</v>
      </c>
      <c r="BX125" s="46">
        <v>43320</v>
      </c>
      <c r="BY125" s="130">
        <v>2351</v>
      </c>
      <c r="BZ125" s="46">
        <v>2432</v>
      </c>
      <c r="CA125" s="129">
        <v>21</v>
      </c>
      <c r="CB125" s="44">
        <v>44771</v>
      </c>
      <c r="CC125" s="116">
        <v>14609</v>
      </c>
      <c r="CD125" s="47">
        <v>13427</v>
      </c>
      <c r="CE125" s="130">
        <v>90304</v>
      </c>
      <c r="CF125" s="46">
        <v>48433</v>
      </c>
      <c r="CG125" s="46">
        <v>33586</v>
      </c>
      <c r="CH125" s="46">
        <v>334</v>
      </c>
      <c r="CI125" s="130">
        <v>4974</v>
      </c>
      <c r="CJ125" s="44">
        <v>4587</v>
      </c>
      <c r="CK125" s="117">
        <v>-6652</v>
      </c>
      <c r="CL125" s="117">
        <v>387</v>
      </c>
      <c r="CM125" s="117">
        <v>11918</v>
      </c>
      <c r="CN125" s="48">
        <v>48433</v>
      </c>
      <c r="CO125" s="46">
        <v>43150</v>
      </c>
      <c r="CP125" s="130">
        <v>2520</v>
      </c>
      <c r="CQ125" s="46">
        <v>2763</v>
      </c>
      <c r="CR125" s="129">
        <v>21</v>
      </c>
      <c r="CS125" s="44">
        <v>46139</v>
      </c>
      <c r="CT125">
        <v>14575</v>
      </c>
      <c r="CU125">
        <v>48257</v>
      </c>
      <c r="CV125">
        <v>36777</v>
      </c>
      <c r="CW125">
        <v>13371</v>
      </c>
      <c r="CX125">
        <v>228</v>
      </c>
      <c r="CY125">
        <v>43199</v>
      </c>
      <c r="CZ125">
        <v>2207</v>
      </c>
      <c r="DA125">
        <v>2851</v>
      </c>
      <c r="DB125">
        <v>7867</v>
      </c>
      <c r="DC125">
        <v>-5689</v>
      </c>
      <c r="DD125">
        <v>4991</v>
      </c>
      <c r="DE125">
        <v>45907</v>
      </c>
      <c r="DF125">
        <v>90351</v>
      </c>
      <c r="DG125">
        <v>2876</v>
      </c>
      <c r="DH125">
        <v>14793</v>
      </c>
      <c r="DI125">
        <v>21</v>
      </c>
      <c r="DJ125" s="174">
        <v>14494</v>
      </c>
      <c r="DK125" s="34">
        <v>48687</v>
      </c>
      <c r="DL125" s="34">
        <v>36481</v>
      </c>
      <c r="DM125">
        <v>12584</v>
      </c>
      <c r="DN125" s="173">
        <v>-252</v>
      </c>
      <c r="DO125" s="34">
        <v>43335</v>
      </c>
      <c r="DP125" s="173">
        <v>2468</v>
      </c>
      <c r="DQ125" s="34">
        <v>2884</v>
      </c>
      <c r="DR125" s="173">
        <v>7799</v>
      </c>
      <c r="DS125" s="173">
        <v>-8880</v>
      </c>
      <c r="DT125">
        <v>4987</v>
      </c>
      <c r="DU125">
        <v>47424</v>
      </c>
      <c r="DV125" s="173">
        <v>89701</v>
      </c>
      <c r="DW125" s="173">
        <v>2812</v>
      </c>
      <c r="DX125" s="173">
        <v>17605</v>
      </c>
      <c r="DY125" s="57">
        <v>21</v>
      </c>
      <c r="DZ125" s="184">
        <v>230</v>
      </c>
      <c r="EA125" s="116">
        <v>14427</v>
      </c>
      <c r="EB125" s="48">
        <v>47777</v>
      </c>
      <c r="EC125" s="46">
        <v>35853</v>
      </c>
      <c r="ED125" s="90">
        <v>12639</v>
      </c>
      <c r="EE125" s="186">
        <v>9</v>
      </c>
      <c r="EF125" s="46">
        <v>42420</v>
      </c>
      <c r="EG125" s="130">
        <v>2343</v>
      </c>
      <c r="EH125" s="46">
        <v>3014</v>
      </c>
      <c r="EI125" s="130">
        <v>4079</v>
      </c>
      <c r="EJ125" s="48">
        <v>-12757</v>
      </c>
      <c r="EK125" s="44">
        <v>4994</v>
      </c>
      <c r="EL125" s="44">
        <v>55292</v>
      </c>
      <c r="EM125" s="130">
        <v>92199</v>
      </c>
      <c r="EN125" s="117">
        <v>-915</v>
      </c>
      <c r="EO125" s="117">
        <v>16691</v>
      </c>
      <c r="EP125" s="129">
        <v>21.5</v>
      </c>
    </row>
    <row r="126" spans="1:146" ht="15" x14ac:dyDescent="0.25">
      <c r="A126" s="27">
        <v>410</v>
      </c>
      <c r="B126" s="27" t="s">
        <v>254</v>
      </c>
      <c r="C126" s="27">
        <v>13</v>
      </c>
      <c r="D126" s="27" t="s">
        <v>111</v>
      </c>
      <c r="E126" s="27">
        <v>4</v>
      </c>
      <c r="F126" s="27" t="s">
        <v>100</v>
      </c>
      <c r="G126" s="29" t="s">
        <v>132</v>
      </c>
      <c r="H126" s="27" t="s">
        <v>99</v>
      </c>
      <c r="I126" s="31" t="s">
        <v>111</v>
      </c>
      <c r="J126" s="118">
        <v>-3137.2093922865652</v>
      </c>
      <c r="K126" s="118">
        <v>-3841.2440524544504</v>
      </c>
      <c r="L126" s="118">
        <v>1816.4296057843192</v>
      </c>
      <c r="M126" s="118">
        <v>1918.8560529993795</v>
      </c>
      <c r="N126" s="22">
        <v>3234</v>
      </c>
      <c r="O126" s="119">
        <v>1773</v>
      </c>
      <c r="P126" s="119">
        <v>-848</v>
      </c>
      <c r="Q126" s="120">
        <v>-3013</v>
      </c>
      <c r="R126" s="22">
        <v>-2179</v>
      </c>
      <c r="S126" s="22">
        <v>-3499</v>
      </c>
      <c r="T126" s="121">
        <v>-3222</v>
      </c>
      <c r="U126" s="121">
        <v>-1710</v>
      </c>
      <c r="V126" s="121">
        <v>-411</v>
      </c>
      <c r="W126" s="106">
        <v>-533</v>
      </c>
      <c r="X126" s="121">
        <v>-2294</v>
      </c>
      <c r="Y126" s="121">
        <v>-2733</v>
      </c>
      <c r="Z126" s="121">
        <v>-1218</v>
      </c>
      <c r="AA126" s="121">
        <v>7118</v>
      </c>
      <c r="AB126" s="122">
        <v>18.5</v>
      </c>
      <c r="AC126" s="123">
        <v>18.5</v>
      </c>
      <c r="AD126" s="124">
        <v>18.5</v>
      </c>
      <c r="AE126" s="125">
        <v>18.5</v>
      </c>
      <c r="AF126" s="126">
        <v>18.5</v>
      </c>
      <c r="AG126" s="123">
        <v>18.5</v>
      </c>
      <c r="AH126" s="123">
        <v>18.5</v>
      </c>
      <c r="AI126" s="131">
        <v>18.5</v>
      </c>
      <c r="AJ126" s="131">
        <v>19</v>
      </c>
      <c r="AK126" s="22">
        <v>19</v>
      </c>
      <c r="AL126" s="128">
        <v>19</v>
      </c>
      <c r="AM126" s="128">
        <v>19.5</v>
      </c>
      <c r="AN126" s="128">
        <v>19.5</v>
      </c>
      <c r="AO126" s="77">
        <v>20</v>
      </c>
      <c r="AP126" s="77">
        <v>20.25</v>
      </c>
      <c r="AQ126" s="129">
        <v>20.5</v>
      </c>
      <c r="AR126" s="129">
        <v>20.5</v>
      </c>
      <c r="AS126" s="129">
        <v>21.5</v>
      </c>
      <c r="AT126" s="116">
        <v>18588</v>
      </c>
      <c r="AU126" s="47">
        <v>14662</v>
      </c>
      <c r="AV126" s="47">
        <v>106436</v>
      </c>
      <c r="AW126" s="46">
        <v>60470</v>
      </c>
      <c r="AX126" s="46">
        <v>32494</v>
      </c>
      <c r="AY126" s="92">
        <v>253</v>
      </c>
      <c r="AZ126" s="47">
        <v>1357</v>
      </c>
      <c r="BA126" s="44">
        <v>5538</v>
      </c>
      <c r="BB126" s="23">
        <v>-12726</v>
      </c>
      <c r="BC126" s="47">
        <v>-4181</v>
      </c>
      <c r="BD126" s="44">
        <v>-4181</v>
      </c>
      <c r="BE126" s="47">
        <v>-2733</v>
      </c>
      <c r="BF126" s="44">
        <v>60470</v>
      </c>
      <c r="BG126" s="46">
        <v>54910</v>
      </c>
      <c r="BH126" s="130">
        <v>1857</v>
      </c>
      <c r="BI126" s="46">
        <v>3703</v>
      </c>
      <c r="BJ126" s="129">
        <v>20.5</v>
      </c>
      <c r="BK126" s="44">
        <v>47725</v>
      </c>
      <c r="BL126" s="116">
        <v>18709</v>
      </c>
      <c r="BM126" s="47">
        <v>15579</v>
      </c>
      <c r="BN126" s="130">
        <v>104613</v>
      </c>
      <c r="BO126" s="46">
        <v>61026</v>
      </c>
      <c r="BP126" s="46">
        <v>32394</v>
      </c>
      <c r="BQ126" s="46">
        <v>1674</v>
      </c>
      <c r="BR126" s="130">
        <v>6060</v>
      </c>
      <c r="BS126" s="44">
        <v>4544</v>
      </c>
      <c r="BT126" s="92">
        <v>-15173</v>
      </c>
      <c r="BU126" s="117">
        <v>1515</v>
      </c>
      <c r="BV126" s="130">
        <v>-1218</v>
      </c>
      <c r="BW126" s="48">
        <v>61026</v>
      </c>
      <c r="BX126" s="46">
        <v>54942</v>
      </c>
      <c r="BY126" s="130">
        <v>2040</v>
      </c>
      <c r="BZ126" s="46">
        <v>4044</v>
      </c>
      <c r="CA126" s="129">
        <v>20.5</v>
      </c>
      <c r="CB126" s="44">
        <v>69019</v>
      </c>
      <c r="CC126" s="116">
        <v>18865</v>
      </c>
      <c r="CD126" s="47">
        <v>15166</v>
      </c>
      <c r="CE126" s="130">
        <v>108734</v>
      </c>
      <c r="CF126" s="46">
        <v>65306</v>
      </c>
      <c r="CG126" s="46">
        <v>33063</v>
      </c>
      <c r="CH126" s="46">
        <v>11322</v>
      </c>
      <c r="CI126" s="130">
        <v>5417</v>
      </c>
      <c r="CJ126" s="44">
        <v>7411</v>
      </c>
      <c r="CK126" s="117">
        <v>-8490</v>
      </c>
      <c r="CL126" s="117">
        <v>8355</v>
      </c>
      <c r="CM126" s="117">
        <v>7118</v>
      </c>
      <c r="CN126" s="48">
        <v>65306</v>
      </c>
      <c r="CO126" s="46">
        <v>58328</v>
      </c>
      <c r="CP126" s="130">
        <v>2224</v>
      </c>
      <c r="CQ126" s="46">
        <v>4754</v>
      </c>
      <c r="CR126" s="129">
        <v>21.5</v>
      </c>
      <c r="CS126" s="44">
        <v>73969</v>
      </c>
      <c r="CT126">
        <v>18970</v>
      </c>
      <c r="CU126">
        <v>66746</v>
      </c>
      <c r="CV126">
        <v>36145</v>
      </c>
      <c r="CW126">
        <v>13193</v>
      </c>
      <c r="CX126">
        <v>820</v>
      </c>
      <c r="CY126">
        <v>59865</v>
      </c>
      <c r="CZ126">
        <v>2057</v>
      </c>
      <c r="DA126">
        <v>4824</v>
      </c>
      <c r="DB126">
        <v>4617</v>
      </c>
      <c r="DC126">
        <v>-12094</v>
      </c>
      <c r="DD126">
        <v>5155</v>
      </c>
      <c r="DE126">
        <v>80958</v>
      </c>
      <c r="DF126">
        <v>112287</v>
      </c>
      <c r="DG126">
        <v>-538</v>
      </c>
      <c r="DH126">
        <v>6580</v>
      </c>
      <c r="DI126">
        <v>21.5</v>
      </c>
      <c r="DJ126" s="174">
        <v>18978</v>
      </c>
      <c r="DK126" s="34">
        <v>67931</v>
      </c>
      <c r="DL126" s="34">
        <v>37252</v>
      </c>
      <c r="DM126">
        <v>14831</v>
      </c>
      <c r="DN126" s="173">
        <v>923</v>
      </c>
      <c r="DO126" s="34">
        <v>60612</v>
      </c>
      <c r="DP126" s="173">
        <v>2606</v>
      </c>
      <c r="DQ126" s="34">
        <v>4713</v>
      </c>
      <c r="DR126" s="173">
        <v>7850</v>
      </c>
      <c r="DS126" s="173">
        <v>-13326</v>
      </c>
      <c r="DT126">
        <v>5474</v>
      </c>
      <c r="DU126">
        <v>84102</v>
      </c>
      <c r="DV126" s="173">
        <v>113087</v>
      </c>
      <c r="DW126" s="173">
        <v>2376</v>
      </c>
      <c r="DX126" s="173">
        <v>8956</v>
      </c>
      <c r="DY126" s="57">
        <v>21.5</v>
      </c>
      <c r="DZ126" s="184">
        <v>230</v>
      </c>
      <c r="EA126" s="116">
        <v>18927</v>
      </c>
      <c r="EB126" s="48">
        <v>66130</v>
      </c>
      <c r="EC126" s="46">
        <v>36587</v>
      </c>
      <c r="ED126" s="90">
        <v>13673</v>
      </c>
      <c r="EE126" s="186">
        <v>1251</v>
      </c>
      <c r="EF126" s="46">
        <v>58865</v>
      </c>
      <c r="EG126" s="130">
        <v>2511</v>
      </c>
      <c r="EH126" s="46">
        <v>4754</v>
      </c>
      <c r="EI126" s="130">
        <v>1799</v>
      </c>
      <c r="EJ126" s="48">
        <v>-6304</v>
      </c>
      <c r="EK126" s="44">
        <v>5814</v>
      </c>
      <c r="EL126" s="44">
        <v>88091</v>
      </c>
      <c r="EM126" s="130">
        <v>115842</v>
      </c>
      <c r="EN126" s="117">
        <v>-4015</v>
      </c>
      <c r="EO126" s="117">
        <v>4941</v>
      </c>
      <c r="EP126" s="129">
        <v>21.5</v>
      </c>
    </row>
    <row r="127" spans="1:146" ht="15" x14ac:dyDescent="0.25">
      <c r="A127" s="27">
        <v>416</v>
      </c>
      <c r="B127" s="27" t="s">
        <v>255</v>
      </c>
      <c r="C127" s="27">
        <v>9</v>
      </c>
      <c r="D127" s="27" t="s">
        <v>105</v>
      </c>
      <c r="E127" s="27">
        <v>2</v>
      </c>
      <c r="F127" s="27" t="s">
        <v>744</v>
      </c>
      <c r="G127" s="29" t="s">
        <v>130</v>
      </c>
      <c r="H127" s="27" t="s">
        <v>98</v>
      </c>
      <c r="I127" s="31" t="s">
        <v>105</v>
      </c>
      <c r="J127" s="118">
        <v>542.2378749119116</v>
      </c>
      <c r="K127" s="118">
        <v>715.13506331434485</v>
      </c>
      <c r="L127" s="118">
        <v>285.07853535226121</v>
      </c>
      <c r="M127" s="118">
        <v>512.30042400176262</v>
      </c>
      <c r="N127" s="22">
        <v>1154</v>
      </c>
      <c r="O127" s="119">
        <v>967</v>
      </c>
      <c r="P127" s="119">
        <v>1194</v>
      </c>
      <c r="Q127" s="120">
        <v>667</v>
      </c>
      <c r="R127" s="22">
        <v>-87</v>
      </c>
      <c r="S127" s="22">
        <v>-237</v>
      </c>
      <c r="T127" s="121">
        <v>604</v>
      </c>
      <c r="U127" s="121">
        <v>896</v>
      </c>
      <c r="V127" s="121">
        <v>689</v>
      </c>
      <c r="W127" s="106">
        <v>491</v>
      </c>
      <c r="X127" s="121">
        <v>-258</v>
      </c>
      <c r="Y127" s="121">
        <v>-106</v>
      </c>
      <c r="Z127" s="121">
        <v>-187</v>
      </c>
      <c r="AA127" s="121">
        <v>-127</v>
      </c>
      <c r="AB127" s="122">
        <v>17</v>
      </c>
      <c r="AC127" s="123">
        <v>17</v>
      </c>
      <c r="AD127" s="124">
        <v>17</v>
      </c>
      <c r="AE127" s="125">
        <v>17</v>
      </c>
      <c r="AF127" s="126">
        <v>17</v>
      </c>
      <c r="AG127" s="123">
        <v>17</v>
      </c>
      <c r="AH127" s="123">
        <v>17.5</v>
      </c>
      <c r="AI127" s="127">
        <v>17.5</v>
      </c>
      <c r="AJ127" s="127">
        <v>17.5</v>
      </c>
      <c r="AK127" s="22">
        <v>18.5</v>
      </c>
      <c r="AL127" s="128">
        <v>19</v>
      </c>
      <c r="AM127" s="128">
        <v>19</v>
      </c>
      <c r="AN127" s="128">
        <v>19.5</v>
      </c>
      <c r="AO127" s="77">
        <v>19.5</v>
      </c>
      <c r="AP127" s="77">
        <v>19.5</v>
      </c>
      <c r="AQ127" s="129">
        <v>20</v>
      </c>
      <c r="AR127" s="129">
        <v>21</v>
      </c>
      <c r="AS127" s="129">
        <v>21</v>
      </c>
      <c r="AT127" s="116">
        <v>3130</v>
      </c>
      <c r="AU127" s="47">
        <v>2603</v>
      </c>
      <c r="AV127" s="47">
        <v>16337</v>
      </c>
      <c r="AW127" s="46">
        <v>9134</v>
      </c>
      <c r="AX127" s="46">
        <v>5567</v>
      </c>
      <c r="AY127" s="92">
        <v>22</v>
      </c>
      <c r="AZ127" s="47">
        <v>915</v>
      </c>
      <c r="BA127" s="44">
        <v>782</v>
      </c>
      <c r="BB127" s="23">
        <v>-1828</v>
      </c>
      <c r="BC127" s="47">
        <v>133</v>
      </c>
      <c r="BD127" s="44">
        <v>152</v>
      </c>
      <c r="BE127" s="47">
        <v>-106</v>
      </c>
      <c r="BF127" s="44">
        <v>9134</v>
      </c>
      <c r="BG127" s="46">
        <v>8240</v>
      </c>
      <c r="BH127" s="130">
        <v>338</v>
      </c>
      <c r="BI127" s="46">
        <v>556</v>
      </c>
      <c r="BJ127" s="129">
        <v>20</v>
      </c>
      <c r="BK127" s="44">
        <v>3668</v>
      </c>
      <c r="BL127" s="116">
        <v>3116</v>
      </c>
      <c r="BM127" s="47">
        <v>2216</v>
      </c>
      <c r="BN127" s="130">
        <v>16932</v>
      </c>
      <c r="BO127" s="46">
        <v>10257</v>
      </c>
      <c r="BP127" s="46">
        <v>5706</v>
      </c>
      <c r="BQ127" s="46">
        <v>4</v>
      </c>
      <c r="BR127" s="130">
        <v>1168</v>
      </c>
      <c r="BS127" s="44">
        <v>2313</v>
      </c>
      <c r="BT127" s="92">
        <v>-979</v>
      </c>
      <c r="BU127" s="117">
        <v>-821</v>
      </c>
      <c r="BV127" s="130">
        <v>-187</v>
      </c>
      <c r="BW127" s="48">
        <v>10257</v>
      </c>
      <c r="BX127" s="46">
        <v>9124</v>
      </c>
      <c r="BY127" s="130">
        <v>417</v>
      </c>
      <c r="BZ127" s="46">
        <v>716</v>
      </c>
      <c r="CA127" s="129">
        <v>21</v>
      </c>
      <c r="CB127" s="44">
        <v>4058</v>
      </c>
      <c r="CC127" s="116">
        <v>3073</v>
      </c>
      <c r="CD127" s="47">
        <v>1918</v>
      </c>
      <c r="CE127" s="130">
        <v>17475</v>
      </c>
      <c r="CF127" s="46">
        <v>10385</v>
      </c>
      <c r="CG127" s="46">
        <v>5883</v>
      </c>
      <c r="CH127" s="46">
        <v>4</v>
      </c>
      <c r="CI127" s="130">
        <v>642</v>
      </c>
      <c r="CJ127" s="44">
        <v>630</v>
      </c>
      <c r="CK127" s="117">
        <v>-663</v>
      </c>
      <c r="CL127" s="117">
        <v>12</v>
      </c>
      <c r="CM127" s="117">
        <v>-127</v>
      </c>
      <c r="CN127" s="48">
        <v>10385</v>
      </c>
      <c r="CO127" s="46">
        <v>9088</v>
      </c>
      <c r="CP127" s="130">
        <v>513</v>
      </c>
      <c r="CQ127" s="46">
        <v>784</v>
      </c>
      <c r="CR127" s="129">
        <v>21</v>
      </c>
      <c r="CS127" s="44">
        <v>4247</v>
      </c>
      <c r="CT127">
        <v>3076</v>
      </c>
      <c r="CU127">
        <v>10878</v>
      </c>
      <c r="CV127">
        <v>6190</v>
      </c>
      <c r="CW127">
        <v>1902</v>
      </c>
      <c r="CX127">
        <v>13</v>
      </c>
      <c r="CY127">
        <v>9579</v>
      </c>
      <c r="CZ127">
        <v>486</v>
      </c>
      <c r="DA127">
        <v>813</v>
      </c>
      <c r="DB127">
        <v>893</v>
      </c>
      <c r="DC127">
        <v>-1031</v>
      </c>
      <c r="DD127">
        <v>597</v>
      </c>
      <c r="DE127">
        <v>4117</v>
      </c>
      <c r="DF127">
        <v>18026</v>
      </c>
      <c r="DG127">
        <v>296</v>
      </c>
      <c r="DH127">
        <v>169</v>
      </c>
      <c r="DI127">
        <v>21</v>
      </c>
      <c r="DJ127" s="174">
        <v>3063</v>
      </c>
      <c r="DK127" s="34">
        <v>10577</v>
      </c>
      <c r="DL127" s="34">
        <v>6011</v>
      </c>
      <c r="DM127">
        <v>1773</v>
      </c>
      <c r="DN127" s="173">
        <v>-11</v>
      </c>
      <c r="DO127" s="34">
        <v>9242</v>
      </c>
      <c r="DP127" s="173">
        <v>520</v>
      </c>
      <c r="DQ127" s="34">
        <v>815</v>
      </c>
      <c r="DR127" s="173">
        <v>30</v>
      </c>
      <c r="DS127" s="173">
        <v>-1086</v>
      </c>
      <c r="DT127">
        <v>634</v>
      </c>
      <c r="DU127">
        <v>4587</v>
      </c>
      <c r="DV127" s="173">
        <v>18320</v>
      </c>
      <c r="DW127" s="173">
        <v>-604</v>
      </c>
      <c r="DX127" s="173">
        <v>-436</v>
      </c>
      <c r="DY127" s="57">
        <v>21</v>
      </c>
      <c r="DZ127" s="184">
        <v>330</v>
      </c>
      <c r="EA127" s="116">
        <v>3043</v>
      </c>
      <c r="EB127" s="48">
        <v>10283</v>
      </c>
      <c r="EC127" s="46">
        <v>6230</v>
      </c>
      <c r="ED127" s="90">
        <v>1704</v>
      </c>
      <c r="EE127" s="186">
        <v>-10</v>
      </c>
      <c r="EF127" s="46">
        <v>9046</v>
      </c>
      <c r="EG127" s="130">
        <v>421</v>
      </c>
      <c r="EH127" s="46">
        <v>816</v>
      </c>
      <c r="EI127" s="130">
        <v>-1110</v>
      </c>
      <c r="EJ127" s="48">
        <v>-1216</v>
      </c>
      <c r="EK127" s="44">
        <v>660</v>
      </c>
      <c r="EL127" s="44">
        <v>5476</v>
      </c>
      <c r="EM127" s="130">
        <v>19317</v>
      </c>
      <c r="EN127" s="117">
        <v>-1770</v>
      </c>
      <c r="EO127" s="117">
        <v>-2206</v>
      </c>
      <c r="EP127" s="129">
        <v>21</v>
      </c>
    </row>
    <row r="128" spans="1:146" ht="15" x14ac:dyDescent="0.25">
      <c r="A128" s="27">
        <v>418</v>
      </c>
      <c r="B128" s="27" t="s">
        <v>256</v>
      </c>
      <c r="C128" s="27">
        <v>6</v>
      </c>
      <c r="D128" s="27" t="s">
        <v>114</v>
      </c>
      <c r="E128" s="27">
        <v>5</v>
      </c>
      <c r="F128" s="27" t="s">
        <v>101</v>
      </c>
      <c r="G128" s="29" t="s">
        <v>141</v>
      </c>
      <c r="H128" s="27" t="s">
        <v>97</v>
      </c>
      <c r="I128" s="31" t="s">
        <v>114</v>
      </c>
      <c r="J128" s="118">
        <v>1573.3980520474356</v>
      </c>
      <c r="K128" s="118">
        <v>2780.4828002617005</v>
      </c>
      <c r="L128" s="118">
        <v>1130.8956175272001</v>
      </c>
      <c r="M128" s="118">
        <v>414.07867494824006</v>
      </c>
      <c r="N128" s="22">
        <v>4842</v>
      </c>
      <c r="O128" s="119">
        <v>7487</v>
      </c>
      <c r="P128" s="119">
        <v>11752</v>
      </c>
      <c r="Q128" s="120">
        <v>12680</v>
      </c>
      <c r="R128" s="22">
        <v>14519</v>
      </c>
      <c r="S128" s="22">
        <v>13456</v>
      </c>
      <c r="T128" s="121">
        <v>14767</v>
      </c>
      <c r="U128" s="121">
        <v>12612</v>
      </c>
      <c r="V128" s="121">
        <v>16979</v>
      </c>
      <c r="W128" s="106">
        <v>18442</v>
      </c>
      <c r="X128" s="121">
        <v>17341</v>
      </c>
      <c r="Y128" s="121">
        <v>22558</v>
      </c>
      <c r="Z128" s="121">
        <v>17965</v>
      </c>
      <c r="AA128" s="121">
        <v>13156</v>
      </c>
      <c r="AB128" s="122">
        <v>17.25</v>
      </c>
      <c r="AC128" s="123">
        <v>17.5</v>
      </c>
      <c r="AD128" s="124">
        <v>17.5</v>
      </c>
      <c r="AE128" s="125">
        <v>17.5</v>
      </c>
      <c r="AF128" s="126">
        <v>18</v>
      </c>
      <c r="AG128" s="123">
        <v>18</v>
      </c>
      <c r="AH128" s="123">
        <v>18</v>
      </c>
      <c r="AI128" s="127">
        <v>18</v>
      </c>
      <c r="AJ128" s="127">
        <v>18.5</v>
      </c>
      <c r="AK128" s="22">
        <v>18.5</v>
      </c>
      <c r="AL128" s="128">
        <v>19</v>
      </c>
      <c r="AM128" s="128">
        <v>19</v>
      </c>
      <c r="AN128" s="128">
        <v>20</v>
      </c>
      <c r="AO128" s="77">
        <v>20</v>
      </c>
      <c r="AP128" s="77">
        <v>20</v>
      </c>
      <c r="AQ128" s="129">
        <v>20.5</v>
      </c>
      <c r="AR128" s="129">
        <v>20.5</v>
      </c>
      <c r="AS128" s="129">
        <v>20.5</v>
      </c>
      <c r="AT128" s="116">
        <v>21829</v>
      </c>
      <c r="AU128" s="47">
        <v>23771</v>
      </c>
      <c r="AV128" s="47">
        <v>124750</v>
      </c>
      <c r="AW128" s="46">
        <v>85735</v>
      </c>
      <c r="AX128" s="46">
        <v>24830</v>
      </c>
      <c r="AY128" s="92">
        <v>4453</v>
      </c>
      <c r="AZ128" s="47">
        <v>8784</v>
      </c>
      <c r="BA128" s="44">
        <v>7870</v>
      </c>
      <c r="BB128" s="23">
        <v>-18389</v>
      </c>
      <c r="BC128" s="47">
        <v>5083</v>
      </c>
      <c r="BD128" s="44">
        <v>5218</v>
      </c>
      <c r="BE128" s="47">
        <v>22558</v>
      </c>
      <c r="BF128" s="44">
        <v>85735</v>
      </c>
      <c r="BG128" s="46">
        <v>78287</v>
      </c>
      <c r="BH128" s="130">
        <v>3040</v>
      </c>
      <c r="BI128" s="46">
        <v>4408</v>
      </c>
      <c r="BJ128" s="129">
        <v>20.5</v>
      </c>
      <c r="BK128" s="44">
        <v>53771</v>
      </c>
      <c r="BL128" s="116">
        <v>22233</v>
      </c>
      <c r="BM128" s="47">
        <v>24054</v>
      </c>
      <c r="BN128" s="130">
        <v>129538</v>
      </c>
      <c r="BO128" s="46">
        <v>85399</v>
      </c>
      <c r="BP128" s="46">
        <v>25342</v>
      </c>
      <c r="BQ128" s="46">
        <v>197</v>
      </c>
      <c r="BR128" s="130">
        <v>4358</v>
      </c>
      <c r="BS128" s="44">
        <v>9081</v>
      </c>
      <c r="BT128" s="92">
        <v>-20981</v>
      </c>
      <c r="BU128" s="117">
        <v>-4593</v>
      </c>
      <c r="BV128" s="130">
        <v>17965</v>
      </c>
      <c r="BW128" s="48">
        <v>85399</v>
      </c>
      <c r="BX128" s="46">
        <v>77088</v>
      </c>
      <c r="BY128" s="130">
        <v>3339</v>
      </c>
      <c r="BZ128" s="46">
        <v>4972</v>
      </c>
      <c r="CA128" s="129">
        <v>20.5</v>
      </c>
      <c r="CB128" s="44">
        <v>65952</v>
      </c>
      <c r="CC128" s="116">
        <v>22536</v>
      </c>
      <c r="CD128" s="47">
        <v>25421</v>
      </c>
      <c r="CE128" s="130">
        <v>133313</v>
      </c>
      <c r="CF128" s="46">
        <v>88548</v>
      </c>
      <c r="CG128" s="46">
        <v>24937</v>
      </c>
      <c r="CH128" s="46">
        <v>365</v>
      </c>
      <c r="CI128" s="130">
        <v>5350</v>
      </c>
      <c r="CJ128" s="44">
        <v>10285</v>
      </c>
      <c r="CK128" s="117">
        <v>-16711</v>
      </c>
      <c r="CL128" s="117">
        <v>-4810</v>
      </c>
      <c r="CM128" s="117">
        <v>13156</v>
      </c>
      <c r="CN128" s="48">
        <v>88548</v>
      </c>
      <c r="CO128" s="46">
        <v>79515</v>
      </c>
      <c r="CP128" s="130">
        <v>3812</v>
      </c>
      <c r="CQ128" s="46">
        <v>5221</v>
      </c>
      <c r="CR128" s="129">
        <v>20.5</v>
      </c>
      <c r="CS128" s="44">
        <v>78146</v>
      </c>
      <c r="CT128">
        <v>22745</v>
      </c>
      <c r="CU128">
        <v>92952</v>
      </c>
      <c r="CV128">
        <v>26429</v>
      </c>
      <c r="CW128">
        <v>26640</v>
      </c>
      <c r="CX128">
        <v>193</v>
      </c>
      <c r="CY128">
        <v>83808</v>
      </c>
      <c r="CZ128">
        <v>3901</v>
      </c>
      <c r="DA128">
        <v>5243</v>
      </c>
      <c r="DB128">
        <v>13462</v>
      </c>
      <c r="DC128">
        <v>-5923</v>
      </c>
      <c r="DD128">
        <v>11523</v>
      </c>
      <c r="DE128">
        <v>73892</v>
      </c>
      <c r="DF128">
        <v>132229</v>
      </c>
      <c r="DG128">
        <v>2042</v>
      </c>
      <c r="DH128">
        <v>15198</v>
      </c>
      <c r="DI128">
        <v>20.5</v>
      </c>
      <c r="DJ128" s="174">
        <v>22829</v>
      </c>
      <c r="DK128" s="34">
        <v>93965</v>
      </c>
      <c r="DL128" s="34">
        <v>23179</v>
      </c>
      <c r="DM128">
        <v>26535</v>
      </c>
      <c r="DN128" s="173">
        <v>253</v>
      </c>
      <c r="DO128" s="34">
        <v>83968</v>
      </c>
      <c r="DP128" s="173">
        <v>4684</v>
      </c>
      <c r="DQ128" s="34">
        <v>5313</v>
      </c>
      <c r="DR128" s="173">
        <v>14539</v>
      </c>
      <c r="DS128" s="173">
        <v>-6531</v>
      </c>
      <c r="DT128">
        <v>11440</v>
      </c>
      <c r="DU128">
        <v>69990</v>
      </c>
      <c r="DV128" s="173">
        <v>129393</v>
      </c>
      <c r="DW128" s="173">
        <v>1075</v>
      </c>
      <c r="DX128" s="173">
        <v>16273</v>
      </c>
      <c r="DY128" s="57">
        <v>20.5</v>
      </c>
      <c r="DZ128" s="184">
        <v>110</v>
      </c>
      <c r="EA128" s="116">
        <v>23206</v>
      </c>
      <c r="EB128" s="48">
        <v>91950</v>
      </c>
      <c r="EC128" s="46">
        <v>22293</v>
      </c>
      <c r="ED128" s="90">
        <v>26532</v>
      </c>
      <c r="EE128" s="186">
        <v>264</v>
      </c>
      <c r="EF128" s="46">
        <v>82103</v>
      </c>
      <c r="EG128" s="130">
        <v>4275</v>
      </c>
      <c r="EH128" s="46">
        <v>5572</v>
      </c>
      <c r="EI128" s="130">
        <v>6174</v>
      </c>
      <c r="EJ128" s="48">
        <v>-14413</v>
      </c>
      <c r="EK128" s="44">
        <v>10740</v>
      </c>
      <c r="EL128" s="44">
        <v>75113</v>
      </c>
      <c r="EM128" s="130">
        <v>134865</v>
      </c>
      <c r="EN128" s="117">
        <v>-4452</v>
      </c>
      <c r="EO128" s="117">
        <v>11820</v>
      </c>
      <c r="EP128" s="129">
        <v>20.5</v>
      </c>
    </row>
    <row r="129" spans="1:146" ht="15" x14ac:dyDescent="0.25">
      <c r="A129" s="27">
        <v>420</v>
      </c>
      <c r="B129" s="27" t="s">
        <v>257</v>
      </c>
      <c r="C129" s="27">
        <v>11</v>
      </c>
      <c r="D129" s="27" t="s">
        <v>118</v>
      </c>
      <c r="E129" s="27">
        <v>3</v>
      </c>
      <c r="F129" s="27" t="s">
        <v>743</v>
      </c>
      <c r="G129" s="29" t="s">
        <v>130</v>
      </c>
      <c r="H129" s="27" t="s">
        <v>98</v>
      </c>
      <c r="I129" s="31" t="s">
        <v>118</v>
      </c>
      <c r="J129" s="118">
        <v>4849.0261078118247</v>
      </c>
      <c r="K129" s="118">
        <v>8875.1086914474763</v>
      </c>
      <c r="L129" s="118">
        <v>6750.0542406062832</v>
      </c>
      <c r="M129" s="118">
        <v>5626.0543280640049</v>
      </c>
      <c r="N129" s="22">
        <v>6964</v>
      </c>
      <c r="O129" s="119">
        <v>6131</v>
      </c>
      <c r="P129" s="119">
        <v>6283</v>
      </c>
      <c r="Q129" s="120">
        <v>5920</v>
      </c>
      <c r="R129" s="22">
        <v>5021</v>
      </c>
      <c r="S129" s="22">
        <v>5660</v>
      </c>
      <c r="T129" s="121">
        <v>6622</v>
      </c>
      <c r="U129" s="121">
        <v>7308</v>
      </c>
      <c r="V129" s="121">
        <v>7378</v>
      </c>
      <c r="W129" s="106">
        <v>7429</v>
      </c>
      <c r="X129" s="121">
        <v>4888</v>
      </c>
      <c r="Y129" s="121">
        <v>5067</v>
      </c>
      <c r="Z129" s="121">
        <v>5166</v>
      </c>
      <c r="AA129" s="121">
        <v>5330</v>
      </c>
      <c r="AB129" s="122">
        <v>17</v>
      </c>
      <c r="AC129" s="123">
        <v>17</v>
      </c>
      <c r="AD129" s="124">
        <v>17</v>
      </c>
      <c r="AE129" s="125">
        <v>17</v>
      </c>
      <c r="AF129" s="126">
        <v>17.5</v>
      </c>
      <c r="AG129" s="123">
        <v>17.5</v>
      </c>
      <c r="AH129" s="123">
        <v>17.5</v>
      </c>
      <c r="AI129" s="127">
        <v>18.5</v>
      </c>
      <c r="AJ129" s="127">
        <v>18.5</v>
      </c>
      <c r="AK129" s="22">
        <v>18.5</v>
      </c>
      <c r="AL129" s="128">
        <v>18.5</v>
      </c>
      <c r="AM129" s="128">
        <v>18.5</v>
      </c>
      <c r="AN129" s="128">
        <v>19</v>
      </c>
      <c r="AO129" s="77">
        <v>19</v>
      </c>
      <c r="AP129" s="77">
        <v>19</v>
      </c>
      <c r="AQ129" s="129">
        <v>20</v>
      </c>
      <c r="AR129" s="129">
        <v>20</v>
      </c>
      <c r="AS129" s="129">
        <v>20</v>
      </c>
      <c r="AT129" s="116">
        <v>10170</v>
      </c>
      <c r="AU129" s="47">
        <v>10150</v>
      </c>
      <c r="AV129" s="47">
        <v>61250</v>
      </c>
      <c r="AW129" s="46">
        <v>32282</v>
      </c>
      <c r="AX129" s="46">
        <v>24417</v>
      </c>
      <c r="AY129" s="92">
        <v>786</v>
      </c>
      <c r="AZ129" s="47">
        <v>6279</v>
      </c>
      <c r="BA129" s="44">
        <v>3581</v>
      </c>
      <c r="BB129" s="23">
        <v>-6042</v>
      </c>
      <c r="BC129" s="47">
        <v>2698</v>
      </c>
      <c r="BD129" s="44">
        <v>180</v>
      </c>
      <c r="BE129" s="47">
        <v>5067</v>
      </c>
      <c r="BF129" s="44">
        <v>32282</v>
      </c>
      <c r="BG129" s="46">
        <v>29060</v>
      </c>
      <c r="BH129" s="130">
        <v>1641</v>
      </c>
      <c r="BI129" s="46">
        <v>1581</v>
      </c>
      <c r="BJ129" s="129">
        <v>20</v>
      </c>
      <c r="BK129" s="44">
        <v>10810</v>
      </c>
      <c r="BL129" s="116">
        <v>10015</v>
      </c>
      <c r="BM129" s="47">
        <v>9685</v>
      </c>
      <c r="BN129" s="130">
        <v>62416</v>
      </c>
      <c r="BO129" s="46">
        <v>32473</v>
      </c>
      <c r="BP129" s="46">
        <v>24755</v>
      </c>
      <c r="BQ129" s="46">
        <v>686</v>
      </c>
      <c r="BR129" s="130">
        <v>5015</v>
      </c>
      <c r="BS129" s="44">
        <v>3708</v>
      </c>
      <c r="BT129" s="92">
        <v>-4051</v>
      </c>
      <c r="BU129" s="117">
        <v>98</v>
      </c>
      <c r="BV129" s="130">
        <v>5166</v>
      </c>
      <c r="BW129" s="48">
        <v>32473</v>
      </c>
      <c r="BX129" s="46">
        <v>28235</v>
      </c>
      <c r="BY129" s="130">
        <v>2018</v>
      </c>
      <c r="BZ129" s="46">
        <v>2220</v>
      </c>
      <c r="CA129" s="129">
        <v>20</v>
      </c>
      <c r="CB129" s="44">
        <v>9287</v>
      </c>
      <c r="CC129" s="116">
        <v>9953</v>
      </c>
      <c r="CD129" s="47">
        <v>10112</v>
      </c>
      <c r="CE129" s="130">
        <v>63405</v>
      </c>
      <c r="CF129" s="46">
        <v>33098</v>
      </c>
      <c r="CG129" s="46">
        <v>25103</v>
      </c>
      <c r="CH129" s="46">
        <v>1134</v>
      </c>
      <c r="CI129" s="130">
        <v>5416</v>
      </c>
      <c r="CJ129" s="44">
        <v>4235</v>
      </c>
      <c r="CK129" s="117">
        <v>-2175</v>
      </c>
      <c r="CL129" s="117">
        <v>165</v>
      </c>
      <c r="CM129" s="117">
        <v>5330</v>
      </c>
      <c r="CN129" s="48">
        <v>33098</v>
      </c>
      <c r="CO129" s="46">
        <v>28481</v>
      </c>
      <c r="CP129" s="130">
        <v>2342</v>
      </c>
      <c r="CQ129" s="46">
        <v>2275</v>
      </c>
      <c r="CR129" s="129">
        <v>20</v>
      </c>
      <c r="CS129" s="44">
        <v>7975</v>
      </c>
      <c r="CT129">
        <v>9865</v>
      </c>
      <c r="CU129">
        <v>33187</v>
      </c>
      <c r="CV129">
        <v>25992</v>
      </c>
      <c r="CW129">
        <v>9946</v>
      </c>
      <c r="CX129">
        <v>362</v>
      </c>
      <c r="CY129">
        <v>28524</v>
      </c>
      <c r="CZ129">
        <v>2317</v>
      </c>
      <c r="DA129">
        <v>2346</v>
      </c>
      <c r="DB129">
        <v>4417</v>
      </c>
      <c r="DC129">
        <v>-2806</v>
      </c>
      <c r="DD129">
        <v>4407</v>
      </c>
      <c r="DE129">
        <v>6662</v>
      </c>
      <c r="DF129">
        <v>64972</v>
      </c>
      <c r="DG129">
        <v>93</v>
      </c>
      <c r="DH129">
        <v>5397</v>
      </c>
      <c r="DI129">
        <v>20</v>
      </c>
      <c r="DJ129" s="174">
        <v>9782</v>
      </c>
      <c r="DK129" s="34">
        <v>33198</v>
      </c>
      <c r="DL129" s="34">
        <v>25146</v>
      </c>
      <c r="DM129">
        <v>9677</v>
      </c>
      <c r="DN129" s="173">
        <v>622</v>
      </c>
      <c r="DO129" s="34">
        <v>27957</v>
      </c>
      <c r="DP129" s="173">
        <v>2821</v>
      </c>
      <c r="DQ129" s="34">
        <v>2420</v>
      </c>
      <c r="DR129" s="173">
        <v>4801</v>
      </c>
      <c r="DS129" s="173">
        <v>-8506</v>
      </c>
      <c r="DT129">
        <v>4796</v>
      </c>
      <c r="DU129">
        <v>8036</v>
      </c>
      <c r="DV129" s="173">
        <v>63842</v>
      </c>
      <c r="DW129" s="173">
        <v>137</v>
      </c>
      <c r="DX129" s="173">
        <v>5535</v>
      </c>
      <c r="DY129" s="57">
        <v>20</v>
      </c>
      <c r="DZ129" s="184">
        <v>340</v>
      </c>
      <c r="EA129" s="116">
        <v>9650</v>
      </c>
      <c r="EB129" s="48">
        <v>34685</v>
      </c>
      <c r="EC129" s="46">
        <v>24798</v>
      </c>
      <c r="ED129" s="90">
        <v>9432</v>
      </c>
      <c r="EE129" s="186">
        <v>523</v>
      </c>
      <c r="EF129" s="46">
        <v>29588</v>
      </c>
      <c r="EG129" s="130">
        <v>2598</v>
      </c>
      <c r="EH129" s="46">
        <v>2499</v>
      </c>
      <c r="EI129" s="130">
        <v>1946</v>
      </c>
      <c r="EJ129" s="48">
        <v>-6055</v>
      </c>
      <c r="EK129" s="44">
        <v>3414</v>
      </c>
      <c r="EL129" s="44">
        <v>8565</v>
      </c>
      <c r="EM129" s="130">
        <v>67492</v>
      </c>
      <c r="EN129" s="117">
        <v>-1359</v>
      </c>
      <c r="EO129" s="117">
        <v>4175</v>
      </c>
      <c r="EP129" s="129">
        <v>21</v>
      </c>
    </row>
    <row r="130" spans="1:146" ht="15" x14ac:dyDescent="0.25">
      <c r="A130" s="27">
        <v>421</v>
      </c>
      <c r="B130" s="27" t="s">
        <v>258</v>
      </c>
      <c r="C130" s="27">
        <v>16</v>
      </c>
      <c r="D130" s="27" t="s">
        <v>110</v>
      </c>
      <c r="E130" s="27">
        <v>1</v>
      </c>
      <c r="F130" s="27" t="s">
        <v>103</v>
      </c>
      <c r="G130" s="29" t="s">
        <v>130</v>
      </c>
      <c r="H130" s="27" t="s">
        <v>98</v>
      </c>
      <c r="I130" s="31" t="s">
        <v>110</v>
      </c>
      <c r="J130" s="118">
        <v>938.99319343461605</v>
      </c>
      <c r="K130" s="118">
        <v>506.2456586491482</v>
      </c>
      <c r="L130" s="118">
        <v>144.47342883043797</v>
      </c>
      <c r="M130" s="118">
        <v>323.92994636487026</v>
      </c>
      <c r="N130" s="22">
        <v>408</v>
      </c>
      <c r="O130" s="119">
        <v>493</v>
      </c>
      <c r="P130" s="119">
        <v>528</v>
      </c>
      <c r="Q130" s="120">
        <v>652</v>
      </c>
      <c r="R130" s="22">
        <v>762</v>
      </c>
      <c r="S130" s="22">
        <v>1041</v>
      </c>
      <c r="T130" s="121">
        <v>1368</v>
      </c>
      <c r="U130" s="121">
        <v>1103</v>
      </c>
      <c r="V130" s="121">
        <v>1450</v>
      </c>
      <c r="W130" s="106">
        <v>1682</v>
      </c>
      <c r="X130" s="121">
        <v>1645</v>
      </c>
      <c r="Y130" s="121">
        <v>1571</v>
      </c>
      <c r="Z130" s="121">
        <v>1801</v>
      </c>
      <c r="AA130" s="121">
        <v>1952</v>
      </c>
      <c r="AB130" s="122">
        <v>19</v>
      </c>
      <c r="AC130" s="123">
        <v>19</v>
      </c>
      <c r="AD130" s="124">
        <v>19.5</v>
      </c>
      <c r="AE130" s="125">
        <v>19.5</v>
      </c>
      <c r="AF130" s="126">
        <v>19.5</v>
      </c>
      <c r="AG130" s="123">
        <v>19.5</v>
      </c>
      <c r="AH130" s="123">
        <v>19.5</v>
      </c>
      <c r="AI130" s="131">
        <v>19.5</v>
      </c>
      <c r="AJ130" s="131">
        <v>19.5</v>
      </c>
      <c r="AK130" s="22">
        <v>19.5</v>
      </c>
      <c r="AL130" s="128">
        <v>19.5</v>
      </c>
      <c r="AM130" s="128">
        <v>19.5</v>
      </c>
      <c r="AN130" s="128">
        <v>20</v>
      </c>
      <c r="AO130" s="77">
        <v>20</v>
      </c>
      <c r="AP130" s="77">
        <v>20</v>
      </c>
      <c r="AQ130" s="129">
        <v>20</v>
      </c>
      <c r="AR130" s="129">
        <v>20</v>
      </c>
      <c r="AS130" s="129">
        <v>20</v>
      </c>
      <c r="AT130" s="116">
        <v>818</v>
      </c>
      <c r="AU130" s="47">
        <v>1915</v>
      </c>
      <c r="AV130" s="47">
        <v>6934</v>
      </c>
      <c r="AW130" s="46">
        <v>2197</v>
      </c>
      <c r="AX130" s="46">
        <v>3066</v>
      </c>
      <c r="AY130" s="92">
        <v>12</v>
      </c>
      <c r="AZ130" s="47">
        <v>256</v>
      </c>
      <c r="BA130" s="44">
        <v>330</v>
      </c>
      <c r="BB130" s="23">
        <v>-180</v>
      </c>
      <c r="BC130" s="47">
        <v>-74</v>
      </c>
      <c r="BD130" s="44">
        <v>-74</v>
      </c>
      <c r="BE130" s="47">
        <v>1571</v>
      </c>
      <c r="BF130" s="44">
        <v>2197</v>
      </c>
      <c r="BG130" s="46">
        <v>1741</v>
      </c>
      <c r="BH130" s="130">
        <v>256</v>
      </c>
      <c r="BI130" s="46">
        <v>200</v>
      </c>
      <c r="BJ130" s="129">
        <v>20</v>
      </c>
      <c r="BK130" s="44">
        <v>1968</v>
      </c>
      <c r="BL130" s="116">
        <v>817</v>
      </c>
      <c r="BM130" s="47">
        <v>2058</v>
      </c>
      <c r="BN130" s="130">
        <v>7050</v>
      </c>
      <c r="BO130" s="46">
        <v>2283</v>
      </c>
      <c r="BP130" s="46">
        <v>3229</v>
      </c>
      <c r="BQ130" s="46">
        <v>7</v>
      </c>
      <c r="BR130" s="130">
        <v>492</v>
      </c>
      <c r="BS130" s="44">
        <v>267</v>
      </c>
      <c r="BT130" s="92">
        <v>-408</v>
      </c>
      <c r="BU130" s="117">
        <v>230</v>
      </c>
      <c r="BV130" s="130">
        <v>1801</v>
      </c>
      <c r="BW130" s="48">
        <v>2283</v>
      </c>
      <c r="BX130" s="46">
        <v>1781</v>
      </c>
      <c r="BY130" s="130">
        <v>288</v>
      </c>
      <c r="BZ130" s="46">
        <v>214</v>
      </c>
      <c r="CA130" s="129">
        <v>20</v>
      </c>
      <c r="CB130" s="44">
        <v>1869</v>
      </c>
      <c r="CC130" s="116">
        <v>798</v>
      </c>
      <c r="CD130" s="47">
        <v>1704</v>
      </c>
      <c r="CE130" s="130">
        <v>6850</v>
      </c>
      <c r="CF130" s="46">
        <v>2448</v>
      </c>
      <c r="CG130" s="46">
        <v>3150</v>
      </c>
      <c r="CH130" s="46">
        <v>0</v>
      </c>
      <c r="CI130" s="130">
        <v>435</v>
      </c>
      <c r="CJ130" s="44">
        <v>285</v>
      </c>
      <c r="CK130" s="117">
        <v>-41</v>
      </c>
      <c r="CL130" s="117">
        <v>150</v>
      </c>
      <c r="CM130" s="117">
        <v>1952</v>
      </c>
      <c r="CN130" s="48">
        <v>2448</v>
      </c>
      <c r="CO130" s="46">
        <v>1876</v>
      </c>
      <c r="CP130" s="130">
        <v>340</v>
      </c>
      <c r="CQ130" s="46">
        <v>232</v>
      </c>
      <c r="CR130" s="129">
        <v>20</v>
      </c>
      <c r="CS130" s="44">
        <v>1770</v>
      </c>
      <c r="CT130">
        <v>811</v>
      </c>
      <c r="CU130">
        <v>2256</v>
      </c>
      <c r="CV130">
        <v>3100</v>
      </c>
      <c r="CW130">
        <v>1957</v>
      </c>
      <c r="CX130">
        <v>5</v>
      </c>
      <c r="CY130">
        <v>1681</v>
      </c>
      <c r="CZ130">
        <v>330</v>
      </c>
      <c r="DA130">
        <v>245</v>
      </c>
      <c r="DB130">
        <v>47</v>
      </c>
      <c r="DC130">
        <v>-666</v>
      </c>
      <c r="DD130">
        <v>257</v>
      </c>
      <c r="DE130">
        <v>1767</v>
      </c>
      <c r="DF130">
        <v>7253</v>
      </c>
      <c r="DG130">
        <v>-210</v>
      </c>
      <c r="DH130">
        <v>1742</v>
      </c>
      <c r="DI130">
        <v>21</v>
      </c>
      <c r="DJ130" s="174">
        <v>789</v>
      </c>
      <c r="DK130" s="34">
        <v>2569</v>
      </c>
      <c r="DL130" s="34">
        <v>3011</v>
      </c>
      <c r="DM130">
        <v>1947</v>
      </c>
      <c r="DN130" s="173">
        <v>-17</v>
      </c>
      <c r="DO130" s="34">
        <v>1886</v>
      </c>
      <c r="DP130" s="173">
        <v>405</v>
      </c>
      <c r="DQ130" s="34">
        <v>278</v>
      </c>
      <c r="DR130" s="173">
        <v>176</v>
      </c>
      <c r="DS130" s="173">
        <v>-235</v>
      </c>
      <c r="DT130">
        <v>286</v>
      </c>
      <c r="DU130">
        <v>1838</v>
      </c>
      <c r="DV130" s="173">
        <v>7334</v>
      </c>
      <c r="DW130" s="173">
        <v>-110</v>
      </c>
      <c r="DX130" s="173">
        <v>1632</v>
      </c>
      <c r="DY130" s="57">
        <v>21</v>
      </c>
      <c r="DZ130" s="184">
        <v>340</v>
      </c>
      <c r="EA130" s="116">
        <v>737</v>
      </c>
      <c r="EB130" s="48">
        <v>2420</v>
      </c>
      <c r="EC130" s="46">
        <v>2965</v>
      </c>
      <c r="ED130" s="90">
        <v>1899</v>
      </c>
      <c r="EE130" s="186">
        <v>-23</v>
      </c>
      <c r="EF130" s="46">
        <v>1763</v>
      </c>
      <c r="EG130" s="130">
        <v>384</v>
      </c>
      <c r="EH130" s="46">
        <v>273</v>
      </c>
      <c r="EI130" s="130">
        <v>-255</v>
      </c>
      <c r="EJ130" s="48">
        <v>-300</v>
      </c>
      <c r="EK130" s="44">
        <v>309</v>
      </c>
      <c r="EL130" s="44">
        <v>1774</v>
      </c>
      <c r="EM130" s="130">
        <v>7516</v>
      </c>
      <c r="EN130" s="117">
        <v>-564</v>
      </c>
      <c r="EO130" s="117">
        <v>1068</v>
      </c>
      <c r="EP130" s="129">
        <v>21</v>
      </c>
    </row>
    <row r="131" spans="1:146" ht="15" x14ac:dyDescent="0.25">
      <c r="A131" s="27">
        <v>422</v>
      </c>
      <c r="B131" s="27" t="s">
        <v>259</v>
      </c>
      <c r="C131" s="27">
        <v>12</v>
      </c>
      <c r="D131" s="27" t="s">
        <v>116</v>
      </c>
      <c r="E131" s="27">
        <v>4</v>
      </c>
      <c r="F131" s="27" t="s">
        <v>100</v>
      </c>
      <c r="G131" s="29" t="s">
        <v>132</v>
      </c>
      <c r="H131" s="27" t="s">
        <v>99</v>
      </c>
      <c r="I131" s="27" t="s">
        <v>116</v>
      </c>
      <c r="J131" s="118">
        <v>395.40981511101245</v>
      </c>
      <c r="K131" s="118">
        <v>391.8778686553207</v>
      </c>
      <c r="L131" s="118">
        <v>-3751.4316997240035</v>
      </c>
      <c r="M131" s="118">
        <v>-6375.3315404500372</v>
      </c>
      <c r="N131" s="22">
        <v>-2941</v>
      </c>
      <c r="O131" s="119">
        <v>-1828</v>
      </c>
      <c r="P131" s="119">
        <v>-282</v>
      </c>
      <c r="Q131" s="120">
        <v>-928</v>
      </c>
      <c r="R131" s="22">
        <v>2364</v>
      </c>
      <c r="S131" s="22">
        <v>5213</v>
      </c>
      <c r="T131" s="121">
        <v>8954</v>
      </c>
      <c r="U131" s="121">
        <v>10505</v>
      </c>
      <c r="V131" s="121">
        <v>12582</v>
      </c>
      <c r="W131" s="106">
        <v>12664</v>
      </c>
      <c r="X131" s="121">
        <v>10029</v>
      </c>
      <c r="Y131" s="121">
        <v>8807</v>
      </c>
      <c r="Z131" s="121">
        <v>9630</v>
      </c>
      <c r="AA131" s="121">
        <v>10334</v>
      </c>
      <c r="AB131" s="122">
        <v>18.5</v>
      </c>
      <c r="AC131" s="123">
        <v>18.75</v>
      </c>
      <c r="AD131" s="124">
        <v>18.75</v>
      </c>
      <c r="AE131" s="125">
        <v>18.75</v>
      </c>
      <c r="AF131" s="126">
        <v>18.75</v>
      </c>
      <c r="AG131" s="123">
        <v>18.75</v>
      </c>
      <c r="AH131" s="123">
        <v>18.75</v>
      </c>
      <c r="AI131" s="127">
        <v>18.75</v>
      </c>
      <c r="AJ131" s="127">
        <v>19.5</v>
      </c>
      <c r="AK131" s="22">
        <v>19.5</v>
      </c>
      <c r="AL131" s="128">
        <v>19.5</v>
      </c>
      <c r="AM131" s="128">
        <v>19.5</v>
      </c>
      <c r="AN131" s="128">
        <v>19.5</v>
      </c>
      <c r="AO131" s="77">
        <v>19.5</v>
      </c>
      <c r="AP131" s="77">
        <v>20</v>
      </c>
      <c r="AQ131" s="129">
        <v>20</v>
      </c>
      <c r="AR131" s="129">
        <v>21</v>
      </c>
      <c r="AS131" s="129">
        <v>21</v>
      </c>
      <c r="AT131" s="116">
        <v>12303</v>
      </c>
      <c r="AU131" s="47">
        <v>16472</v>
      </c>
      <c r="AV131" s="47">
        <v>89841</v>
      </c>
      <c r="AW131" s="46">
        <v>37934</v>
      </c>
      <c r="AX131" s="46">
        <v>37369</v>
      </c>
      <c r="AY131" s="92">
        <v>547</v>
      </c>
      <c r="AZ131" s="47">
        <v>2243</v>
      </c>
      <c r="BA131" s="44">
        <v>3536</v>
      </c>
      <c r="BB131" s="23">
        <v>-2988</v>
      </c>
      <c r="BC131" s="47">
        <v>-1293</v>
      </c>
      <c r="BD131" s="44">
        <v>-1223</v>
      </c>
      <c r="BE131" s="47">
        <v>8807</v>
      </c>
      <c r="BF131" s="44">
        <v>37934</v>
      </c>
      <c r="BG131" s="46">
        <v>31616</v>
      </c>
      <c r="BH131" s="130">
        <v>3264</v>
      </c>
      <c r="BI131" s="46">
        <v>3054</v>
      </c>
      <c r="BJ131" s="129">
        <v>20</v>
      </c>
      <c r="BK131" s="44">
        <v>15907</v>
      </c>
      <c r="BL131" s="116">
        <v>12117</v>
      </c>
      <c r="BM131" s="47">
        <v>15923</v>
      </c>
      <c r="BN131" s="130">
        <v>87444</v>
      </c>
      <c r="BO131" s="46">
        <v>40739</v>
      </c>
      <c r="BP131" s="46">
        <v>39059</v>
      </c>
      <c r="BQ131" s="46">
        <v>579</v>
      </c>
      <c r="BR131" s="130">
        <v>8670</v>
      </c>
      <c r="BS131" s="44">
        <v>4947</v>
      </c>
      <c r="BT131" s="92">
        <v>-4725</v>
      </c>
      <c r="BU131" s="117">
        <v>823</v>
      </c>
      <c r="BV131" s="130">
        <v>9630</v>
      </c>
      <c r="BW131" s="48">
        <v>40739</v>
      </c>
      <c r="BX131" s="46">
        <v>33688</v>
      </c>
      <c r="BY131" s="130">
        <v>3787</v>
      </c>
      <c r="BZ131" s="46">
        <v>3264</v>
      </c>
      <c r="CA131" s="129">
        <v>21</v>
      </c>
      <c r="CB131" s="44">
        <v>18198</v>
      </c>
      <c r="CC131" s="116">
        <v>11772</v>
      </c>
      <c r="CD131" s="47">
        <v>14160</v>
      </c>
      <c r="CE131" s="130">
        <v>86760</v>
      </c>
      <c r="CF131" s="46">
        <v>40926</v>
      </c>
      <c r="CG131" s="46">
        <v>38474</v>
      </c>
      <c r="CH131" s="46">
        <v>1101</v>
      </c>
      <c r="CI131" s="130">
        <v>7306</v>
      </c>
      <c r="CJ131" s="44">
        <v>4696</v>
      </c>
      <c r="CK131" s="117">
        <v>-2386</v>
      </c>
      <c r="CL131" s="117">
        <v>704</v>
      </c>
      <c r="CM131" s="117">
        <v>10334</v>
      </c>
      <c r="CN131" s="48">
        <v>40926</v>
      </c>
      <c r="CO131" s="46">
        <v>33222</v>
      </c>
      <c r="CP131" s="130">
        <v>4422</v>
      </c>
      <c r="CQ131" s="46">
        <v>3282</v>
      </c>
      <c r="CR131" s="129">
        <v>21</v>
      </c>
      <c r="CS131" s="44">
        <v>15191</v>
      </c>
      <c r="CT131">
        <v>11580</v>
      </c>
      <c r="CU131">
        <v>39811</v>
      </c>
      <c r="CV131">
        <v>40039</v>
      </c>
      <c r="CW131">
        <v>13476</v>
      </c>
      <c r="CX131">
        <v>550</v>
      </c>
      <c r="CY131">
        <v>32192</v>
      </c>
      <c r="CZ131">
        <v>3316</v>
      </c>
      <c r="DA131">
        <v>4303</v>
      </c>
      <c r="DB131">
        <v>6153</v>
      </c>
      <c r="DC131">
        <v>-1874</v>
      </c>
      <c r="DD131">
        <v>4005</v>
      </c>
      <c r="DE131">
        <v>12744</v>
      </c>
      <c r="DF131">
        <v>87662</v>
      </c>
      <c r="DG131">
        <v>2243</v>
      </c>
      <c r="DH131">
        <v>12577</v>
      </c>
      <c r="DI131">
        <v>21</v>
      </c>
      <c r="DJ131" s="174">
        <v>11297</v>
      </c>
      <c r="DK131" s="34">
        <v>40630</v>
      </c>
      <c r="DL131" s="34">
        <v>38761</v>
      </c>
      <c r="DM131">
        <v>10454</v>
      </c>
      <c r="DN131" s="173">
        <v>1090</v>
      </c>
      <c r="DO131" s="34">
        <v>32294</v>
      </c>
      <c r="DP131" s="173">
        <v>5054</v>
      </c>
      <c r="DQ131" s="34">
        <v>3282</v>
      </c>
      <c r="DR131" s="173">
        <v>9334</v>
      </c>
      <c r="DS131" s="173">
        <v>-2241</v>
      </c>
      <c r="DT131">
        <v>5286</v>
      </c>
      <c r="DU131">
        <v>10423</v>
      </c>
      <c r="DV131" s="173">
        <v>81027</v>
      </c>
      <c r="DW131" s="173">
        <v>3716</v>
      </c>
      <c r="DX131" s="173">
        <v>16179</v>
      </c>
      <c r="DY131" s="57">
        <v>21</v>
      </c>
      <c r="DZ131" s="184">
        <v>240</v>
      </c>
      <c r="EA131" s="116">
        <v>11098</v>
      </c>
      <c r="EB131" s="48">
        <v>38545</v>
      </c>
      <c r="EC131" s="46">
        <v>37374</v>
      </c>
      <c r="ED131" s="90">
        <v>10453</v>
      </c>
      <c r="EE131" s="186">
        <v>547</v>
      </c>
      <c r="EF131" s="46">
        <v>30785</v>
      </c>
      <c r="EG131" s="130">
        <v>4483</v>
      </c>
      <c r="EH131" s="46">
        <v>3277</v>
      </c>
      <c r="EI131" s="130">
        <v>6025</v>
      </c>
      <c r="EJ131" s="48">
        <v>-2173</v>
      </c>
      <c r="EK131" s="44">
        <v>3421</v>
      </c>
      <c r="EL131" s="44">
        <v>8255</v>
      </c>
      <c r="EM131" s="130">
        <v>80894</v>
      </c>
      <c r="EN131" s="117">
        <v>1698</v>
      </c>
      <c r="EO131" s="117">
        <v>17878</v>
      </c>
      <c r="EP131" s="129">
        <v>21</v>
      </c>
    </row>
    <row r="132" spans="1:146" ht="15" x14ac:dyDescent="0.25">
      <c r="A132" s="27">
        <v>423</v>
      </c>
      <c r="B132" s="27" t="s">
        <v>260</v>
      </c>
      <c r="C132" s="27">
        <v>2</v>
      </c>
      <c r="D132" s="27" t="s">
        <v>122</v>
      </c>
      <c r="E132" s="27">
        <v>4</v>
      </c>
      <c r="F132" s="27" t="s">
        <v>100</v>
      </c>
      <c r="G132" s="29" t="s">
        <v>132</v>
      </c>
      <c r="H132" s="27" t="s">
        <v>99</v>
      </c>
      <c r="I132" s="28" t="s">
        <v>122</v>
      </c>
      <c r="J132" s="118">
        <v>-1454.8255638920705</v>
      </c>
      <c r="K132" s="118">
        <v>-4111.5220502780985</v>
      </c>
      <c r="L132" s="118">
        <v>434.93397782946755</v>
      </c>
      <c r="M132" s="118">
        <v>2865.0813272718401</v>
      </c>
      <c r="N132" s="22">
        <v>7527</v>
      </c>
      <c r="O132" s="119">
        <v>6903</v>
      </c>
      <c r="P132" s="119">
        <v>9422</v>
      </c>
      <c r="Q132" s="120">
        <v>7796</v>
      </c>
      <c r="R132" s="22">
        <v>6745</v>
      </c>
      <c r="S132" s="22">
        <v>8038</v>
      </c>
      <c r="T132" s="121">
        <v>7381</v>
      </c>
      <c r="U132" s="121">
        <v>7060</v>
      </c>
      <c r="V132" s="121">
        <v>6260</v>
      </c>
      <c r="W132" s="106">
        <v>5809</v>
      </c>
      <c r="X132" s="121">
        <v>3116</v>
      </c>
      <c r="Y132" s="121">
        <v>5345</v>
      </c>
      <c r="Z132" s="121">
        <v>4713</v>
      </c>
      <c r="AA132" s="121">
        <v>5224</v>
      </c>
      <c r="AB132" s="122">
        <v>17</v>
      </c>
      <c r="AC132" s="123">
        <v>17.75</v>
      </c>
      <c r="AD132" s="124">
        <v>17.75</v>
      </c>
      <c r="AE132" s="125">
        <v>17.75</v>
      </c>
      <c r="AF132" s="126">
        <v>17.75</v>
      </c>
      <c r="AG132" s="123">
        <v>17.75</v>
      </c>
      <c r="AH132" s="123">
        <v>17.75</v>
      </c>
      <c r="AI132" s="127">
        <v>17.75</v>
      </c>
      <c r="AJ132" s="127">
        <v>18.5</v>
      </c>
      <c r="AK132" s="22">
        <v>18.5</v>
      </c>
      <c r="AL132" s="128">
        <v>18.5</v>
      </c>
      <c r="AM132" s="128">
        <v>18.5</v>
      </c>
      <c r="AN132" s="128">
        <v>18.5</v>
      </c>
      <c r="AO132" s="77">
        <v>18.5</v>
      </c>
      <c r="AP132" s="77">
        <v>18.5</v>
      </c>
      <c r="AQ132" s="129">
        <v>18.5</v>
      </c>
      <c r="AR132" s="129">
        <v>19</v>
      </c>
      <c r="AS132" s="129">
        <v>19.5</v>
      </c>
      <c r="AT132" s="116">
        <v>19128</v>
      </c>
      <c r="AU132" s="47">
        <v>29374</v>
      </c>
      <c r="AV132" s="47">
        <v>115710</v>
      </c>
      <c r="AW132" s="46">
        <v>69395</v>
      </c>
      <c r="AX132" s="46">
        <v>22555</v>
      </c>
      <c r="AY132" s="92">
        <v>2073</v>
      </c>
      <c r="AZ132" s="47">
        <v>4961</v>
      </c>
      <c r="BA132" s="44">
        <v>4728</v>
      </c>
      <c r="BB132" s="23">
        <v>-9649</v>
      </c>
      <c r="BC132" s="47">
        <v>2222</v>
      </c>
      <c r="BD132" s="44">
        <v>2229</v>
      </c>
      <c r="BE132" s="47">
        <v>5345</v>
      </c>
      <c r="BF132" s="44">
        <v>69395</v>
      </c>
      <c r="BG132" s="46">
        <v>63515</v>
      </c>
      <c r="BH132" s="130">
        <v>2638</v>
      </c>
      <c r="BI132" s="46">
        <v>3242</v>
      </c>
      <c r="BJ132" s="129">
        <v>18.5</v>
      </c>
      <c r="BK132" s="44">
        <v>48656</v>
      </c>
      <c r="BL132" s="116">
        <v>19209</v>
      </c>
      <c r="BM132" s="47">
        <v>31718</v>
      </c>
      <c r="BN132" s="130">
        <v>119527</v>
      </c>
      <c r="BO132" s="46">
        <v>70516</v>
      </c>
      <c r="BP132" s="46">
        <v>22416</v>
      </c>
      <c r="BQ132" s="46">
        <v>38</v>
      </c>
      <c r="BR132" s="130">
        <v>4473</v>
      </c>
      <c r="BS132" s="44">
        <v>5112</v>
      </c>
      <c r="BT132" s="92">
        <v>-4806</v>
      </c>
      <c r="BU132" s="117">
        <v>-633</v>
      </c>
      <c r="BV132" s="130">
        <v>4713</v>
      </c>
      <c r="BW132" s="48">
        <v>70516</v>
      </c>
      <c r="BX132" s="46">
        <v>64045</v>
      </c>
      <c r="BY132" s="130">
        <v>3000</v>
      </c>
      <c r="BZ132" s="46">
        <v>3471</v>
      </c>
      <c r="CA132" s="129">
        <v>19</v>
      </c>
      <c r="CB132" s="44">
        <v>51651</v>
      </c>
      <c r="CC132" s="116">
        <v>19263</v>
      </c>
      <c r="CD132" s="47">
        <v>29951</v>
      </c>
      <c r="CE132" s="130">
        <v>117585</v>
      </c>
      <c r="CF132" s="46">
        <v>72610</v>
      </c>
      <c r="CG132" s="46">
        <v>21557</v>
      </c>
      <c r="CH132" s="46">
        <v>80</v>
      </c>
      <c r="CI132" s="130">
        <v>5988</v>
      </c>
      <c r="CJ132" s="44">
        <v>5486</v>
      </c>
      <c r="CK132" s="117">
        <v>-4250</v>
      </c>
      <c r="CL132" s="117">
        <v>511</v>
      </c>
      <c r="CM132" s="117">
        <v>5224</v>
      </c>
      <c r="CN132" s="48">
        <v>72610</v>
      </c>
      <c r="CO132" s="46">
        <v>65983</v>
      </c>
      <c r="CP132" s="130">
        <v>3127</v>
      </c>
      <c r="CQ132" s="46">
        <v>3500</v>
      </c>
      <c r="CR132" s="129">
        <v>19.5</v>
      </c>
      <c r="CS132" s="44">
        <v>47416</v>
      </c>
      <c r="CT132">
        <v>19418</v>
      </c>
      <c r="CU132">
        <v>75364</v>
      </c>
      <c r="CV132">
        <v>21424</v>
      </c>
      <c r="CW132">
        <v>29237</v>
      </c>
      <c r="CX132">
        <v>140</v>
      </c>
      <c r="CY132">
        <v>69108</v>
      </c>
      <c r="CZ132">
        <v>2697</v>
      </c>
      <c r="DA132">
        <v>3559</v>
      </c>
      <c r="DB132">
        <v>7472</v>
      </c>
      <c r="DC132">
        <v>-8681</v>
      </c>
      <c r="DD132">
        <v>5717</v>
      </c>
      <c r="DE132">
        <v>53687</v>
      </c>
      <c r="DF132">
        <v>118231</v>
      </c>
      <c r="DG132">
        <v>1764</v>
      </c>
      <c r="DH132">
        <v>6988</v>
      </c>
      <c r="DI132">
        <v>19.5</v>
      </c>
      <c r="DJ132" s="174">
        <v>19596</v>
      </c>
      <c r="DK132" s="34">
        <v>75955</v>
      </c>
      <c r="DL132" s="34">
        <v>20068</v>
      </c>
      <c r="DM132">
        <v>24522</v>
      </c>
      <c r="DN132" s="173">
        <v>-267</v>
      </c>
      <c r="DO132" s="34">
        <v>68995</v>
      </c>
      <c r="DP132" s="173">
        <v>3393</v>
      </c>
      <c r="DQ132" s="34">
        <v>3567</v>
      </c>
      <c r="DR132" s="173">
        <v>7775</v>
      </c>
      <c r="DS132" s="173">
        <v>-15477</v>
      </c>
      <c r="DT132">
        <v>6255</v>
      </c>
      <c r="DU132">
        <v>60199</v>
      </c>
      <c r="DV132" s="173">
        <v>112503</v>
      </c>
      <c r="DW132" s="173">
        <v>1529</v>
      </c>
      <c r="DX132" s="173">
        <v>8516</v>
      </c>
      <c r="DY132" s="57">
        <v>19.5</v>
      </c>
      <c r="DZ132" s="184">
        <v>210</v>
      </c>
      <c r="EA132" s="116">
        <v>19831</v>
      </c>
      <c r="EB132" s="48">
        <v>75125</v>
      </c>
      <c r="EC132" s="46">
        <v>19733</v>
      </c>
      <c r="ED132" s="90">
        <v>25246</v>
      </c>
      <c r="EE132" s="186">
        <v>-304</v>
      </c>
      <c r="EF132" s="46">
        <v>67828</v>
      </c>
      <c r="EG132" s="130">
        <v>3640</v>
      </c>
      <c r="EH132" s="46">
        <v>3657</v>
      </c>
      <c r="EI132" s="130">
        <v>2961</v>
      </c>
      <c r="EJ132" s="48">
        <v>-7023</v>
      </c>
      <c r="EK132" s="44">
        <v>7580</v>
      </c>
      <c r="EL132" s="44">
        <v>69233</v>
      </c>
      <c r="EM132" s="130">
        <v>116839</v>
      </c>
      <c r="EN132" s="117">
        <v>-4524</v>
      </c>
      <c r="EO132" s="117">
        <v>3992</v>
      </c>
      <c r="EP132" s="129">
        <v>19.5</v>
      </c>
    </row>
    <row r="133" spans="1:146" ht="15" x14ac:dyDescent="0.25">
      <c r="A133" s="27">
        <v>425</v>
      </c>
      <c r="B133" s="27" t="s">
        <v>261</v>
      </c>
      <c r="C133" s="27">
        <v>17</v>
      </c>
      <c r="D133" s="27" t="s">
        <v>117</v>
      </c>
      <c r="E133" s="27">
        <v>4</v>
      </c>
      <c r="F133" s="27" t="s">
        <v>100</v>
      </c>
      <c r="G133" s="29" t="s">
        <v>130</v>
      </c>
      <c r="H133" s="27" t="s">
        <v>98</v>
      </c>
      <c r="I133" s="31" t="s">
        <v>117</v>
      </c>
      <c r="J133" s="132">
        <v>84.766714936601559</v>
      </c>
      <c r="K133" s="132">
        <v>-63.911412055374193</v>
      </c>
      <c r="L133" s="132">
        <v>-435.43854160885206</v>
      </c>
      <c r="M133" s="132">
        <v>733.63573522511115</v>
      </c>
      <c r="N133" s="132">
        <v>736</v>
      </c>
      <c r="O133" s="132">
        <v>827</v>
      </c>
      <c r="P133" s="132">
        <v>836</v>
      </c>
      <c r="Q133" s="132">
        <v>1057</v>
      </c>
      <c r="R133" s="132">
        <v>1402</v>
      </c>
      <c r="S133" s="132">
        <v>1846</v>
      </c>
      <c r="T133" s="132">
        <v>2919</v>
      </c>
      <c r="U133" s="132">
        <v>4426</v>
      </c>
      <c r="V133" s="132">
        <v>5120</v>
      </c>
      <c r="W133" s="106">
        <v>5858</v>
      </c>
      <c r="X133" s="132">
        <v>6468</v>
      </c>
      <c r="Y133" s="132">
        <v>7433</v>
      </c>
      <c r="Z133" s="132">
        <v>8555</v>
      </c>
      <c r="AA133" s="132">
        <v>8770</v>
      </c>
      <c r="AB133" s="133">
        <v>18.5</v>
      </c>
      <c r="AC133" s="134">
        <v>19</v>
      </c>
      <c r="AD133" s="135">
        <v>19</v>
      </c>
      <c r="AE133" s="136">
        <v>19</v>
      </c>
      <c r="AF133" s="137">
        <v>19</v>
      </c>
      <c r="AG133" s="134">
        <v>19</v>
      </c>
      <c r="AH133" s="134">
        <v>19</v>
      </c>
      <c r="AI133" s="138">
        <v>19</v>
      </c>
      <c r="AJ133" s="138">
        <v>19</v>
      </c>
      <c r="AK133" s="139">
        <v>19</v>
      </c>
      <c r="AL133" s="140">
        <v>19</v>
      </c>
      <c r="AM133" s="140">
        <v>19.5</v>
      </c>
      <c r="AN133" s="140">
        <v>19.5</v>
      </c>
      <c r="AO133" s="83">
        <v>19.5</v>
      </c>
      <c r="AP133" s="83">
        <v>19.5</v>
      </c>
      <c r="AQ133" s="44">
        <v>20.5</v>
      </c>
      <c r="AR133" s="44">
        <v>20.5</v>
      </c>
      <c r="AS133" s="129">
        <v>20.5</v>
      </c>
      <c r="AT133" s="44">
        <v>9577</v>
      </c>
      <c r="AU133" s="44">
        <v>7885</v>
      </c>
      <c r="AV133" s="44">
        <v>53833</v>
      </c>
      <c r="AW133" s="44">
        <v>28316</v>
      </c>
      <c r="AX133" s="44">
        <v>24213</v>
      </c>
      <c r="AY133" s="44">
        <v>423</v>
      </c>
      <c r="AZ133" s="44">
        <v>6799</v>
      </c>
      <c r="BA133" s="44">
        <v>3037</v>
      </c>
      <c r="BB133" s="44">
        <v>-8546</v>
      </c>
      <c r="BC133" s="44">
        <v>3762</v>
      </c>
      <c r="BD133" s="44">
        <v>965</v>
      </c>
      <c r="BE133" s="44">
        <v>7433</v>
      </c>
      <c r="BF133" s="44">
        <v>28316</v>
      </c>
      <c r="BG133" s="44">
        <v>26962</v>
      </c>
      <c r="BH133" s="44">
        <v>480</v>
      </c>
      <c r="BI133" s="44">
        <v>874</v>
      </c>
      <c r="BJ133" s="44">
        <v>20.5</v>
      </c>
      <c r="BK133" s="44">
        <v>22719</v>
      </c>
      <c r="BL133" s="44">
        <v>9740</v>
      </c>
      <c r="BM133" s="44">
        <v>7840</v>
      </c>
      <c r="BN133" s="44">
        <v>53519</v>
      </c>
      <c r="BO133" s="44">
        <v>27848</v>
      </c>
      <c r="BP133" s="44">
        <v>23825</v>
      </c>
      <c r="BQ133" s="44">
        <v>36</v>
      </c>
      <c r="BR133" s="44">
        <v>5786</v>
      </c>
      <c r="BS133" s="44">
        <v>4144</v>
      </c>
      <c r="BT133" s="44">
        <v>-6283</v>
      </c>
      <c r="BU133" s="44">
        <v>1122</v>
      </c>
      <c r="BV133" s="44">
        <v>8555</v>
      </c>
      <c r="BW133" s="44">
        <v>27848</v>
      </c>
      <c r="BX133" s="44">
        <v>26297</v>
      </c>
      <c r="BY133" s="44">
        <v>553</v>
      </c>
      <c r="BZ133" s="44">
        <v>998</v>
      </c>
      <c r="CA133" s="44">
        <v>20.5</v>
      </c>
      <c r="CB133" s="44">
        <v>24235</v>
      </c>
      <c r="CC133" s="116">
        <v>9937</v>
      </c>
      <c r="CD133" s="47">
        <v>8103</v>
      </c>
      <c r="CE133" s="130">
        <v>55705</v>
      </c>
      <c r="CF133" s="46">
        <v>29551</v>
      </c>
      <c r="CG133" s="46">
        <v>24101</v>
      </c>
      <c r="CH133" s="46">
        <v>81</v>
      </c>
      <c r="CI133" s="130">
        <v>5914</v>
      </c>
      <c r="CJ133" s="44">
        <v>4043</v>
      </c>
      <c r="CK133" s="117">
        <v>-942</v>
      </c>
      <c r="CL133" s="117">
        <v>311</v>
      </c>
      <c r="CM133" s="117">
        <v>8770</v>
      </c>
      <c r="CN133" s="48">
        <v>29551</v>
      </c>
      <c r="CO133" s="46">
        <v>27755</v>
      </c>
      <c r="CP133" s="130">
        <v>628</v>
      </c>
      <c r="CQ133" s="46">
        <v>1168</v>
      </c>
      <c r="CR133" s="129">
        <v>20.5</v>
      </c>
      <c r="CS133" s="44">
        <v>19581</v>
      </c>
      <c r="CT133">
        <v>10000</v>
      </c>
      <c r="CU133">
        <v>29990</v>
      </c>
      <c r="CV133">
        <v>25231</v>
      </c>
      <c r="CW133">
        <v>8143</v>
      </c>
      <c r="CX133">
        <v>17</v>
      </c>
      <c r="CY133">
        <v>28187</v>
      </c>
      <c r="CZ133">
        <v>622</v>
      </c>
      <c r="DA133">
        <v>1181</v>
      </c>
      <c r="DB133">
        <v>4424</v>
      </c>
      <c r="DC133">
        <v>-2006</v>
      </c>
      <c r="DD133">
        <v>5610</v>
      </c>
      <c r="DE133">
        <v>17601</v>
      </c>
      <c r="DF133">
        <v>58793</v>
      </c>
      <c r="DG133">
        <v>-545</v>
      </c>
      <c r="DH133">
        <v>8225</v>
      </c>
      <c r="DI133">
        <v>20.5</v>
      </c>
      <c r="DJ133" s="174">
        <v>10133</v>
      </c>
      <c r="DK133" s="34">
        <v>31384</v>
      </c>
      <c r="DL133" s="34">
        <v>25236</v>
      </c>
      <c r="DM133">
        <v>8092</v>
      </c>
      <c r="DN133" s="173">
        <v>-66</v>
      </c>
      <c r="DO133" s="34">
        <v>29443</v>
      </c>
      <c r="DP133" s="173">
        <v>758</v>
      </c>
      <c r="DQ133" s="34">
        <v>1183</v>
      </c>
      <c r="DR133" s="173">
        <v>5882</v>
      </c>
      <c r="DS133" s="173">
        <v>-6736</v>
      </c>
      <c r="DT133">
        <v>3990</v>
      </c>
      <c r="DU133">
        <v>17950</v>
      </c>
      <c r="DV133" s="173">
        <v>58764</v>
      </c>
      <c r="DW133" s="173">
        <v>1</v>
      </c>
      <c r="DX133" s="173">
        <v>8155</v>
      </c>
      <c r="DY133" s="57">
        <v>21</v>
      </c>
      <c r="DZ133" s="184">
        <v>220</v>
      </c>
      <c r="EA133" s="116">
        <v>10161</v>
      </c>
      <c r="EB133" s="48">
        <v>32098</v>
      </c>
      <c r="EC133" s="46">
        <v>24187</v>
      </c>
      <c r="ED133" s="90">
        <v>8536</v>
      </c>
      <c r="EE133" s="186">
        <v>-121</v>
      </c>
      <c r="EF133" s="46">
        <v>30159</v>
      </c>
      <c r="EG133" s="130">
        <v>684</v>
      </c>
      <c r="EH133" s="46">
        <v>1255</v>
      </c>
      <c r="EI133" s="130">
        <v>5442</v>
      </c>
      <c r="EJ133" s="48">
        <v>-16633</v>
      </c>
      <c r="EK133" s="44">
        <v>3812</v>
      </c>
      <c r="EL133" s="44">
        <v>30550</v>
      </c>
      <c r="EM133" s="130">
        <v>59258</v>
      </c>
      <c r="EN133" s="117">
        <v>109</v>
      </c>
      <c r="EO133" s="117">
        <v>8264</v>
      </c>
      <c r="EP133" s="129">
        <v>21.5</v>
      </c>
    </row>
    <row r="134" spans="1:146" ht="15" x14ac:dyDescent="0.25">
      <c r="A134" s="27">
        <v>426</v>
      </c>
      <c r="B134" s="27" t="s">
        <v>262</v>
      </c>
      <c r="C134" s="27">
        <v>12</v>
      </c>
      <c r="D134" s="27" t="s">
        <v>116</v>
      </c>
      <c r="E134" s="27">
        <v>4</v>
      </c>
      <c r="F134" s="27" t="s">
        <v>100</v>
      </c>
      <c r="G134" s="29" t="s">
        <v>130</v>
      </c>
      <c r="H134" s="27" t="s">
        <v>98</v>
      </c>
      <c r="I134" s="31" t="s">
        <v>116</v>
      </c>
      <c r="J134" s="118">
        <v>-350.16726289286595</v>
      </c>
      <c r="K134" s="118">
        <v>-449.90270328454199</v>
      </c>
      <c r="L134" s="118">
        <v>-3126.2771770665672</v>
      </c>
      <c r="M134" s="118">
        <v>-3212.2212074883992</v>
      </c>
      <c r="N134" s="22">
        <v>-954</v>
      </c>
      <c r="O134" s="119">
        <v>-1373</v>
      </c>
      <c r="P134" s="119">
        <v>-2472</v>
      </c>
      <c r="Q134" s="120">
        <v>-2379</v>
      </c>
      <c r="R134" s="22">
        <v>-2119</v>
      </c>
      <c r="S134" s="22">
        <v>-2769</v>
      </c>
      <c r="T134" s="121">
        <v>-2618</v>
      </c>
      <c r="U134" s="121">
        <v>-2718</v>
      </c>
      <c r="V134" s="121">
        <v>-872</v>
      </c>
      <c r="W134" s="106">
        <v>-514</v>
      </c>
      <c r="X134" s="121">
        <v>-4756</v>
      </c>
      <c r="Y134" s="121">
        <v>-3172</v>
      </c>
      <c r="Z134" s="121">
        <v>-719</v>
      </c>
      <c r="AA134" s="121">
        <v>753</v>
      </c>
      <c r="AB134" s="122">
        <v>18.25</v>
      </c>
      <c r="AC134" s="123">
        <v>18.75</v>
      </c>
      <c r="AD134" s="124">
        <v>18.75</v>
      </c>
      <c r="AE134" s="125">
        <v>18.75</v>
      </c>
      <c r="AF134" s="126">
        <v>18.75</v>
      </c>
      <c r="AG134" s="123">
        <v>18.75</v>
      </c>
      <c r="AH134" s="123">
        <v>18.75</v>
      </c>
      <c r="AI134" s="127">
        <v>19.5</v>
      </c>
      <c r="AJ134" s="127">
        <v>19.5</v>
      </c>
      <c r="AK134" s="22">
        <v>19.5</v>
      </c>
      <c r="AL134" s="128">
        <v>19.5</v>
      </c>
      <c r="AM134" s="128">
        <v>20</v>
      </c>
      <c r="AN134" s="128">
        <v>20</v>
      </c>
      <c r="AO134" s="77">
        <v>20</v>
      </c>
      <c r="AP134" s="77">
        <v>20</v>
      </c>
      <c r="AQ134" s="129">
        <v>20.5</v>
      </c>
      <c r="AR134" s="129">
        <v>21.5</v>
      </c>
      <c r="AS134" s="129">
        <v>21.5</v>
      </c>
      <c r="AT134" s="116">
        <v>12396</v>
      </c>
      <c r="AU134" s="47">
        <v>35373</v>
      </c>
      <c r="AV134" s="47">
        <v>95376</v>
      </c>
      <c r="AW134" s="46">
        <v>36922</v>
      </c>
      <c r="AX134" s="46">
        <v>27018</v>
      </c>
      <c r="AY134" s="92">
        <v>333</v>
      </c>
      <c r="AZ134" s="47">
        <v>3736</v>
      </c>
      <c r="BA134" s="44">
        <v>2272</v>
      </c>
      <c r="BB134" s="23">
        <v>-2692</v>
      </c>
      <c r="BC134" s="47">
        <v>1464</v>
      </c>
      <c r="BD134" s="44">
        <v>1584</v>
      </c>
      <c r="BE134" s="47">
        <v>-3172</v>
      </c>
      <c r="BF134" s="44">
        <v>36922</v>
      </c>
      <c r="BG134" s="46">
        <v>33961</v>
      </c>
      <c r="BH134" s="130">
        <v>963</v>
      </c>
      <c r="BI134" s="46">
        <v>1998</v>
      </c>
      <c r="BJ134" s="129">
        <v>20.5</v>
      </c>
      <c r="BK134" s="44">
        <v>29643</v>
      </c>
      <c r="BL134" s="116">
        <v>12335</v>
      </c>
      <c r="BM134" s="47">
        <v>14932</v>
      </c>
      <c r="BN134" s="130">
        <v>75149</v>
      </c>
      <c r="BO134" s="46">
        <v>39600</v>
      </c>
      <c r="BP134" s="46">
        <v>25427</v>
      </c>
      <c r="BQ134" s="46">
        <v>320</v>
      </c>
      <c r="BR134" s="130">
        <v>4675</v>
      </c>
      <c r="BS134" s="44">
        <v>2341</v>
      </c>
      <c r="BT134" s="92">
        <v>-5691</v>
      </c>
      <c r="BU134" s="117">
        <v>2454</v>
      </c>
      <c r="BV134" s="130">
        <v>-719</v>
      </c>
      <c r="BW134" s="48">
        <v>39600</v>
      </c>
      <c r="BX134" s="46">
        <v>36200</v>
      </c>
      <c r="BY134" s="130">
        <v>1176</v>
      </c>
      <c r="BZ134" s="46">
        <v>2224</v>
      </c>
      <c r="CA134" s="129">
        <v>21.5</v>
      </c>
      <c r="CB134" s="44">
        <v>28642</v>
      </c>
      <c r="CC134" s="116">
        <v>12338</v>
      </c>
      <c r="CD134" s="47">
        <v>14785</v>
      </c>
      <c r="CE134" s="130">
        <v>76919</v>
      </c>
      <c r="CF134" s="46">
        <v>40301</v>
      </c>
      <c r="CG134" s="46">
        <v>25747</v>
      </c>
      <c r="CH134" s="46">
        <v>653</v>
      </c>
      <c r="CI134" s="130">
        <v>3792</v>
      </c>
      <c r="CJ134" s="44">
        <v>2439</v>
      </c>
      <c r="CK134" s="117">
        <v>-7115</v>
      </c>
      <c r="CL134" s="117">
        <v>1472</v>
      </c>
      <c r="CM134" s="117">
        <v>753</v>
      </c>
      <c r="CN134" s="48">
        <v>40301</v>
      </c>
      <c r="CO134" s="46">
        <v>36634</v>
      </c>
      <c r="CP134" s="130">
        <v>1379</v>
      </c>
      <c r="CQ134" s="46">
        <v>2288</v>
      </c>
      <c r="CR134" s="129">
        <v>21.5</v>
      </c>
      <c r="CS134" s="44">
        <v>32609</v>
      </c>
      <c r="CT134">
        <v>12301</v>
      </c>
      <c r="CU134">
        <v>40283</v>
      </c>
      <c r="CV134">
        <v>27616</v>
      </c>
      <c r="CW134">
        <v>14175</v>
      </c>
      <c r="CX134">
        <v>329</v>
      </c>
      <c r="CY134">
        <v>36586</v>
      </c>
      <c r="CZ134">
        <v>1316</v>
      </c>
      <c r="DA134">
        <v>2381</v>
      </c>
      <c r="DB134">
        <v>4358</v>
      </c>
      <c r="DC134">
        <v>-2567</v>
      </c>
      <c r="DD134">
        <v>3451</v>
      </c>
      <c r="DE134">
        <v>32958</v>
      </c>
      <c r="DF134">
        <v>77648</v>
      </c>
      <c r="DG134">
        <v>1026</v>
      </c>
      <c r="DH134">
        <v>1780</v>
      </c>
      <c r="DI134">
        <v>21.5</v>
      </c>
      <c r="DJ134" s="174">
        <v>12150</v>
      </c>
      <c r="DK134" s="34">
        <v>40020</v>
      </c>
      <c r="DL134" s="34">
        <v>27180</v>
      </c>
      <c r="DM134">
        <v>13195</v>
      </c>
      <c r="DN134" s="173">
        <v>481</v>
      </c>
      <c r="DO134" s="34">
        <v>36068</v>
      </c>
      <c r="DP134" s="173">
        <v>1533</v>
      </c>
      <c r="DQ134" s="34">
        <v>2419</v>
      </c>
      <c r="DR134" s="173">
        <v>5672</v>
      </c>
      <c r="DS134" s="173">
        <v>-2893</v>
      </c>
      <c r="DT134">
        <v>4124</v>
      </c>
      <c r="DU134">
        <v>33167</v>
      </c>
      <c r="DV134" s="173">
        <v>74736</v>
      </c>
      <c r="DW134" s="173">
        <v>2135</v>
      </c>
      <c r="DX134" s="173">
        <v>3915</v>
      </c>
      <c r="DY134" s="57">
        <v>21.5</v>
      </c>
      <c r="DZ134" s="184">
        <v>330</v>
      </c>
      <c r="EA134" s="116">
        <v>12145</v>
      </c>
      <c r="EB134" s="48">
        <v>39488</v>
      </c>
      <c r="EC134" s="46">
        <v>26970</v>
      </c>
      <c r="ED134" s="90">
        <v>12575</v>
      </c>
      <c r="EE134" s="186">
        <v>95</v>
      </c>
      <c r="EF134" s="46">
        <v>35753</v>
      </c>
      <c r="EG134" s="130">
        <v>1338</v>
      </c>
      <c r="EH134" s="46">
        <v>2397</v>
      </c>
      <c r="EI134" s="130">
        <v>3878</v>
      </c>
      <c r="EJ134" s="48">
        <v>-3594</v>
      </c>
      <c r="EK134" s="44">
        <v>2857</v>
      </c>
      <c r="EL134" s="44">
        <v>33442</v>
      </c>
      <c r="EM134" s="130">
        <v>75250</v>
      </c>
      <c r="EN134" s="117">
        <v>1140</v>
      </c>
      <c r="EO134" s="117">
        <v>5056</v>
      </c>
      <c r="EP134" s="129">
        <v>21.5</v>
      </c>
    </row>
    <row r="135" spans="1:146" ht="15" x14ac:dyDescent="0.25">
      <c r="A135" s="27">
        <v>444</v>
      </c>
      <c r="B135" s="27" t="s">
        <v>263</v>
      </c>
      <c r="C135" s="27">
        <v>1</v>
      </c>
      <c r="D135" s="27" t="s">
        <v>121</v>
      </c>
      <c r="E135" s="27">
        <v>6</v>
      </c>
      <c r="F135" s="27" t="s">
        <v>102</v>
      </c>
      <c r="G135" s="29" t="s">
        <v>141</v>
      </c>
      <c r="H135" s="27" t="s">
        <v>97</v>
      </c>
      <c r="I135" s="31" t="s">
        <v>121</v>
      </c>
      <c r="J135" s="118">
        <v>1895.3097432947677</v>
      </c>
      <c r="K135" s="118">
        <v>6382.7318092143432</v>
      </c>
      <c r="L135" s="118">
        <v>8513.5046495552269</v>
      </c>
      <c r="M135" s="118">
        <v>10776.641388021319</v>
      </c>
      <c r="N135" s="22">
        <v>15700</v>
      </c>
      <c r="O135" s="119">
        <v>18112</v>
      </c>
      <c r="P135" s="119">
        <v>25019</v>
      </c>
      <c r="Q135" s="120">
        <v>20621</v>
      </c>
      <c r="R135" s="22">
        <v>18921</v>
      </c>
      <c r="S135" s="22">
        <v>15241</v>
      </c>
      <c r="T135" s="121">
        <v>17837</v>
      </c>
      <c r="U135" s="121">
        <v>18259</v>
      </c>
      <c r="V135" s="121">
        <v>20981</v>
      </c>
      <c r="W135" s="106">
        <v>21508</v>
      </c>
      <c r="X135" s="121">
        <v>12067</v>
      </c>
      <c r="Y135" s="121">
        <v>11439</v>
      </c>
      <c r="Z135" s="121">
        <v>10685</v>
      </c>
      <c r="AA135" s="121">
        <v>6881</v>
      </c>
      <c r="AB135" s="122">
        <v>17</v>
      </c>
      <c r="AC135" s="123">
        <v>17.5</v>
      </c>
      <c r="AD135" s="124">
        <v>17.5</v>
      </c>
      <c r="AE135" s="125">
        <v>17.5</v>
      </c>
      <c r="AF135" s="126">
        <v>18</v>
      </c>
      <c r="AG135" s="123">
        <v>18</v>
      </c>
      <c r="AH135" s="123">
        <v>18</v>
      </c>
      <c r="AI135" s="131">
        <v>18</v>
      </c>
      <c r="AJ135" s="131">
        <v>18.5</v>
      </c>
      <c r="AK135" s="22">
        <v>18.5</v>
      </c>
      <c r="AL135" s="128">
        <v>19</v>
      </c>
      <c r="AM135" s="128">
        <v>19</v>
      </c>
      <c r="AN135" s="128">
        <v>19.5</v>
      </c>
      <c r="AO135" s="77">
        <v>19.5</v>
      </c>
      <c r="AP135" s="77">
        <v>19.5</v>
      </c>
      <c r="AQ135" s="129">
        <v>19.5</v>
      </c>
      <c r="AR135" s="129">
        <v>20</v>
      </c>
      <c r="AS135" s="129">
        <v>20.5</v>
      </c>
      <c r="AT135" s="116">
        <v>47703</v>
      </c>
      <c r="AU135" s="47">
        <v>50961</v>
      </c>
      <c r="AV135" s="47">
        <v>283698</v>
      </c>
      <c r="AW135" s="46">
        <v>179744</v>
      </c>
      <c r="AX135" s="46">
        <v>63504</v>
      </c>
      <c r="AY135" s="92">
        <v>595</v>
      </c>
      <c r="AZ135" s="47">
        <v>9827</v>
      </c>
      <c r="BA135" s="44">
        <v>11602</v>
      </c>
      <c r="BB135" s="23">
        <v>-16588</v>
      </c>
      <c r="BC135" s="47">
        <v>-1775</v>
      </c>
      <c r="BD135" s="44">
        <v>-1694</v>
      </c>
      <c r="BE135" s="47">
        <v>11439</v>
      </c>
      <c r="BF135" s="44">
        <v>179744</v>
      </c>
      <c r="BG135" s="46">
        <v>162857</v>
      </c>
      <c r="BH135" s="130">
        <v>5509</v>
      </c>
      <c r="BI135" s="46">
        <v>11378</v>
      </c>
      <c r="BJ135" s="129">
        <v>19.5</v>
      </c>
      <c r="BK135" s="44">
        <v>81251</v>
      </c>
      <c r="BL135" s="116">
        <v>47624</v>
      </c>
      <c r="BM135" s="47">
        <v>51667</v>
      </c>
      <c r="BN135" s="130">
        <v>285854</v>
      </c>
      <c r="BO135" s="46">
        <v>181616</v>
      </c>
      <c r="BP135" s="46">
        <v>62889</v>
      </c>
      <c r="BQ135" s="46">
        <v>2045</v>
      </c>
      <c r="BR135" s="130">
        <v>9699</v>
      </c>
      <c r="BS135" s="44">
        <v>12019</v>
      </c>
      <c r="BT135" s="92">
        <v>-20496</v>
      </c>
      <c r="BU135" s="117">
        <v>-754</v>
      </c>
      <c r="BV135" s="130">
        <v>10685</v>
      </c>
      <c r="BW135" s="48">
        <v>181616</v>
      </c>
      <c r="BX135" s="46">
        <v>163129</v>
      </c>
      <c r="BY135" s="130">
        <v>6309</v>
      </c>
      <c r="BZ135" s="46">
        <v>12178</v>
      </c>
      <c r="CA135" s="129">
        <v>20</v>
      </c>
      <c r="CB135" s="44">
        <v>94540</v>
      </c>
      <c r="CC135" s="116">
        <v>47353</v>
      </c>
      <c r="CD135" s="47">
        <v>51530</v>
      </c>
      <c r="CE135" s="130">
        <v>291963</v>
      </c>
      <c r="CF135" s="46">
        <v>187476</v>
      </c>
      <c r="CG135" s="46">
        <v>62222</v>
      </c>
      <c r="CH135" s="46">
        <v>2384</v>
      </c>
      <c r="CI135" s="130">
        <v>9746</v>
      </c>
      <c r="CJ135" s="44">
        <v>13632</v>
      </c>
      <c r="CK135" s="117">
        <v>-21754</v>
      </c>
      <c r="CL135" s="117">
        <v>-3804</v>
      </c>
      <c r="CM135" s="117">
        <v>6881</v>
      </c>
      <c r="CN135" s="48">
        <v>187476</v>
      </c>
      <c r="CO135" s="46">
        <v>168554</v>
      </c>
      <c r="CP135" s="130">
        <v>6700</v>
      </c>
      <c r="CQ135" s="46">
        <v>12222</v>
      </c>
      <c r="CR135" s="129">
        <v>20.5</v>
      </c>
      <c r="CS135" s="44">
        <v>107790</v>
      </c>
      <c r="CT135">
        <v>47149</v>
      </c>
      <c r="CU135">
        <v>190131</v>
      </c>
      <c r="CV135">
        <v>69250</v>
      </c>
      <c r="CW135">
        <v>49385</v>
      </c>
      <c r="CX135">
        <v>1338</v>
      </c>
      <c r="CY135">
        <v>172144</v>
      </c>
      <c r="CZ135">
        <v>5582</v>
      </c>
      <c r="DA135">
        <v>12405</v>
      </c>
      <c r="DB135">
        <v>18555</v>
      </c>
      <c r="DC135">
        <v>-23416</v>
      </c>
      <c r="DD135">
        <v>16924</v>
      </c>
      <c r="DE135">
        <v>118856</v>
      </c>
      <c r="DF135">
        <v>290733</v>
      </c>
      <c r="DG135">
        <v>1713</v>
      </c>
      <c r="DH135">
        <v>8594</v>
      </c>
      <c r="DI135">
        <v>20.5</v>
      </c>
      <c r="DJ135" s="174">
        <v>46785</v>
      </c>
      <c r="DK135" s="34">
        <v>189856</v>
      </c>
      <c r="DL135" s="34">
        <v>68178</v>
      </c>
      <c r="DM135">
        <v>49780</v>
      </c>
      <c r="DN135" s="173">
        <v>435</v>
      </c>
      <c r="DO135" s="34">
        <v>170627</v>
      </c>
      <c r="DP135" s="173">
        <v>6613</v>
      </c>
      <c r="DQ135" s="34">
        <v>12616</v>
      </c>
      <c r="DR135" s="173">
        <v>15353</v>
      </c>
      <c r="DS135" s="173">
        <v>-38749</v>
      </c>
      <c r="DT135">
        <v>13996</v>
      </c>
      <c r="DU135">
        <v>143481</v>
      </c>
      <c r="DV135" s="173">
        <v>292896</v>
      </c>
      <c r="DW135" s="173">
        <v>1438</v>
      </c>
      <c r="DX135" s="173">
        <v>10033</v>
      </c>
      <c r="DY135" s="57">
        <v>20.5</v>
      </c>
      <c r="DZ135" s="184">
        <v>130</v>
      </c>
      <c r="EA135" s="116">
        <v>46296</v>
      </c>
      <c r="EB135" s="48">
        <v>188458</v>
      </c>
      <c r="EC135" s="46">
        <v>68441</v>
      </c>
      <c r="ED135" s="90">
        <v>47832</v>
      </c>
      <c r="EE135" s="186">
        <v>276</v>
      </c>
      <c r="EF135" s="46">
        <v>168400</v>
      </c>
      <c r="EG135" s="130">
        <v>6789</v>
      </c>
      <c r="EH135" s="46">
        <v>13269</v>
      </c>
      <c r="EI135" s="130">
        <v>5936</v>
      </c>
      <c r="EJ135" s="48">
        <v>-26912</v>
      </c>
      <c r="EK135" s="44">
        <v>15801</v>
      </c>
      <c r="EL135" s="44">
        <v>157001</v>
      </c>
      <c r="EM135" s="130">
        <v>299071</v>
      </c>
      <c r="EN135" s="117">
        <v>-9798</v>
      </c>
      <c r="EO135" s="117">
        <v>235</v>
      </c>
      <c r="EP135" s="129">
        <v>20.5</v>
      </c>
    </row>
    <row r="136" spans="1:146" ht="15" x14ac:dyDescent="0.25">
      <c r="A136" s="27">
        <v>430</v>
      </c>
      <c r="B136" s="27" t="s">
        <v>264</v>
      </c>
      <c r="C136" s="27">
        <v>2</v>
      </c>
      <c r="D136" s="27" t="s">
        <v>122</v>
      </c>
      <c r="E136" s="27">
        <v>4</v>
      </c>
      <c r="F136" s="27" t="s">
        <v>100</v>
      </c>
      <c r="G136" s="29" t="s">
        <v>132</v>
      </c>
      <c r="H136" s="27" t="s">
        <v>99</v>
      </c>
      <c r="I136" s="31" t="s">
        <v>122</v>
      </c>
      <c r="J136" s="132">
        <v>-1716.8623533191046</v>
      </c>
      <c r="K136" s="132">
        <v>-1700.3799365258765</v>
      </c>
      <c r="L136" s="132">
        <v>-1542.2832856520561</v>
      </c>
      <c r="M136" s="132">
        <v>-2172.1470702504148</v>
      </c>
      <c r="N136" s="132">
        <v>-452</v>
      </c>
      <c r="O136" s="132">
        <v>376</v>
      </c>
      <c r="P136" s="132">
        <v>-526</v>
      </c>
      <c r="Q136" s="132">
        <v>-357</v>
      </c>
      <c r="R136" s="132">
        <v>424</v>
      </c>
      <c r="S136" s="132">
        <v>-410</v>
      </c>
      <c r="T136" s="132">
        <v>-1783</v>
      </c>
      <c r="U136" s="132">
        <v>-716</v>
      </c>
      <c r="V136" s="132">
        <v>2121</v>
      </c>
      <c r="W136" s="106">
        <v>3456</v>
      </c>
      <c r="X136" s="132">
        <v>-975</v>
      </c>
      <c r="Y136" s="132">
        <v>1509</v>
      </c>
      <c r="Z136" s="132">
        <v>1594</v>
      </c>
      <c r="AA136" s="132">
        <v>2876</v>
      </c>
      <c r="AB136" s="133">
        <v>18</v>
      </c>
      <c r="AC136" s="134">
        <v>18</v>
      </c>
      <c r="AD136" s="135">
        <v>18</v>
      </c>
      <c r="AE136" s="136">
        <v>18</v>
      </c>
      <c r="AF136" s="137">
        <v>18</v>
      </c>
      <c r="AG136" s="134">
        <v>18.5</v>
      </c>
      <c r="AH136" s="134">
        <v>18.5</v>
      </c>
      <c r="AI136" s="138">
        <v>18.5</v>
      </c>
      <c r="AJ136" s="138">
        <v>19</v>
      </c>
      <c r="AK136" s="139">
        <v>19</v>
      </c>
      <c r="AL136" s="140">
        <v>19</v>
      </c>
      <c r="AM136" s="140">
        <v>19.5</v>
      </c>
      <c r="AN136" s="140">
        <v>20.5</v>
      </c>
      <c r="AO136" s="77">
        <v>20.5</v>
      </c>
      <c r="AP136" s="77">
        <v>20.5</v>
      </c>
      <c r="AQ136" s="129">
        <v>20.5</v>
      </c>
      <c r="AR136" s="129">
        <v>20.5</v>
      </c>
      <c r="AS136" s="129">
        <v>20.5</v>
      </c>
      <c r="AT136" s="116">
        <v>16700</v>
      </c>
      <c r="AU136" s="47">
        <v>18660</v>
      </c>
      <c r="AV136" s="47">
        <v>107469</v>
      </c>
      <c r="AW136" s="46">
        <v>53365</v>
      </c>
      <c r="AX136" s="46">
        <v>41833</v>
      </c>
      <c r="AY136" s="92">
        <v>154</v>
      </c>
      <c r="AZ136" s="47">
        <v>6058</v>
      </c>
      <c r="BA136" s="44">
        <v>3643</v>
      </c>
      <c r="BB136" s="23">
        <v>-1155</v>
      </c>
      <c r="BC136" s="47">
        <v>2415</v>
      </c>
      <c r="BD136" s="44">
        <v>2502</v>
      </c>
      <c r="BE136" s="47">
        <v>1509</v>
      </c>
      <c r="BF136" s="44">
        <v>53365</v>
      </c>
      <c r="BG136" s="46">
        <v>47217</v>
      </c>
      <c r="BH136" s="130">
        <v>2389</v>
      </c>
      <c r="BI136" s="46">
        <v>3759</v>
      </c>
      <c r="BJ136" s="129">
        <v>20.5</v>
      </c>
      <c r="BK136" s="44">
        <v>38632</v>
      </c>
      <c r="BL136" s="116">
        <v>16607</v>
      </c>
      <c r="BM136" s="47">
        <v>17746</v>
      </c>
      <c r="BN136" s="130">
        <v>108958</v>
      </c>
      <c r="BO136" s="46">
        <v>52844</v>
      </c>
      <c r="BP136" s="46">
        <v>42129</v>
      </c>
      <c r="BQ136" s="46">
        <v>171</v>
      </c>
      <c r="BR136" s="130">
        <v>3514</v>
      </c>
      <c r="BS136" s="44">
        <v>3515</v>
      </c>
      <c r="BT136" s="92">
        <v>-2983</v>
      </c>
      <c r="BU136" s="117">
        <v>80</v>
      </c>
      <c r="BV136" s="130">
        <v>1594</v>
      </c>
      <c r="BW136" s="48">
        <v>52844</v>
      </c>
      <c r="BX136" s="46">
        <v>46004</v>
      </c>
      <c r="BY136" s="130">
        <v>2794</v>
      </c>
      <c r="BZ136" s="46">
        <v>4046</v>
      </c>
      <c r="CA136" s="129">
        <v>20.5</v>
      </c>
      <c r="CB136" s="44">
        <v>35748</v>
      </c>
      <c r="CC136" s="116">
        <v>16467</v>
      </c>
      <c r="CD136" s="47">
        <v>16587</v>
      </c>
      <c r="CE136" s="130">
        <v>107083</v>
      </c>
      <c r="CF136" s="46">
        <v>54006</v>
      </c>
      <c r="CG136" s="46">
        <v>41730</v>
      </c>
      <c r="CH136" s="46">
        <v>250</v>
      </c>
      <c r="CI136" s="130">
        <v>5079</v>
      </c>
      <c r="CJ136" s="44">
        <v>4050</v>
      </c>
      <c r="CK136" s="117">
        <v>-2626</v>
      </c>
      <c r="CL136" s="117">
        <v>1282</v>
      </c>
      <c r="CM136" s="117">
        <v>2876</v>
      </c>
      <c r="CN136" s="48">
        <v>54006</v>
      </c>
      <c r="CO136" s="46">
        <v>46825</v>
      </c>
      <c r="CP136" s="130">
        <v>3101</v>
      </c>
      <c r="CQ136" s="46">
        <v>4080</v>
      </c>
      <c r="CR136" s="129">
        <v>20.5</v>
      </c>
      <c r="CS136" s="44">
        <v>35563</v>
      </c>
      <c r="CT136">
        <v>16267</v>
      </c>
      <c r="CU136">
        <v>53725</v>
      </c>
      <c r="CV136">
        <v>43827</v>
      </c>
      <c r="CW136">
        <v>19292</v>
      </c>
      <c r="CX136">
        <v>174</v>
      </c>
      <c r="CY136">
        <v>46513</v>
      </c>
      <c r="CZ136">
        <v>3001</v>
      </c>
      <c r="DA136">
        <v>4211</v>
      </c>
      <c r="DB136">
        <v>2428</v>
      </c>
      <c r="DC136">
        <v>-2247</v>
      </c>
      <c r="DD136">
        <v>3964</v>
      </c>
      <c r="DE136">
        <v>33709</v>
      </c>
      <c r="DF136">
        <v>114301</v>
      </c>
      <c r="DG136">
        <v>-1465</v>
      </c>
      <c r="DH136">
        <v>1411</v>
      </c>
      <c r="DI136">
        <v>20.5</v>
      </c>
      <c r="DJ136" s="174">
        <v>16150</v>
      </c>
      <c r="DK136" s="34">
        <v>53514</v>
      </c>
      <c r="DL136" s="34">
        <v>42353</v>
      </c>
      <c r="DM136">
        <v>20356</v>
      </c>
      <c r="DN136" s="173">
        <v>-76</v>
      </c>
      <c r="DO136" s="34">
        <v>45770</v>
      </c>
      <c r="DP136" s="173">
        <v>3595</v>
      </c>
      <c r="DQ136" s="34">
        <v>4149</v>
      </c>
      <c r="DR136" s="173">
        <v>3315</v>
      </c>
      <c r="DS136" s="173">
        <v>-4849</v>
      </c>
      <c r="DT136">
        <v>4165</v>
      </c>
      <c r="DU136">
        <v>36662</v>
      </c>
      <c r="DV136" s="173">
        <v>112832</v>
      </c>
      <c r="DW136" s="173">
        <v>-782</v>
      </c>
      <c r="DX136" s="173">
        <v>628</v>
      </c>
      <c r="DY136" s="57">
        <v>20.5</v>
      </c>
      <c r="DZ136" s="184">
        <v>230</v>
      </c>
      <c r="EA136" s="116">
        <v>16032</v>
      </c>
      <c r="EB136" s="48">
        <v>53277</v>
      </c>
      <c r="EC136" s="46">
        <v>40940</v>
      </c>
      <c r="ED136" s="90">
        <v>20594</v>
      </c>
      <c r="EE136" s="186">
        <v>-11</v>
      </c>
      <c r="EF136" s="46">
        <v>45814</v>
      </c>
      <c r="EG136" s="130">
        <v>3300</v>
      </c>
      <c r="EH136" s="46">
        <v>4163</v>
      </c>
      <c r="EI136" s="130">
        <v>-410</v>
      </c>
      <c r="EJ136" s="48">
        <v>-2311</v>
      </c>
      <c r="EK136" s="44">
        <v>4674</v>
      </c>
      <c r="EL136" s="44">
        <v>37675</v>
      </c>
      <c r="EM136" s="130">
        <v>115210</v>
      </c>
      <c r="EN136" s="117">
        <v>-5020</v>
      </c>
      <c r="EO136" s="117">
        <v>-4392</v>
      </c>
      <c r="EP136" s="129">
        <v>20.5</v>
      </c>
    </row>
    <row r="137" spans="1:146" ht="15" x14ac:dyDescent="0.25">
      <c r="A137" s="27">
        <v>433</v>
      </c>
      <c r="B137" s="27" t="s">
        <v>265</v>
      </c>
      <c r="C137" s="27">
        <v>5</v>
      </c>
      <c r="D137" s="27" t="s">
        <v>109</v>
      </c>
      <c r="E137" s="27">
        <v>3</v>
      </c>
      <c r="F137" s="27" t="s">
        <v>743</v>
      </c>
      <c r="G137" s="29" t="s">
        <v>130</v>
      </c>
      <c r="H137" s="27" t="s">
        <v>98</v>
      </c>
      <c r="I137" s="31" t="s">
        <v>109</v>
      </c>
      <c r="J137" s="118">
        <v>45.074364291684958</v>
      </c>
      <c r="K137" s="118">
        <v>-647.52351687681744</v>
      </c>
      <c r="L137" s="118">
        <v>-1068.3297088835182</v>
      </c>
      <c r="M137" s="118">
        <v>12.445906558151815</v>
      </c>
      <c r="N137" s="22">
        <v>2148</v>
      </c>
      <c r="O137" s="119">
        <v>2384</v>
      </c>
      <c r="P137" s="119">
        <v>3443</v>
      </c>
      <c r="Q137" s="120">
        <v>2862</v>
      </c>
      <c r="R137" s="22">
        <v>2222</v>
      </c>
      <c r="S137" s="22">
        <v>1280</v>
      </c>
      <c r="T137" s="121">
        <v>712</v>
      </c>
      <c r="U137" s="121">
        <v>1622</v>
      </c>
      <c r="V137" s="121">
        <v>4120</v>
      </c>
      <c r="W137" s="106">
        <v>6192</v>
      </c>
      <c r="X137" s="121">
        <v>8382</v>
      </c>
      <c r="Y137" s="121">
        <v>10200</v>
      </c>
      <c r="Z137" s="121">
        <v>12546</v>
      </c>
      <c r="AA137" s="121">
        <v>11240</v>
      </c>
      <c r="AB137" s="122">
        <v>17.5</v>
      </c>
      <c r="AC137" s="123">
        <v>18</v>
      </c>
      <c r="AD137" s="124">
        <v>18</v>
      </c>
      <c r="AE137" s="125">
        <v>18</v>
      </c>
      <c r="AF137" s="126">
        <v>18.75</v>
      </c>
      <c r="AG137" s="123">
        <v>18.75</v>
      </c>
      <c r="AH137" s="123">
        <v>18.75</v>
      </c>
      <c r="AI137" s="127">
        <v>18.75</v>
      </c>
      <c r="AJ137" s="127">
        <v>18.75</v>
      </c>
      <c r="AK137" s="22">
        <v>19.25</v>
      </c>
      <c r="AL137" s="128">
        <v>19.25</v>
      </c>
      <c r="AM137" s="128">
        <v>20</v>
      </c>
      <c r="AN137" s="128">
        <v>20</v>
      </c>
      <c r="AO137" s="77">
        <v>20</v>
      </c>
      <c r="AP137" s="77">
        <v>20</v>
      </c>
      <c r="AQ137" s="129">
        <v>20</v>
      </c>
      <c r="AR137" s="129">
        <v>20</v>
      </c>
      <c r="AS137" s="129">
        <v>20.5</v>
      </c>
      <c r="AT137" s="116">
        <v>8341</v>
      </c>
      <c r="AU137" s="47">
        <v>5296</v>
      </c>
      <c r="AV137" s="47">
        <v>43584</v>
      </c>
      <c r="AW137" s="46">
        <v>26029</v>
      </c>
      <c r="AX137" s="46">
        <v>15799</v>
      </c>
      <c r="AY137" s="92">
        <v>13</v>
      </c>
      <c r="AZ137" s="47">
        <v>3218</v>
      </c>
      <c r="BA137" s="44">
        <v>1470</v>
      </c>
      <c r="BB137" s="23">
        <v>-3003</v>
      </c>
      <c r="BC137" s="47">
        <v>1748</v>
      </c>
      <c r="BD137" s="44">
        <v>1748</v>
      </c>
      <c r="BE137" s="47">
        <v>10200</v>
      </c>
      <c r="BF137" s="44">
        <v>26029</v>
      </c>
      <c r="BG137" s="46">
        <v>23355</v>
      </c>
      <c r="BH137" s="130">
        <v>1073</v>
      </c>
      <c r="BI137" s="46">
        <v>1601</v>
      </c>
      <c r="BJ137" s="129">
        <v>20</v>
      </c>
      <c r="BK137" s="44">
        <v>15650</v>
      </c>
      <c r="BL137" s="116">
        <v>8291</v>
      </c>
      <c r="BM137" s="47">
        <v>5718</v>
      </c>
      <c r="BN137" s="130">
        <v>44677</v>
      </c>
      <c r="BO137" s="46">
        <v>27309</v>
      </c>
      <c r="BP137" s="46">
        <v>15987</v>
      </c>
      <c r="BQ137" s="46">
        <v>19</v>
      </c>
      <c r="BR137" s="130">
        <v>4009</v>
      </c>
      <c r="BS137" s="44">
        <v>1663</v>
      </c>
      <c r="BT137" s="92">
        <v>-2602</v>
      </c>
      <c r="BU137" s="117">
        <v>2346</v>
      </c>
      <c r="BV137" s="130">
        <v>12546</v>
      </c>
      <c r="BW137" s="48">
        <v>27309</v>
      </c>
      <c r="BX137" s="46">
        <v>24100</v>
      </c>
      <c r="BY137" s="130">
        <v>1207</v>
      </c>
      <c r="BZ137" s="46">
        <v>2002</v>
      </c>
      <c r="CA137" s="129">
        <v>20</v>
      </c>
      <c r="CB137" s="44">
        <v>14898</v>
      </c>
      <c r="CC137" s="116">
        <v>8175</v>
      </c>
      <c r="CD137" s="47">
        <v>5828</v>
      </c>
      <c r="CE137" s="130">
        <v>46061</v>
      </c>
      <c r="CF137" s="46">
        <v>27605</v>
      </c>
      <c r="CG137" s="46">
        <v>15242</v>
      </c>
      <c r="CH137" s="46">
        <v>24</v>
      </c>
      <c r="CI137" s="130">
        <v>2309</v>
      </c>
      <c r="CJ137" s="44">
        <v>1770</v>
      </c>
      <c r="CK137" s="117">
        <v>-4331</v>
      </c>
      <c r="CL137" s="117">
        <v>539</v>
      </c>
      <c r="CM137" s="117">
        <v>11240</v>
      </c>
      <c r="CN137" s="48">
        <v>27605</v>
      </c>
      <c r="CO137" s="46">
        <v>24125</v>
      </c>
      <c r="CP137" s="130">
        <v>1478</v>
      </c>
      <c r="CQ137" s="46">
        <v>2002</v>
      </c>
      <c r="CR137" s="129">
        <v>20.5</v>
      </c>
      <c r="CS137" s="44">
        <v>16144</v>
      </c>
      <c r="CT137">
        <v>8098</v>
      </c>
      <c r="CU137">
        <v>28572</v>
      </c>
      <c r="CV137">
        <v>15986</v>
      </c>
      <c r="CW137">
        <v>5585</v>
      </c>
      <c r="CX137">
        <v>20</v>
      </c>
      <c r="CY137">
        <v>25091</v>
      </c>
      <c r="CZ137">
        <v>1450</v>
      </c>
      <c r="DA137">
        <v>2031</v>
      </c>
      <c r="DB137">
        <v>3484</v>
      </c>
      <c r="DC137">
        <v>-7943</v>
      </c>
      <c r="DD137">
        <v>2248</v>
      </c>
      <c r="DE137">
        <v>21328</v>
      </c>
      <c r="DF137">
        <v>46375</v>
      </c>
      <c r="DG137">
        <v>1236</v>
      </c>
      <c r="DH137">
        <v>12477</v>
      </c>
      <c r="DI137">
        <v>21.5</v>
      </c>
      <c r="DJ137" s="174">
        <v>8028</v>
      </c>
      <c r="DK137" s="34">
        <v>29218</v>
      </c>
      <c r="DL137" s="34">
        <v>15862</v>
      </c>
      <c r="DM137">
        <v>5459</v>
      </c>
      <c r="DN137" s="173">
        <v>-317</v>
      </c>
      <c r="DO137" s="34">
        <v>25505</v>
      </c>
      <c r="DP137" s="173">
        <v>1684</v>
      </c>
      <c r="DQ137" s="34">
        <v>2029</v>
      </c>
      <c r="DR137" s="173">
        <v>3331</v>
      </c>
      <c r="DS137" s="173">
        <v>-2310</v>
      </c>
      <c r="DT137">
        <v>2065</v>
      </c>
      <c r="DU137">
        <v>20033</v>
      </c>
      <c r="DV137" s="173">
        <v>46891</v>
      </c>
      <c r="DW137" s="173">
        <v>1266</v>
      </c>
      <c r="DX137" s="173">
        <v>13743</v>
      </c>
      <c r="DY137" s="57">
        <v>21.5</v>
      </c>
      <c r="DZ137" s="184">
        <v>340</v>
      </c>
      <c r="EA137" s="116">
        <v>7861</v>
      </c>
      <c r="EB137" s="48">
        <v>28112</v>
      </c>
      <c r="EC137" s="46">
        <v>15422</v>
      </c>
      <c r="ED137" s="90">
        <v>5477</v>
      </c>
      <c r="EE137" s="186">
        <v>-235</v>
      </c>
      <c r="EF137" s="46">
        <v>24605</v>
      </c>
      <c r="EG137" s="130">
        <v>1482</v>
      </c>
      <c r="EH137" s="46">
        <v>2025</v>
      </c>
      <c r="EI137" s="130">
        <v>1266</v>
      </c>
      <c r="EJ137" s="48">
        <v>-1648</v>
      </c>
      <c r="EK137" s="44">
        <v>2091</v>
      </c>
      <c r="EL137" s="44">
        <v>19798</v>
      </c>
      <c r="EM137" s="130">
        <v>47510</v>
      </c>
      <c r="EN137" s="117">
        <v>-825</v>
      </c>
      <c r="EO137" s="117">
        <v>12918</v>
      </c>
      <c r="EP137" s="129">
        <v>21.5</v>
      </c>
    </row>
    <row r="138" spans="1:146" ht="15" x14ac:dyDescent="0.25">
      <c r="A138" s="27">
        <v>434</v>
      </c>
      <c r="B138" s="27" t="s">
        <v>266</v>
      </c>
      <c r="C138" s="27">
        <v>1</v>
      </c>
      <c r="D138" s="27" t="s">
        <v>121</v>
      </c>
      <c r="E138" s="27">
        <v>4</v>
      </c>
      <c r="F138" s="27" t="s">
        <v>100</v>
      </c>
      <c r="G138" s="29" t="s">
        <v>132</v>
      </c>
      <c r="H138" s="27" t="s">
        <v>99</v>
      </c>
      <c r="I138" s="31" t="s">
        <v>121</v>
      </c>
      <c r="J138" s="118">
        <v>925.87453517061817</v>
      </c>
      <c r="K138" s="118">
        <v>654.58740978820094</v>
      </c>
      <c r="L138" s="118">
        <v>2589.4213158014236</v>
      </c>
      <c r="M138" s="118">
        <v>-1.0091275587692508</v>
      </c>
      <c r="N138" s="177">
        <v>337</v>
      </c>
      <c r="O138" s="119">
        <v>-1985</v>
      </c>
      <c r="P138" s="119">
        <v>-1886</v>
      </c>
      <c r="Q138" s="120">
        <v>-2887</v>
      </c>
      <c r="R138" s="177">
        <v>1492</v>
      </c>
      <c r="S138" s="177">
        <v>3814</v>
      </c>
      <c r="T138" s="121">
        <v>4457</v>
      </c>
      <c r="U138" s="121">
        <v>1062</v>
      </c>
      <c r="V138" s="121">
        <v>1349</v>
      </c>
      <c r="W138" s="106">
        <v>3966</v>
      </c>
      <c r="X138" s="121">
        <v>5304</v>
      </c>
      <c r="Y138" s="121">
        <v>9524</v>
      </c>
      <c r="Z138" s="121">
        <v>16187</v>
      </c>
      <c r="AA138" s="121">
        <v>16832</v>
      </c>
      <c r="AB138" s="122">
        <v>18.5</v>
      </c>
      <c r="AC138" s="123">
        <v>18.5</v>
      </c>
      <c r="AD138" s="124">
        <v>18.5</v>
      </c>
      <c r="AE138" s="125">
        <v>18.5</v>
      </c>
      <c r="AF138" s="126">
        <v>18.5</v>
      </c>
      <c r="AG138" s="123">
        <v>19</v>
      </c>
      <c r="AH138" s="123">
        <v>19</v>
      </c>
      <c r="AI138" s="127">
        <v>19.5</v>
      </c>
      <c r="AJ138" s="127">
        <v>19.5</v>
      </c>
      <c r="AK138" s="177">
        <v>19.5</v>
      </c>
      <c r="AL138" s="128">
        <v>19.5</v>
      </c>
      <c r="AM138" s="128">
        <v>19.5</v>
      </c>
      <c r="AN138" s="128">
        <v>19.5</v>
      </c>
      <c r="AO138" s="77">
        <v>19.75</v>
      </c>
      <c r="AP138" s="77">
        <v>19.75</v>
      </c>
      <c r="AQ138" s="129">
        <v>19.75</v>
      </c>
      <c r="AR138" s="129">
        <v>19.75</v>
      </c>
      <c r="AS138" s="129">
        <v>19.75</v>
      </c>
      <c r="AT138" s="116">
        <v>15493</v>
      </c>
      <c r="AU138" s="47">
        <v>25682</v>
      </c>
      <c r="AV138" s="47">
        <v>110555</v>
      </c>
      <c r="AW138" s="46">
        <v>65423</v>
      </c>
      <c r="AX138" s="46">
        <v>26229</v>
      </c>
      <c r="AY138" s="92">
        <v>2197</v>
      </c>
      <c r="AZ138" s="47">
        <v>8679</v>
      </c>
      <c r="BA138" s="44">
        <v>4092</v>
      </c>
      <c r="BB138" s="23">
        <v>-10315</v>
      </c>
      <c r="BC138" s="47">
        <v>4523</v>
      </c>
      <c r="BD138" s="44">
        <v>4220</v>
      </c>
      <c r="BE138" s="47">
        <v>9524</v>
      </c>
      <c r="BF138" s="44">
        <v>65423</v>
      </c>
      <c r="BG138" s="46">
        <v>48662</v>
      </c>
      <c r="BH138" s="130">
        <v>9719</v>
      </c>
      <c r="BI138" s="46">
        <v>7042</v>
      </c>
      <c r="BJ138" s="129">
        <v>19.75</v>
      </c>
      <c r="BK138" s="44">
        <v>18242</v>
      </c>
      <c r="BL138" s="116">
        <v>15480</v>
      </c>
      <c r="BM138" s="47">
        <v>25066</v>
      </c>
      <c r="BN138" s="130">
        <v>110710</v>
      </c>
      <c r="BO138" s="46">
        <v>63078</v>
      </c>
      <c r="BP138" s="46">
        <v>24776</v>
      </c>
      <c r="BQ138" s="46">
        <v>8412</v>
      </c>
      <c r="BR138" s="130">
        <v>3467</v>
      </c>
      <c r="BS138" s="44">
        <v>3764</v>
      </c>
      <c r="BT138" s="92">
        <v>-11880</v>
      </c>
      <c r="BU138" s="117">
        <v>6663</v>
      </c>
      <c r="BV138" s="130">
        <v>16187</v>
      </c>
      <c r="BW138" s="48">
        <v>63078</v>
      </c>
      <c r="BX138" s="46">
        <v>47623</v>
      </c>
      <c r="BY138" s="130">
        <v>8150</v>
      </c>
      <c r="BZ138" s="46">
        <v>7305</v>
      </c>
      <c r="CA138" s="129">
        <v>19.75</v>
      </c>
      <c r="CB138" s="44">
        <v>25621</v>
      </c>
      <c r="CC138" s="116">
        <v>15311</v>
      </c>
      <c r="CD138" s="47">
        <v>22212</v>
      </c>
      <c r="CE138" s="130">
        <v>109442</v>
      </c>
      <c r="CF138" s="46">
        <v>65832</v>
      </c>
      <c r="CG138" s="46">
        <v>24732</v>
      </c>
      <c r="CH138" s="46">
        <v>3186</v>
      </c>
      <c r="CI138" s="130">
        <v>4671</v>
      </c>
      <c r="CJ138" s="44">
        <v>4070</v>
      </c>
      <c r="CK138" s="117">
        <v>-2168</v>
      </c>
      <c r="CL138" s="117">
        <v>644</v>
      </c>
      <c r="CM138" s="117">
        <v>16832</v>
      </c>
      <c r="CN138" s="48">
        <v>65832</v>
      </c>
      <c r="CO138" s="46">
        <v>49304</v>
      </c>
      <c r="CP138" s="130">
        <v>9103</v>
      </c>
      <c r="CQ138" s="46">
        <v>7425</v>
      </c>
      <c r="CR138" s="129">
        <v>19.75</v>
      </c>
      <c r="CS138" s="44">
        <v>32171</v>
      </c>
      <c r="CT138">
        <v>15208</v>
      </c>
      <c r="CU138">
        <v>65953</v>
      </c>
      <c r="CV138">
        <v>26174</v>
      </c>
      <c r="CW138">
        <v>22850</v>
      </c>
      <c r="CX138">
        <v>1692</v>
      </c>
      <c r="CY138">
        <v>49366</v>
      </c>
      <c r="CZ138">
        <v>8586</v>
      </c>
      <c r="DA138">
        <v>8001</v>
      </c>
      <c r="DB138">
        <v>7656</v>
      </c>
      <c r="DC138">
        <v>-10197</v>
      </c>
      <c r="DD138">
        <v>5468</v>
      </c>
      <c r="DE138">
        <v>34440</v>
      </c>
      <c r="DF138">
        <v>108748</v>
      </c>
      <c r="DG138">
        <v>724</v>
      </c>
      <c r="DH138">
        <v>17367</v>
      </c>
      <c r="DI138">
        <v>19.75</v>
      </c>
      <c r="DJ138" s="174">
        <v>15085</v>
      </c>
      <c r="DK138" s="34">
        <v>65949</v>
      </c>
      <c r="DL138" s="34">
        <v>25227</v>
      </c>
      <c r="DM138">
        <v>22691</v>
      </c>
      <c r="DN138" s="173">
        <v>1849</v>
      </c>
      <c r="DO138" s="34">
        <v>47747</v>
      </c>
      <c r="DP138" s="173">
        <v>9950</v>
      </c>
      <c r="DQ138" s="34">
        <v>8252</v>
      </c>
      <c r="DR138" s="173">
        <v>8268</v>
      </c>
      <c r="DS138" s="173">
        <v>-7713</v>
      </c>
      <c r="DT138">
        <v>4624</v>
      </c>
      <c r="DU138">
        <v>35709</v>
      </c>
      <c r="DV138" s="173">
        <v>107109</v>
      </c>
      <c r="DW138" s="173">
        <v>518</v>
      </c>
      <c r="DX138" s="173">
        <v>17885</v>
      </c>
      <c r="DY138" s="57">
        <v>19.75</v>
      </c>
      <c r="DZ138" s="184">
        <v>240</v>
      </c>
      <c r="EA138" s="116">
        <v>14891</v>
      </c>
      <c r="EB138" s="48">
        <v>60000</v>
      </c>
      <c r="EC138" s="46">
        <v>24358</v>
      </c>
      <c r="ED138" s="90">
        <v>22494</v>
      </c>
      <c r="EE138" s="186">
        <v>1586</v>
      </c>
      <c r="EF138" s="46">
        <v>45706</v>
      </c>
      <c r="EG138" s="130">
        <v>6689</v>
      </c>
      <c r="EH138" s="46">
        <v>7605</v>
      </c>
      <c r="EI138" s="130">
        <v>-1792</v>
      </c>
      <c r="EJ138" s="48">
        <v>-12010</v>
      </c>
      <c r="EK138" s="44">
        <v>4970</v>
      </c>
      <c r="EL138" s="44">
        <v>44635</v>
      </c>
      <c r="EM138" s="130">
        <v>110230</v>
      </c>
      <c r="EN138" s="117">
        <v>-6725</v>
      </c>
      <c r="EO138" s="117">
        <v>11160</v>
      </c>
      <c r="EP138" s="129">
        <v>19.75</v>
      </c>
    </row>
    <row r="139" spans="1:146" ht="15" x14ac:dyDescent="0.25">
      <c r="A139" s="27">
        <v>435</v>
      </c>
      <c r="B139" s="27" t="s">
        <v>267</v>
      </c>
      <c r="C139" s="27">
        <v>13</v>
      </c>
      <c r="D139" s="27" t="s">
        <v>111</v>
      </c>
      <c r="E139" s="27">
        <v>1</v>
      </c>
      <c r="F139" s="27" t="s">
        <v>103</v>
      </c>
      <c r="G139" s="29" t="s">
        <v>130</v>
      </c>
      <c r="H139" s="27" t="s">
        <v>98</v>
      </c>
      <c r="I139" s="31" t="s">
        <v>111</v>
      </c>
      <c r="J139" s="118">
        <v>589.66687017405764</v>
      </c>
      <c r="K139" s="118">
        <v>593.70338040913396</v>
      </c>
      <c r="L139" s="118">
        <v>595.04888382082606</v>
      </c>
      <c r="M139" s="118">
        <v>380.77746550886104</v>
      </c>
      <c r="N139" s="22">
        <v>-60</v>
      </c>
      <c r="O139" s="119">
        <v>31</v>
      </c>
      <c r="P139" s="119">
        <v>-211</v>
      </c>
      <c r="Q139" s="120">
        <v>24</v>
      </c>
      <c r="R139" s="22">
        <v>136</v>
      </c>
      <c r="S139" s="22">
        <v>-286</v>
      </c>
      <c r="T139" s="121">
        <v>-288</v>
      </c>
      <c r="U139" s="121">
        <v>-64</v>
      </c>
      <c r="V139" s="121">
        <v>556</v>
      </c>
      <c r="W139" s="106">
        <v>648</v>
      </c>
      <c r="X139" s="121">
        <v>612</v>
      </c>
      <c r="Y139" s="121">
        <v>709</v>
      </c>
      <c r="Z139" s="121">
        <v>1413</v>
      </c>
      <c r="AA139" s="121">
        <v>2167</v>
      </c>
      <c r="AB139" s="122">
        <v>18.5</v>
      </c>
      <c r="AC139" s="123">
        <v>18.5</v>
      </c>
      <c r="AD139" s="124">
        <v>18.5</v>
      </c>
      <c r="AE139" s="125">
        <v>18.5</v>
      </c>
      <c r="AF139" s="126">
        <v>18.5</v>
      </c>
      <c r="AG139" s="123">
        <v>19</v>
      </c>
      <c r="AH139" s="123">
        <v>19</v>
      </c>
      <c r="AI139" s="131">
        <v>19</v>
      </c>
      <c r="AJ139" s="131">
        <v>19</v>
      </c>
      <c r="AK139" s="22">
        <v>19</v>
      </c>
      <c r="AL139" s="128">
        <v>19</v>
      </c>
      <c r="AM139" s="128">
        <v>19</v>
      </c>
      <c r="AN139" s="128">
        <v>19</v>
      </c>
      <c r="AO139" s="77">
        <v>19</v>
      </c>
      <c r="AP139" s="77">
        <v>19</v>
      </c>
      <c r="AQ139" s="129">
        <v>19</v>
      </c>
      <c r="AR139" s="129">
        <v>19</v>
      </c>
      <c r="AS139" s="129">
        <v>19</v>
      </c>
      <c r="AT139" s="116">
        <v>763</v>
      </c>
      <c r="AU139" s="47">
        <v>798</v>
      </c>
      <c r="AV139" s="47">
        <v>5952</v>
      </c>
      <c r="AW139" s="46">
        <v>2228</v>
      </c>
      <c r="AX139" s="46">
        <v>3207</v>
      </c>
      <c r="AY139" s="92">
        <v>82</v>
      </c>
      <c r="AZ139" s="47">
        <v>285</v>
      </c>
      <c r="BA139" s="44">
        <v>244</v>
      </c>
      <c r="BB139" s="23">
        <v>-306</v>
      </c>
      <c r="BC139" s="47">
        <v>97</v>
      </c>
      <c r="BD139" s="44">
        <v>97</v>
      </c>
      <c r="BE139" s="47">
        <v>709</v>
      </c>
      <c r="BF139" s="44">
        <v>2228</v>
      </c>
      <c r="BG139" s="46">
        <v>1675</v>
      </c>
      <c r="BH139" s="130">
        <v>209</v>
      </c>
      <c r="BI139" s="46">
        <v>344</v>
      </c>
      <c r="BJ139" s="129">
        <v>19</v>
      </c>
      <c r="BK139" s="44">
        <v>1557</v>
      </c>
      <c r="BL139" s="116">
        <v>761</v>
      </c>
      <c r="BM139" s="47">
        <v>848</v>
      </c>
      <c r="BN139" s="130">
        <v>5935</v>
      </c>
      <c r="BO139" s="46">
        <v>2422</v>
      </c>
      <c r="BP139" s="46">
        <v>3302</v>
      </c>
      <c r="BQ139" s="46">
        <v>318</v>
      </c>
      <c r="BR139" s="130">
        <v>643</v>
      </c>
      <c r="BS139" s="44">
        <v>222</v>
      </c>
      <c r="BT139" s="92">
        <v>-130</v>
      </c>
      <c r="BU139" s="117">
        <v>704</v>
      </c>
      <c r="BV139" s="130">
        <v>1413</v>
      </c>
      <c r="BW139" s="48">
        <v>2422</v>
      </c>
      <c r="BX139" s="46">
        <v>1789</v>
      </c>
      <c r="BY139" s="130">
        <v>246</v>
      </c>
      <c r="BZ139" s="46">
        <v>387</v>
      </c>
      <c r="CA139" s="129">
        <v>19</v>
      </c>
      <c r="CB139" s="44">
        <v>1530</v>
      </c>
      <c r="CC139" s="116">
        <v>761</v>
      </c>
      <c r="CD139" s="47">
        <v>1010</v>
      </c>
      <c r="CE139" s="130">
        <v>5654</v>
      </c>
      <c r="CF139" s="46">
        <v>2522</v>
      </c>
      <c r="CG139" s="46">
        <v>3051</v>
      </c>
      <c r="CH139" s="46">
        <v>24</v>
      </c>
      <c r="CI139" s="130">
        <v>947</v>
      </c>
      <c r="CJ139" s="44">
        <v>198</v>
      </c>
      <c r="CK139" s="117">
        <v>-134</v>
      </c>
      <c r="CL139" s="117">
        <v>755</v>
      </c>
      <c r="CM139" s="117">
        <v>2167</v>
      </c>
      <c r="CN139" s="48">
        <v>2522</v>
      </c>
      <c r="CO139" s="46">
        <v>1810</v>
      </c>
      <c r="CP139" s="130">
        <v>267</v>
      </c>
      <c r="CQ139" s="46">
        <v>445</v>
      </c>
      <c r="CR139" s="129">
        <v>19</v>
      </c>
      <c r="CS139" s="44">
        <v>1336</v>
      </c>
      <c r="CT139">
        <v>756</v>
      </c>
      <c r="CU139">
        <v>2329</v>
      </c>
      <c r="CV139">
        <v>3088</v>
      </c>
      <c r="CW139">
        <v>930</v>
      </c>
      <c r="CX139">
        <v>84</v>
      </c>
      <c r="CY139">
        <v>1593</v>
      </c>
      <c r="CZ139">
        <v>238</v>
      </c>
      <c r="DA139">
        <v>498</v>
      </c>
      <c r="DB139">
        <v>237</v>
      </c>
      <c r="DC139">
        <v>-544</v>
      </c>
      <c r="DD139">
        <v>203</v>
      </c>
      <c r="DE139">
        <v>1231</v>
      </c>
      <c r="DF139">
        <v>6126</v>
      </c>
      <c r="DG139">
        <v>102</v>
      </c>
      <c r="DH139">
        <v>2268</v>
      </c>
      <c r="DI139">
        <v>18.5</v>
      </c>
      <c r="DJ139" s="174">
        <v>734</v>
      </c>
      <c r="DK139" s="34">
        <v>2436</v>
      </c>
      <c r="DL139" s="34">
        <v>3143</v>
      </c>
      <c r="DM139">
        <v>1125</v>
      </c>
      <c r="DN139" s="173">
        <v>9</v>
      </c>
      <c r="DO139" s="34">
        <v>1655</v>
      </c>
      <c r="DP139" s="173">
        <v>286</v>
      </c>
      <c r="DQ139" s="34">
        <v>495</v>
      </c>
      <c r="DR139" s="173">
        <v>634</v>
      </c>
      <c r="DS139" s="173">
        <v>-1751</v>
      </c>
      <c r="DT139">
        <v>228</v>
      </c>
      <c r="DU139">
        <v>2235</v>
      </c>
      <c r="DV139" s="173">
        <v>6079</v>
      </c>
      <c r="DW139" s="173">
        <v>406</v>
      </c>
      <c r="DX139" s="173">
        <v>2674</v>
      </c>
      <c r="DY139" s="57">
        <v>18.5</v>
      </c>
      <c r="DZ139" s="184">
        <v>340</v>
      </c>
      <c r="EA139" s="116">
        <v>707</v>
      </c>
      <c r="EB139" s="48">
        <v>2452</v>
      </c>
      <c r="EC139" s="46">
        <v>2959</v>
      </c>
      <c r="ED139" s="90">
        <v>913</v>
      </c>
      <c r="EE139" s="186">
        <v>81</v>
      </c>
      <c r="EF139" s="46">
        <v>1589</v>
      </c>
      <c r="EG139" s="130">
        <v>284</v>
      </c>
      <c r="EH139" s="46">
        <v>579</v>
      </c>
      <c r="EI139" s="130">
        <v>462</v>
      </c>
      <c r="EJ139" s="48">
        <v>-348</v>
      </c>
      <c r="EK139" s="44">
        <v>228</v>
      </c>
      <c r="EL139" s="44">
        <v>2087</v>
      </c>
      <c r="EM139" s="130">
        <v>5873</v>
      </c>
      <c r="EN139" s="117">
        <v>304</v>
      </c>
      <c r="EO139" s="117">
        <v>2979</v>
      </c>
      <c r="EP139" s="129">
        <v>18.5</v>
      </c>
    </row>
    <row r="140" spans="1:146" ht="15" x14ac:dyDescent="0.25">
      <c r="A140" s="27">
        <v>436</v>
      </c>
      <c r="B140" s="27" t="s">
        <v>268</v>
      </c>
      <c r="C140" s="27">
        <v>17</v>
      </c>
      <c r="D140" s="27" t="s">
        <v>117</v>
      </c>
      <c r="E140" s="27">
        <v>2</v>
      </c>
      <c r="F140" s="27" t="s">
        <v>744</v>
      </c>
      <c r="G140" s="29" t="s">
        <v>130</v>
      </c>
      <c r="H140" s="27" t="s">
        <v>98</v>
      </c>
      <c r="I140" s="31" t="s">
        <v>117</v>
      </c>
      <c r="J140" s="118">
        <v>-19.173423616612258</v>
      </c>
      <c r="K140" s="118">
        <v>-39.187786865532068</v>
      </c>
      <c r="L140" s="118">
        <v>10.764027293536707</v>
      </c>
      <c r="M140" s="118">
        <v>932.93842808200168</v>
      </c>
      <c r="N140" s="22">
        <v>1491</v>
      </c>
      <c r="O140" s="119">
        <v>1538</v>
      </c>
      <c r="P140" s="119">
        <v>962</v>
      </c>
      <c r="Q140" s="120">
        <v>318</v>
      </c>
      <c r="R140" s="22">
        <v>64</v>
      </c>
      <c r="S140" s="22">
        <v>399</v>
      </c>
      <c r="T140" s="121">
        <v>543</v>
      </c>
      <c r="U140" s="121">
        <v>1189</v>
      </c>
      <c r="V140" s="121">
        <v>1398</v>
      </c>
      <c r="W140" s="106">
        <v>1090</v>
      </c>
      <c r="X140" s="121">
        <v>1110</v>
      </c>
      <c r="Y140" s="121">
        <v>761</v>
      </c>
      <c r="Z140" s="121">
        <v>333</v>
      </c>
      <c r="AA140" s="121">
        <v>304</v>
      </c>
      <c r="AB140" s="122">
        <v>18.5</v>
      </c>
      <c r="AC140" s="123">
        <v>18.5</v>
      </c>
      <c r="AD140" s="124">
        <v>19</v>
      </c>
      <c r="AE140" s="125">
        <v>19</v>
      </c>
      <c r="AF140" s="126">
        <v>19</v>
      </c>
      <c r="AG140" s="123">
        <v>19</v>
      </c>
      <c r="AH140" s="123">
        <v>19</v>
      </c>
      <c r="AI140" s="127">
        <v>19</v>
      </c>
      <c r="AJ140" s="127">
        <v>19.75</v>
      </c>
      <c r="AK140" s="22">
        <v>19.75</v>
      </c>
      <c r="AL140" s="128">
        <v>19.75</v>
      </c>
      <c r="AM140" s="128">
        <v>19.75</v>
      </c>
      <c r="AN140" s="128">
        <v>20.5</v>
      </c>
      <c r="AO140" s="77">
        <v>20.5</v>
      </c>
      <c r="AP140" s="77">
        <v>20.5</v>
      </c>
      <c r="AQ140" s="129">
        <v>20.5</v>
      </c>
      <c r="AR140" s="129">
        <v>20.5</v>
      </c>
      <c r="AS140" s="129">
        <v>20.5</v>
      </c>
      <c r="AT140" s="116">
        <v>2084</v>
      </c>
      <c r="AU140" s="47">
        <v>1579</v>
      </c>
      <c r="AV140" s="47">
        <v>12414</v>
      </c>
      <c r="AW140" s="46">
        <v>5127</v>
      </c>
      <c r="AX140" s="46">
        <v>5898</v>
      </c>
      <c r="AY140" s="92">
        <v>88</v>
      </c>
      <c r="AZ140" s="47">
        <v>228</v>
      </c>
      <c r="BA140" s="44">
        <v>577</v>
      </c>
      <c r="BB140" s="23">
        <v>-1214</v>
      </c>
      <c r="BC140" s="47">
        <v>-349</v>
      </c>
      <c r="BD140" s="44">
        <v>-349</v>
      </c>
      <c r="BE140" s="47">
        <v>761</v>
      </c>
      <c r="BF140" s="44">
        <v>5127</v>
      </c>
      <c r="BG140" s="46">
        <v>4847</v>
      </c>
      <c r="BH140" s="130">
        <v>108</v>
      </c>
      <c r="BI140" s="46">
        <v>172</v>
      </c>
      <c r="BJ140" s="129">
        <v>20.5</v>
      </c>
      <c r="BK140" s="44">
        <v>4407</v>
      </c>
      <c r="BL140" s="116">
        <v>2074</v>
      </c>
      <c r="BM140" s="47">
        <v>1658</v>
      </c>
      <c r="BN140" s="130">
        <v>12816</v>
      </c>
      <c r="BO140" s="46">
        <v>5227</v>
      </c>
      <c r="BP140" s="46">
        <v>6095</v>
      </c>
      <c r="BQ140" s="46">
        <v>5</v>
      </c>
      <c r="BR140" s="130">
        <v>108</v>
      </c>
      <c r="BS140" s="44">
        <v>557</v>
      </c>
      <c r="BT140" s="92">
        <v>-1427</v>
      </c>
      <c r="BU140" s="117">
        <v>-427</v>
      </c>
      <c r="BV140" s="130">
        <v>333</v>
      </c>
      <c r="BW140" s="48">
        <v>5227</v>
      </c>
      <c r="BX140" s="46">
        <v>4916</v>
      </c>
      <c r="BY140" s="130">
        <v>120</v>
      </c>
      <c r="BZ140" s="46">
        <v>191</v>
      </c>
      <c r="CA140" s="129">
        <v>20.5</v>
      </c>
      <c r="CB140" s="44">
        <v>5738</v>
      </c>
      <c r="CC140" s="116">
        <v>2076</v>
      </c>
      <c r="CD140" s="47">
        <v>1857</v>
      </c>
      <c r="CE140" s="130">
        <v>12756</v>
      </c>
      <c r="CF140" s="46">
        <v>5439</v>
      </c>
      <c r="CG140" s="46">
        <v>6004</v>
      </c>
      <c r="CH140" s="46">
        <v>27</v>
      </c>
      <c r="CI140" s="130">
        <v>506</v>
      </c>
      <c r="CJ140" s="44">
        <v>623</v>
      </c>
      <c r="CK140" s="117">
        <v>-148</v>
      </c>
      <c r="CL140" s="117">
        <v>-29</v>
      </c>
      <c r="CM140" s="117">
        <v>304</v>
      </c>
      <c r="CN140" s="48">
        <v>5439</v>
      </c>
      <c r="CO140" s="46">
        <v>5039</v>
      </c>
      <c r="CP140" s="130">
        <v>145</v>
      </c>
      <c r="CQ140" s="46">
        <v>255</v>
      </c>
      <c r="CR140" s="129">
        <v>20.5</v>
      </c>
      <c r="CS140" s="44">
        <v>5322</v>
      </c>
      <c r="CT140">
        <v>2105</v>
      </c>
      <c r="CU140">
        <v>5365</v>
      </c>
      <c r="CV140">
        <v>6211</v>
      </c>
      <c r="CW140">
        <v>1670</v>
      </c>
      <c r="CX140">
        <v>2</v>
      </c>
      <c r="CY140">
        <v>4942</v>
      </c>
      <c r="CZ140">
        <v>132</v>
      </c>
      <c r="DA140">
        <v>291</v>
      </c>
      <c r="DB140">
        <v>532</v>
      </c>
      <c r="DC140">
        <v>-179</v>
      </c>
      <c r="DD140">
        <v>571</v>
      </c>
      <c r="DE140">
        <v>4905</v>
      </c>
      <c r="DF140">
        <v>12684</v>
      </c>
      <c r="DG140">
        <v>46</v>
      </c>
      <c r="DH140">
        <v>373</v>
      </c>
      <c r="DI140">
        <v>20.75</v>
      </c>
      <c r="DJ140" s="174">
        <v>2081</v>
      </c>
      <c r="DK140" s="34">
        <v>5801</v>
      </c>
      <c r="DL140" s="34">
        <v>6288</v>
      </c>
      <c r="DM140">
        <v>1484</v>
      </c>
      <c r="DN140" s="173">
        <v>-10</v>
      </c>
      <c r="DO140" s="34">
        <v>5349</v>
      </c>
      <c r="DP140" s="173">
        <v>164</v>
      </c>
      <c r="DQ140" s="34">
        <v>288</v>
      </c>
      <c r="DR140" s="173">
        <v>541</v>
      </c>
      <c r="DS140" s="173">
        <v>-594</v>
      </c>
      <c r="DT140">
        <v>569</v>
      </c>
      <c r="DU140">
        <v>6287</v>
      </c>
      <c r="DV140" s="173">
        <v>13022</v>
      </c>
      <c r="DW140" s="173">
        <v>57</v>
      </c>
      <c r="DX140" s="173">
        <v>430</v>
      </c>
      <c r="DY140" s="57">
        <v>20.75</v>
      </c>
      <c r="DZ140" s="184">
        <v>340</v>
      </c>
      <c r="EA140" s="116">
        <v>2052</v>
      </c>
      <c r="EB140" s="48">
        <v>5704</v>
      </c>
      <c r="EC140" s="46">
        <v>6100</v>
      </c>
      <c r="ED140" s="90">
        <v>1049</v>
      </c>
      <c r="EE140" s="186">
        <v>-40</v>
      </c>
      <c r="EF140" s="46">
        <v>5255</v>
      </c>
      <c r="EG140" s="130">
        <v>159</v>
      </c>
      <c r="EH140" s="46">
        <v>290</v>
      </c>
      <c r="EI140" s="130">
        <v>951</v>
      </c>
      <c r="EJ140" s="48">
        <v>-1848</v>
      </c>
      <c r="EK140" s="44">
        <v>885</v>
      </c>
      <c r="EL140" s="44">
        <v>7176</v>
      </c>
      <c r="EM140" s="130">
        <v>11862</v>
      </c>
      <c r="EN140" s="117">
        <v>151</v>
      </c>
      <c r="EO140" s="117">
        <v>581</v>
      </c>
      <c r="EP140" s="129">
        <v>21</v>
      </c>
    </row>
    <row r="141" spans="1:146" ht="15" x14ac:dyDescent="0.25">
      <c r="A141" s="27">
        <v>440</v>
      </c>
      <c r="B141" s="27" t="s">
        <v>269</v>
      </c>
      <c r="C141" s="27">
        <v>15</v>
      </c>
      <c r="D141" s="27" t="s">
        <v>115</v>
      </c>
      <c r="E141" s="27">
        <v>3</v>
      </c>
      <c r="F141" s="27" t="s">
        <v>743</v>
      </c>
      <c r="G141" s="29" t="s">
        <v>130</v>
      </c>
      <c r="H141" s="27" t="s">
        <v>98</v>
      </c>
      <c r="I141" s="31" t="s">
        <v>115</v>
      </c>
      <c r="J141" s="118">
        <v>2627.5999751081868</v>
      </c>
      <c r="K141" s="118">
        <v>3734.4447191513909</v>
      </c>
      <c r="L141" s="118">
        <v>4217.9850077282354</v>
      </c>
      <c r="M141" s="118">
        <v>4925.383426425351</v>
      </c>
      <c r="N141" s="22">
        <v>6716</v>
      </c>
      <c r="O141" s="119">
        <v>6685</v>
      </c>
      <c r="P141" s="119">
        <v>6740</v>
      </c>
      <c r="Q141" s="120">
        <v>6528</v>
      </c>
      <c r="R141" s="22">
        <v>6730</v>
      </c>
      <c r="S141" s="22">
        <v>7166</v>
      </c>
      <c r="T141" s="121">
        <v>7848</v>
      </c>
      <c r="U141" s="121">
        <v>8467</v>
      </c>
      <c r="V141" s="121">
        <v>9358</v>
      </c>
      <c r="W141" s="106">
        <v>8876</v>
      </c>
      <c r="X141" s="121">
        <v>9800</v>
      </c>
      <c r="Y141" s="121">
        <v>9848</v>
      </c>
      <c r="Z141" s="121">
        <v>11217</v>
      </c>
      <c r="AA141" s="121">
        <v>13190</v>
      </c>
      <c r="AB141" s="122">
        <v>18.5</v>
      </c>
      <c r="AC141" s="123">
        <v>18.5</v>
      </c>
      <c r="AD141" s="124">
        <v>18.5</v>
      </c>
      <c r="AE141" s="125">
        <v>17.5</v>
      </c>
      <c r="AF141" s="126">
        <v>17.5</v>
      </c>
      <c r="AG141" s="123">
        <v>17.5</v>
      </c>
      <c r="AH141" s="123">
        <v>17.5</v>
      </c>
      <c r="AI141" s="127">
        <v>18.5</v>
      </c>
      <c r="AJ141" s="127">
        <v>18.5</v>
      </c>
      <c r="AK141" s="22">
        <v>18.5</v>
      </c>
      <c r="AL141" s="128">
        <v>18.5</v>
      </c>
      <c r="AM141" s="128">
        <v>18.5</v>
      </c>
      <c r="AN141" s="128">
        <v>18.5</v>
      </c>
      <c r="AO141" s="77">
        <v>18.5</v>
      </c>
      <c r="AP141" s="77">
        <v>19.5</v>
      </c>
      <c r="AQ141" s="129">
        <v>19.5</v>
      </c>
      <c r="AR141" s="129">
        <v>19.5</v>
      </c>
      <c r="AS141" s="129">
        <v>20</v>
      </c>
      <c r="AT141" s="116">
        <v>5065</v>
      </c>
      <c r="AU141" s="47">
        <v>2780</v>
      </c>
      <c r="AV141" s="47">
        <v>27128</v>
      </c>
      <c r="AW141" s="46">
        <v>13559</v>
      </c>
      <c r="AX141" s="46">
        <v>11661</v>
      </c>
      <c r="AY141" s="92">
        <v>270</v>
      </c>
      <c r="AZ141" s="47">
        <v>1109</v>
      </c>
      <c r="BA141" s="44">
        <v>1012</v>
      </c>
      <c r="BB141" s="23">
        <v>-1932</v>
      </c>
      <c r="BC141" s="47">
        <v>97</v>
      </c>
      <c r="BD141" s="44">
        <v>49</v>
      </c>
      <c r="BE141" s="47">
        <v>9848</v>
      </c>
      <c r="BF141" s="44">
        <v>13559</v>
      </c>
      <c r="BG141" s="46">
        <v>12462</v>
      </c>
      <c r="BH141" s="130">
        <v>261</v>
      </c>
      <c r="BI141" s="46">
        <v>836</v>
      </c>
      <c r="BJ141" s="129">
        <v>19.5</v>
      </c>
      <c r="BK141" s="44">
        <v>11008</v>
      </c>
      <c r="BL141" s="116">
        <v>5107</v>
      </c>
      <c r="BM141" s="47">
        <v>3129</v>
      </c>
      <c r="BN141" s="130">
        <v>27241</v>
      </c>
      <c r="BO141" s="46">
        <v>14317</v>
      </c>
      <c r="BP141" s="46">
        <v>11882</v>
      </c>
      <c r="BQ141" s="46">
        <v>364</v>
      </c>
      <c r="BR141" s="130">
        <v>2402</v>
      </c>
      <c r="BS141" s="44">
        <v>1033</v>
      </c>
      <c r="BT141" s="92">
        <v>-2478</v>
      </c>
      <c r="BU141" s="117">
        <v>1369</v>
      </c>
      <c r="BV141" s="130">
        <v>11217</v>
      </c>
      <c r="BW141" s="48">
        <v>14317</v>
      </c>
      <c r="BX141" s="46">
        <v>13106</v>
      </c>
      <c r="BY141" s="130">
        <v>289</v>
      </c>
      <c r="BZ141" s="46">
        <v>922</v>
      </c>
      <c r="CA141" s="129">
        <v>19.5</v>
      </c>
      <c r="CB141" s="44">
        <v>11421</v>
      </c>
      <c r="CC141" s="116">
        <v>5147</v>
      </c>
      <c r="CD141" s="47">
        <v>3064</v>
      </c>
      <c r="CE141" s="130">
        <v>27922</v>
      </c>
      <c r="CF141" s="46">
        <v>14929</v>
      </c>
      <c r="CG141" s="46">
        <v>13007</v>
      </c>
      <c r="CH141" s="46">
        <v>62</v>
      </c>
      <c r="CI141" s="130">
        <v>3097</v>
      </c>
      <c r="CJ141" s="44">
        <v>1124</v>
      </c>
      <c r="CK141" s="117">
        <v>-1237</v>
      </c>
      <c r="CL141" s="117">
        <v>1973</v>
      </c>
      <c r="CM141" s="117">
        <v>13190</v>
      </c>
      <c r="CN141" s="48">
        <v>14929</v>
      </c>
      <c r="CO141" s="46">
        <v>13624</v>
      </c>
      <c r="CP141" s="130">
        <v>316</v>
      </c>
      <c r="CQ141" s="46">
        <v>989</v>
      </c>
      <c r="CR141" s="129">
        <v>20</v>
      </c>
      <c r="CS141" s="44">
        <v>10933</v>
      </c>
      <c r="CT141">
        <v>5176</v>
      </c>
      <c r="CU141">
        <v>14899</v>
      </c>
      <c r="CV141">
        <v>13703</v>
      </c>
      <c r="CW141">
        <v>3058</v>
      </c>
      <c r="CX141">
        <v>386</v>
      </c>
      <c r="CY141">
        <v>13618</v>
      </c>
      <c r="CZ141">
        <v>283</v>
      </c>
      <c r="DA141">
        <v>998</v>
      </c>
      <c r="DB141">
        <v>3113</v>
      </c>
      <c r="DC141">
        <v>-3416</v>
      </c>
      <c r="DD141">
        <v>1259</v>
      </c>
      <c r="DE141">
        <v>13183</v>
      </c>
      <c r="DF141">
        <v>28933</v>
      </c>
      <c r="DG141">
        <v>1854</v>
      </c>
      <c r="DH141">
        <v>15044</v>
      </c>
      <c r="DI141">
        <v>19.5</v>
      </c>
      <c r="DJ141" s="174">
        <v>5264</v>
      </c>
      <c r="DK141" s="34">
        <v>14984</v>
      </c>
      <c r="DL141" s="34">
        <v>13720</v>
      </c>
      <c r="DM141">
        <v>3444</v>
      </c>
      <c r="DN141" s="173">
        <v>-107</v>
      </c>
      <c r="DO141" s="34">
        <v>13596</v>
      </c>
      <c r="DP141" s="173">
        <v>362</v>
      </c>
      <c r="DQ141" s="34">
        <v>1026</v>
      </c>
      <c r="DR141" s="173">
        <v>2470</v>
      </c>
      <c r="DS141" s="173">
        <v>-10294</v>
      </c>
      <c r="DT141">
        <v>1291</v>
      </c>
      <c r="DU141">
        <v>23322</v>
      </c>
      <c r="DV141" s="173">
        <v>29571</v>
      </c>
      <c r="DW141" s="173">
        <v>1171</v>
      </c>
      <c r="DX141" s="173">
        <v>16215</v>
      </c>
      <c r="DY141" s="57">
        <v>19.5</v>
      </c>
      <c r="DZ141" s="184">
        <v>310</v>
      </c>
      <c r="EA141" s="116">
        <v>5340</v>
      </c>
      <c r="EB141" s="48">
        <v>15055</v>
      </c>
      <c r="EC141" s="46">
        <v>13350</v>
      </c>
      <c r="ED141" s="90">
        <v>3791</v>
      </c>
      <c r="EE141" s="186">
        <v>-152</v>
      </c>
      <c r="EF141" s="46">
        <v>13671</v>
      </c>
      <c r="EG141" s="130">
        <v>352</v>
      </c>
      <c r="EH141" s="46">
        <v>1032</v>
      </c>
      <c r="EI141" s="130">
        <v>1428</v>
      </c>
      <c r="EJ141" s="48">
        <v>-3338</v>
      </c>
      <c r="EK141" s="44">
        <v>1414</v>
      </c>
      <c r="EL141" s="44">
        <v>25775</v>
      </c>
      <c r="EM141" s="130">
        <v>30616</v>
      </c>
      <c r="EN141" s="117">
        <v>8</v>
      </c>
      <c r="EO141" s="117">
        <v>16223</v>
      </c>
      <c r="EP141" s="129">
        <v>19.5</v>
      </c>
    </row>
    <row r="142" spans="1:146" ht="15" x14ac:dyDescent="0.25">
      <c r="A142" s="27">
        <v>441</v>
      </c>
      <c r="B142" s="27" t="s">
        <v>270</v>
      </c>
      <c r="C142" s="27">
        <v>9</v>
      </c>
      <c r="D142" s="27" t="s">
        <v>105</v>
      </c>
      <c r="E142" s="27">
        <v>2</v>
      </c>
      <c r="F142" s="27" t="s">
        <v>744</v>
      </c>
      <c r="G142" s="29" t="s">
        <v>130</v>
      </c>
      <c r="H142" s="27" t="s">
        <v>98</v>
      </c>
      <c r="I142" s="31" t="s">
        <v>105</v>
      </c>
      <c r="J142" s="118">
        <v>6211.348312150064</v>
      </c>
      <c r="K142" s="118">
        <v>6225.4760979728308</v>
      </c>
      <c r="L142" s="118">
        <v>6400.5597294192639</v>
      </c>
      <c r="M142" s="118">
        <v>6564.7111456456987</v>
      </c>
      <c r="N142" s="22">
        <v>6713</v>
      </c>
      <c r="O142" s="119">
        <v>6974</v>
      </c>
      <c r="P142" s="119">
        <v>7695</v>
      </c>
      <c r="Q142" s="120">
        <v>8278</v>
      </c>
      <c r="R142" s="22">
        <v>8944</v>
      </c>
      <c r="S142" s="22">
        <v>9830</v>
      </c>
      <c r="T142" s="121">
        <v>10581</v>
      </c>
      <c r="U142" s="121">
        <v>11048</v>
      </c>
      <c r="V142" s="121">
        <v>13138</v>
      </c>
      <c r="W142" s="106">
        <v>13806</v>
      </c>
      <c r="X142" s="121">
        <v>14938</v>
      </c>
      <c r="Y142" s="121">
        <v>15189</v>
      </c>
      <c r="Z142" s="121">
        <v>15833</v>
      </c>
      <c r="AA142" s="121">
        <v>15346</v>
      </c>
      <c r="AB142" s="122">
        <v>16</v>
      </c>
      <c r="AC142" s="123">
        <v>16</v>
      </c>
      <c r="AD142" s="124">
        <v>16</v>
      </c>
      <c r="AE142" s="125">
        <v>16</v>
      </c>
      <c r="AF142" s="126">
        <v>17</v>
      </c>
      <c r="AG142" s="123">
        <v>17</v>
      </c>
      <c r="AH142" s="123">
        <v>17</v>
      </c>
      <c r="AI142" s="131">
        <v>17</v>
      </c>
      <c r="AJ142" s="131">
        <v>17</v>
      </c>
      <c r="AK142" s="22">
        <v>17</v>
      </c>
      <c r="AL142" s="128">
        <v>17</v>
      </c>
      <c r="AM142" s="128">
        <v>17</v>
      </c>
      <c r="AN142" s="128">
        <v>18</v>
      </c>
      <c r="AO142" s="77">
        <v>18</v>
      </c>
      <c r="AP142" s="77">
        <v>18</v>
      </c>
      <c r="AQ142" s="129">
        <v>18</v>
      </c>
      <c r="AR142" s="129">
        <v>19</v>
      </c>
      <c r="AS142" s="129">
        <v>19.75</v>
      </c>
      <c r="AT142" s="116">
        <v>4992</v>
      </c>
      <c r="AU142" s="47">
        <v>4577</v>
      </c>
      <c r="AV142" s="47">
        <v>29940</v>
      </c>
      <c r="AW142" s="46">
        <v>14674</v>
      </c>
      <c r="AX142" s="46">
        <v>12214</v>
      </c>
      <c r="AY142" s="92">
        <v>661</v>
      </c>
      <c r="AZ142" s="47">
        <v>2186</v>
      </c>
      <c r="BA142" s="44">
        <v>2489</v>
      </c>
      <c r="BB142" s="23">
        <v>-2018</v>
      </c>
      <c r="BC142" s="47">
        <v>-303</v>
      </c>
      <c r="BD142" s="44">
        <v>251</v>
      </c>
      <c r="BE142" s="47">
        <v>15189</v>
      </c>
      <c r="BF142" s="44">
        <v>14674</v>
      </c>
      <c r="BG142" s="46">
        <v>12137</v>
      </c>
      <c r="BH142" s="130">
        <v>1427</v>
      </c>
      <c r="BI142" s="46">
        <v>1110</v>
      </c>
      <c r="BJ142" s="129">
        <v>18</v>
      </c>
      <c r="BK142" s="44">
        <v>0</v>
      </c>
      <c r="BL142" s="116">
        <v>4949</v>
      </c>
      <c r="BM142" s="47">
        <v>4825</v>
      </c>
      <c r="BN142" s="130">
        <v>31835</v>
      </c>
      <c r="BO142" s="46">
        <v>15995</v>
      </c>
      <c r="BP142" s="46">
        <v>12143</v>
      </c>
      <c r="BQ142" s="46">
        <v>794</v>
      </c>
      <c r="BR142" s="130">
        <v>1484</v>
      </c>
      <c r="BS142" s="44">
        <v>1906</v>
      </c>
      <c r="BT142" s="92">
        <v>-2724</v>
      </c>
      <c r="BU142" s="117">
        <v>644</v>
      </c>
      <c r="BV142" s="130">
        <v>15833</v>
      </c>
      <c r="BW142" s="48">
        <v>15995</v>
      </c>
      <c r="BX142" s="46">
        <v>13119</v>
      </c>
      <c r="BY142" s="130">
        <v>1626</v>
      </c>
      <c r="BZ142" s="46">
        <v>1250</v>
      </c>
      <c r="CA142" s="129">
        <v>19</v>
      </c>
      <c r="CB142" s="44">
        <v>0</v>
      </c>
      <c r="CC142" s="116">
        <v>4860</v>
      </c>
      <c r="CD142" s="47">
        <v>3397</v>
      </c>
      <c r="CE142" s="130">
        <v>31663</v>
      </c>
      <c r="CF142" s="46">
        <v>16970</v>
      </c>
      <c r="CG142" s="46">
        <v>11497</v>
      </c>
      <c r="CH142" s="46">
        <v>858</v>
      </c>
      <c r="CI142" s="130">
        <v>719</v>
      </c>
      <c r="CJ142" s="44">
        <v>1819</v>
      </c>
      <c r="CK142" s="117">
        <v>-2682</v>
      </c>
      <c r="CL142" s="117">
        <v>-487</v>
      </c>
      <c r="CM142" s="117">
        <v>15346</v>
      </c>
      <c r="CN142" s="48">
        <v>16970</v>
      </c>
      <c r="CO142" s="46">
        <v>13702</v>
      </c>
      <c r="CP142" s="130">
        <v>1943</v>
      </c>
      <c r="CQ142" s="46">
        <v>1325</v>
      </c>
      <c r="CR142" s="129">
        <v>19.75</v>
      </c>
      <c r="CS142" s="44">
        <v>2819</v>
      </c>
      <c r="CT142">
        <v>4831</v>
      </c>
      <c r="CU142">
        <v>16444</v>
      </c>
      <c r="CV142">
        <v>11962</v>
      </c>
      <c r="CW142">
        <v>3081</v>
      </c>
      <c r="CX142">
        <v>529</v>
      </c>
      <c r="CY142">
        <v>13196</v>
      </c>
      <c r="CZ142">
        <v>1905</v>
      </c>
      <c r="DA142">
        <v>1343</v>
      </c>
      <c r="DB142">
        <v>31</v>
      </c>
      <c r="DC142">
        <v>-2442</v>
      </c>
      <c r="DD142">
        <v>1828</v>
      </c>
      <c r="DE142">
        <v>2809</v>
      </c>
      <c r="DF142">
        <v>31985</v>
      </c>
      <c r="DG142">
        <v>-1097</v>
      </c>
      <c r="DH142">
        <v>14249</v>
      </c>
      <c r="DI142">
        <v>19.75</v>
      </c>
      <c r="DJ142" s="174">
        <v>4747</v>
      </c>
      <c r="DK142" s="34">
        <v>17264</v>
      </c>
      <c r="DL142" s="34">
        <v>12031</v>
      </c>
      <c r="DM142">
        <v>3258</v>
      </c>
      <c r="DN142" s="173">
        <v>934</v>
      </c>
      <c r="DO142" s="34">
        <v>13559</v>
      </c>
      <c r="DP142" s="173">
        <v>2202</v>
      </c>
      <c r="DQ142" s="34">
        <v>1503</v>
      </c>
      <c r="DR142" s="173">
        <v>2761</v>
      </c>
      <c r="DS142" s="173">
        <v>-3098</v>
      </c>
      <c r="DT142">
        <v>1925</v>
      </c>
      <c r="DU142">
        <v>2800</v>
      </c>
      <c r="DV142" s="173">
        <v>30726</v>
      </c>
      <c r="DW142" s="173">
        <v>955</v>
      </c>
      <c r="DX142" s="173">
        <v>15204</v>
      </c>
      <c r="DY142" s="57">
        <v>19.75</v>
      </c>
      <c r="DZ142" s="184">
        <v>340</v>
      </c>
      <c r="EA142" s="116">
        <v>4662</v>
      </c>
      <c r="EB142" s="48">
        <v>16301</v>
      </c>
      <c r="EC142" s="46">
        <v>11675</v>
      </c>
      <c r="ED142" s="90">
        <v>3108</v>
      </c>
      <c r="EE142" s="186">
        <v>483</v>
      </c>
      <c r="EF142" s="46">
        <v>12822</v>
      </c>
      <c r="EG142" s="130">
        <v>1513</v>
      </c>
      <c r="EH142" s="46">
        <v>1966</v>
      </c>
      <c r="EI142" s="130">
        <v>-839</v>
      </c>
      <c r="EJ142" s="48">
        <v>-3043</v>
      </c>
      <c r="EK142" s="44">
        <v>2098</v>
      </c>
      <c r="EL142" s="44">
        <v>2790</v>
      </c>
      <c r="EM142" s="130">
        <v>32194</v>
      </c>
      <c r="EN142" s="117">
        <v>-1813</v>
      </c>
      <c r="EO142" s="117">
        <v>13391</v>
      </c>
      <c r="EP142" s="129">
        <v>20.5</v>
      </c>
    </row>
    <row r="143" spans="1:146" ht="15" x14ac:dyDescent="0.25">
      <c r="A143" s="27">
        <v>475</v>
      </c>
      <c r="B143" s="27" t="s">
        <v>271</v>
      </c>
      <c r="C143" s="27">
        <v>15</v>
      </c>
      <c r="D143" s="27" t="s">
        <v>115</v>
      </c>
      <c r="E143" s="27">
        <v>3</v>
      </c>
      <c r="F143" s="27" t="s">
        <v>743</v>
      </c>
      <c r="G143" s="29" t="s">
        <v>130</v>
      </c>
      <c r="H143" s="27" t="s">
        <v>98</v>
      </c>
      <c r="I143" s="31" t="s">
        <v>115</v>
      </c>
      <c r="J143" s="118">
        <v>-940.00232099338518</v>
      </c>
      <c r="K143" s="118">
        <v>-1397.4734809686952</v>
      </c>
      <c r="L143" s="118">
        <v>-1985.1220960252147</v>
      </c>
      <c r="M143" s="118">
        <v>-911.57856142138985</v>
      </c>
      <c r="N143" s="22">
        <v>666</v>
      </c>
      <c r="O143" s="119">
        <v>653</v>
      </c>
      <c r="P143" s="119">
        <v>1103</v>
      </c>
      <c r="Q143" s="120">
        <v>764</v>
      </c>
      <c r="R143" s="22">
        <v>1275</v>
      </c>
      <c r="S143" s="22">
        <v>2021</v>
      </c>
      <c r="T143" s="121">
        <v>2063</v>
      </c>
      <c r="U143" s="121">
        <v>3010</v>
      </c>
      <c r="V143" s="121">
        <v>3481</v>
      </c>
      <c r="W143" s="106">
        <v>3659</v>
      </c>
      <c r="X143" s="121">
        <v>2971</v>
      </c>
      <c r="Y143" s="121">
        <v>1609</v>
      </c>
      <c r="Z143" s="121">
        <v>2741</v>
      </c>
      <c r="AA143" s="121">
        <v>2791</v>
      </c>
      <c r="AB143" s="122">
        <v>19</v>
      </c>
      <c r="AC143" s="123">
        <v>19.75</v>
      </c>
      <c r="AD143" s="124">
        <v>19.75</v>
      </c>
      <c r="AE143" s="125">
        <v>19.75</v>
      </c>
      <c r="AF143" s="126">
        <v>19.75</v>
      </c>
      <c r="AG143" s="123">
        <v>19.25</v>
      </c>
      <c r="AH143" s="123">
        <v>19.25</v>
      </c>
      <c r="AI143" s="127">
        <v>19.25</v>
      </c>
      <c r="AJ143" s="127">
        <v>19.75</v>
      </c>
      <c r="AK143" s="22">
        <v>19.75</v>
      </c>
      <c r="AL143" s="128">
        <v>19.75</v>
      </c>
      <c r="AM143" s="128">
        <v>19.75</v>
      </c>
      <c r="AN143" s="128">
        <v>19.75</v>
      </c>
      <c r="AO143" s="77">
        <v>19.75</v>
      </c>
      <c r="AP143" s="77">
        <v>20.25</v>
      </c>
      <c r="AQ143" s="129">
        <v>20.25</v>
      </c>
      <c r="AR143" s="129">
        <v>21</v>
      </c>
      <c r="AS143" s="129">
        <v>21.5</v>
      </c>
      <c r="AT143" s="116">
        <v>5580</v>
      </c>
      <c r="AU143" s="47">
        <v>8760</v>
      </c>
      <c r="AV143" s="47">
        <v>42535</v>
      </c>
      <c r="AW143" s="46">
        <v>17718</v>
      </c>
      <c r="AX143" s="46">
        <v>16237</v>
      </c>
      <c r="AY143" s="92">
        <v>80</v>
      </c>
      <c r="AZ143" s="47">
        <v>152</v>
      </c>
      <c r="BA143" s="44">
        <v>1537</v>
      </c>
      <c r="BB143" s="23">
        <v>-2800</v>
      </c>
      <c r="BC143" s="47">
        <v>-1385</v>
      </c>
      <c r="BD143" s="44">
        <v>-1362</v>
      </c>
      <c r="BE143" s="47">
        <v>1609</v>
      </c>
      <c r="BF143" s="44">
        <v>17718</v>
      </c>
      <c r="BG143" s="46">
        <v>15791</v>
      </c>
      <c r="BH143" s="130">
        <v>738</v>
      </c>
      <c r="BI143" s="46">
        <v>1189</v>
      </c>
      <c r="BJ143" s="129">
        <v>20.25</v>
      </c>
      <c r="BK143" s="44">
        <v>12607</v>
      </c>
      <c r="BL143" s="116">
        <v>5573</v>
      </c>
      <c r="BM143" s="47">
        <v>9327</v>
      </c>
      <c r="BN143" s="130">
        <v>41968</v>
      </c>
      <c r="BO143" s="46">
        <v>19158</v>
      </c>
      <c r="BP143" s="46">
        <v>16052</v>
      </c>
      <c r="BQ143" s="46">
        <v>32</v>
      </c>
      <c r="BR143" s="130">
        <v>2508</v>
      </c>
      <c r="BS143" s="44">
        <v>1399</v>
      </c>
      <c r="BT143" s="92">
        <v>-2343</v>
      </c>
      <c r="BU143" s="117">
        <v>1132</v>
      </c>
      <c r="BV143" s="130">
        <v>2741</v>
      </c>
      <c r="BW143" s="48">
        <v>19158</v>
      </c>
      <c r="BX143" s="46">
        <v>16934</v>
      </c>
      <c r="BY143" s="130">
        <v>910</v>
      </c>
      <c r="BZ143" s="46">
        <v>1314</v>
      </c>
      <c r="CA143" s="129">
        <v>21</v>
      </c>
      <c r="CB143" s="44">
        <v>12611</v>
      </c>
      <c r="CC143" s="116">
        <v>5545</v>
      </c>
      <c r="CD143" s="47">
        <v>8556</v>
      </c>
      <c r="CE143" s="130">
        <v>42125</v>
      </c>
      <c r="CF143" s="46">
        <v>19386</v>
      </c>
      <c r="CG143" s="46">
        <v>15659</v>
      </c>
      <c r="CH143" s="46">
        <v>47</v>
      </c>
      <c r="CI143" s="130">
        <v>1447</v>
      </c>
      <c r="CJ143" s="44">
        <v>1421</v>
      </c>
      <c r="CK143" s="117">
        <v>-5390</v>
      </c>
      <c r="CL143" s="117">
        <v>49</v>
      </c>
      <c r="CM143" s="117">
        <v>2791</v>
      </c>
      <c r="CN143" s="48">
        <v>19386</v>
      </c>
      <c r="CO143" s="46">
        <v>16988</v>
      </c>
      <c r="CP143" s="130">
        <v>1079</v>
      </c>
      <c r="CQ143" s="46">
        <v>1319</v>
      </c>
      <c r="CR143" s="129">
        <v>21.5</v>
      </c>
      <c r="CS143" s="44">
        <v>16014</v>
      </c>
      <c r="CT143">
        <v>5517</v>
      </c>
      <c r="CU143">
        <v>19248</v>
      </c>
      <c r="CV143">
        <v>16833</v>
      </c>
      <c r="CW143">
        <v>8683</v>
      </c>
      <c r="CX143">
        <v>32</v>
      </c>
      <c r="CY143">
        <v>16991</v>
      </c>
      <c r="CZ143">
        <v>925</v>
      </c>
      <c r="DA143">
        <v>1332</v>
      </c>
      <c r="DB143">
        <v>2437</v>
      </c>
      <c r="DC143">
        <v>-5412</v>
      </c>
      <c r="DD143">
        <v>2433</v>
      </c>
      <c r="DE143">
        <v>18416</v>
      </c>
      <c r="DF143">
        <v>42289</v>
      </c>
      <c r="DG143">
        <v>27</v>
      </c>
      <c r="DH143">
        <v>3027</v>
      </c>
      <c r="DI143">
        <v>21.5</v>
      </c>
      <c r="DJ143" s="174">
        <v>5477</v>
      </c>
      <c r="DK143" s="34">
        <v>19489</v>
      </c>
      <c r="DL143" s="34">
        <v>16508</v>
      </c>
      <c r="DM143">
        <v>8618</v>
      </c>
      <c r="DN143" s="173">
        <v>-44</v>
      </c>
      <c r="DO143" s="34">
        <v>17027</v>
      </c>
      <c r="DP143" s="173">
        <v>1075</v>
      </c>
      <c r="DQ143" s="34">
        <v>1387</v>
      </c>
      <c r="DR143" s="173">
        <v>2482</v>
      </c>
      <c r="DS143" s="173">
        <v>-5112</v>
      </c>
      <c r="DT143">
        <v>1892</v>
      </c>
      <c r="DU143">
        <v>20419</v>
      </c>
      <c r="DV143" s="173">
        <v>42089</v>
      </c>
      <c r="DW143" s="173">
        <v>612</v>
      </c>
      <c r="DX143" s="173">
        <v>3640</v>
      </c>
      <c r="DY143" s="57">
        <v>21.5</v>
      </c>
      <c r="DZ143" s="184">
        <v>330</v>
      </c>
      <c r="EA143" s="116">
        <v>5477</v>
      </c>
      <c r="EB143" s="48">
        <v>19093</v>
      </c>
      <c r="EC143" s="46">
        <v>16447</v>
      </c>
      <c r="ED143" s="90">
        <v>8833</v>
      </c>
      <c r="EE143" s="186">
        <v>-45</v>
      </c>
      <c r="EF143" s="46">
        <v>16592</v>
      </c>
      <c r="EG143" s="130">
        <v>1085</v>
      </c>
      <c r="EH143" s="46">
        <v>1416</v>
      </c>
      <c r="EI143" s="130">
        <v>1655</v>
      </c>
      <c r="EJ143" s="48">
        <v>-4798</v>
      </c>
      <c r="EK143" s="44">
        <v>1875</v>
      </c>
      <c r="EL143" s="44">
        <v>23335</v>
      </c>
      <c r="EM143" s="130">
        <v>42673</v>
      </c>
      <c r="EN143" s="117">
        <v>-107</v>
      </c>
      <c r="EO143" s="117">
        <v>3533</v>
      </c>
      <c r="EP143" s="129">
        <v>21.5</v>
      </c>
    </row>
    <row r="144" spans="1:146" ht="15" x14ac:dyDescent="0.25">
      <c r="A144" s="27">
        <v>480</v>
      </c>
      <c r="B144" s="27" t="s">
        <v>272</v>
      </c>
      <c r="C144" s="27">
        <v>2</v>
      </c>
      <c r="D144" s="27" t="s">
        <v>122</v>
      </c>
      <c r="E144" s="27">
        <v>2</v>
      </c>
      <c r="F144" s="27" t="s">
        <v>744</v>
      </c>
      <c r="G144" s="29" t="s">
        <v>130</v>
      </c>
      <c r="H144" s="27" t="s">
        <v>98</v>
      </c>
      <c r="I144" s="31" t="s">
        <v>122</v>
      </c>
      <c r="J144" s="118">
        <v>460.16216679869416</v>
      </c>
      <c r="K144" s="118">
        <v>552.16096257314075</v>
      </c>
      <c r="L144" s="118">
        <v>717.48969428480609</v>
      </c>
      <c r="M144" s="118">
        <v>1553.0473129455929</v>
      </c>
      <c r="N144" s="22">
        <v>2088</v>
      </c>
      <c r="O144" s="119">
        <v>2537</v>
      </c>
      <c r="P144" s="119">
        <v>2622</v>
      </c>
      <c r="Q144" s="120">
        <v>2831</v>
      </c>
      <c r="R144" s="22">
        <v>2783</v>
      </c>
      <c r="S144" s="22">
        <v>2928</v>
      </c>
      <c r="T144" s="121">
        <v>3137</v>
      </c>
      <c r="U144" s="121">
        <v>3262</v>
      </c>
      <c r="V144" s="121">
        <v>3597</v>
      </c>
      <c r="W144" s="106">
        <v>3640</v>
      </c>
      <c r="X144" s="121">
        <v>2793</v>
      </c>
      <c r="Y144" s="121">
        <v>2792</v>
      </c>
      <c r="Z144" s="121">
        <v>2381</v>
      </c>
      <c r="AA144" s="121">
        <v>2439</v>
      </c>
      <c r="AB144" s="122">
        <v>17.5</v>
      </c>
      <c r="AC144" s="123">
        <v>17.5</v>
      </c>
      <c r="AD144" s="124">
        <v>18</v>
      </c>
      <c r="AE144" s="125">
        <v>18</v>
      </c>
      <c r="AF144" s="126">
        <v>18</v>
      </c>
      <c r="AG144" s="123">
        <v>18</v>
      </c>
      <c r="AH144" s="123">
        <v>18</v>
      </c>
      <c r="AI144" s="131">
        <v>18</v>
      </c>
      <c r="AJ144" s="131">
        <v>18</v>
      </c>
      <c r="AK144" s="22">
        <v>18</v>
      </c>
      <c r="AL144" s="128">
        <v>18.5</v>
      </c>
      <c r="AM144" s="128">
        <v>19</v>
      </c>
      <c r="AN144" s="128">
        <v>19.25</v>
      </c>
      <c r="AO144" s="77">
        <v>19.25</v>
      </c>
      <c r="AP144" s="77">
        <v>19.25</v>
      </c>
      <c r="AQ144" s="129">
        <v>19.75</v>
      </c>
      <c r="AR144" s="129">
        <v>20.25</v>
      </c>
      <c r="AS144" s="129">
        <v>20.25</v>
      </c>
      <c r="AT144" s="116">
        <v>2056</v>
      </c>
      <c r="AU144" s="47">
        <v>1877</v>
      </c>
      <c r="AV144" s="47">
        <v>11962</v>
      </c>
      <c r="AW144" s="46">
        <v>6009</v>
      </c>
      <c r="AX144" s="46">
        <v>4451</v>
      </c>
      <c r="AY144" s="92">
        <v>258</v>
      </c>
      <c r="AZ144" s="47">
        <v>354</v>
      </c>
      <c r="BA144" s="44">
        <v>419</v>
      </c>
      <c r="BB144" s="23">
        <v>-214</v>
      </c>
      <c r="BC144" s="47">
        <v>-16</v>
      </c>
      <c r="BD144" s="44">
        <v>0</v>
      </c>
      <c r="BE144" s="47">
        <v>2792</v>
      </c>
      <c r="BF144" s="44">
        <v>6009</v>
      </c>
      <c r="BG144" s="46">
        <v>5601</v>
      </c>
      <c r="BH144" s="130">
        <v>158</v>
      </c>
      <c r="BI144" s="46">
        <v>250</v>
      </c>
      <c r="BJ144" s="129">
        <v>19.75</v>
      </c>
      <c r="BK144" s="44">
        <v>2026</v>
      </c>
      <c r="BL144" s="116">
        <v>2070</v>
      </c>
      <c r="BM144" s="47">
        <v>1836</v>
      </c>
      <c r="BN144" s="130">
        <v>12345</v>
      </c>
      <c r="BO144" s="46">
        <v>5862</v>
      </c>
      <c r="BP144" s="46">
        <v>4684</v>
      </c>
      <c r="BQ144" s="46">
        <v>7</v>
      </c>
      <c r="BR144" s="130">
        <v>4</v>
      </c>
      <c r="BS144" s="44">
        <v>431</v>
      </c>
      <c r="BT144" s="92">
        <v>-501</v>
      </c>
      <c r="BU144" s="117">
        <v>-411</v>
      </c>
      <c r="BV144" s="130">
        <v>2381</v>
      </c>
      <c r="BW144" s="48">
        <v>5862</v>
      </c>
      <c r="BX144" s="46">
        <v>5363</v>
      </c>
      <c r="BY144" s="130">
        <v>208</v>
      </c>
      <c r="BZ144" s="46">
        <v>291</v>
      </c>
      <c r="CA144" s="129">
        <v>20.25</v>
      </c>
      <c r="CB144" s="44">
        <v>2470</v>
      </c>
      <c r="CC144" s="116">
        <v>2028</v>
      </c>
      <c r="CD144" s="47">
        <v>2032</v>
      </c>
      <c r="CE144" s="130">
        <v>12550</v>
      </c>
      <c r="CF144" s="46">
        <v>6211</v>
      </c>
      <c r="CG144" s="46">
        <v>4797</v>
      </c>
      <c r="CH144" s="46">
        <v>4</v>
      </c>
      <c r="CI144" s="130">
        <v>470</v>
      </c>
      <c r="CJ144" s="44">
        <v>424</v>
      </c>
      <c r="CK144" s="117">
        <v>-281</v>
      </c>
      <c r="CL144" s="117">
        <v>58</v>
      </c>
      <c r="CM144" s="117">
        <v>2439</v>
      </c>
      <c r="CN144" s="48">
        <v>6211</v>
      </c>
      <c r="CO144" s="46">
        <v>5599</v>
      </c>
      <c r="CP144" s="130">
        <v>254</v>
      </c>
      <c r="CQ144" s="46">
        <v>358</v>
      </c>
      <c r="CR144" s="129">
        <v>20.25</v>
      </c>
      <c r="CS144" s="44">
        <v>2144</v>
      </c>
      <c r="CT144">
        <v>2021</v>
      </c>
      <c r="CU144">
        <v>6079</v>
      </c>
      <c r="CV144">
        <v>5050</v>
      </c>
      <c r="CW144">
        <v>2006</v>
      </c>
      <c r="CX144">
        <v>2</v>
      </c>
      <c r="CY144">
        <v>5454</v>
      </c>
      <c r="CZ144">
        <v>255</v>
      </c>
      <c r="DA144">
        <v>370</v>
      </c>
      <c r="DB144">
        <v>887</v>
      </c>
      <c r="DC144">
        <v>-665</v>
      </c>
      <c r="DD144">
        <v>423</v>
      </c>
      <c r="DE144">
        <v>2436</v>
      </c>
      <c r="DF144">
        <v>12231</v>
      </c>
      <c r="DG144">
        <v>64</v>
      </c>
      <c r="DH144">
        <v>2503</v>
      </c>
      <c r="DI144">
        <v>20.25</v>
      </c>
      <c r="DJ144" s="174">
        <v>1988</v>
      </c>
      <c r="DK144" s="34">
        <v>6631</v>
      </c>
      <c r="DL144" s="34">
        <v>5051</v>
      </c>
      <c r="DM144">
        <v>1892</v>
      </c>
      <c r="DN144" s="173">
        <v>-11</v>
      </c>
      <c r="DO144" s="34">
        <v>5951</v>
      </c>
      <c r="DP144" s="173">
        <v>330</v>
      </c>
      <c r="DQ144" s="34">
        <v>350</v>
      </c>
      <c r="DR144" s="173">
        <v>1117</v>
      </c>
      <c r="DS144" s="173">
        <v>-1275</v>
      </c>
      <c r="DT144">
        <v>408</v>
      </c>
      <c r="DU144">
        <v>2097</v>
      </c>
      <c r="DV144" s="173">
        <v>12446</v>
      </c>
      <c r="DW144" s="173">
        <v>422</v>
      </c>
      <c r="DX144" s="173">
        <v>2925</v>
      </c>
      <c r="DY144" s="57">
        <v>20.25</v>
      </c>
      <c r="DZ144" s="184">
        <v>330</v>
      </c>
      <c r="EA144" s="116">
        <v>2018</v>
      </c>
      <c r="EB144" s="48">
        <v>6243</v>
      </c>
      <c r="EC144" s="46">
        <v>4505</v>
      </c>
      <c r="ED144" s="90">
        <v>1951</v>
      </c>
      <c r="EE144" s="186">
        <v>-8</v>
      </c>
      <c r="EF144" s="46">
        <v>5592</v>
      </c>
      <c r="EG144" s="130">
        <v>309</v>
      </c>
      <c r="EH144" s="46">
        <v>342</v>
      </c>
      <c r="EI144" s="130">
        <v>408</v>
      </c>
      <c r="EJ144" s="48">
        <v>-70</v>
      </c>
      <c r="EK144" s="44">
        <v>432</v>
      </c>
      <c r="EL144" s="44">
        <v>1758</v>
      </c>
      <c r="EM144" s="130">
        <v>12283</v>
      </c>
      <c r="EN144" s="117">
        <v>-11</v>
      </c>
      <c r="EO144" s="117">
        <v>2914</v>
      </c>
      <c r="EP144" s="129">
        <v>20.75</v>
      </c>
    </row>
    <row r="145" spans="1:146" ht="15" x14ac:dyDescent="0.25">
      <c r="A145" s="27">
        <v>481</v>
      </c>
      <c r="B145" s="27" t="s">
        <v>273</v>
      </c>
      <c r="C145" s="27">
        <v>2</v>
      </c>
      <c r="D145" s="27" t="s">
        <v>122</v>
      </c>
      <c r="E145" s="27">
        <v>3</v>
      </c>
      <c r="F145" s="27" t="s">
        <v>743</v>
      </c>
      <c r="G145" s="29" t="s">
        <v>132</v>
      </c>
      <c r="H145" s="27" t="s">
        <v>99</v>
      </c>
      <c r="I145" s="31" t="s">
        <v>122</v>
      </c>
      <c r="J145" s="118">
        <v>1580.1255691058961</v>
      </c>
      <c r="K145" s="118">
        <v>1795.0697391237072</v>
      </c>
      <c r="L145" s="118">
        <v>1580.9665087382036</v>
      </c>
      <c r="M145" s="118">
        <v>1816.0932299313961</v>
      </c>
      <c r="N145" s="22">
        <v>2978</v>
      </c>
      <c r="O145" s="119">
        <v>2952</v>
      </c>
      <c r="P145" s="119">
        <v>3985</v>
      </c>
      <c r="Q145" s="120">
        <v>3613</v>
      </c>
      <c r="R145" s="22">
        <v>3766</v>
      </c>
      <c r="S145" s="22">
        <v>4233</v>
      </c>
      <c r="T145" s="121">
        <v>3234</v>
      </c>
      <c r="U145" s="121">
        <v>-1172</v>
      </c>
      <c r="V145" s="121">
        <v>2009</v>
      </c>
      <c r="W145" s="106">
        <v>1751</v>
      </c>
      <c r="X145" s="121">
        <v>-812</v>
      </c>
      <c r="Y145" s="121">
        <v>-2667</v>
      </c>
      <c r="Z145" s="121">
        <v>-3740</v>
      </c>
      <c r="AA145" s="121">
        <v>3391</v>
      </c>
      <c r="AB145" s="122">
        <v>16.25</v>
      </c>
      <c r="AC145" s="123">
        <v>16.25</v>
      </c>
      <c r="AD145" s="124">
        <v>16.25</v>
      </c>
      <c r="AE145" s="125">
        <v>16.25</v>
      </c>
      <c r="AF145" s="126">
        <v>16.25</v>
      </c>
      <c r="AG145" s="123">
        <v>16.25</v>
      </c>
      <c r="AH145" s="123">
        <v>16.25</v>
      </c>
      <c r="AI145" s="127">
        <v>16.25</v>
      </c>
      <c r="AJ145" s="127">
        <v>16.5</v>
      </c>
      <c r="AK145" s="22">
        <v>16.5</v>
      </c>
      <c r="AL145" s="128">
        <v>16.5</v>
      </c>
      <c r="AM145" s="128">
        <v>16.5</v>
      </c>
      <c r="AN145" s="128">
        <v>17.5</v>
      </c>
      <c r="AO145" s="77">
        <v>17.5</v>
      </c>
      <c r="AP145" s="77">
        <v>18.5</v>
      </c>
      <c r="AQ145" s="129">
        <v>19</v>
      </c>
      <c r="AR145" s="129">
        <v>19.75</v>
      </c>
      <c r="AS145" s="129">
        <v>20.75</v>
      </c>
      <c r="AT145" s="116">
        <v>9729</v>
      </c>
      <c r="AU145" s="47">
        <v>8129</v>
      </c>
      <c r="AV145" s="47">
        <v>51737</v>
      </c>
      <c r="AW145" s="46">
        <v>34987</v>
      </c>
      <c r="AX145" s="46">
        <v>9361</v>
      </c>
      <c r="AY145" s="92">
        <v>47</v>
      </c>
      <c r="AZ145" s="47">
        <v>575</v>
      </c>
      <c r="BA145" s="44">
        <v>2516</v>
      </c>
      <c r="BB145" s="23">
        <v>-3102</v>
      </c>
      <c r="BC145" s="47">
        <v>-1941</v>
      </c>
      <c r="BD145" s="44">
        <v>-1855</v>
      </c>
      <c r="BE145" s="47">
        <v>-2667</v>
      </c>
      <c r="BF145" s="44">
        <v>34987</v>
      </c>
      <c r="BG145" s="46">
        <v>31830</v>
      </c>
      <c r="BH145" s="130">
        <v>1468</v>
      </c>
      <c r="BI145" s="46">
        <v>1689</v>
      </c>
      <c r="BJ145" s="129">
        <v>19</v>
      </c>
      <c r="BK145" s="44">
        <v>30833</v>
      </c>
      <c r="BL145" s="116">
        <v>9767</v>
      </c>
      <c r="BM145" s="47">
        <v>7123</v>
      </c>
      <c r="BN145" s="130">
        <v>50760</v>
      </c>
      <c r="BO145" s="46">
        <v>36658</v>
      </c>
      <c r="BP145" s="46">
        <v>8585</v>
      </c>
      <c r="BQ145" s="46">
        <v>36</v>
      </c>
      <c r="BR145" s="130">
        <v>1446</v>
      </c>
      <c r="BS145" s="44">
        <v>2605</v>
      </c>
      <c r="BT145" s="92">
        <v>-2841</v>
      </c>
      <c r="BU145" s="117">
        <v>-1073</v>
      </c>
      <c r="BV145" s="130">
        <v>-3740</v>
      </c>
      <c r="BW145" s="48">
        <v>36658</v>
      </c>
      <c r="BX145" s="46">
        <v>33308</v>
      </c>
      <c r="BY145" s="130">
        <v>1512</v>
      </c>
      <c r="BZ145" s="46">
        <v>1838</v>
      </c>
      <c r="CA145" s="129">
        <v>19.75</v>
      </c>
      <c r="CB145" s="44">
        <v>32373</v>
      </c>
      <c r="CC145" s="116">
        <v>9706</v>
      </c>
      <c r="CD145" s="47">
        <v>8246</v>
      </c>
      <c r="CE145" s="130">
        <v>52218</v>
      </c>
      <c r="CF145" s="46">
        <v>39478</v>
      </c>
      <c r="CG145" s="46">
        <v>8367</v>
      </c>
      <c r="CH145" s="46">
        <v>5858</v>
      </c>
      <c r="CI145" s="130">
        <v>3789</v>
      </c>
      <c r="CJ145" s="44">
        <v>2571</v>
      </c>
      <c r="CK145" s="117">
        <v>1642</v>
      </c>
      <c r="CL145" s="117">
        <v>7132</v>
      </c>
      <c r="CM145" s="117">
        <v>3391</v>
      </c>
      <c r="CN145" s="48">
        <v>39478</v>
      </c>
      <c r="CO145" s="46">
        <v>35982</v>
      </c>
      <c r="CP145" s="130">
        <v>1665</v>
      </c>
      <c r="CQ145" s="46">
        <v>1831</v>
      </c>
      <c r="CR145" s="129">
        <v>20.75</v>
      </c>
      <c r="CS145" s="44">
        <v>30150</v>
      </c>
      <c r="CT145">
        <v>9675</v>
      </c>
      <c r="CU145">
        <v>39164</v>
      </c>
      <c r="CV145">
        <v>8681</v>
      </c>
      <c r="CW145">
        <v>5376</v>
      </c>
      <c r="CX145">
        <v>11</v>
      </c>
      <c r="CY145">
        <v>35859</v>
      </c>
      <c r="CZ145">
        <v>1443</v>
      </c>
      <c r="DA145">
        <v>1862</v>
      </c>
      <c r="DB145">
        <v>1277</v>
      </c>
      <c r="DC145">
        <v>-2245</v>
      </c>
      <c r="DD145">
        <v>4319</v>
      </c>
      <c r="DE145">
        <v>32483</v>
      </c>
      <c r="DF145">
        <v>51915</v>
      </c>
      <c r="DG145">
        <v>-2956</v>
      </c>
      <c r="DH145">
        <v>435</v>
      </c>
      <c r="DI145">
        <v>20.75</v>
      </c>
      <c r="DJ145" s="174">
        <v>9656</v>
      </c>
      <c r="DK145" s="34">
        <v>40441</v>
      </c>
      <c r="DL145" s="34">
        <v>8628</v>
      </c>
      <c r="DM145">
        <v>4789</v>
      </c>
      <c r="DN145" s="173">
        <v>93</v>
      </c>
      <c r="DO145" s="34">
        <v>36930</v>
      </c>
      <c r="DP145" s="173">
        <v>1647</v>
      </c>
      <c r="DQ145" s="34">
        <v>1864</v>
      </c>
      <c r="DR145" s="173">
        <v>4567</v>
      </c>
      <c r="DS145" s="173">
        <v>-5858</v>
      </c>
      <c r="DT145">
        <v>2092</v>
      </c>
      <c r="DU145">
        <v>35141</v>
      </c>
      <c r="DV145" s="173">
        <v>49384</v>
      </c>
      <c r="DW145" s="173">
        <v>2561</v>
      </c>
      <c r="DX145" s="173">
        <v>2996</v>
      </c>
      <c r="DY145" s="57">
        <v>20.75</v>
      </c>
      <c r="DZ145" s="184">
        <v>230</v>
      </c>
      <c r="EA145" s="116">
        <v>9554</v>
      </c>
      <c r="EB145" s="48">
        <v>40329</v>
      </c>
      <c r="EC145" s="46">
        <v>7766</v>
      </c>
      <c r="ED145" s="90">
        <v>4590</v>
      </c>
      <c r="EE145" s="186">
        <v>40</v>
      </c>
      <c r="EF145" s="46">
        <v>36887</v>
      </c>
      <c r="EG145" s="130">
        <v>1554</v>
      </c>
      <c r="EH145" s="46">
        <v>1888</v>
      </c>
      <c r="EI145" s="130">
        <v>1391</v>
      </c>
      <c r="EJ145" s="48">
        <v>-10134</v>
      </c>
      <c r="EK145" s="44">
        <v>2202</v>
      </c>
      <c r="EL145" s="44">
        <v>42505</v>
      </c>
      <c r="EM145" s="130">
        <v>51334</v>
      </c>
      <c r="EN145" s="117">
        <v>-725</v>
      </c>
      <c r="EO145" s="117">
        <v>2271</v>
      </c>
      <c r="EP145" s="129">
        <v>20.75</v>
      </c>
    </row>
    <row r="146" spans="1:146" ht="15" x14ac:dyDescent="0.25">
      <c r="A146" s="27">
        <v>483</v>
      </c>
      <c r="B146" s="27" t="s">
        <v>274</v>
      </c>
      <c r="C146" s="27">
        <v>17</v>
      </c>
      <c r="D146" s="27" t="s">
        <v>117</v>
      </c>
      <c r="E146" s="27">
        <v>1</v>
      </c>
      <c r="F146" s="27" t="s">
        <v>103</v>
      </c>
      <c r="G146" s="29" t="s">
        <v>130</v>
      </c>
      <c r="H146" s="27" t="s">
        <v>98</v>
      </c>
      <c r="I146" s="31" t="s">
        <v>117</v>
      </c>
      <c r="J146" s="118">
        <v>972.12621494753375</v>
      </c>
      <c r="K146" s="118">
        <v>4151.7189647023997</v>
      </c>
      <c r="L146" s="118">
        <v>3773.4643180904613</v>
      </c>
      <c r="M146" s="118">
        <v>3509.5774614723505</v>
      </c>
      <c r="N146" s="22">
        <v>3614</v>
      </c>
      <c r="O146" s="119">
        <v>3373</v>
      </c>
      <c r="P146" s="119">
        <v>3195</v>
      </c>
      <c r="Q146" s="120">
        <v>3188</v>
      </c>
      <c r="R146" s="22">
        <v>3087</v>
      </c>
      <c r="S146" s="22">
        <v>2819</v>
      </c>
      <c r="T146" s="121">
        <v>2497</v>
      </c>
      <c r="U146" s="121">
        <v>2272</v>
      </c>
      <c r="V146" s="121">
        <v>2291</v>
      </c>
      <c r="W146" s="106">
        <v>2440</v>
      </c>
      <c r="X146" s="121">
        <v>2746</v>
      </c>
      <c r="Y146" s="121">
        <v>2978</v>
      </c>
      <c r="Z146" s="121">
        <v>3221</v>
      </c>
      <c r="AA146" s="121">
        <v>3060</v>
      </c>
      <c r="AB146" s="122">
        <v>18.5</v>
      </c>
      <c r="AC146" s="123">
        <v>18.5</v>
      </c>
      <c r="AD146" s="124">
        <v>18.5</v>
      </c>
      <c r="AE146" s="125">
        <v>18.5</v>
      </c>
      <c r="AF146" s="126">
        <v>18.5</v>
      </c>
      <c r="AG146" s="123">
        <v>18.5</v>
      </c>
      <c r="AH146" s="123">
        <v>19</v>
      </c>
      <c r="AI146" s="127">
        <v>19</v>
      </c>
      <c r="AJ146" s="127">
        <v>19</v>
      </c>
      <c r="AK146" s="22">
        <v>19</v>
      </c>
      <c r="AL146" s="128">
        <v>19.5</v>
      </c>
      <c r="AM146" s="128">
        <v>19.5</v>
      </c>
      <c r="AN146" s="128">
        <v>20</v>
      </c>
      <c r="AO146" s="77">
        <v>20</v>
      </c>
      <c r="AP146" s="77">
        <v>20.5</v>
      </c>
      <c r="AQ146" s="129">
        <v>21</v>
      </c>
      <c r="AR146" s="129">
        <v>21</v>
      </c>
      <c r="AS146" s="129">
        <v>21</v>
      </c>
      <c r="AT146" s="116">
        <v>1153</v>
      </c>
      <c r="AU146" s="47">
        <v>1397</v>
      </c>
      <c r="AV146" s="47">
        <v>7756</v>
      </c>
      <c r="AW146" s="46">
        <v>2614</v>
      </c>
      <c r="AX146" s="46">
        <v>4179</v>
      </c>
      <c r="AY146" s="92">
        <v>167</v>
      </c>
      <c r="AZ146" s="47">
        <v>559</v>
      </c>
      <c r="BA146" s="44">
        <v>326</v>
      </c>
      <c r="BB146" s="23">
        <v>-344</v>
      </c>
      <c r="BC146" s="47">
        <v>233</v>
      </c>
      <c r="BD146" s="44">
        <v>233</v>
      </c>
      <c r="BE146" s="47">
        <v>2978</v>
      </c>
      <c r="BF146" s="44">
        <v>2614</v>
      </c>
      <c r="BG146" s="46">
        <v>2421</v>
      </c>
      <c r="BH146" s="130">
        <v>73</v>
      </c>
      <c r="BI146" s="46">
        <v>120</v>
      </c>
      <c r="BJ146" s="129">
        <v>21</v>
      </c>
      <c r="BK146" s="44">
        <v>3013</v>
      </c>
      <c r="BL146" s="116">
        <v>1150</v>
      </c>
      <c r="BM146" s="47">
        <v>1565</v>
      </c>
      <c r="BN146" s="130">
        <v>7951</v>
      </c>
      <c r="BO146" s="46">
        <v>2672</v>
      </c>
      <c r="BP146" s="46">
        <v>4232</v>
      </c>
      <c r="BQ146" s="46">
        <v>155</v>
      </c>
      <c r="BR146" s="130">
        <v>634</v>
      </c>
      <c r="BS146" s="44">
        <v>391</v>
      </c>
      <c r="BT146" s="92">
        <v>-387</v>
      </c>
      <c r="BU146" s="117">
        <v>243</v>
      </c>
      <c r="BV146" s="130">
        <v>3221</v>
      </c>
      <c r="BW146" s="48">
        <v>2672</v>
      </c>
      <c r="BX146" s="46">
        <v>2400</v>
      </c>
      <c r="BY146" s="130">
        <v>85</v>
      </c>
      <c r="BZ146" s="46">
        <v>187</v>
      </c>
      <c r="CA146" s="129">
        <v>21</v>
      </c>
      <c r="CB146" s="44">
        <v>2612</v>
      </c>
      <c r="CC146" s="116">
        <v>1134</v>
      </c>
      <c r="CD146" s="47">
        <v>1593</v>
      </c>
      <c r="CE146" s="130">
        <v>8185</v>
      </c>
      <c r="CF146" s="46">
        <v>2782</v>
      </c>
      <c r="CG146" s="46">
        <v>3917</v>
      </c>
      <c r="CH146" s="46">
        <v>161</v>
      </c>
      <c r="CI146" s="130">
        <v>238</v>
      </c>
      <c r="CJ146" s="44">
        <v>400</v>
      </c>
      <c r="CK146" s="117">
        <v>-105</v>
      </c>
      <c r="CL146" s="117">
        <v>-162</v>
      </c>
      <c r="CM146" s="117">
        <v>3060</v>
      </c>
      <c r="CN146" s="48">
        <v>2782</v>
      </c>
      <c r="CO146" s="46">
        <v>2489</v>
      </c>
      <c r="CP146" s="130">
        <v>104</v>
      </c>
      <c r="CQ146" s="46">
        <v>189</v>
      </c>
      <c r="CR146" s="129">
        <v>21</v>
      </c>
      <c r="CS146" s="44">
        <v>2757</v>
      </c>
      <c r="CT146">
        <v>1131</v>
      </c>
      <c r="CU146">
        <v>2484</v>
      </c>
      <c r="CV146">
        <v>4039</v>
      </c>
      <c r="CW146">
        <v>1454</v>
      </c>
      <c r="CX146">
        <v>147</v>
      </c>
      <c r="CY146">
        <v>2178</v>
      </c>
      <c r="CZ146">
        <v>108</v>
      </c>
      <c r="DA146">
        <v>198</v>
      </c>
      <c r="DB146">
        <v>230</v>
      </c>
      <c r="DC146">
        <v>-80</v>
      </c>
      <c r="DD146">
        <v>384</v>
      </c>
      <c r="DE146">
        <v>2781</v>
      </c>
      <c r="DF146">
        <v>7870</v>
      </c>
      <c r="DG146">
        <v>-154</v>
      </c>
      <c r="DH146">
        <v>2907</v>
      </c>
      <c r="DI146">
        <v>21.5</v>
      </c>
      <c r="DJ146" s="174">
        <v>1119</v>
      </c>
      <c r="DK146" s="34">
        <v>2606</v>
      </c>
      <c r="DL146" s="34">
        <v>4303</v>
      </c>
      <c r="DM146">
        <v>1419</v>
      </c>
      <c r="DN146" s="173">
        <v>47</v>
      </c>
      <c r="DO146" s="34">
        <v>2268</v>
      </c>
      <c r="DP146" s="173">
        <v>136</v>
      </c>
      <c r="DQ146" s="34">
        <v>202</v>
      </c>
      <c r="DR146" s="173">
        <v>362</v>
      </c>
      <c r="DS146" s="173">
        <v>-312</v>
      </c>
      <c r="DT146">
        <v>353</v>
      </c>
      <c r="DU146">
        <v>2994</v>
      </c>
      <c r="DV146" s="173">
        <v>8013</v>
      </c>
      <c r="DW146" s="173">
        <v>9</v>
      </c>
      <c r="DX146" s="173">
        <v>2916</v>
      </c>
      <c r="DY146" s="57">
        <v>21.5</v>
      </c>
      <c r="DZ146" s="184">
        <v>340</v>
      </c>
      <c r="EA146" s="116">
        <v>1104</v>
      </c>
      <c r="EB146" s="48">
        <v>2579</v>
      </c>
      <c r="EC146" s="46">
        <v>4197</v>
      </c>
      <c r="ED146" s="90">
        <v>1568</v>
      </c>
      <c r="EE146" s="186">
        <v>32</v>
      </c>
      <c r="EF146" s="46">
        <v>2126</v>
      </c>
      <c r="EG146" s="130">
        <v>121</v>
      </c>
      <c r="EH146" s="46">
        <v>332</v>
      </c>
      <c r="EI146" s="130">
        <v>59</v>
      </c>
      <c r="EJ146" s="48">
        <v>-1189</v>
      </c>
      <c r="EK146" s="44">
        <v>403</v>
      </c>
      <c r="EL146" s="44">
        <v>3380</v>
      </c>
      <c r="EM146" s="130">
        <v>8317</v>
      </c>
      <c r="EN146" s="117">
        <v>-344</v>
      </c>
      <c r="EO146" s="117">
        <v>2572</v>
      </c>
      <c r="EP146" s="129">
        <v>21.5</v>
      </c>
    </row>
    <row r="147" spans="1:146" ht="15" x14ac:dyDescent="0.25">
      <c r="A147" s="27">
        <v>484</v>
      </c>
      <c r="B147" s="27" t="s">
        <v>275</v>
      </c>
      <c r="C147" s="27">
        <v>4</v>
      </c>
      <c r="D147" s="27" t="s">
        <v>120</v>
      </c>
      <c r="E147" s="27">
        <v>2</v>
      </c>
      <c r="F147" s="27" t="s">
        <v>744</v>
      </c>
      <c r="G147" s="29" t="s">
        <v>130</v>
      </c>
      <c r="H147" s="27" t="s">
        <v>98</v>
      </c>
      <c r="I147" s="31" t="s">
        <v>120</v>
      </c>
      <c r="J147" s="118">
        <v>584.45304445375086</v>
      </c>
      <c r="K147" s="118">
        <v>1241.05870935949</v>
      </c>
      <c r="L147" s="118">
        <v>1514.0277140065223</v>
      </c>
      <c r="M147" s="118">
        <v>1974.358068731678</v>
      </c>
      <c r="N147" s="22">
        <v>1620</v>
      </c>
      <c r="O147" s="119">
        <v>1521</v>
      </c>
      <c r="P147" s="119">
        <v>2250</v>
      </c>
      <c r="Q147" s="120">
        <v>1092</v>
      </c>
      <c r="R147" s="22">
        <v>976</v>
      </c>
      <c r="S147" s="22">
        <v>1029</v>
      </c>
      <c r="T147" s="121">
        <v>2748</v>
      </c>
      <c r="U147" s="121">
        <v>3759</v>
      </c>
      <c r="V147" s="121">
        <v>5024</v>
      </c>
      <c r="W147" s="106">
        <v>4942</v>
      </c>
      <c r="X147" s="121">
        <v>4681</v>
      </c>
      <c r="Y147" s="121">
        <v>6161</v>
      </c>
      <c r="Z147" s="121">
        <v>6535</v>
      </c>
      <c r="AA147" s="121">
        <v>7473</v>
      </c>
      <c r="AB147" s="122">
        <v>18.5</v>
      </c>
      <c r="AC147" s="123">
        <v>18.5</v>
      </c>
      <c r="AD147" s="124">
        <v>18.5</v>
      </c>
      <c r="AE147" s="125">
        <v>17.75</v>
      </c>
      <c r="AF147" s="126">
        <v>17.75</v>
      </c>
      <c r="AG147" s="123">
        <v>17.75</v>
      </c>
      <c r="AH147" s="123">
        <v>17.75</v>
      </c>
      <c r="AI147" s="127">
        <v>18.5</v>
      </c>
      <c r="AJ147" s="127">
        <v>18.5</v>
      </c>
      <c r="AK147" s="22">
        <v>19.5</v>
      </c>
      <c r="AL147" s="128">
        <v>19.5</v>
      </c>
      <c r="AM147" s="128">
        <v>19.5</v>
      </c>
      <c r="AN147" s="128">
        <v>19.5</v>
      </c>
      <c r="AO147" s="77">
        <v>19.5</v>
      </c>
      <c r="AP147" s="77">
        <v>19.5</v>
      </c>
      <c r="AQ147" s="129">
        <v>19.5</v>
      </c>
      <c r="AR147" s="129">
        <v>19.5</v>
      </c>
      <c r="AS147" s="129">
        <v>19.5</v>
      </c>
      <c r="AT147" s="116">
        <v>3226</v>
      </c>
      <c r="AU147" s="47">
        <v>3589</v>
      </c>
      <c r="AV147" s="47">
        <v>23046</v>
      </c>
      <c r="AW147" s="46">
        <v>9162</v>
      </c>
      <c r="AX147" s="46">
        <v>12799</v>
      </c>
      <c r="AY147" s="92">
        <v>41</v>
      </c>
      <c r="AZ147" s="47">
        <v>2525</v>
      </c>
      <c r="BA147" s="44">
        <v>1046</v>
      </c>
      <c r="BB147" s="23">
        <v>-2022</v>
      </c>
      <c r="BC147" s="47">
        <v>1479</v>
      </c>
      <c r="BD147" s="44">
        <v>1479</v>
      </c>
      <c r="BE147" s="47">
        <v>6161</v>
      </c>
      <c r="BF147" s="44">
        <v>9162</v>
      </c>
      <c r="BG147" s="46">
        <v>7956</v>
      </c>
      <c r="BH147" s="130">
        <v>487</v>
      </c>
      <c r="BI147" s="46">
        <v>719</v>
      </c>
      <c r="BJ147" s="129">
        <v>19.5</v>
      </c>
      <c r="BK147" s="44">
        <v>1981</v>
      </c>
      <c r="BL147" s="116">
        <v>3246</v>
      </c>
      <c r="BM147" s="47">
        <v>3753</v>
      </c>
      <c r="BN147" s="130">
        <v>24174</v>
      </c>
      <c r="BO147" s="46">
        <v>9212</v>
      </c>
      <c r="BP147" s="46">
        <v>12699</v>
      </c>
      <c r="BQ147" s="46">
        <v>10</v>
      </c>
      <c r="BR147" s="130">
        <v>1499</v>
      </c>
      <c r="BS147" s="44">
        <v>1126</v>
      </c>
      <c r="BT147" s="92">
        <v>-951</v>
      </c>
      <c r="BU147" s="117">
        <v>374</v>
      </c>
      <c r="BV147" s="130">
        <v>6535</v>
      </c>
      <c r="BW147" s="48">
        <v>9212</v>
      </c>
      <c r="BX147" s="46">
        <v>7826</v>
      </c>
      <c r="BY147" s="130">
        <v>574</v>
      </c>
      <c r="BZ147" s="46">
        <v>812</v>
      </c>
      <c r="CA147" s="129">
        <v>19.5</v>
      </c>
      <c r="CB147" s="44">
        <v>1706</v>
      </c>
      <c r="CC147" s="116">
        <v>3185</v>
      </c>
      <c r="CD147" s="47">
        <v>3531</v>
      </c>
      <c r="CE147" s="130">
        <v>24141</v>
      </c>
      <c r="CF147" s="46">
        <v>10052</v>
      </c>
      <c r="CG147" s="46">
        <v>12559</v>
      </c>
      <c r="CH147" s="46">
        <v>141</v>
      </c>
      <c r="CI147" s="130">
        <v>2076</v>
      </c>
      <c r="CJ147" s="44">
        <v>1137</v>
      </c>
      <c r="CK147" s="117">
        <v>-1264</v>
      </c>
      <c r="CL147" s="117">
        <v>939</v>
      </c>
      <c r="CM147" s="117">
        <v>7473</v>
      </c>
      <c r="CN147" s="48">
        <v>10052</v>
      </c>
      <c r="CO147" s="46">
        <v>8346</v>
      </c>
      <c r="CP147" s="130">
        <v>720</v>
      </c>
      <c r="CQ147" s="46">
        <v>986</v>
      </c>
      <c r="CR147" s="129">
        <v>19.5</v>
      </c>
      <c r="CS147" s="44">
        <v>1431</v>
      </c>
      <c r="CT147">
        <v>3169</v>
      </c>
      <c r="CU147">
        <v>9100</v>
      </c>
      <c r="CV147">
        <v>12486</v>
      </c>
      <c r="CW147">
        <v>3714</v>
      </c>
      <c r="CX147">
        <v>29</v>
      </c>
      <c r="CY147">
        <v>7406</v>
      </c>
      <c r="CZ147">
        <v>696</v>
      </c>
      <c r="DA147">
        <v>998</v>
      </c>
      <c r="DB147">
        <v>1354</v>
      </c>
      <c r="DC147">
        <v>-1130</v>
      </c>
      <c r="DD147">
        <v>1174</v>
      </c>
      <c r="DE147">
        <v>1251</v>
      </c>
      <c r="DF147">
        <v>23975</v>
      </c>
      <c r="DG147">
        <v>180</v>
      </c>
      <c r="DH147">
        <v>7653</v>
      </c>
      <c r="DI147">
        <v>19.5</v>
      </c>
      <c r="DJ147" s="174">
        <v>3156</v>
      </c>
      <c r="DK147" s="34">
        <v>9756</v>
      </c>
      <c r="DL147" s="34">
        <v>12279</v>
      </c>
      <c r="DM147">
        <v>3777</v>
      </c>
      <c r="DN147" s="173">
        <v>73</v>
      </c>
      <c r="DO147" s="34">
        <v>7975</v>
      </c>
      <c r="DP147" s="173">
        <v>789</v>
      </c>
      <c r="DQ147" s="34">
        <v>992</v>
      </c>
      <c r="DR147" s="173">
        <v>1036</v>
      </c>
      <c r="DS147" s="173">
        <v>-1387</v>
      </c>
      <c r="DT147">
        <v>1154</v>
      </c>
      <c r="DU147">
        <v>1096</v>
      </c>
      <c r="DV147" s="173">
        <v>24849</v>
      </c>
      <c r="DW147" s="173">
        <v>-118</v>
      </c>
      <c r="DX147" s="173">
        <v>7535</v>
      </c>
      <c r="DY147" s="57">
        <v>19.5</v>
      </c>
      <c r="DZ147" s="184">
        <v>330</v>
      </c>
      <c r="EA147" s="116">
        <v>3115</v>
      </c>
      <c r="EB147" s="48">
        <v>9286</v>
      </c>
      <c r="EC147" s="46">
        <v>11723</v>
      </c>
      <c r="ED147" s="90">
        <v>3982</v>
      </c>
      <c r="EE147" s="186">
        <v>22</v>
      </c>
      <c r="EF147" s="46">
        <v>7459</v>
      </c>
      <c r="EG147" s="130">
        <v>817</v>
      </c>
      <c r="EH147" s="46">
        <v>1010</v>
      </c>
      <c r="EI147" s="130">
        <v>-366</v>
      </c>
      <c r="EJ147" s="48">
        <v>-1201</v>
      </c>
      <c r="EK147" s="44">
        <v>1280</v>
      </c>
      <c r="EL147" s="44">
        <v>950</v>
      </c>
      <c r="EM147" s="130">
        <v>25379</v>
      </c>
      <c r="EN147" s="117">
        <v>-1646</v>
      </c>
      <c r="EO147" s="117">
        <v>5890</v>
      </c>
      <c r="EP147" s="129">
        <v>19.5</v>
      </c>
    </row>
    <row r="148" spans="1:146" ht="15" x14ac:dyDescent="0.25">
      <c r="A148" s="27">
        <v>489</v>
      </c>
      <c r="B148" s="27" t="s">
        <v>276</v>
      </c>
      <c r="C148" s="27">
        <v>8</v>
      </c>
      <c r="D148" s="27" t="s">
        <v>112</v>
      </c>
      <c r="E148" s="27">
        <v>1</v>
      </c>
      <c r="F148" s="27" t="s">
        <v>103</v>
      </c>
      <c r="G148" s="29" t="s">
        <v>130</v>
      </c>
      <c r="H148" s="27" t="s">
        <v>98</v>
      </c>
      <c r="I148" s="31" t="s">
        <v>112</v>
      </c>
      <c r="J148" s="118">
        <v>640.45962396543405</v>
      </c>
      <c r="K148" s="118">
        <v>544.08794210298822</v>
      </c>
      <c r="L148" s="118">
        <v>354.03558520148073</v>
      </c>
      <c r="M148" s="118">
        <v>2010.1820970679798</v>
      </c>
      <c r="N148" s="177">
        <v>1873</v>
      </c>
      <c r="O148" s="119">
        <v>115</v>
      </c>
      <c r="P148" s="119">
        <v>1104</v>
      </c>
      <c r="Q148" s="120">
        <v>1386</v>
      </c>
      <c r="R148" s="177">
        <v>1950</v>
      </c>
      <c r="S148" s="177">
        <v>2943</v>
      </c>
      <c r="T148" s="121">
        <v>2950</v>
      </c>
      <c r="U148" s="121">
        <v>3159</v>
      </c>
      <c r="V148" s="121">
        <v>4009</v>
      </c>
      <c r="W148" s="106">
        <v>3653</v>
      </c>
      <c r="X148" s="121">
        <v>3541</v>
      </c>
      <c r="Y148" s="121">
        <v>3521</v>
      </c>
      <c r="Z148" s="121">
        <v>4305</v>
      </c>
      <c r="AA148" s="121">
        <v>4811</v>
      </c>
      <c r="AB148" s="122">
        <v>17.5</v>
      </c>
      <c r="AC148" s="123">
        <v>17.5</v>
      </c>
      <c r="AD148" s="124">
        <v>17.5</v>
      </c>
      <c r="AE148" s="125">
        <v>17.5</v>
      </c>
      <c r="AF148" s="126">
        <v>17.5</v>
      </c>
      <c r="AG148" s="123">
        <v>18.5</v>
      </c>
      <c r="AH148" s="123">
        <v>18.5</v>
      </c>
      <c r="AI148" s="127">
        <v>18.5</v>
      </c>
      <c r="AJ148" s="127">
        <v>18.25</v>
      </c>
      <c r="AK148" s="177">
        <v>18.25</v>
      </c>
      <c r="AL148" s="128">
        <v>18.25</v>
      </c>
      <c r="AM148" s="128">
        <v>18.25</v>
      </c>
      <c r="AN148" s="128">
        <v>19.5</v>
      </c>
      <c r="AO148" s="77">
        <v>19.5</v>
      </c>
      <c r="AP148" s="77">
        <v>19.5</v>
      </c>
      <c r="AQ148" s="129">
        <v>19.5</v>
      </c>
      <c r="AR148" s="129">
        <v>20</v>
      </c>
      <c r="AS148" s="129">
        <v>20</v>
      </c>
      <c r="AT148" s="116">
        <v>2145</v>
      </c>
      <c r="AU148" s="47">
        <v>11071</v>
      </c>
      <c r="AV148" s="47">
        <v>23408</v>
      </c>
      <c r="AW148" s="46">
        <v>5533</v>
      </c>
      <c r="AX148" s="46">
        <v>7083</v>
      </c>
      <c r="AY148" s="92">
        <v>329</v>
      </c>
      <c r="AZ148" s="47">
        <v>596</v>
      </c>
      <c r="BA148" s="44">
        <v>615</v>
      </c>
      <c r="BB148" s="23">
        <v>-3214</v>
      </c>
      <c r="BC148" s="47">
        <v>-19</v>
      </c>
      <c r="BD148" s="44">
        <v>-20</v>
      </c>
      <c r="BE148" s="47">
        <v>3521</v>
      </c>
      <c r="BF148" s="44">
        <v>5533</v>
      </c>
      <c r="BG148" s="46">
        <v>4697</v>
      </c>
      <c r="BH148" s="130">
        <v>503</v>
      </c>
      <c r="BI148" s="46">
        <v>333</v>
      </c>
      <c r="BJ148" s="129">
        <v>19.5</v>
      </c>
      <c r="BK148" s="44">
        <v>2539</v>
      </c>
      <c r="BL148" s="116">
        <v>2123</v>
      </c>
      <c r="BM148" s="47">
        <v>11362</v>
      </c>
      <c r="BN148" s="130">
        <v>23190</v>
      </c>
      <c r="BO148" s="46">
        <v>5634</v>
      </c>
      <c r="BP148" s="46">
        <v>7467</v>
      </c>
      <c r="BQ148" s="46">
        <v>197</v>
      </c>
      <c r="BR148" s="130">
        <v>1422</v>
      </c>
      <c r="BS148" s="44">
        <v>638</v>
      </c>
      <c r="BT148" s="92">
        <v>-6168</v>
      </c>
      <c r="BU148" s="117">
        <v>783</v>
      </c>
      <c r="BV148" s="130">
        <v>4305</v>
      </c>
      <c r="BW148" s="48">
        <v>5634</v>
      </c>
      <c r="BX148" s="46">
        <v>4622</v>
      </c>
      <c r="BY148" s="130">
        <v>582</v>
      </c>
      <c r="BZ148" s="46">
        <v>430</v>
      </c>
      <c r="CA148" s="129">
        <v>20</v>
      </c>
      <c r="CB148" s="44">
        <v>6202</v>
      </c>
      <c r="CC148" s="116">
        <v>2085</v>
      </c>
      <c r="CD148" s="47">
        <v>11570</v>
      </c>
      <c r="CE148" s="130">
        <v>23696</v>
      </c>
      <c r="CF148" s="46">
        <v>6041</v>
      </c>
      <c r="CG148" s="46">
        <v>7630</v>
      </c>
      <c r="CH148" s="46">
        <v>0</v>
      </c>
      <c r="CI148" s="130">
        <v>1468</v>
      </c>
      <c r="CJ148" s="44">
        <v>666</v>
      </c>
      <c r="CK148" s="117">
        <v>-3026</v>
      </c>
      <c r="CL148" s="117">
        <v>802</v>
      </c>
      <c r="CM148" s="117">
        <v>4811</v>
      </c>
      <c r="CN148" s="48">
        <v>6041</v>
      </c>
      <c r="CO148" s="46">
        <v>4886</v>
      </c>
      <c r="CP148" s="130">
        <v>715</v>
      </c>
      <c r="CQ148" s="46">
        <v>440</v>
      </c>
      <c r="CR148" s="129">
        <v>20</v>
      </c>
      <c r="CS148" s="44">
        <v>7638</v>
      </c>
      <c r="CT148">
        <v>2034</v>
      </c>
      <c r="CU148">
        <v>5918</v>
      </c>
      <c r="CV148">
        <v>7645</v>
      </c>
      <c r="CW148">
        <v>11573</v>
      </c>
      <c r="CX148">
        <v>19</v>
      </c>
      <c r="CY148">
        <v>4706</v>
      </c>
      <c r="CZ148">
        <v>716</v>
      </c>
      <c r="DA148">
        <v>496</v>
      </c>
      <c r="DB148">
        <v>1519</v>
      </c>
      <c r="DC148">
        <v>-1283</v>
      </c>
      <c r="DD148">
        <v>816</v>
      </c>
      <c r="DE148">
        <v>7073</v>
      </c>
      <c r="DF148">
        <v>23594</v>
      </c>
      <c r="DG148">
        <v>703</v>
      </c>
      <c r="DH148">
        <v>7204</v>
      </c>
      <c r="DI148">
        <v>20</v>
      </c>
      <c r="DJ148" s="174">
        <v>1992</v>
      </c>
      <c r="DK148" s="34">
        <v>5996</v>
      </c>
      <c r="DL148" s="34">
        <v>7836</v>
      </c>
      <c r="DM148">
        <v>10811</v>
      </c>
      <c r="DN148" s="173">
        <v>-14</v>
      </c>
      <c r="DO148" s="34">
        <v>4667</v>
      </c>
      <c r="DP148" s="173">
        <v>834</v>
      </c>
      <c r="DQ148" s="34">
        <v>495</v>
      </c>
      <c r="DR148" s="173">
        <v>1500</v>
      </c>
      <c r="DS148" s="173">
        <v>-1684</v>
      </c>
      <c r="DT148">
        <v>858</v>
      </c>
      <c r="DU148">
        <v>8508</v>
      </c>
      <c r="DV148" s="173">
        <v>23129</v>
      </c>
      <c r="DW148" s="173">
        <v>642</v>
      </c>
      <c r="DX148" s="173">
        <v>7847</v>
      </c>
      <c r="DY148" s="57">
        <v>20</v>
      </c>
      <c r="DZ148" s="184">
        <v>340</v>
      </c>
      <c r="EA148" s="116">
        <v>1940</v>
      </c>
      <c r="EB148" s="48">
        <v>5616</v>
      </c>
      <c r="EC148" s="46">
        <v>7806</v>
      </c>
      <c r="ED148" s="90">
        <v>11296</v>
      </c>
      <c r="EE148" s="186">
        <v>-146</v>
      </c>
      <c r="EF148" s="46">
        <v>4349</v>
      </c>
      <c r="EG148" s="130">
        <v>777</v>
      </c>
      <c r="EH148" s="46">
        <v>490</v>
      </c>
      <c r="EI148" s="130">
        <v>471</v>
      </c>
      <c r="EJ148" s="48">
        <v>-667</v>
      </c>
      <c r="EK148" s="44">
        <v>936</v>
      </c>
      <c r="EL148" s="44">
        <v>7944</v>
      </c>
      <c r="EM148" s="130">
        <v>24101</v>
      </c>
      <c r="EN148" s="117">
        <v>-465</v>
      </c>
      <c r="EO148" s="117">
        <v>7382</v>
      </c>
      <c r="EP148" s="129">
        <v>20</v>
      </c>
    </row>
    <row r="149" spans="1:146" ht="15" x14ac:dyDescent="0.25">
      <c r="A149" s="27">
        <v>491</v>
      </c>
      <c r="B149" s="27" t="s">
        <v>277</v>
      </c>
      <c r="C149" s="27">
        <v>10</v>
      </c>
      <c r="D149" s="27" t="s">
        <v>107</v>
      </c>
      <c r="E149" s="27">
        <v>6</v>
      </c>
      <c r="F149" s="27" t="s">
        <v>102</v>
      </c>
      <c r="G149" s="29" t="s">
        <v>141</v>
      </c>
      <c r="H149" s="27" t="s">
        <v>97</v>
      </c>
      <c r="I149" s="27" t="s">
        <v>107</v>
      </c>
      <c r="J149" s="118">
        <v>-12390.74091827244</v>
      </c>
      <c r="K149" s="118">
        <v>-16253.344837387505</v>
      </c>
      <c r="L149" s="118">
        <v>-5825.188832994435</v>
      </c>
      <c r="M149" s="118">
        <v>-7968.4075798934691</v>
      </c>
      <c r="N149" s="22">
        <v>-3455</v>
      </c>
      <c r="O149" s="119">
        <v>-3001</v>
      </c>
      <c r="P149" s="119">
        <v>-3442</v>
      </c>
      <c r="Q149" s="120">
        <v>-8555</v>
      </c>
      <c r="R149" s="22">
        <v>-11978</v>
      </c>
      <c r="S149" s="22">
        <v>-20459</v>
      </c>
      <c r="T149" s="121">
        <v>-16803</v>
      </c>
      <c r="U149" s="121">
        <v>-4964</v>
      </c>
      <c r="V149" s="121">
        <v>7394</v>
      </c>
      <c r="W149" s="106">
        <v>9345</v>
      </c>
      <c r="X149" s="121">
        <v>13778</v>
      </c>
      <c r="Y149" s="121">
        <v>8665</v>
      </c>
      <c r="Z149" s="121">
        <v>12448</v>
      </c>
      <c r="AA149" s="121">
        <v>5865</v>
      </c>
      <c r="AB149" s="122">
        <v>17.5</v>
      </c>
      <c r="AC149" s="123">
        <v>18</v>
      </c>
      <c r="AD149" s="124">
        <v>18</v>
      </c>
      <c r="AE149" s="125">
        <v>18</v>
      </c>
      <c r="AF149" s="126">
        <v>18</v>
      </c>
      <c r="AG149" s="123">
        <v>18.75</v>
      </c>
      <c r="AH149" s="123">
        <v>18.75</v>
      </c>
      <c r="AI149" s="131">
        <v>18.75</v>
      </c>
      <c r="AJ149" s="131">
        <v>18.75</v>
      </c>
      <c r="AK149" s="22">
        <v>18.75</v>
      </c>
      <c r="AL149" s="128">
        <v>19.5</v>
      </c>
      <c r="AM149" s="128">
        <v>19.5</v>
      </c>
      <c r="AN149" s="128">
        <v>19.5</v>
      </c>
      <c r="AO149" s="77">
        <v>19.5</v>
      </c>
      <c r="AP149" s="77">
        <v>19.5</v>
      </c>
      <c r="AQ149" s="129">
        <v>19.75</v>
      </c>
      <c r="AR149" s="129">
        <v>20</v>
      </c>
      <c r="AS149" s="129">
        <v>20</v>
      </c>
      <c r="AT149" s="116">
        <v>54635</v>
      </c>
      <c r="AU149" s="47">
        <v>100404</v>
      </c>
      <c r="AV149" s="47">
        <v>377595</v>
      </c>
      <c r="AW149" s="46">
        <v>187364</v>
      </c>
      <c r="AX149" s="46">
        <v>100524</v>
      </c>
      <c r="AY149" s="92">
        <v>3654</v>
      </c>
      <c r="AZ149" s="47">
        <v>14351</v>
      </c>
      <c r="BA149" s="44">
        <v>19311</v>
      </c>
      <c r="BB149" s="23">
        <v>-27001</v>
      </c>
      <c r="BC149" s="47">
        <v>-4960</v>
      </c>
      <c r="BD149" s="44">
        <v>-5113</v>
      </c>
      <c r="BE149" s="47">
        <v>8665</v>
      </c>
      <c r="BF149" s="44">
        <v>187364</v>
      </c>
      <c r="BG149" s="46">
        <v>163465</v>
      </c>
      <c r="BH149" s="130">
        <v>9215</v>
      </c>
      <c r="BI149" s="46">
        <v>14684</v>
      </c>
      <c r="BJ149" s="129">
        <v>19.75</v>
      </c>
      <c r="BK149" s="44">
        <v>169845</v>
      </c>
      <c r="BL149" s="116">
        <v>54605</v>
      </c>
      <c r="BM149" s="47">
        <v>101208</v>
      </c>
      <c r="BN149" s="130">
        <v>382320</v>
      </c>
      <c r="BO149" s="46">
        <v>196289</v>
      </c>
      <c r="BP149" s="46">
        <v>100416</v>
      </c>
      <c r="BQ149" s="46">
        <v>7908</v>
      </c>
      <c r="BR149" s="130">
        <v>23501</v>
      </c>
      <c r="BS149" s="44">
        <v>19786</v>
      </c>
      <c r="BT149" s="92">
        <v>-17950</v>
      </c>
      <c r="BU149" s="117">
        <v>3784</v>
      </c>
      <c r="BV149" s="130">
        <v>12448</v>
      </c>
      <c r="BW149" s="48">
        <v>196289</v>
      </c>
      <c r="BX149" s="46">
        <v>167617</v>
      </c>
      <c r="BY149" s="130">
        <v>10697</v>
      </c>
      <c r="BZ149" s="46">
        <v>17975</v>
      </c>
      <c r="CA149" s="129">
        <v>20</v>
      </c>
      <c r="CB149" s="44">
        <v>171623</v>
      </c>
      <c r="CC149" s="116">
        <v>54665</v>
      </c>
      <c r="CD149" s="47">
        <v>93949</v>
      </c>
      <c r="CE149" s="130">
        <v>388856</v>
      </c>
      <c r="CF149" s="46">
        <v>199303</v>
      </c>
      <c r="CG149" s="46">
        <v>103615</v>
      </c>
      <c r="CH149" s="46">
        <v>7587</v>
      </c>
      <c r="CI149" s="130">
        <v>11620</v>
      </c>
      <c r="CJ149" s="44">
        <v>18160</v>
      </c>
      <c r="CK149" s="117">
        <v>-24010</v>
      </c>
      <c r="CL149" s="117">
        <v>-6583</v>
      </c>
      <c r="CM149" s="117">
        <v>5865</v>
      </c>
      <c r="CN149" s="48">
        <v>199303</v>
      </c>
      <c r="CO149" s="46">
        <v>168949</v>
      </c>
      <c r="CP149" s="130">
        <v>12366</v>
      </c>
      <c r="CQ149" s="46">
        <v>17988</v>
      </c>
      <c r="CR149" s="129">
        <v>20</v>
      </c>
      <c r="CS149" s="44">
        <v>181555</v>
      </c>
      <c r="CT149">
        <v>54517</v>
      </c>
      <c r="CU149">
        <v>198632</v>
      </c>
      <c r="CV149">
        <v>111476</v>
      </c>
      <c r="CW149">
        <v>95328</v>
      </c>
      <c r="CX149">
        <v>3345</v>
      </c>
      <c r="CY149">
        <v>169039</v>
      </c>
      <c r="CZ149">
        <v>11378</v>
      </c>
      <c r="DA149">
        <v>18215</v>
      </c>
      <c r="DB149">
        <v>19066</v>
      </c>
      <c r="DC149">
        <v>-23822</v>
      </c>
      <c r="DD149">
        <v>17256</v>
      </c>
      <c r="DE149">
        <v>200698</v>
      </c>
      <c r="DF149">
        <v>389715</v>
      </c>
      <c r="DG149">
        <v>2128</v>
      </c>
      <c r="DH149">
        <v>7993</v>
      </c>
      <c r="DI149">
        <v>20</v>
      </c>
      <c r="DJ149" s="174">
        <v>54261</v>
      </c>
      <c r="DK149" s="34">
        <v>201594</v>
      </c>
      <c r="DL149" s="34">
        <v>112799</v>
      </c>
      <c r="DM149">
        <v>69870</v>
      </c>
      <c r="DN149" s="173">
        <v>5753</v>
      </c>
      <c r="DO149" s="34">
        <v>169353</v>
      </c>
      <c r="DP149" s="173">
        <v>13293</v>
      </c>
      <c r="DQ149" s="34">
        <v>18948</v>
      </c>
      <c r="DR149" s="173">
        <v>26663</v>
      </c>
      <c r="DS149" s="173">
        <v>-27898</v>
      </c>
      <c r="DT149">
        <v>23216</v>
      </c>
      <c r="DU149">
        <v>197705</v>
      </c>
      <c r="DV149" s="173">
        <v>363353</v>
      </c>
      <c r="DW149" s="173">
        <v>3830</v>
      </c>
      <c r="DX149" s="173">
        <v>4876</v>
      </c>
      <c r="DY149" s="57">
        <v>20.5</v>
      </c>
      <c r="DZ149" s="184">
        <v>130</v>
      </c>
      <c r="EA149" s="116">
        <v>53818</v>
      </c>
      <c r="EB149" s="48">
        <v>199834</v>
      </c>
      <c r="EC149" s="46">
        <v>110712</v>
      </c>
      <c r="ED149" s="90">
        <v>60948</v>
      </c>
      <c r="EE149" s="186">
        <v>2585</v>
      </c>
      <c r="EF149" s="46">
        <v>167523</v>
      </c>
      <c r="EG149" s="130">
        <v>13164</v>
      </c>
      <c r="EH149" s="46">
        <v>19147</v>
      </c>
      <c r="EI149" s="130">
        <v>3642</v>
      </c>
      <c r="EJ149" s="48">
        <v>-32065</v>
      </c>
      <c r="EK149" s="44">
        <v>17644</v>
      </c>
      <c r="EL149" s="44">
        <v>216579</v>
      </c>
      <c r="EM149" s="130">
        <v>370437</v>
      </c>
      <c r="EN149" s="117">
        <v>-13329</v>
      </c>
      <c r="EO149" s="117">
        <v>-8454</v>
      </c>
      <c r="EP149" s="129">
        <v>20.5</v>
      </c>
    </row>
    <row r="150" spans="1:146" ht="15" x14ac:dyDescent="0.25">
      <c r="A150" s="27">
        <v>494</v>
      </c>
      <c r="B150" s="27" t="s">
        <v>278</v>
      </c>
      <c r="C150" s="27">
        <v>17</v>
      </c>
      <c r="D150" s="27" t="s">
        <v>117</v>
      </c>
      <c r="E150" s="27">
        <v>3</v>
      </c>
      <c r="F150" s="27" t="s">
        <v>743</v>
      </c>
      <c r="G150" s="29" t="s">
        <v>132</v>
      </c>
      <c r="H150" s="27" t="s">
        <v>99</v>
      </c>
      <c r="I150" s="31" t="s">
        <v>117</v>
      </c>
      <c r="J150" s="118">
        <v>-605.64472318790126</v>
      </c>
      <c r="K150" s="118">
        <v>141.78242200705381</v>
      </c>
      <c r="L150" s="118">
        <v>-1833.2483984304702</v>
      </c>
      <c r="M150" s="118">
        <v>-1734.1857097446402</v>
      </c>
      <c r="N150" s="22">
        <v>1016</v>
      </c>
      <c r="O150" s="119">
        <v>2092</v>
      </c>
      <c r="P150" s="119">
        <v>955</v>
      </c>
      <c r="Q150" s="120">
        <v>-1528</v>
      </c>
      <c r="R150" s="22">
        <v>-1654</v>
      </c>
      <c r="S150" s="22">
        <v>-1974</v>
      </c>
      <c r="T150" s="121">
        <v>-1941</v>
      </c>
      <c r="U150" s="121">
        <v>-2734</v>
      </c>
      <c r="V150" s="121">
        <v>-293</v>
      </c>
      <c r="W150" s="106">
        <v>1858</v>
      </c>
      <c r="X150" s="121">
        <v>2489</v>
      </c>
      <c r="Y150" s="121">
        <v>4711</v>
      </c>
      <c r="Z150" s="121">
        <v>2996</v>
      </c>
      <c r="AA150" s="121">
        <v>2170</v>
      </c>
      <c r="AB150" s="122">
        <v>18</v>
      </c>
      <c r="AC150" s="123">
        <v>18</v>
      </c>
      <c r="AD150" s="124">
        <v>18</v>
      </c>
      <c r="AE150" s="125">
        <v>18.5</v>
      </c>
      <c r="AF150" s="126">
        <v>18.5</v>
      </c>
      <c r="AG150" s="123">
        <v>19</v>
      </c>
      <c r="AH150" s="123">
        <v>19</v>
      </c>
      <c r="AI150" s="127">
        <v>19</v>
      </c>
      <c r="AJ150" s="127">
        <v>19</v>
      </c>
      <c r="AK150" s="22">
        <v>19</v>
      </c>
      <c r="AL150" s="128">
        <v>19.5</v>
      </c>
      <c r="AM150" s="128">
        <v>19.5</v>
      </c>
      <c r="AN150" s="128">
        <v>19.5</v>
      </c>
      <c r="AO150" s="77">
        <v>20</v>
      </c>
      <c r="AP150" s="77">
        <v>20</v>
      </c>
      <c r="AQ150" s="129">
        <v>20</v>
      </c>
      <c r="AR150" s="129">
        <v>20</v>
      </c>
      <c r="AS150" s="129">
        <v>20.5</v>
      </c>
      <c r="AT150" s="116">
        <v>8998</v>
      </c>
      <c r="AU150" s="47">
        <v>14421</v>
      </c>
      <c r="AV150" s="47">
        <v>61102</v>
      </c>
      <c r="AW150" s="46">
        <v>28664</v>
      </c>
      <c r="AX150" s="46">
        <v>22783</v>
      </c>
      <c r="AY150" s="92">
        <v>367</v>
      </c>
      <c r="AZ150" s="47">
        <v>4702</v>
      </c>
      <c r="BA150" s="44">
        <v>2523</v>
      </c>
      <c r="BB150" s="23">
        <v>-4203</v>
      </c>
      <c r="BC150" s="47">
        <v>2179</v>
      </c>
      <c r="BD150" s="44">
        <v>2222</v>
      </c>
      <c r="BE150" s="47">
        <v>4711</v>
      </c>
      <c r="BF150" s="44">
        <v>28664</v>
      </c>
      <c r="BG150" s="46">
        <v>24053</v>
      </c>
      <c r="BH150" s="130">
        <v>1582</v>
      </c>
      <c r="BI150" s="46">
        <v>3029</v>
      </c>
      <c r="BJ150" s="129">
        <v>20</v>
      </c>
      <c r="BK150" s="44">
        <v>26489</v>
      </c>
      <c r="BL150" s="116">
        <v>8986</v>
      </c>
      <c r="BM150" s="47">
        <v>13877</v>
      </c>
      <c r="BN150" s="130">
        <v>61962</v>
      </c>
      <c r="BO150" s="46">
        <v>27799</v>
      </c>
      <c r="BP150" s="46">
        <v>22442</v>
      </c>
      <c r="BQ150" s="46">
        <v>12</v>
      </c>
      <c r="BR150" s="130">
        <v>1773</v>
      </c>
      <c r="BS150" s="44">
        <v>3722</v>
      </c>
      <c r="BT150" s="92">
        <v>-5831</v>
      </c>
      <c r="BU150" s="117">
        <v>-1714</v>
      </c>
      <c r="BV150" s="130">
        <v>2996</v>
      </c>
      <c r="BW150" s="48">
        <v>27799</v>
      </c>
      <c r="BX150" s="46">
        <v>23357</v>
      </c>
      <c r="BY150" s="130">
        <v>1176</v>
      </c>
      <c r="BZ150" s="46">
        <v>3266</v>
      </c>
      <c r="CA150" s="129">
        <v>20</v>
      </c>
      <c r="CB150" s="44">
        <v>27831</v>
      </c>
      <c r="CC150" s="116">
        <v>9063</v>
      </c>
      <c r="CD150" s="47">
        <v>13946</v>
      </c>
      <c r="CE150" s="130">
        <v>64298</v>
      </c>
      <c r="CF150" s="46">
        <v>28775</v>
      </c>
      <c r="CG150" s="46">
        <v>23766</v>
      </c>
      <c r="CH150" s="46">
        <v>67</v>
      </c>
      <c r="CI150" s="130">
        <v>1822</v>
      </c>
      <c r="CJ150" s="44">
        <v>2502</v>
      </c>
      <c r="CK150" s="117">
        <v>-13933</v>
      </c>
      <c r="CL150" s="117">
        <v>-651</v>
      </c>
      <c r="CM150" s="117">
        <v>2170</v>
      </c>
      <c r="CN150" s="48">
        <v>28775</v>
      </c>
      <c r="CO150" s="46">
        <v>24169</v>
      </c>
      <c r="CP150" s="130">
        <v>1243</v>
      </c>
      <c r="CQ150" s="46">
        <v>3363</v>
      </c>
      <c r="CR150" s="129">
        <v>20.5</v>
      </c>
      <c r="CS150" s="44">
        <v>39226</v>
      </c>
      <c r="CT150">
        <v>8995</v>
      </c>
      <c r="CU150">
        <v>29671</v>
      </c>
      <c r="CV150">
        <v>25615</v>
      </c>
      <c r="CW150">
        <v>12999</v>
      </c>
      <c r="CX150">
        <v>8</v>
      </c>
      <c r="CY150">
        <v>24867</v>
      </c>
      <c r="CZ150">
        <v>1209</v>
      </c>
      <c r="DA150">
        <v>3595</v>
      </c>
      <c r="DB150">
        <v>4756</v>
      </c>
      <c r="DC150">
        <v>-4913</v>
      </c>
      <c r="DD150">
        <v>3041</v>
      </c>
      <c r="DE150">
        <v>41333</v>
      </c>
      <c r="DF150">
        <v>63199</v>
      </c>
      <c r="DG150">
        <v>1742</v>
      </c>
      <c r="DH150">
        <v>3912</v>
      </c>
      <c r="DI150">
        <v>20.5</v>
      </c>
      <c r="DJ150" s="174">
        <v>9019</v>
      </c>
      <c r="DK150" s="34">
        <v>29836</v>
      </c>
      <c r="DL150" s="34">
        <v>25353</v>
      </c>
      <c r="DM150">
        <v>13241</v>
      </c>
      <c r="DN150" s="173">
        <v>-256</v>
      </c>
      <c r="DO150" s="34">
        <v>24970</v>
      </c>
      <c r="DP150" s="173">
        <v>1204</v>
      </c>
      <c r="DQ150" s="34">
        <v>3662</v>
      </c>
      <c r="DR150" s="173">
        <v>4287</v>
      </c>
      <c r="DS150" s="173">
        <v>-5753</v>
      </c>
      <c r="DT150">
        <v>3624</v>
      </c>
      <c r="DU150">
        <v>42408</v>
      </c>
      <c r="DV150" s="173">
        <v>63887</v>
      </c>
      <c r="DW150" s="173">
        <v>689</v>
      </c>
      <c r="DX150" s="173">
        <v>4601</v>
      </c>
      <c r="DY150" s="57">
        <v>20.5</v>
      </c>
      <c r="DZ150" s="184">
        <v>230</v>
      </c>
      <c r="EA150" s="116">
        <v>8980</v>
      </c>
      <c r="EB150" s="48">
        <v>30082</v>
      </c>
      <c r="EC150" s="46">
        <v>24941</v>
      </c>
      <c r="ED150" s="90">
        <v>12947</v>
      </c>
      <c r="EE150" s="186">
        <v>-244</v>
      </c>
      <c r="EF150" s="46">
        <v>25620</v>
      </c>
      <c r="EG150" s="130">
        <v>782</v>
      </c>
      <c r="EH150" s="46">
        <v>3680</v>
      </c>
      <c r="EI150" s="130">
        <v>1978</v>
      </c>
      <c r="EJ150" s="48">
        <v>-2643</v>
      </c>
      <c r="EK150" s="44">
        <v>3368</v>
      </c>
      <c r="EL150" s="44">
        <v>43854</v>
      </c>
      <c r="EM150" s="130">
        <v>65748</v>
      </c>
      <c r="EN150" s="117">
        <v>-1365</v>
      </c>
      <c r="EO150" s="117">
        <v>3236</v>
      </c>
      <c r="EP150" s="129">
        <v>21</v>
      </c>
    </row>
    <row r="151" spans="1:146" ht="15" x14ac:dyDescent="0.25">
      <c r="A151" s="27">
        <v>495</v>
      </c>
      <c r="B151" s="27" t="s">
        <v>279</v>
      </c>
      <c r="C151" s="27">
        <v>13</v>
      </c>
      <c r="D151" s="27" t="s">
        <v>111</v>
      </c>
      <c r="E151" s="27">
        <v>1</v>
      </c>
      <c r="F151" s="27" t="s">
        <v>103</v>
      </c>
      <c r="G151" s="29" t="s">
        <v>130</v>
      </c>
      <c r="H151" s="27" t="s">
        <v>98</v>
      </c>
      <c r="I151" s="31" t="s">
        <v>111</v>
      </c>
      <c r="J151" s="132">
        <v>544.59250588237273</v>
      </c>
      <c r="K151" s="132">
        <v>735.65399034264919</v>
      </c>
      <c r="L151" s="132">
        <v>206.87114954765858</v>
      </c>
      <c r="M151" s="132">
        <v>-517.85062557499248</v>
      </c>
      <c r="N151" s="132">
        <v>-1474</v>
      </c>
      <c r="O151" s="132">
        <v>-910</v>
      </c>
      <c r="P151" s="132">
        <v>-1016</v>
      </c>
      <c r="Q151" s="132">
        <v>-1082</v>
      </c>
      <c r="R151" s="132">
        <v>-583</v>
      </c>
      <c r="S151" s="132">
        <v>-422</v>
      </c>
      <c r="T151" s="132">
        <v>-731</v>
      </c>
      <c r="U151" s="132">
        <v>-911</v>
      </c>
      <c r="V151" s="132">
        <v>-580</v>
      </c>
      <c r="W151" s="106">
        <v>-1044</v>
      </c>
      <c r="X151" s="132">
        <v>-1420</v>
      </c>
      <c r="Y151" s="132">
        <v>-906</v>
      </c>
      <c r="Z151" s="132">
        <v>-254</v>
      </c>
      <c r="AA151" s="132">
        <v>-34</v>
      </c>
      <c r="AB151" s="133">
        <v>18.5</v>
      </c>
      <c r="AC151" s="134">
        <v>18.5</v>
      </c>
      <c r="AD151" s="135">
        <v>18.5</v>
      </c>
      <c r="AE151" s="136">
        <v>18.5</v>
      </c>
      <c r="AF151" s="137">
        <v>18.5</v>
      </c>
      <c r="AG151" s="134">
        <v>19</v>
      </c>
      <c r="AH151" s="134">
        <v>19</v>
      </c>
      <c r="AI151" s="138">
        <v>19</v>
      </c>
      <c r="AJ151" s="138">
        <v>19</v>
      </c>
      <c r="AK151" s="139">
        <v>19</v>
      </c>
      <c r="AL151" s="140">
        <v>19</v>
      </c>
      <c r="AM151" s="140">
        <v>19.25</v>
      </c>
      <c r="AN151" s="140">
        <v>19.75</v>
      </c>
      <c r="AO151" s="77">
        <v>19.75</v>
      </c>
      <c r="AP151" s="77">
        <v>21</v>
      </c>
      <c r="AQ151" s="129">
        <v>21</v>
      </c>
      <c r="AR151" s="129">
        <v>21</v>
      </c>
      <c r="AS151" s="129">
        <v>21</v>
      </c>
      <c r="AT151" s="116">
        <v>1777</v>
      </c>
      <c r="AU151" s="47">
        <v>2513</v>
      </c>
      <c r="AV151" s="47">
        <v>13452</v>
      </c>
      <c r="AW151" s="46">
        <v>5025</v>
      </c>
      <c r="AX151" s="46">
        <v>6910</v>
      </c>
      <c r="AY151" s="92">
        <v>1</v>
      </c>
      <c r="AZ151" s="47">
        <v>965</v>
      </c>
      <c r="BA151" s="44">
        <v>451</v>
      </c>
      <c r="BB151" s="23">
        <v>-44</v>
      </c>
      <c r="BC151" s="47">
        <v>514</v>
      </c>
      <c r="BD151" s="44">
        <v>514</v>
      </c>
      <c r="BE151" s="47">
        <v>-906</v>
      </c>
      <c r="BF151" s="44">
        <v>5025</v>
      </c>
      <c r="BG151" s="46">
        <v>3899</v>
      </c>
      <c r="BH151" s="130">
        <v>780</v>
      </c>
      <c r="BI151" s="46">
        <v>346</v>
      </c>
      <c r="BJ151" s="129">
        <v>21</v>
      </c>
      <c r="BK151" s="44">
        <v>3258</v>
      </c>
      <c r="BL151" s="116">
        <v>1763</v>
      </c>
      <c r="BM151" s="47">
        <v>2541</v>
      </c>
      <c r="BN151" s="130">
        <v>13591</v>
      </c>
      <c r="BO151" s="46">
        <v>5241</v>
      </c>
      <c r="BP151" s="46">
        <v>6838</v>
      </c>
      <c r="BQ151" s="46">
        <v>24</v>
      </c>
      <c r="BR151" s="130">
        <v>1027</v>
      </c>
      <c r="BS151" s="44">
        <v>376</v>
      </c>
      <c r="BT151" s="92">
        <v>-156</v>
      </c>
      <c r="BU151" s="117">
        <v>651</v>
      </c>
      <c r="BV151" s="130">
        <v>-254</v>
      </c>
      <c r="BW151" s="48">
        <v>5241</v>
      </c>
      <c r="BX151" s="46">
        <v>3957</v>
      </c>
      <c r="BY151" s="130">
        <v>891</v>
      </c>
      <c r="BZ151" s="46">
        <v>393</v>
      </c>
      <c r="CA151" s="129">
        <v>21</v>
      </c>
      <c r="CB151" s="44">
        <v>2330</v>
      </c>
      <c r="CC151" s="116">
        <v>1710</v>
      </c>
      <c r="CD151" s="47">
        <v>2270</v>
      </c>
      <c r="CE151" s="130">
        <v>13556</v>
      </c>
      <c r="CF151" s="46">
        <v>5357</v>
      </c>
      <c r="CG151" s="46">
        <v>6507</v>
      </c>
      <c r="CH151" s="46">
        <v>26</v>
      </c>
      <c r="CI151" s="130">
        <v>588</v>
      </c>
      <c r="CJ151" s="44">
        <v>368</v>
      </c>
      <c r="CK151" s="117">
        <v>-368</v>
      </c>
      <c r="CL151" s="117">
        <v>220</v>
      </c>
      <c r="CM151" s="117">
        <v>-34</v>
      </c>
      <c r="CN151" s="48">
        <v>5357</v>
      </c>
      <c r="CO151" s="46">
        <v>3937</v>
      </c>
      <c r="CP151" s="130">
        <v>1023</v>
      </c>
      <c r="CQ151" s="46">
        <v>397</v>
      </c>
      <c r="CR151" s="129">
        <v>21</v>
      </c>
      <c r="CS151" s="44">
        <v>1856</v>
      </c>
      <c r="CT151">
        <v>1663</v>
      </c>
      <c r="CU151">
        <v>5588</v>
      </c>
      <c r="CV151">
        <v>6460</v>
      </c>
      <c r="CW151">
        <v>1943</v>
      </c>
      <c r="CX151">
        <v>5</v>
      </c>
      <c r="CY151">
        <v>4252</v>
      </c>
      <c r="CZ151">
        <v>932</v>
      </c>
      <c r="DA151">
        <v>404</v>
      </c>
      <c r="DB151">
        <v>812</v>
      </c>
      <c r="DC151">
        <v>-309</v>
      </c>
      <c r="DD151">
        <v>341</v>
      </c>
      <c r="DE151">
        <v>1770</v>
      </c>
      <c r="DF151">
        <v>13173</v>
      </c>
      <c r="DG151">
        <v>471</v>
      </c>
      <c r="DH151">
        <v>436</v>
      </c>
      <c r="DI151">
        <v>21.75</v>
      </c>
      <c r="DJ151" s="174">
        <v>1636</v>
      </c>
      <c r="DK151" s="34">
        <v>5458</v>
      </c>
      <c r="DL151" s="34">
        <v>5886</v>
      </c>
      <c r="DM151">
        <v>1996</v>
      </c>
      <c r="DN151" s="173">
        <v>-20</v>
      </c>
      <c r="DO151" s="34">
        <v>3973</v>
      </c>
      <c r="DP151" s="173">
        <v>1081</v>
      </c>
      <c r="DQ151" s="34">
        <v>404</v>
      </c>
      <c r="DR151" s="173">
        <v>479</v>
      </c>
      <c r="DS151" s="173">
        <v>-326</v>
      </c>
      <c r="DT151">
        <v>377</v>
      </c>
      <c r="DU151">
        <v>1399</v>
      </c>
      <c r="DV151" s="173">
        <v>12841</v>
      </c>
      <c r="DW151" s="173">
        <v>102</v>
      </c>
      <c r="DX151" s="173">
        <v>539</v>
      </c>
      <c r="DY151" s="57">
        <v>21.75</v>
      </c>
      <c r="DZ151" s="184">
        <v>340</v>
      </c>
      <c r="EA151" s="116">
        <v>1584</v>
      </c>
      <c r="EB151" s="48">
        <v>5379</v>
      </c>
      <c r="EC151" s="46">
        <v>5779</v>
      </c>
      <c r="ED151" s="90">
        <v>1921</v>
      </c>
      <c r="EE151" s="186">
        <v>-57</v>
      </c>
      <c r="EF151" s="46">
        <v>3890</v>
      </c>
      <c r="EG151" s="130">
        <v>1086</v>
      </c>
      <c r="EH151" s="46">
        <v>403</v>
      </c>
      <c r="EI151" s="130">
        <v>467</v>
      </c>
      <c r="EJ151" s="48">
        <v>-228</v>
      </c>
      <c r="EK151" s="44">
        <v>427</v>
      </c>
      <c r="EL151" s="44">
        <v>1033</v>
      </c>
      <c r="EM151" s="130">
        <v>12555</v>
      </c>
      <c r="EN151" s="117">
        <v>40</v>
      </c>
      <c r="EO151" s="117">
        <v>579</v>
      </c>
      <c r="EP151" s="129">
        <v>22</v>
      </c>
    </row>
    <row r="152" spans="1:146" ht="15" x14ac:dyDescent="0.25">
      <c r="A152" s="27">
        <v>498</v>
      </c>
      <c r="B152" s="27" t="s">
        <v>280</v>
      </c>
      <c r="C152" s="27">
        <v>19</v>
      </c>
      <c r="D152" s="27" t="s">
        <v>113</v>
      </c>
      <c r="E152" s="27">
        <v>2</v>
      </c>
      <c r="F152" s="27" t="s">
        <v>744</v>
      </c>
      <c r="G152" s="29" t="s">
        <v>130</v>
      </c>
      <c r="H152" s="27" t="s">
        <v>98</v>
      </c>
      <c r="I152" s="31" t="s">
        <v>113</v>
      </c>
      <c r="J152" s="118">
        <v>-174.41087974058695</v>
      </c>
      <c r="K152" s="118">
        <v>-727.74915779895821</v>
      </c>
      <c r="L152" s="118">
        <v>-1209.2711912582643</v>
      </c>
      <c r="M152" s="118">
        <v>-2119.8406251208849</v>
      </c>
      <c r="N152" s="22">
        <v>-2023</v>
      </c>
      <c r="O152" s="119">
        <v>-2489</v>
      </c>
      <c r="P152" s="119">
        <v>-1699</v>
      </c>
      <c r="Q152" s="120">
        <v>-2820</v>
      </c>
      <c r="R152" s="22">
        <v>-3885</v>
      </c>
      <c r="S152" s="22">
        <v>-3740</v>
      </c>
      <c r="T152" s="121">
        <v>-2596</v>
      </c>
      <c r="U152" s="121">
        <v>-1478</v>
      </c>
      <c r="V152" s="121">
        <v>-624</v>
      </c>
      <c r="W152" s="106">
        <v>-650</v>
      </c>
      <c r="X152" s="121">
        <v>-1007</v>
      </c>
      <c r="Y152" s="121">
        <v>-1646</v>
      </c>
      <c r="Z152" s="121">
        <v>-1291</v>
      </c>
      <c r="AA152" s="121">
        <v>-1164</v>
      </c>
      <c r="AB152" s="122">
        <v>19</v>
      </c>
      <c r="AC152" s="123">
        <v>19</v>
      </c>
      <c r="AD152" s="124">
        <v>19</v>
      </c>
      <c r="AE152" s="125">
        <v>19</v>
      </c>
      <c r="AF152" s="126">
        <v>19</v>
      </c>
      <c r="AG152" s="123">
        <v>19</v>
      </c>
      <c r="AH152" s="123">
        <v>19</v>
      </c>
      <c r="AI152" s="127">
        <v>19</v>
      </c>
      <c r="AJ152" s="127">
        <v>19</v>
      </c>
      <c r="AK152" s="22">
        <v>20</v>
      </c>
      <c r="AL152" s="128">
        <v>20.5</v>
      </c>
      <c r="AM152" s="128">
        <v>20.5</v>
      </c>
      <c r="AN152" s="128">
        <v>20.5</v>
      </c>
      <c r="AO152" s="77">
        <v>20.5</v>
      </c>
      <c r="AP152" s="77">
        <v>20.5</v>
      </c>
      <c r="AQ152" s="129">
        <v>20.75</v>
      </c>
      <c r="AR152" s="129">
        <v>20.75</v>
      </c>
      <c r="AS152" s="129">
        <v>21</v>
      </c>
      <c r="AT152" s="116">
        <v>2383</v>
      </c>
      <c r="AU152" s="47">
        <v>2120</v>
      </c>
      <c r="AV152" s="47">
        <v>18040</v>
      </c>
      <c r="AW152" s="46">
        <v>7996</v>
      </c>
      <c r="AX152" s="46">
        <v>7989</v>
      </c>
      <c r="AY152" s="92">
        <v>16</v>
      </c>
      <c r="AZ152" s="47">
        <v>-52</v>
      </c>
      <c r="BA152" s="44">
        <v>617</v>
      </c>
      <c r="BB152" s="23">
        <v>-1629</v>
      </c>
      <c r="BC152" s="47">
        <v>-669</v>
      </c>
      <c r="BD152" s="44">
        <v>-639</v>
      </c>
      <c r="BE152" s="47">
        <v>-1646</v>
      </c>
      <c r="BF152" s="44">
        <v>7996</v>
      </c>
      <c r="BG152" s="46">
        <v>6728</v>
      </c>
      <c r="BH152" s="130">
        <v>501</v>
      </c>
      <c r="BI152" s="46">
        <v>767</v>
      </c>
      <c r="BJ152" s="129">
        <v>20.75</v>
      </c>
      <c r="BK152" s="44">
        <v>8132</v>
      </c>
      <c r="BL152" s="116">
        <v>2375</v>
      </c>
      <c r="BM152" s="47">
        <v>2282</v>
      </c>
      <c r="BN152" s="130">
        <v>18128</v>
      </c>
      <c r="BO152" s="46">
        <v>8221</v>
      </c>
      <c r="BP152" s="46">
        <v>8690</v>
      </c>
      <c r="BQ152" s="46">
        <v>4</v>
      </c>
      <c r="BR152" s="130">
        <v>931</v>
      </c>
      <c r="BS152" s="44">
        <v>606</v>
      </c>
      <c r="BT152" s="92">
        <v>-1060</v>
      </c>
      <c r="BU152" s="117">
        <v>355</v>
      </c>
      <c r="BV152" s="130">
        <v>-1291</v>
      </c>
      <c r="BW152" s="48">
        <v>8221</v>
      </c>
      <c r="BX152" s="46">
        <v>6805</v>
      </c>
      <c r="BY152" s="130">
        <v>573</v>
      </c>
      <c r="BZ152" s="46">
        <v>843</v>
      </c>
      <c r="CA152" s="129">
        <v>20.75</v>
      </c>
      <c r="CB152" s="44">
        <v>8848</v>
      </c>
      <c r="CC152" s="116">
        <v>2358</v>
      </c>
      <c r="CD152" s="47">
        <v>2555</v>
      </c>
      <c r="CE152" s="130">
        <v>18593</v>
      </c>
      <c r="CF152" s="46">
        <v>8404</v>
      </c>
      <c r="CG152" s="46">
        <v>8532</v>
      </c>
      <c r="CH152" s="46">
        <v>9</v>
      </c>
      <c r="CI152" s="130">
        <v>789</v>
      </c>
      <c r="CJ152" s="44">
        <v>692</v>
      </c>
      <c r="CK152" s="117">
        <v>-678</v>
      </c>
      <c r="CL152" s="117">
        <v>127</v>
      </c>
      <c r="CM152" s="117">
        <v>-1164</v>
      </c>
      <c r="CN152" s="48">
        <v>8404</v>
      </c>
      <c r="CO152" s="46">
        <v>6863</v>
      </c>
      <c r="CP152" s="130">
        <v>639</v>
      </c>
      <c r="CQ152" s="46">
        <v>902</v>
      </c>
      <c r="CR152" s="129">
        <v>21</v>
      </c>
      <c r="CS152" s="44">
        <v>8975</v>
      </c>
      <c r="CT152">
        <v>2350</v>
      </c>
      <c r="CU152">
        <v>8540</v>
      </c>
      <c r="CV152">
        <v>8903</v>
      </c>
      <c r="CW152">
        <v>2613</v>
      </c>
      <c r="CX152">
        <v>9</v>
      </c>
      <c r="CY152">
        <v>7044</v>
      </c>
      <c r="CZ152">
        <v>575</v>
      </c>
      <c r="DA152">
        <v>921</v>
      </c>
      <c r="DB152">
        <v>934</v>
      </c>
      <c r="DC152">
        <v>-1512</v>
      </c>
      <c r="DD152">
        <v>687</v>
      </c>
      <c r="DE152">
        <v>9253</v>
      </c>
      <c r="DF152">
        <v>19045</v>
      </c>
      <c r="DG152">
        <v>277</v>
      </c>
      <c r="DH152">
        <v>-887</v>
      </c>
      <c r="DI152">
        <v>21</v>
      </c>
      <c r="DJ152" s="174">
        <v>2332</v>
      </c>
      <c r="DK152" s="34">
        <v>8738</v>
      </c>
      <c r="DL152" s="34">
        <v>9055</v>
      </c>
      <c r="DM152">
        <v>2687</v>
      </c>
      <c r="DN152" s="173">
        <v>-59</v>
      </c>
      <c r="DO152" s="34">
        <v>7044</v>
      </c>
      <c r="DP152" s="173">
        <v>728</v>
      </c>
      <c r="DQ152" s="34">
        <v>966</v>
      </c>
      <c r="DR152" s="173">
        <v>1526</v>
      </c>
      <c r="DS152" s="173">
        <v>-605</v>
      </c>
      <c r="DT152">
        <v>704</v>
      </c>
      <c r="DU152">
        <v>7754</v>
      </c>
      <c r="DV152" s="173">
        <v>18895</v>
      </c>
      <c r="DW152" s="173">
        <v>852</v>
      </c>
      <c r="DX152" s="173">
        <v>-35</v>
      </c>
      <c r="DY152" s="57">
        <v>21.5</v>
      </c>
      <c r="DZ152" s="184">
        <v>340</v>
      </c>
      <c r="EA152" s="116">
        <v>2299</v>
      </c>
      <c r="EB152" s="48">
        <v>8650</v>
      </c>
      <c r="EC152" s="46">
        <v>9228</v>
      </c>
      <c r="ED152" s="90">
        <v>2975</v>
      </c>
      <c r="EE152" s="186">
        <v>-34</v>
      </c>
      <c r="EF152" s="46">
        <v>6997</v>
      </c>
      <c r="EG152" s="130">
        <v>705</v>
      </c>
      <c r="EH152" s="46">
        <v>948</v>
      </c>
      <c r="EI152" s="130">
        <v>869</v>
      </c>
      <c r="EJ152" s="48">
        <v>-734</v>
      </c>
      <c r="EK152" s="44">
        <v>1020</v>
      </c>
      <c r="EL152" s="44">
        <v>7211</v>
      </c>
      <c r="EM152" s="130">
        <v>19950</v>
      </c>
      <c r="EN152" s="117">
        <v>-121</v>
      </c>
      <c r="EO152" s="117">
        <v>-157</v>
      </c>
      <c r="EP152" s="129">
        <v>21.5</v>
      </c>
    </row>
    <row r="153" spans="1:146" ht="15" x14ac:dyDescent="0.25">
      <c r="A153" s="27">
        <v>499</v>
      </c>
      <c r="B153" s="27" t="s">
        <v>281</v>
      </c>
      <c r="C153" s="27">
        <v>15</v>
      </c>
      <c r="D153" s="27" t="s">
        <v>115</v>
      </c>
      <c r="E153" s="27">
        <v>4</v>
      </c>
      <c r="F153" s="27" t="s">
        <v>100</v>
      </c>
      <c r="G153" s="29" t="s">
        <v>132</v>
      </c>
      <c r="H153" s="27" t="s">
        <v>99</v>
      </c>
      <c r="I153" s="31" t="s">
        <v>115</v>
      </c>
      <c r="J153" s="118">
        <v>-5819.8068193476665</v>
      </c>
      <c r="K153" s="118">
        <v>-5851.9307133018146</v>
      </c>
      <c r="L153" s="118">
        <v>-5421.0332457074237</v>
      </c>
      <c r="M153" s="118">
        <v>-2898.718912564143</v>
      </c>
      <c r="N153" s="22">
        <v>4312</v>
      </c>
      <c r="O153" s="119">
        <v>6953</v>
      </c>
      <c r="P153" s="119">
        <v>9184</v>
      </c>
      <c r="Q153" s="120">
        <v>8445</v>
      </c>
      <c r="R153" s="22">
        <v>8498</v>
      </c>
      <c r="S153" s="22">
        <v>8946</v>
      </c>
      <c r="T153" s="121">
        <v>9151</v>
      </c>
      <c r="U153" s="121">
        <v>10365</v>
      </c>
      <c r="V153" s="121">
        <v>10969</v>
      </c>
      <c r="W153" s="106">
        <v>10107</v>
      </c>
      <c r="X153" s="121">
        <v>6594</v>
      </c>
      <c r="Y153" s="121">
        <v>4338</v>
      </c>
      <c r="Z153" s="121">
        <v>3675</v>
      </c>
      <c r="AA153" s="121">
        <v>1068</v>
      </c>
      <c r="AB153" s="122">
        <v>18.5</v>
      </c>
      <c r="AC153" s="123">
        <v>18.5</v>
      </c>
      <c r="AD153" s="124">
        <v>18.75</v>
      </c>
      <c r="AE153" s="125">
        <v>19</v>
      </c>
      <c r="AF153" s="126">
        <v>18.75</v>
      </c>
      <c r="AG153" s="123">
        <v>18.75</v>
      </c>
      <c r="AH153" s="123">
        <v>18.75</v>
      </c>
      <c r="AI153" s="127">
        <v>18.75</v>
      </c>
      <c r="AJ153" s="127">
        <v>18.75</v>
      </c>
      <c r="AK153" s="22">
        <v>18.75</v>
      </c>
      <c r="AL153" s="128">
        <v>18.75</v>
      </c>
      <c r="AM153" s="128">
        <v>19.25</v>
      </c>
      <c r="AN153" s="128">
        <v>19.25</v>
      </c>
      <c r="AO153" s="77">
        <v>19.75</v>
      </c>
      <c r="AP153" s="77">
        <v>19.75</v>
      </c>
      <c r="AQ153" s="129">
        <v>19.75</v>
      </c>
      <c r="AR153" s="129">
        <v>20.75</v>
      </c>
      <c r="AS153" s="129">
        <v>20.75</v>
      </c>
      <c r="AT153" s="116">
        <v>19153</v>
      </c>
      <c r="AU153" s="47">
        <v>24014</v>
      </c>
      <c r="AV153" s="47">
        <v>118052</v>
      </c>
      <c r="AW153" s="46">
        <v>70347</v>
      </c>
      <c r="AX153" s="46">
        <v>28237</v>
      </c>
      <c r="AY153" s="92">
        <v>289</v>
      </c>
      <c r="AZ153" s="47">
        <v>4188</v>
      </c>
      <c r="BA153" s="44">
        <v>6444</v>
      </c>
      <c r="BB153" s="23">
        <v>-18917</v>
      </c>
      <c r="BC153" s="47">
        <v>-2256</v>
      </c>
      <c r="BD153" s="44">
        <v>-2256</v>
      </c>
      <c r="BE153" s="47">
        <v>4338</v>
      </c>
      <c r="BF153" s="44">
        <v>70347</v>
      </c>
      <c r="BG153" s="46">
        <v>64837</v>
      </c>
      <c r="BH153" s="130">
        <v>2065</v>
      </c>
      <c r="BI153" s="46">
        <v>3445</v>
      </c>
      <c r="BJ153" s="129">
        <v>19.75</v>
      </c>
      <c r="BK153" s="44">
        <v>55010</v>
      </c>
      <c r="BL153" s="116">
        <v>19287</v>
      </c>
      <c r="BM153" s="47">
        <v>23226</v>
      </c>
      <c r="BN153" s="130">
        <v>119275</v>
      </c>
      <c r="BO153" s="46">
        <v>74666</v>
      </c>
      <c r="BP153" s="46">
        <v>28195</v>
      </c>
      <c r="BQ153" s="46">
        <v>258</v>
      </c>
      <c r="BR153" s="130">
        <v>6442</v>
      </c>
      <c r="BS153" s="44">
        <v>7105</v>
      </c>
      <c r="BT153" s="92">
        <v>-14743</v>
      </c>
      <c r="BU153" s="117">
        <v>-663</v>
      </c>
      <c r="BV153" s="130">
        <v>3675</v>
      </c>
      <c r="BW153" s="48">
        <v>74666</v>
      </c>
      <c r="BX153" s="46">
        <v>68377</v>
      </c>
      <c r="BY153" s="130">
        <v>2420</v>
      </c>
      <c r="BZ153" s="46">
        <v>3869</v>
      </c>
      <c r="CA153" s="129">
        <v>20.75</v>
      </c>
      <c r="CB153" s="44">
        <v>63500</v>
      </c>
      <c r="CC153" s="116">
        <v>19302</v>
      </c>
      <c r="CD153" s="47">
        <v>23713</v>
      </c>
      <c r="CE153" s="130">
        <v>121304</v>
      </c>
      <c r="CF153" s="46">
        <v>75152</v>
      </c>
      <c r="CG153" s="46">
        <v>27621</v>
      </c>
      <c r="CH153" s="46">
        <v>264</v>
      </c>
      <c r="CI153" s="130">
        <v>4856</v>
      </c>
      <c r="CJ153" s="44">
        <v>7463</v>
      </c>
      <c r="CK153" s="117">
        <v>-8469</v>
      </c>
      <c r="CL153" s="117">
        <v>-2607</v>
      </c>
      <c r="CM153" s="117">
        <v>1068</v>
      </c>
      <c r="CN153" s="48">
        <v>75152</v>
      </c>
      <c r="CO153" s="46">
        <v>68148</v>
      </c>
      <c r="CP153" s="130">
        <v>2504</v>
      </c>
      <c r="CQ153" s="46">
        <v>4500</v>
      </c>
      <c r="CR153" s="129">
        <v>20.75</v>
      </c>
      <c r="CS153" s="44">
        <v>67700</v>
      </c>
      <c r="CT153">
        <v>19380</v>
      </c>
      <c r="CU153">
        <v>75915</v>
      </c>
      <c r="CV153">
        <v>30106</v>
      </c>
      <c r="CW153">
        <v>24213</v>
      </c>
      <c r="CX153">
        <v>262</v>
      </c>
      <c r="CY153">
        <v>69120</v>
      </c>
      <c r="CZ153">
        <v>2197</v>
      </c>
      <c r="DA153">
        <v>4598</v>
      </c>
      <c r="DB153">
        <v>10189</v>
      </c>
      <c r="DC153">
        <v>-9365</v>
      </c>
      <c r="DD153">
        <v>7542</v>
      </c>
      <c r="DE153">
        <v>67700</v>
      </c>
      <c r="DF153">
        <v>119793</v>
      </c>
      <c r="DG153">
        <v>2647</v>
      </c>
      <c r="DH153">
        <v>3715</v>
      </c>
      <c r="DI153">
        <v>20.75</v>
      </c>
      <c r="DJ153" s="174">
        <v>19384</v>
      </c>
      <c r="DK153" s="34">
        <v>76829</v>
      </c>
      <c r="DL153" s="34">
        <v>31479</v>
      </c>
      <c r="DM153">
        <v>23175</v>
      </c>
      <c r="DN153" s="173">
        <v>-332</v>
      </c>
      <c r="DO153" s="34">
        <v>69600</v>
      </c>
      <c r="DP153" s="173">
        <v>2650</v>
      </c>
      <c r="DQ153" s="34">
        <v>4579</v>
      </c>
      <c r="DR153" s="173">
        <v>11658</v>
      </c>
      <c r="DS153" s="173">
        <v>-12446</v>
      </c>
      <c r="DT153">
        <v>9507</v>
      </c>
      <c r="DU153">
        <v>67000</v>
      </c>
      <c r="DV153" s="173">
        <v>119493</v>
      </c>
      <c r="DW153" s="173">
        <v>2151</v>
      </c>
      <c r="DX153" s="173">
        <v>5866</v>
      </c>
      <c r="DY153" s="57">
        <v>20.75</v>
      </c>
      <c r="DZ153" s="184">
        <v>220</v>
      </c>
      <c r="EA153" s="116">
        <v>19444</v>
      </c>
      <c r="EB153" s="48">
        <v>75357</v>
      </c>
      <c r="EC153" s="46">
        <v>31855</v>
      </c>
      <c r="ED153" s="90">
        <v>23976</v>
      </c>
      <c r="EE153" s="186">
        <v>-296</v>
      </c>
      <c r="EF153" s="46">
        <v>68348</v>
      </c>
      <c r="EG153" s="130">
        <v>2430</v>
      </c>
      <c r="EH153" s="46">
        <v>4579</v>
      </c>
      <c r="EI153" s="130">
        <v>4851</v>
      </c>
      <c r="EJ153" s="48">
        <v>-21138</v>
      </c>
      <c r="EK153" s="44">
        <v>7896</v>
      </c>
      <c r="EL153" s="44">
        <v>82000</v>
      </c>
      <c r="EM153" s="130">
        <v>126041</v>
      </c>
      <c r="EN153" s="117">
        <v>-3045</v>
      </c>
      <c r="EO153" s="117">
        <v>2821</v>
      </c>
      <c r="EP153" s="129">
        <v>20.75</v>
      </c>
    </row>
    <row r="154" spans="1:146" ht="15" x14ac:dyDescent="0.25">
      <c r="A154" s="27">
        <v>500</v>
      </c>
      <c r="B154" s="27" t="s">
        <v>282</v>
      </c>
      <c r="C154" s="27">
        <v>13</v>
      </c>
      <c r="D154" s="27" t="s">
        <v>111</v>
      </c>
      <c r="E154" s="27">
        <v>4</v>
      </c>
      <c r="F154" s="27" t="s">
        <v>100</v>
      </c>
      <c r="G154" s="29" t="s">
        <v>132</v>
      </c>
      <c r="H154" s="27" t="s">
        <v>99</v>
      </c>
      <c r="I154" s="31" t="s">
        <v>111</v>
      </c>
      <c r="J154" s="118">
        <v>-351.00820252517354</v>
      </c>
      <c r="K154" s="118">
        <v>-97.044433568291865</v>
      </c>
      <c r="L154" s="118">
        <v>1260.4003209025636</v>
      </c>
      <c r="M154" s="118">
        <v>2346.0533862116172</v>
      </c>
      <c r="N154" s="22">
        <v>5131</v>
      </c>
      <c r="O154" s="119">
        <v>4406</v>
      </c>
      <c r="P154" s="119">
        <v>3764</v>
      </c>
      <c r="Q154" s="120">
        <v>3568</v>
      </c>
      <c r="R154" s="22">
        <v>2759</v>
      </c>
      <c r="S154" s="22">
        <v>2790</v>
      </c>
      <c r="T154" s="121">
        <v>1391</v>
      </c>
      <c r="U154" s="121">
        <v>2117</v>
      </c>
      <c r="V154" s="121">
        <v>4876</v>
      </c>
      <c r="W154" s="106">
        <v>4925</v>
      </c>
      <c r="X154" s="121">
        <v>4711</v>
      </c>
      <c r="Y154" s="121">
        <v>6861</v>
      </c>
      <c r="Z154" s="121">
        <v>8500</v>
      </c>
      <c r="AA154" s="121">
        <v>8273</v>
      </c>
      <c r="AB154" s="122">
        <v>18.5</v>
      </c>
      <c r="AC154" s="123">
        <v>18.5</v>
      </c>
      <c r="AD154" s="124">
        <v>18.5</v>
      </c>
      <c r="AE154" s="125">
        <v>18.5</v>
      </c>
      <c r="AF154" s="126">
        <v>18.5</v>
      </c>
      <c r="AG154" s="123">
        <v>18.5</v>
      </c>
      <c r="AH154" s="123">
        <v>18.5</v>
      </c>
      <c r="AI154" s="127">
        <v>18.5</v>
      </c>
      <c r="AJ154" s="127">
        <v>18.5</v>
      </c>
      <c r="AK154" s="22">
        <v>18.5</v>
      </c>
      <c r="AL154" s="128">
        <v>18.5</v>
      </c>
      <c r="AM154" s="128">
        <v>19</v>
      </c>
      <c r="AN154" s="128">
        <v>19.5</v>
      </c>
      <c r="AO154" s="77">
        <v>19.5</v>
      </c>
      <c r="AP154" s="77">
        <v>19.5</v>
      </c>
      <c r="AQ154" s="129">
        <v>19.5</v>
      </c>
      <c r="AR154" s="129">
        <v>19.5</v>
      </c>
      <c r="AS154" s="129">
        <v>19.5</v>
      </c>
      <c r="AT154" s="116">
        <v>9572</v>
      </c>
      <c r="AU154" s="47">
        <v>8199</v>
      </c>
      <c r="AV154" s="47">
        <v>49017</v>
      </c>
      <c r="AW154" s="46">
        <v>36320</v>
      </c>
      <c r="AX154" s="46">
        <v>9833</v>
      </c>
      <c r="AY154" s="92">
        <v>130</v>
      </c>
      <c r="AZ154" s="47">
        <v>5333</v>
      </c>
      <c r="BA154" s="44">
        <v>3183</v>
      </c>
      <c r="BB154" s="23">
        <v>-3440</v>
      </c>
      <c r="BC154" s="47">
        <v>2150</v>
      </c>
      <c r="BD154" s="44">
        <v>2150</v>
      </c>
      <c r="BE154" s="47">
        <v>6861</v>
      </c>
      <c r="BF154" s="44">
        <v>36320</v>
      </c>
      <c r="BG154" s="46">
        <v>32872</v>
      </c>
      <c r="BH154" s="130">
        <v>1707</v>
      </c>
      <c r="BI154" s="46">
        <v>1741</v>
      </c>
      <c r="BJ154" s="129">
        <v>19.5</v>
      </c>
      <c r="BK154" s="44">
        <v>17156</v>
      </c>
      <c r="BL154" s="116">
        <v>9700</v>
      </c>
      <c r="BM154" s="47">
        <v>8007</v>
      </c>
      <c r="BN154" s="130">
        <v>49244</v>
      </c>
      <c r="BO154" s="46">
        <v>36641</v>
      </c>
      <c r="BP154" s="46">
        <v>9275</v>
      </c>
      <c r="BQ154" s="46">
        <v>155</v>
      </c>
      <c r="BR154" s="130">
        <v>4741</v>
      </c>
      <c r="BS154" s="44">
        <v>3102</v>
      </c>
      <c r="BT154" s="92">
        <v>-5342</v>
      </c>
      <c r="BU154" s="117">
        <v>1639</v>
      </c>
      <c r="BV154" s="130">
        <v>8500</v>
      </c>
      <c r="BW154" s="48">
        <v>36641</v>
      </c>
      <c r="BX154" s="46">
        <v>32749</v>
      </c>
      <c r="BY154" s="130">
        <v>2012</v>
      </c>
      <c r="BZ154" s="46">
        <v>1880</v>
      </c>
      <c r="CA154" s="129">
        <v>19.5</v>
      </c>
      <c r="CB154" s="44">
        <v>20329</v>
      </c>
      <c r="CC154" s="116">
        <v>9791</v>
      </c>
      <c r="CD154" s="47">
        <v>8663</v>
      </c>
      <c r="CE154" s="130">
        <v>50808</v>
      </c>
      <c r="CF154" s="46">
        <v>36838</v>
      </c>
      <c r="CG154" s="46">
        <v>8416</v>
      </c>
      <c r="CH154" s="46">
        <v>336</v>
      </c>
      <c r="CI154" s="130">
        <v>3201</v>
      </c>
      <c r="CJ154" s="44">
        <v>3427</v>
      </c>
      <c r="CK154" s="117">
        <v>-7320</v>
      </c>
      <c r="CL154" s="117">
        <v>-226</v>
      </c>
      <c r="CM154" s="117">
        <v>8273</v>
      </c>
      <c r="CN154" s="48">
        <v>36838</v>
      </c>
      <c r="CO154" s="46">
        <v>32763</v>
      </c>
      <c r="CP154" s="130">
        <v>2122</v>
      </c>
      <c r="CQ154" s="46">
        <v>1953</v>
      </c>
      <c r="CR154" s="129">
        <v>19.5</v>
      </c>
      <c r="CS154" s="44">
        <v>23725</v>
      </c>
      <c r="CT154">
        <v>9941</v>
      </c>
      <c r="CU154">
        <v>37688</v>
      </c>
      <c r="CV154">
        <v>9645</v>
      </c>
      <c r="CW154">
        <v>8313</v>
      </c>
      <c r="CX154">
        <v>122</v>
      </c>
      <c r="CY154">
        <v>33671</v>
      </c>
      <c r="CZ154">
        <v>1923</v>
      </c>
      <c r="DA154">
        <v>2094</v>
      </c>
      <c r="DB154">
        <v>3916</v>
      </c>
      <c r="DC154">
        <v>-2908</v>
      </c>
      <c r="DD154">
        <v>3624</v>
      </c>
      <c r="DE154">
        <v>21445</v>
      </c>
      <c r="DF154">
        <v>51787</v>
      </c>
      <c r="DG154">
        <v>292</v>
      </c>
      <c r="DH154">
        <v>8565</v>
      </c>
      <c r="DI154">
        <v>19.5</v>
      </c>
      <c r="DJ154" s="174">
        <v>10097</v>
      </c>
      <c r="DK154" s="34">
        <v>38655</v>
      </c>
      <c r="DL154" s="34">
        <v>9970</v>
      </c>
      <c r="DM154">
        <v>7838</v>
      </c>
      <c r="DN154" s="173">
        <v>59</v>
      </c>
      <c r="DO154" s="34">
        <v>34205</v>
      </c>
      <c r="DP154" s="173">
        <v>2316</v>
      </c>
      <c r="DQ154" s="34">
        <v>2134</v>
      </c>
      <c r="DR154" s="173">
        <v>5249</v>
      </c>
      <c r="DS154" s="173">
        <v>-3409</v>
      </c>
      <c r="DT154">
        <v>3676</v>
      </c>
      <c r="DU154">
        <v>21864</v>
      </c>
      <c r="DV154" s="173">
        <v>51273</v>
      </c>
      <c r="DW154" s="173">
        <v>473</v>
      </c>
      <c r="DX154" s="173">
        <v>9039</v>
      </c>
      <c r="DY154" s="57">
        <v>19.5</v>
      </c>
      <c r="DZ154" s="184">
        <v>210</v>
      </c>
      <c r="EA154" s="116">
        <v>10170</v>
      </c>
      <c r="EB154" s="48">
        <v>39404</v>
      </c>
      <c r="EC154" s="46">
        <v>10327</v>
      </c>
      <c r="ED154" s="90">
        <v>8417</v>
      </c>
      <c r="EE154" s="186">
        <v>331</v>
      </c>
      <c r="EF154" s="46">
        <v>35053</v>
      </c>
      <c r="EG154" s="130">
        <v>2139</v>
      </c>
      <c r="EH154" s="46">
        <v>2212</v>
      </c>
      <c r="EI154" s="130">
        <v>4087</v>
      </c>
      <c r="EJ154" s="48">
        <v>-1202</v>
      </c>
      <c r="EK154" s="44">
        <v>3859</v>
      </c>
      <c r="EL154" s="44">
        <v>19688</v>
      </c>
      <c r="EM154" s="130">
        <v>54392</v>
      </c>
      <c r="EN154" s="117">
        <v>228</v>
      </c>
      <c r="EO154" s="117">
        <v>9267</v>
      </c>
      <c r="EP154" s="129">
        <v>19.5</v>
      </c>
    </row>
    <row r="155" spans="1:146" ht="15" x14ac:dyDescent="0.25">
      <c r="A155" s="27">
        <v>503</v>
      </c>
      <c r="B155" s="27" t="s">
        <v>283</v>
      </c>
      <c r="C155" s="27">
        <v>2</v>
      </c>
      <c r="D155" s="27" t="s">
        <v>122</v>
      </c>
      <c r="E155" s="27">
        <v>3</v>
      </c>
      <c r="F155" s="27" t="s">
        <v>743</v>
      </c>
      <c r="G155" s="29" t="s">
        <v>132</v>
      </c>
      <c r="H155" s="27" t="s">
        <v>99</v>
      </c>
      <c r="I155" s="31" t="s">
        <v>122</v>
      </c>
      <c r="J155" s="118">
        <v>-508.2639137666863</v>
      </c>
      <c r="K155" s="118">
        <v>-737.67224546018736</v>
      </c>
      <c r="L155" s="118">
        <v>-1063.1158831632113</v>
      </c>
      <c r="M155" s="118">
        <v>-462.85317362207843</v>
      </c>
      <c r="N155" s="22">
        <v>606</v>
      </c>
      <c r="O155" s="119">
        <v>1270</v>
      </c>
      <c r="P155" s="119">
        <v>1701</v>
      </c>
      <c r="Q155" s="120">
        <v>894</v>
      </c>
      <c r="R155" s="22">
        <v>267</v>
      </c>
      <c r="S155" s="22">
        <v>1860</v>
      </c>
      <c r="T155" s="121">
        <v>4105</v>
      </c>
      <c r="U155" s="121">
        <v>6626</v>
      </c>
      <c r="V155" s="121">
        <v>8032</v>
      </c>
      <c r="W155" s="106">
        <v>7641</v>
      </c>
      <c r="X155" s="121">
        <v>5721</v>
      </c>
      <c r="Y155" s="121">
        <v>4865</v>
      </c>
      <c r="Z155" s="121">
        <v>2967</v>
      </c>
      <c r="AA155" s="121">
        <v>877</v>
      </c>
      <c r="AB155" s="122">
        <v>17.5</v>
      </c>
      <c r="AC155" s="123">
        <v>17.5</v>
      </c>
      <c r="AD155" s="124">
        <v>18</v>
      </c>
      <c r="AE155" s="125">
        <v>18</v>
      </c>
      <c r="AF155" s="126">
        <v>18</v>
      </c>
      <c r="AG155" s="123">
        <v>18</v>
      </c>
      <c r="AH155" s="123">
        <v>18</v>
      </c>
      <c r="AI155" s="127">
        <v>18</v>
      </c>
      <c r="AJ155" s="127">
        <v>18.5</v>
      </c>
      <c r="AK155" s="22">
        <v>19</v>
      </c>
      <c r="AL155" s="128">
        <v>19</v>
      </c>
      <c r="AM155" s="128">
        <v>19</v>
      </c>
      <c r="AN155" s="128">
        <v>19</v>
      </c>
      <c r="AO155" s="77">
        <v>19</v>
      </c>
      <c r="AP155" s="77">
        <v>19</v>
      </c>
      <c r="AQ155" s="129">
        <v>19.5</v>
      </c>
      <c r="AR155" s="129">
        <v>20.5</v>
      </c>
      <c r="AS155" s="129">
        <v>20.5</v>
      </c>
      <c r="AT155" s="116">
        <v>7950</v>
      </c>
      <c r="AU155" s="47">
        <v>5610</v>
      </c>
      <c r="AV155" s="47">
        <v>46729</v>
      </c>
      <c r="AW155" s="46">
        <v>24556</v>
      </c>
      <c r="AX155" s="46">
        <v>17466</v>
      </c>
      <c r="AY155" s="92">
        <v>15</v>
      </c>
      <c r="AZ155" s="47">
        <v>844</v>
      </c>
      <c r="BA155" s="44">
        <v>1628</v>
      </c>
      <c r="BB155" s="23">
        <v>-3042</v>
      </c>
      <c r="BC155" s="47">
        <v>-784</v>
      </c>
      <c r="BD155" s="44">
        <v>-735</v>
      </c>
      <c r="BE155" s="47">
        <v>4865</v>
      </c>
      <c r="BF155" s="44">
        <v>24556</v>
      </c>
      <c r="BG155" s="46">
        <v>22769</v>
      </c>
      <c r="BH155" s="130">
        <v>648</v>
      </c>
      <c r="BI155" s="46">
        <v>1139</v>
      </c>
      <c r="BJ155" s="129">
        <v>19.5</v>
      </c>
      <c r="BK155" s="44">
        <v>13966</v>
      </c>
      <c r="BL155" s="116">
        <v>7917</v>
      </c>
      <c r="BM155" s="47">
        <v>5721</v>
      </c>
      <c r="BN155" s="130">
        <v>47845</v>
      </c>
      <c r="BO155" s="46">
        <v>25675</v>
      </c>
      <c r="BP155" s="46">
        <v>16749</v>
      </c>
      <c r="BQ155" s="46">
        <v>42</v>
      </c>
      <c r="BR155" s="130">
        <v>258</v>
      </c>
      <c r="BS155" s="44">
        <v>2208</v>
      </c>
      <c r="BT155" s="92">
        <v>-4059</v>
      </c>
      <c r="BU155" s="117">
        <v>-1899</v>
      </c>
      <c r="BV155" s="130">
        <v>2967</v>
      </c>
      <c r="BW155" s="48">
        <v>25675</v>
      </c>
      <c r="BX155" s="46">
        <v>23632</v>
      </c>
      <c r="BY155" s="130">
        <v>795</v>
      </c>
      <c r="BZ155" s="46">
        <v>1248</v>
      </c>
      <c r="CA155" s="129">
        <v>20.5</v>
      </c>
      <c r="CB155" s="44">
        <v>14374</v>
      </c>
      <c r="CC155" s="116">
        <v>7859</v>
      </c>
      <c r="CD155" s="47">
        <v>5976</v>
      </c>
      <c r="CE155" s="130">
        <v>48240</v>
      </c>
      <c r="CF155" s="46">
        <v>25815</v>
      </c>
      <c r="CG155" s="46">
        <v>16163</v>
      </c>
      <c r="CH155" s="46">
        <v>28</v>
      </c>
      <c r="CI155" s="130">
        <v>-334</v>
      </c>
      <c r="CJ155" s="44">
        <v>1794</v>
      </c>
      <c r="CK155" s="117">
        <v>-1746</v>
      </c>
      <c r="CL155" s="117">
        <v>-2089</v>
      </c>
      <c r="CM155" s="117">
        <v>877</v>
      </c>
      <c r="CN155" s="48">
        <v>25815</v>
      </c>
      <c r="CO155" s="46">
        <v>23585</v>
      </c>
      <c r="CP155" s="130">
        <v>902</v>
      </c>
      <c r="CQ155" s="46">
        <v>1328</v>
      </c>
      <c r="CR155" s="129">
        <v>20.5</v>
      </c>
      <c r="CS155" s="44">
        <v>16429</v>
      </c>
      <c r="CT155">
        <v>7842</v>
      </c>
      <c r="CU155">
        <v>27070</v>
      </c>
      <c r="CV155">
        <v>16849</v>
      </c>
      <c r="CW155">
        <v>5357</v>
      </c>
      <c r="CX155">
        <v>124</v>
      </c>
      <c r="CY155">
        <v>24604</v>
      </c>
      <c r="CZ155">
        <v>885</v>
      </c>
      <c r="DA155">
        <v>1581</v>
      </c>
      <c r="DB155">
        <v>1977</v>
      </c>
      <c r="DC155">
        <v>-1294</v>
      </c>
      <c r="DD155">
        <v>1856</v>
      </c>
      <c r="DE155">
        <v>16825</v>
      </c>
      <c r="DF155">
        <v>47353</v>
      </c>
      <c r="DG155">
        <v>156</v>
      </c>
      <c r="DH155">
        <v>1034</v>
      </c>
      <c r="DI155">
        <v>21</v>
      </c>
      <c r="DJ155" s="174">
        <v>7838</v>
      </c>
      <c r="DK155" s="34">
        <v>27861</v>
      </c>
      <c r="DL155" s="34">
        <v>15832</v>
      </c>
      <c r="DM155">
        <v>4388</v>
      </c>
      <c r="DN155" s="173">
        <v>10064</v>
      </c>
      <c r="DO155" s="34">
        <v>25161</v>
      </c>
      <c r="DP155" s="173">
        <v>1587</v>
      </c>
      <c r="DQ155" s="34">
        <v>1113</v>
      </c>
      <c r="DR155" s="173">
        <v>2486</v>
      </c>
      <c r="DS155" s="173">
        <v>4699</v>
      </c>
      <c r="DT155">
        <v>1613</v>
      </c>
      <c r="DU155">
        <v>15947</v>
      </c>
      <c r="DV155" s="173">
        <v>45573</v>
      </c>
      <c r="DW155" s="173">
        <v>10985</v>
      </c>
      <c r="DX155" s="173">
        <v>12019</v>
      </c>
      <c r="DY155" s="57">
        <v>21</v>
      </c>
      <c r="DZ155" s="184">
        <v>330</v>
      </c>
      <c r="EA155" s="116">
        <v>7766</v>
      </c>
      <c r="EB155" s="48">
        <v>27296</v>
      </c>
      <c r="EC155" s="46">
        <v>15391</v>
      </c>
      <c r="ED155" s="90">
        <v>4109</v>
      </c>
      <c r="EE155" s="186">
        <v>-31</v>
      </c>
      <c r="EF155" s="46">
        <v>24650</v>
      </c>
      <c r="EG155" s="130">
        <v>1053</v>
      </c>
      <c r="EH155" s="46">
        <v>1593</v>
      </c>
      <c r="EI155" s="130">
        <v>-1793</v>
      </c>
      <c r="EJ155" s="48">
        <v>-2264</v>
      </c>
      <c r="EK155" s="44">
        <v>1452</v>
      </c>
      <c r="EL155" s="44">
        <v>19386</v>
      </c>
      <c r="EM155" s="130">
        <v>48558</v>
      </c>
      <c r="EN155" s="117">
        <v>-3217</v>
      </c>
      <c r="EO155" s="117">
        <v>8801</v>
      </c>
      <c r="EP155" s="129">
        <v>21</v>
      </c>
    </row>
    <row r="156" spans="1:146" ht="15" x14ac:dyDescent="0.25">
      <c r="A156" s="27">
        <v>504</v>
      </c>
      <c r="B156" s="27" t="s">
        <v>284</v>
      </c>
      <c r="C156" s="27">
        <v>1</v>
      </c>
      <c r="D156" s="27" t="s">
        <v>121</v>
      </c>
      <c r="E156" s="27">
        <v>1</v>
      </c>
      <c r="F156" s="27" t="s">
        <v>103</v>
      </c>
      <c r="G156" s="29" t="s">
        <v>130</v>
      </c>
      <c r="H156" s="27" t="s">
        <v>98</v>
      </c>
      <c r="I156" s="31" t="s">
        <v>121</v>
      </c>
      <c r="J156" s="118">
        <v>647.69170480327898</v>
      </c>
      <c r="K156" s="118">
        <v>599.08539405590227</v>
      </c>
      <c r="L156" s="118">
        <v>297.69262983687452</v>
      </c>
      <c r="M156" s="118">
        <v>99.735440391676036</v>
      </c>
      <c r="N156" s="22">
        <v>160</v>
      </c>
      <c r="O156" s="119">
        <v>159</v>
      </c>
      <c r="P156" s="119">
        <v>70</v>
      </c>
      <c r="Q156" s="120">
        <v>102</v>
      </c>
      <c r="R156" s="22">
        <v>114</v>
      </c>
      <c r="S156" s="22">
        <v>-453</v>
      </c>
      <c r="T156" s="121">
        <v>-449</v>
      </c>
      <c r="U156" s="121">
        <v>515</v>
      </c>
      <c r="V156" s="121">
        <v>1311</v>
      </c>
      <c r="W156" s="106">
        <v>2043</v>
      </c>
      <c r="X156" s="121">
        <v>2005</v>
      </c>
      <c r="Y156" s="121">
        <v>1650</v>
      </c>
      <c r="Z156" s="121">
        <v>1423</v>
      </c>
      <c r="AA156" s="121">
        <v>1786</v>
      </c>
      <c r="AB156" s="122">
        <v>18</v>
      </c>
      <c r="AC156" s="123">
        <v>18</v>
      </c>
      <c r="AD156" s="124">
        <v>18</v>
      </c>
      <c r="AE156" s="125">
        <v>18</v>
      </c>
      <c r="AF156" s="126">
        <v>18.5</v>
      </c>
      <c r="AG156" s="123">
        <v>18.75</v>
      </c>
      <c r="AH156" s="123">
        <v>19</v>
      </c>
      <c r="AI156" s="127">
        <v>19</v>
      </c>
      <c r="AJ156" s="127">
        <v>19</v>
      </c>
      <c r="AK156" s="22">
        <v>19</v>
      </c>
      <c r="AL156" s="128">
        <v>19.5</v>
      </c>
      <c r="AM156" s="128">
        <v>20</v>
      </c>
      <c r="AN156" s="128">
        <v>20</v>
      </c>
      <c r="AO156" s="77">
        <v>20</v>
      </c>
      <c r="AP156" s="77">
        <v>20</v>
      </c>
      <c r="AQ156" s="129">
        <v>20</v>
      </c>
      <c r="AR156" s="129">
        <v>21</v>
      </c>
      <c r="AS156" s="129">
        <v>21.5</v>
      </c>
      <c r="AT156" s="116">
        <v>1987</v>
      </c>
      <c r="AU156" s="47">
        <v>1083</v>
      </c>
      <c r="AV156" s="47">
        <v>11465</v>
      </c>
      <c r="AW156" s="46">
        <v>5578</v>
      </c>
      <c r="AX156" s="46">
        <v>4447</v>
      </c>
      <c r="AY156" s="92">
        <v>359</v>
      </c>
      <c r="AZ156" s="47">
        <v>-14</v>
      </c>
      <c r="BA156" s="44">
        <v>341</v>
      </c>
      <c r="BB156" s="23">
        <v>-2754</v>
      </c>
      <c r="BC156" s="47">
        <v>-355</v>
      </c>
      <c r="BD156" s="44">
        <v>-355</v>
      </c>
      <c r="BE156" s="47">
        <v>1650</v>
      </c>
      <c r="BF156" s="44">
        <v>5578</v>
      </c>
      <c r="BG156" s="46">
        <v>5001</v>
      </c>
      <c r="BH156" s="130">
        <v>321</v>
      </c>
      <c r="BI156" s="46">
        <v>256</v>
      </c>
      <c r="BJ156" s="129">
        <v>20</v>
      </c>
      <c r="BK156" s="44">
        <v>2430</v>
      </c>
      <c r="BL156" s="116">
        <v>1985</v>
      </c>
      <c r="BM156" s="47">
        <v>1014</v>
      </c>
      <c r="BN156" s="130">
        <v>11600</v>
      </c>
      <c r="BO156" s="46">
        <v>6008</v>
      </c>
      <c r="BP156" s="46">
        <v>4557</v>
      </c>
      <c r="BQ156" s="46">
        <v>271</v>
      </c>
      <c r="BR156" s="130">
        <v>238</v>
      </c>
      <c r="BS156" s="44">
        <v>467</v>
      </c>
      <c r="BT156" s="92">
        <v>-1265</v>
      </c>
      <c r="BU156" s="117">
        <v>-227</v>
      </c>
      <c r="BV156" s="130">
        <v>1423</v>
      </c>
      <c r="BW156" s="48">
        <v>6008</v>
      </c>
      <c r="BX156" s="46">
        <v>5309</v>
      </c>
      <c r="BY156" s="130">
        <v>362</v>
      </c>
      <c r="BZ156" s="46">
        <v>337</v>
      </c>
      <c r="CA156" s="129">
        <v>21</v>
      </c>
      <c r="CB156" s="44">
        <v>3058</v>
      </c>
      <c r="CC156" s="116">
        <v>1969</v>
      </c>
      <c r="CD156" s="47">
        <v>1099</v>
      </c>
      <c r="CE156" s="130">
        <v>11126</v>
      </c>
      <c r="CF156" s="46">
        <v>6349</v>
      </c>
      <c r="CG156" s="46">
        <v>4413</v>
      </c>
      <c r="CH156" s="46">
        <v>549</v>
      </c>
      <c r="CI156" s="130">
        <v>990</v>
      </c>
      <c r="CJ156" s="44">
        <v>544</v>
      </c>
      <c r="CK156" s="117">
        <v>-920</v>
      </c>
      <c r="CL156" s="117">
        <v>446</v>
      </c>
      <c r="CM156" s="117">
        <v>1786</v>
      </c>
      <c r="CN156" s="48">
        <v>6349</v>
      </c>
      <c r="CO156" s="46">
        <v>5522</v>
      </c>
      <c r="CP156" s="130">
        <v>427</v>
      </c>
      <c r="CQ156" s="46">
        <v>400</v>
      </c>
      <c r="CR156" s="129">
        <v>21.5</v>
      </c>
      <c r="CS156" s="44">
        <v>3046</v>
      </c>
      <c r="CT156">
        <v>1986</v>
      </c>
      <c r="CU156">
        <v>6374</v>
      </c>
      <c r="CV156">
        <v>4286</v>
      </c>
      <c r="CW156">
        <v>1210</v>
      </c>
      <c r="CX156">
        <v>279</v>
      </c>
      <c r="CY156">
        <v>5586</v>
      </c>
      <c r="CZ156">
        <v>403</v>
      </c>
      <c r="DA156">
        <v>385</v>
      </c>
      <c r="DB156">
        <v>249</v>
      </c>
      <c r="DC156">
        <v>-16</v>
      </c>
      <c r="DD156">
        <v>531</v>
      </c>
      <c r="DE156">
        <v>2964</v>
      </c>
      <c r="DF156">
        <v>11885</v>
      </c>
      <c r="DG156">
        <v>-282</v>
      </c>
      <c r="DH156">
        <v>1504</v>
      </c>
      <c r="DI156">
        <v>21.5</v>
      </c>
      <c r="DJ156" s="174">
        <v>1969</v>
      </c>
      <c r="DK156" s="34">
        <v>6378</v>
      </c>
      <c r="DL156" s="34">
        <v>4255</v>
      </c>
      <c r="DM156">
        <v>2359</v>
      </c>
      <c r="DN156" s="173">
        <v>284</v>
      </c>
      <c r="DO156" s="34">
        <v>5515</v>
      </c>
      <c r="DP156" s="173">
        <v>463</v>
      </c>
      <c r="DQ156" s="34">
        <v>400</v>
      </c>
      <c r="DR156" s="173">
        <v>164</v>
      </c>
      <c r="DS156" s="173">
        <v>-31</v>
      </c>
      <c r="DT156">
        <v>447</v>
      </c>
      <c r="DU156">
        <v>1922</v>
      </c>
      <c r="DV156" s="173">
        <v>13112</v>
      </c>
      <c r="DW156" s="173">
        <v>-283</v>
      </c>
      <c r="DX156" s="173">
        <v>1271</v>
      </c>
      <c r="DY156" s="57">
        <v>21.5</v>
      </c>
      <c r="DZ156" s="184">
        <v>340</v>
      </c>
      <c r="EA156" s="116">
        <v>1922</v>
      </c>
      <c r="EB156" s="48">
        <v>6417</v>
      </c>
      <c r="EC156" s="46">
        <v>4437</v>
      </c>
      <c r="ED156" s="90">
        <v>2416</v>
      </c>
      <c r="EE156" s="186">
        <v>319</v>
      </c>
      <c r="EF156" s="46">
        <v>5582</v>
      </c>
      <c r="EG156" s="130">
        <v>441</v>
      </c>
      <c r="EH156" s="46">
        <v>394</v>
      </c>
      <c r="EI156" s="130">
        <v>657</v>
      </c>
      <c r="EJ156" s="48">
        <v>68</v>
      </c>
      <c r="EK156" s="44">
        <v>495</v>
      </c>
      <c r="EL156" s="44">
        <v>1880</v>
      </c>
      <c r="EM156" s="130">
        <v>12880</v>
      </c>
      <c r="EN156" s="117">
        <v>124</v>
      </c>
      <c r="EO156" s="117">
        <v>1395</v>
      </c>
      <c r="EP156" s="129">
        <v>21.5</v>
      </c>
    </row>
    <row r="157" spans="1:146" ht="15" x14ac:dyDescent="0.25">
      <c r="A157" s="27">
        <v>505</v>
      </c>
      <c r="B157" s="27" t="s">
        <v>285</v>
      </c>
      <c r="C157" s="27">
        <v>1</v>
      </c>
      <c r="D157" s="27" t="s">
        <v>121</v>
      </c>
      <c r="E157" s="27">
        <v>5</v>
      </c>
      <c r="F157" s="27" t="s">
        <v>101</v>
      </c>
      <c r="G157" s="29" t="s">
        <v>132</v>
      </c>
      <c r="H157" s="27" t="s">
        <v>99</v>
      </c>
      <c r="I157" s="31" t="s">
        <v>121</v>
      </c>
      <c r="J157" s="118">
        <v>-900.98272205431454</v>
      </c>
      <c r="K157" s="118">
        <v>151.0327579624369</v>
      </c>
      <c r="L157" s="118">
        <v>-3172.6970447699441</v>
      </c>
      <c r="M157" s="118">
        <v>-1618.4724163391206</v>
      </c>
      <c r="N157" s="22">
        <v>2220</v>
      </c>
      <c r="O157" s="119">
        <v>2560</v>
      </c>
      <c r="P157" s="119">
        <v>5027</v>
      </c>
      <c r="Q157" s="120">
        <v>3105</v>
      </c>
      <c r="R157" s="22">
        <v>1534</v>
      </c>
      <c r="S157" s="22">
        <v>2501</v>
      </c>
      <c r="T157" s="121">
        <v>5154</v>
      </c>
      <c r="U157" s="121">
        <v>7756</v>
      </c>
      <c r="V157" s="121">
        <v>14805</v>
      </c>
      <c r="W157" s="106">
        <v>18839</v>
      </c>
      <c r="X157" s="121">
        <v>19516</v>
      </c>
      <c r="Y157" s="121">
        <v>22021</v>
      </c>
      <c r="Z157" s="121">
        <v>65481</v>
      </c>
      <c r="AA157" s="121">
        <v>68779</v>
      </c>
      <c r="AB157" s="122">
        <v>17.75</v>
      </c>
      <c r="AC157" s="123">
        <v>18.25</v>
      </c>
      <c r="AD157" s="124">
        <v>18.25</v>
      </c>
      <c r="AE157" s="125">
        <v>18.25</v>
      </c>
      <c r="AF157" s="126">
        <v>18.75</v>
      </c>
      <c r="AG157" s="123">
        <v>18.75</v>
      </c>
      <c r="AH157" s="123">
        <v>18.75</v>
      </c>
      <c r="AI157" s="127">
        <v>18.75</v>
      </c>
      <c r="AJ157" s="127">
        <v>18.75</v>
      </c>
      <c r="AK157" s="22">
        <v>19.5</v>
      </c>
      <c r="AL157" s="128">
        <v>19.5</v>
      </c>
      <c r="AM157" s="128">
        <v>19.5</v>
      </c>
      <c r="AN157" s="128">
        <v>19.75</v>
      </c>
      <c r="AO157" s="77">
        <v>19.75</v>
      </c>
      <c r="AP157" s="77">
        <v>19.75</v>
      </c>
      <c r="AQ157" s="129">
        <v>19.75</v>
      </c>
      <c r="AR157" s="129">
        <v>19.75</v>
      </c>
      <c r="AS157" s="129">
        <v>20.5</v>
      </c>
      <c r="AT157" s="116">
        <v>20534</v>
      </c>
      <c r="AU157" s="47">
        <v>32927</v>
      </c>
      <c r="AV157" s="47">
        <v>124759</v>
      </c>
      <c r="AW157" s="46">
        <v>73975</v>
      </c>
      <c r="AX157" s="46">
        <v>26511</v>
      </c>
      <c r="AY157" s="92">
        <v>1227</v>
      </c>
      <c r="AZ157" s="47">
        <v>9262</v>
      </c>
      <c r="BA157" s="44">
        <v>6854</v>
      </c>
      <c r="BB157" s="23">
        <v>-9246</v>
      </c>
      <c r="BC157" s="47">
        <v>2408</v>
      </c>
      <c r="BD157" s="44">
        <v>2506</v>
      </c>
      <c r="BE157" s="47">
        <v>22021</v>
      </c>
      <c r="BF157" s="44">
        <v>73975</v>
      </c>
      <c r="BG157" s="46">
        <v>66477</v>
      </c>
      <c r="BH157" s="130">
        <v>2094</v>
      </c>
      <c r="BI157" s="46">
        <v>5404</v>
      </c>
      <c r="BJ157" s="129">
        <v>19.75</v>
      </c>
      <c r="BK157" s="44">
        <v>57370</v>
      </c>
      <c r="BL157" s="116">
        <v>20621</v>
      </c>
      <c r="BM157" s="47">
        <v>32691</v>
      </c>
      <c r="BN157" s="130">
        <v>127752</v>
      </c>
      <c r="BO157" s="46">
        <v>74254</v>
      </c>
      <c r="BP157" s="46">
        <v>24772</v>
      </c>
      <c r="BQ157" s="46">
        <v>56062</v>
      </c>
      <c r="BR157" s="130">
        <v>4563</v>
      </c>
      <c r="BS157" s="44">
        <v>15021</v>
      </c>
      <c r="BT157" s="92">
        <v>34721</v>
      </c>
      <c r="BU157" s="117">
        <v>43460</v>
      </c>
      <c r="BV157" s="130">
        <v>65481</v>
      </c>
      <c r="BW157" s="48">
        <v>74254</v>
      </c>
      <c r="BX157" s="46">
        <v>66160</v>
      </c>
      <c r="BY157" s="130">
        <v>2253</v>
      </c>
      <c r="BZ157" s="46">
        <v>5841</v>
      </c>
      <c r="CA157" s="129">
        <v>19.75</v>
      </c>
      <c r="CB157" s="44">
        <v>48562</v>
      </c>
      <c r="CC157" s="116">
        <v>20685</v>
      </c>
      <c r="CD157" s="47">
        <v>28252</v>
      </c>
      <c r="CE157" s="130">
        <v>125834</v>
      </c>
      <c r="CF157" s="46">
        <v>78866</v>
      </c>
      <c r="CG157" s="46">
        <v>26307</v>
      </c>
      <c r="CH157" s="46">
        <v>1457</v>
      </c>
      <c r="CI157" s="130">
        <v>9047</v>
      </c>
      <c r="CJ157" s="44">
        <v>5773</v>
      </c>
      <c r="CK157" s="117">
        <v>-15297</v>
      </c>
      <c r="CL157" s="117">
        <v>3296</v>
      </c>
      <c r="CM157" s="117">
        <v>68779</v>
      </c>
      <c r="CN157" s="48">
        <v>78866</v>
      </c>
      <c r="CO157" s="46">
        <v>69507</v>
      </c>
      <c r="CP157" s="130">
        <v>2560</v>
      </c>
      <c r="CQ157" s="46">
        <v>6799</v>
      </c>
      <c r="CR157" s="129">
        <v>20.5</v>
      </c>
      <c r="CS157" s="44">
        <v>54934</v>
      </c>
      <c r="CT157">
        <v>20853</v>
      </c>
      <c r="CU157">
        <v>79776</v>
      </c>
      <c r="CV157">
        <v>29253</v>
      </c>
      <c r="CW157">
        <v>29809</v>
      </c>
      <c r="CX157">
        <v>1521</v>
      </c>
      <c r="CY157">
        <v>70565</v>
      </c>
      <c r="CZ157">
        <v>2481</v>
      </c>
      <c r="DA157">
        <v>6730</v>
      </c>
      <c r="DB157">
        <v>13419</v>
      </c>
      <c r="DC157">
        <v>-13126</v>
      </c>
      <c r="DD157">
        <v>5873</v>
      </c>
      <c r="DE157">
        <v>57982</v>
      </c>
      <c r="DF157">
        <v>126940</v>
      </c>
      <c r="DG157">
        <v>7568</v>
      </c>
      <c r="DH157">
        <v>76348</v>
      </c>
      <c r="DI157">
        <v>20.5</v>
      </c>
      <c r="DJ157" s="174">
        <v>20803</v>
      </c>
      <c r="DK157" s="34">
        <v>81307</v>
      </c>
      <c r="DL157" s="34">
        <v>28964</v>
      </c>
      <c r="DM157">
        <v>29934</v>
      </c>
      <c r="DN157" s="173">
        <v>1409</v>
      </c>
      <c r="DO157" s="34">
        <v>71545</v>
      </c>
      <c r="DP157" s="173">
        <v>2877</v>
      </c>
      <c r="DQ157" s="34">
        <v>6885</v>
      </c>
      <c r="DR157" s="173">
        <v>11436</v>
      </c>
      <c r="DS157" s="173">
        <v>-16900</v>
      </c>
      <c r="DT157">
        <v>6582</v>
      </c>
      <c r="DU157">
        <v>62683</v>
      </c>
      <c r="DV157" s="173">
        <v>130178</v>
      </c>
      <c r="DW157" s="173">
        <v>4885</v>
      </c>
      <c r="DX157" s="173">
        <v>81233</v>
      </c>
      <c r="DY157" s="57">
        <v>20.5</v>
      </c>
      <c r="DZ157" s="184">
        <v>230</v>
      </c>
      <c r="EA157" s="116">
        <v>20686</v>
      </c>
      <c r="EB157" s="48">
        <v>79624</v>
      </c>
      <c r="EC157" s="46">
        <v>28828</v>
      </c>
      <c r="ED157" s="90">
        <v>64488</v>
      </c>
      <c r="EE157" s="186">
        <v>1375</v>
      </c>
      <c r="EF157" s="46">
        <v>69917</v>
      </c>
      <c r="EG157" s="130">
        <v>2753</v>
      </c>
      <c r="EH157" s="46">
        <v>6954</v>
      </c>
      <c r="EI157" s="130">
        <v>3635</v>
      </c>
      <c r="EJ157" s="48">
        <v>-17232</v>
      </c>
      <c r="EK157" s="44">
        <v>6810</v>
      </c>
      <c r="EL157" s="44">
        <v>74188</v>
      </c>
      <c r="EM157" s="130">
        <v>170680</v>
      </c>
      <c r="EN157" s="117">
        <v>-3144</v>
      </c>
      <c r="EO157" s="117">
        <v>78088</v>
      </c>
      <c r="EP157" s="129">
        <v>20.5</v>
      </c>
    </row>
    <row r="158" spans="1:146" ht="15" x14ac:dyDescent="0.25">
      <c r="A158" s="27">
        <v>508</v>
      </c>
      <c r="B158" s="27" t="s">
        <v>523</v>
      </c>
      <c r="C158" s="27">
        <v>6</v>
      </c>
      <c r="D158" s="27" t="s">
        <v>114</v>
      </c>
      <c r="E158" s="27">
        <v>3</v>
      </c>
      <c r="F158" s="27" t="s">
        <v>743</v>
      </c>
      <c r="G158" s="29" t="s">
        <v>132</v>
      </c>
      <c r="H158" s="27" t="s">
        <v>99</v>
      </c>
      <c r="I158" s="31" t="s">
        <v>114</v>
      </c>
      <c r="J158" s="118">
        <v>-2388.9413074593026</v>
      </c>
      <c r="K158" s="118">
        <v>-2289.7104308470111</v>
      </c>
      <c r="L158" s="118">
        <v>-3178.2472463431741</v>
      </c>
      <c r="M158" s="118">
        <v>-5670.7923165027678</v>
      </c>
      <c r="N158" s="22">
        <v>-2612</v>
      </c>
      <c r="O158" s="119">
        <v>-3649</v>
      </c>
      <c r="P158" s="119">
        <v>-4199</v>
      </c>
      <c r="Q158" s="120">
        <v>-5382</v>
      </c>
      <c r="R158" s="22">
        <v>-4913</v>
      </c>
      <c r="S158" s="22">
        <v>-5264</v>
      </c>
      <c r="T158" s="121">
        <v>-4555</v>
      </c>
      <c r="U158" s="121">
        <v>-1276</v>
      </c>
      <c r="V158" s="121">
        <v>26</v>
      </c>
      <c r="W158" s="106">
        <v>-3028</v>
      </c>
      <c r="X158" s="121">
        <v>-6921</v>
      </c>
      <c r="Y158" s="121">
        <v>-1422</v>
      </c>
      <c r="Z158" s="121">
        <v>98</v>
      </c>
      <c r="AA158" s="121">
        <v>648</v>
      </c>
      <c r="AB158" s="122">
        <v>18.5</v>
      </c>
      <c r="AC158" s="123">
        <v>18.5</v>
      </c>
      <c r="AD158" s="124">
        <v>18.5</v>
      </c>
      <c r="AE158" s="125">
        <v>18.5</v>
      </c>
      <c r="AF158" s="126">
        <v>19</v>
      </c>
      <c r="AG158" s="123">
        <v>19</v>
      </c>
      <c r="AH158" s="123">
        <v>19</v>
      </c>
      <c r="AI158" s="127">
        <v>19</v>
      </c>
      <c r="AJ158" s="127">
        <v>19.5</v>
      </c>
      <c r="AK158" s="22">
        <v>20.5</v>
      </c>
      <c r="AL158" s="128">
        <v>20.5</v>
      </c>
      <c r="AM158" s="128">
        <v>20</v>
      </c>
      <c r="AN158" s="128">
        <v>20.5</v>
      </c>
      <c r="AO158" s="77">
        <v>20.5</v>
      </c>
      <c r="AP158" s="77">
        <v>21</v>
      </c>
      <c r="AQ158" s="129">
        <v>22</v>
      </c>
      <c r="AR158" s="129">
        <v>22</v>
      </c>
      <c r="AS158" s="129">
        <v>22</v>
      </c>
      <c r="AT158" s="116">
        <v>10898</v>
      </c>
      <c r="AU158" s="47">
        <v>15745</v>
      </c>
      <c r="AV158" s="47">
        <v>76831</v>
      </c>
      <c r="AW158" s="46">
        <v>41160</v>
      </c>
      <c r="AX158" s="46">
        <v>24930</v>
      </c>
      <c r="AY158" s="92">
        <v>3376</v>
      </c>
      <c r="AZ158" s="47">
        <v>4817</v>
      </c>
      <c r="BA158" s="44">
        <v>2612</v>
      </c>
      <c r="BB158" s="23">
        <v>1218</v>
      </c>
      <c r="BC158" s="47">
        <v>5495</v>
      </c>
      <c r="BD158" s="44">
        <v>5499</v>
      </c>
      <c r="BE158" s="47">
        <v>-1422</v>
      </c>
      <c r="BF158" s="44">
        <v>41160</v>
      </c>
      <c r="BG158" s="46">
        <v>37288</v>
      </c>
      <c r="BH158" s="130">
        <v>1428</v>
      </c>
      <c r="BI158" s="46">
        <v>2444</v>
      </c>
      <c r="BJ158" s="129">
        <v>22</v>
      </c>
      <c r="BK158" s="44">
        <v>23445</v>
      </c>
      <c r="BL158" s="116">
        <v>10723</v>
      </c>
      <c r="BM158" s="47">
        <v>15009</v>
      </c>
      <c r="BN158" s="130">
        <v>78098</v>
      </c>
      <c r="BO158" s="46">
        <v>40345</v>
      </c>
      <c r="BP158" s="46">
        <v>25018</v>
      </c>
      <c r="BQ158" s="46">
        <v>2295</v>
      </c>
      <c r="BR158" s="130">
        <v>2153</v>
      </c>
      <c r="BS158" s="44">
        <v>2783</v>
      </c>
      <c r="BT158" s="92">
        <v>7925</v>
      </c>
      <c r="BU158" s="117">
        <v>1520</v>
      </c>
      <c r="BV158" s="130">
        <v>98</v>
      </c>
      <c r="BW158" s="48">
        <v>40345</v>
      </c>
      <c r="BX158" s="46">
        <v>36128</v>
      </c>
      <c r="BY158" s="130">
        <v>1477</v>
      </c>
      <c r="BZ158" s="46">
        <v>2740</v>
      </c>
      <c r="CA158" s="129">
        <v>22</v>
      </c>
      <c r="CB158" s="44">
        <v>26168</v>
      </c>
      <c r="CC158" s="116">
        <v>10604</v>
      </c>
      <c r="CD158" s="47">
        <v>19360</v>
      </c>
      <c r="CE158" s="130">
        <v>83641</v>
      </c>
      <c r="CF158" s="46">
        <v>41717</v>
      </c>
      <c r="CG158" s="46">
        <v>25371</v>
      </c>
      <c r="CH158" s="46">
        <v>404</v>
      </c>
      <c r="CI158" s="130">
        <v>2890</v>
      </c>
      <c r="CJ158" s="44">
        <v>2344</v>
      </c>
      <c r="CK158" s="117">
        <v>-8514</v>
      </c>
      <c r="CL158" s="117">
        <v>550</v>
      </c>
      <c r="CM158" s="117">
        <v>648</v>
      </c>
      <c r="CN158" s="48">
        <v>41717</v>
      </c>
      <c r="CO158" s="46">
        <v>37316</v>
      </c>
      <c r="CP158" s="130">
        <v>1514</v>
      </c>
      <c r="CQ158" s="46">
        <v>2887</v>
      </c>
      <c r="CR158" s="129">
        <v>22</v>
      </c>
      <c r="CS158" s="44">
        <v>35857</v>
      </c>
      <c r="CT158">
        <v>10448</v>
      </c>
      <c r="CU158">
        <v>40519</v>
      </c>
      <c r="CV158">
        <v>26612</v>
      </c>
      <c r="CW158">
        <v>20529</v>
      </c>
      <c r="CX158">
        <v>1775</v>
      </c>
      <c r="CY158">
        <v>36201</v>
      </c>
      <c r="CZ158">
        <v>1422</v>
      </c>
      <c r="DA158">
        <v>2896</v>
      </c>
      <c r="DB158">
        <v>2649</v>
      </c>
      <c r="DC158">
        <v>-6116</v>
      </c>
      <c r="DD158">
        <v>2624</v>
      </c>
      <c r="DE158">
        <v>42373</v>
      </c>
      <c r="DF158">
        <v>86633</v>
      </c>
      <c r="DG158">
        <v>29</v>
      </c>
      <c r="DH158">
        <v>934</v>
      </c>
      <c r="DI158">
        <v>22</v>
      </c>
      <c r="DJ158" s="174">
        <v>10256</v>
      </c>
      <c r="DK158" s="34">
        <v>40637</v>
      </c>
      <c r="DL158" s="34">
        <v>26691</v>
      </c>
      <c r="DM158">
        <v>23107</v>
      </c>
      <c r="DN158" s="173">
        <v>659</v>
      </c>
      <c r="DO158" s="34">
        <v>35684</v>
      </c>
      <c r="DP158" s="173">
        <v>3252</v>
      </c>
      <c r="DQ158" s="34">
        <v>1701</v>
      </c>
      <c r="DR158" s="173">
        <v>6210</v>
      </c>
      <c r="DS158" s="173">
        <v>-4646</v>
      </c>
      <c r="DT158">
        <v>3203</v>
      </c>
      <c r="DU158">
        <v>42357</v>
      </c>
      <c r="DV158" s="173">
        <v>84884</v>
      </c>
      <c r="DW158" s="173">
        <v>3011</v>
      </c>
      <c r="DX158" s="173">
        <v>3945</v>
      </c>
      <c r="DY158" s="57">
        <v>22</v>
      </c>
      <c r="DZ158" s="184">
        <v>240</v>
      </c>
      <c r="EA158" s="116">
        <v>9983</v>
      </c>
      <c r="EB158" s="48">
        <v>39313</v>
      </c>
      <c r="EC158" s="46">
        <v>25426</v>
      </c>
      <c r="ED158" s="90">
        <v>22607</v>
      </c>
      <c r="EE158" s="186">
        <v>419</v>
      </c>
      <c r="EF158" s="46">
        <v>34122</v>
      </c>
      <c r="EG158" s="130">
        <v>2046</v>
      </c>
      <c r="EH158" s="46">
        <v>3145</v>
      </c>
      <c r="EI158" s="130">
        <v>1699</v>
      </c>
      <c r="EJ158" s="48">
        <v>1170</v>
      </c>
      <c r="EK158" s="44">
        <v>2854</v>
      </c>
      <c r="EL158" s="44">
        <v>41342</v>
      </c>
      <c r="EM158" s="130">
        <v>86066</v>
      </c>
      <c r="EN158" s="117">
        <v>-1151</v>
      </c>
      <c r="EO158" s="117">
        <v>2794</v>
      </c>
      <c r="EP158" s="129">
        <v>22</v>
      </c>
    </row>
    <row r="159" spans="1:146" ht="15" x14ac:dyDescent="0.25">
      <c r="A159" s="27">
        <v>507</v>
      </c>
      <c r="B159" s="27" t="s">
        <v>286</v>
      </c>
      <c r="C159" s="27">
        <v>10</v>
      </c>
      <c r="D159" s="27" t="s">
        <v>107</v>
      </c>
      <c r="E159" s="27">
        <v>3</v>
      </c>
      <c r="F159" s="27" t="s">
        <v>743</v>
      </c>
      <c r="G159" s="29" t="s">
        <v>132</v>
      </c>
      <c r="H159" s="27" t="s">
        <v>99</v>
      </c>
      <c r="I159" s="31" t="s">
        <v>107</v>
      </c>
      <c r="J159" s="118">
        <v>312.99773114487203</v>
      </c>
      <c r="K159" s="118">
        <v>-1699.2026210406459</v>
      </c>
      <c r="L159" s="118">
        <v>-3703.4981406824727</v>
      </c>
      <c r="M159" s="118">
        <v>-5284.1282735677532</v>
      </c>
      <c r="N159" s="22">
        <v>-4962</v>
      </c>
      <c r="O159" s="119">
        <v>-4422</v>
      </c>
      <c r="P159" s="119">
        <v>-2465</v>
      </c>
      <c r="Q159" s="120">
        <v>-3194</v>
      </c>
      <c r="R159" s="22">
        <v>-3230</v>
      </c>
      <c r="S159" s="22">
        <v>-2161</v>
      </c>
      <c r="T159" s="121">
        <v>-712</v>
      </c>
      <c r="U159" s="121">
        <v>-598</v>
      </c>
      <c r="V159" s="121">
        <v>601</v>
      </c>
      <c r="W159" s="106">
        <v>-725</v>
      </c>
      <c r="X159" s="121">
        <v>427</v>
      </c>
      <c r="Y159" s="121">
        <v>3078</v>
      </c>
      <c r="Z159" s="121">
        <v>4130</v>
      </c>
      <c r="AA159" s="121">
        <v>4997</v>
      </c>
      <c r="AB159" s="122">
        <v>17</v>
      </c>
      <c r="AC159" s="123">
        <v>17</v>
      </c>
      <c r="AD159" s="124">
        <v>17.75</v>
      </c>
      <c r="AE159" s="125">
        <v>17.75</v>
      </c>
      <c r="AF159" s="126">
        <v>18.5</v>
      </c>
      <c r="AG159" s="123">
        <v>18.5</v>
      </c>
      <c r="AH159" s="123">
        <v>18.5</v>
      </c>
      <c r="AI159" s="127">
        <v>18.5</v>
      </c>
      <c r="AJ159" s="127">
        <v>18.5</v>
      </c>
      <c r="AK159" s="22">
        <v>19</v>
      </c>
      <c r="AL159" s="128">
        <v>19</v>
      </c>
      <c r="AM159" s="128">
        <v>19</v>
      </c>
      <c r="AN159" s="128">
        <v>19</v>
      </c>
      <c r="AO159" s="77">
        <v>19</v>
      </c>
      <c r="AP159" s="77">
        <v>19.75</v>
      </c>
      <c r="AQ159" s="129">
        <v>19.75</v>
      </c>
      <c r="AR159" s="129">
        <v>19.75</v>
      </c>
      <c r="AS159" s="129">
        <v>19.75</v>
      </c>
      <c r="AT159" s="116">
        <v>6287</v>
      </c>
      <c r="AU159" s="47">
        <v>6665</v>
      </c>
      <c r="AV159" s="47">
        <v>41172</v>
      </c>
      <c r="AW159" s="46">
        <v>19812</v>
      </c>
      <c r="AX159" s="46">
        <v>17945</v>
      </c>
      <c r="AY159" s="92">
        <v>812</v>
      </c>
      <c r="AZ159" s="47">
        <v>3176</v>
      </c>
      <c r="BA159" s="44">
        <v>1084</v>
      </c>
      <c r="BB159" s="23">
        <v>-3851</v>
      </c>
      <c r="BC159" s="47">
        <v>2651</v>
      </c>
      <c r="BD159" s="44">
        <v>2651</v>
      </c>
      <c r="BE159" s="47">
        <v>3078</v>
      </c>
      <c r="BF159" s="44">
        <v>19812</v>
      </c>
      <c r="BG159" s="46">
        <v>15789</v>
      </c>
      <c r="BH159" s="130">
        <v>1723</v>
      </c>
      <c r="BI159" s="46">
        <v>2300</v>
      </c>
      <c r="BJ159" s="129">
        <v>19.75</v>
      </c>
      <c r="BK159" s="44">
        <v>15933</v>
      </c>
      <c r="BL159" s="116">
        <v>6266</v>
      </c>
      <c r="BM159" s="47">
        <v>6934</v>
      </c>
      <c r="BN159" s="130">
        <v>43105</v>
      </c>
      <c r="BO159" s="46">
        <v>20604</v>
      </c>
      <c r="BP159" s="46">
        <v>17993</v>
      </c>
      <c r="BQ159" s="46">
        <v>223</v>
      </c>
      <c r="BR159" s="130">
        <v>2315</v>
      </c>
      <c r="BS159" s="44">
        <v>1303</v>
      </c>
      <c r="BT159" s="92">
        <v>-691</v>
      </c>
      <c r="BU159" s="117">
        <v>1052</v>
      </c>
      <c r="BV159" s="130">
        <v>4130</v>
      </c>
      <c r="BW159" s="48">
        <v>20604</v>
      </c>
      <c r="BX159" s="46">
        <v>16075</v>
      </c>
      <c r="BY159" s="130">
        <v>1997</v>
      </c>
      <c r="BZ159" s="46">
        <v>2532</v>
      </c>
      <c r="CA159" s="129">
        <v>19.75</v>
      </c>
      <c r="CB159" s="44">
        <v>11473</v>
      </c>
      <c r="CC159" s="116">
        <v>6159</v>
      </c>
      <c r="CD159" s="47">
        <v>7555</v>
      </c>
      <c r="CE159" s="130">
        <v>43768</v>
      </c>
      <c r="CF159" s="46">
        <v>21219</v>
      </c>
      <c r="CG159" s="46">
        <v>18150</v>
      </c>
      <c r="CH159" s="46">
        <v>327</v>
      </c>
      <c r="CI159" s="130">
        <v>3044</v>
      </c>
      <c r="CJ159" s="44">
        <v>2197</v>
      </c>
      <c r="CK159" s="117">
        <v>-3181</v>
      </c>
      <c r="CL159" s="117">
        <v>867</v>
      </c>
      <c r="CM159" s="117">
        <v>4997</v>
      </c>
      <c r="CN159" s="48">
        <v>21219</v>
      </c>
      <c r="CO159" s="46">
        <v>16367</v>
      </c>
      <c r="CP159" s="130">
        <v>2304</v>
      </c>
      <c r="CQ159" s="46">
        <v>2548</v>
      </c>
      <c r="CR159" s="129">
        <v>19.75</v>
      </c>
      <c r="CS159" s="44">
        <v>12298</v>
      </c>
      <c r="CT159">
        <v>6097</v>
      </c>
      <c r="CU159">
        <v>20164</v>
      </c>
      <c r="CV159">
        <v>18642</v>
      </c>
      <c r="CW159">
        <v>7412</v>
      </c>
      <c r="CX159">
        <v>226</v>
      </c>
      <c r="CY159">
        <v>15573</v>
      </c>
      <c r="CZ159">
        <v>2011</v>
      </c>
      <c r="DA159">
        <v>2580</v>
      </c>
      <c r="DB159">
        <v>2779</v>
      </c>
      <c r="DC159">
        <v>-4044</v>
      </c>
      <c r="DD159">
        <v>2453</v>
      </c>
      <c r="DE159">
        <v>14810</v>
      </c>
      <c r="DF159">
        <v>43312</v>
      </c>
      <c r="DG159">
        <v>392</v>
      </c>
      <c r="DH159">
        <v>5389</v>
      </c>
      <c r="DI159">
        <v>19.75</v>
      </c>
      <c r="DJ159" s="174">
        <v>6054</v>
      </c>
      <c r="DK159" s="34">
        <v>21018</v>
      </c>
      <c r="DL159" s="34">
        <v>18626</v>
      </c>
      <c r="DM159">
        <v>8795</v>
      </c>
      <c r="DN159" s="173">
        <v>196</v>
      </c>
      <c r="DO159" s="34">
        <v>16104</v>
      </c>
      <c r="DP159" s="173">
        <v>2346</v>
      </c>
      <c r="DQ159" s="34">
        <v>2568</v>
      </c>
      <c r="DR159" s="173">
        <v>3303</v>
      </c>
      <c r="DS159" s="173">
        <v>-670</v>
      </c>
      <c r="DT159">
        <v>3130</v>
      </c>
      <c r="DU159">
        <v>13206</v>
      </c>
      <c r="DV159" s="173">
        <v>45332</v>
      </c>
      <c r="DW159" s="173">
        <v>173</v>
      </c>
      <c r="DX159" s="173">
        <v>5562</v>
      </c>
      <c r="DY159" s="57">
        <v>19.75</v>
      </c>
      <c r="DZ159" s="184">
        <v>340</v>
      </c>
      <c r="EA159" s="116">
        <v>5924</v>
      </c>
      <c r="EB159" s="48">
        <v>20905</v>
      </c>
      <c r="EC159" s="46">
        <v>17999</v>
      </c>
      <c r="ED159" s="90">
        <v>5435</v>
      </c>
      <c r="EE159" s="186">
        <v>100</v>
      </c>
      <c r="EF159" s="46">
        <v>15855</v>
      </c>
      <c r="EG159" s="130">
        <v>2818</v>
      </c>
      <c r="EH159" s="46">
        <v>2232</v>
      </c>
      <c r="EI159" s="130">
        <v>1934</v>
      </c>
      <c r="EJ159" s="48">
        <v>-1573</v>
      </c>
      <c r="EK159" s="44">
        <v>1783</v>
      </c>
      <c r="EL159" s="44">
        <v>11586</v>
      </c>
      <c r="EM159" s="130">
        <v>42505</v>
      </c>
      <c r="EN159" s="117">
        <v>151</v>
      </c>
      <c r="EO159" s="117">
        <v>5713</v>
      </c>
      <c r="EP159" s="129">
        <v>19.75</v>
      </c>
    </row>
    <row r="160" spans="1:146" ht="15" x14ac:dyDescent="0.25">
      <c r="A160" s="27">
        <v>529</v>
      </c>
      <c r="B160" s="27" t="s">
        <v>287</v>
      </c>
      <c r="C160" s="27">
        <v>2</v>
      </c>
      <c r="D160" s="27" t="s">
        <v>122</v>
      </c>
      <c r="E160" s="27">
        <v>4</v>
      </c>
      <c r="F160" s="27" t="s">
        <v>100</v>
      </c>
      <c r="G160" s="29" t="s">
        <v>132</v>
      </c>
      <c r="H160" s="27" t="s">
        <v>99</v>
      </c>
      <c r="I160" s="31" t="s">
        <v>122</v>
      </c>
      <c r="J160" s="118">
        <v>1423.7107974966909</v>
      </c>
      <c r="K160" s="118">
        <v>1999.9226335538276</v>
      </c>
      <c r="L160" s="118">
        <v>4490.6176365223446</v>
      </c>
      <c r="M160" s="118">
        <v>5429.2744541040374</v>
      </c>
      <c r="N160" s="22">
        <v>23087</v>
      </c>
      <c r="O160" s="119">
        <v>23002</v>
      </c>
      <c r="P160" s="119">
        <v>38817</v>
      </c>
      <c r="Q160" s="120">
        <v>37734</v>
      </c>
      <c r="R160" s="22">
        <v>39170</v>
      </c>
      <c r="S160" s="22">
        <v>44519</v>
      </c>
      <c r="T160" s="121">
        <v>45652</v>
      </c>
      <c r="U160" s="121">
        <v>41082</v>
      </c>
      <c r="V160" s="121">
        <v>38506</v>
      </c>
      <c r="W160" s="106">
        <v>35039</v>
      </c>
      <c r="X160" s="121">
        <v>28819</v>
      </c>
      <c r="Y160" s="121">
        <v>33179</v>
      </c>
      <c r="Z160" s="121">
        <v>42868</v>
      </c>
      <c r="AA160" s="121">
        <v>43713</v>
      </c>
      <c r="AB160" s="122">
        <v>16.5</v>
      </c>
      <c r="AC160" s="123">
        <v>16.5</v>
      </c>
      <c r="AD160" s="124">
        <v>16.5</v>
      </c>
      <c r="AE160" s="125">
        <v>16.5</v>
      </c>
      <c r="AF160" s="126">
        <v>16.5</v>
      </c>
      <c r="AG160" s="123">
        <v>16.5</v>
      </c>
      <c r="AH160" s="123">
        <v>16.5</v>
      </c>
      <c r="AI160" s="127">
        <v>16.5</v>
      </c>
      <c r="AJ160" s="127">
        <v>16.5</v>
      </c>
      <c r="AK160" s="22">
        <v>16.5</v>
      </c>
      <c r="AL160" s="128">
        <v>16.5</v>
      </c>
      <c r="AM160" s="128">
        <v>16.5</v>
      </c>
      <c r="AN160" s="128">
        <v>17.25</v>
      </c>
      <c r="AO160" s="77">
        <v>17.25</v>
      </c>
      <c r="AP160" s="77">
        <v>17.75</v>
      </c>
      <c r="AQ160" s="129">
        <v>18.5</v>
      </c>
      <c r="AR160" s="129">
        <v>18.5</v>
      </c>
      <c r="AS160" s="129">
        <v>18.5</v>
      </c>
      <c r="AT160" s="116">
        <v>18859</v>
      </c>
      <c r="AU160" s="47">
        <v>32356</v>
      </c>
      <c r="AV160" s="47">
        <v>116929</v>
      </c>
      <c r="AW160" s="46">
        <v>78267</v>
      </c>
      <c r="AX160" s="46">
        <v>19987</v>
      </c>
      <c r="AY160" s="92">
        <v>682</v>
      </c>
      <c r="AZ160" s="47">
        <v>14225</v>
      </c>
      <c r="BA160" s="44">
        <v>10349</v>
      </c>
      <c r="BB160" s="23">
        <v>-7174</v>
      </c>
      <c r="BC160" s="47">
        <v>3851</v>
      </c>
      <c r="BD160" s="44">
        <v>4130</v>
      </c>
      <c r="BE160" s="47">
        <v>33179</v>
      </c>
      <c r="BF160" s="44">
        <v>78267</v>
      </c>
      <c r="BG160" s="46">
        <v>65836</v>
      </c>
      <c r="BH160" s="130">
        <v>6885</v>
      </c>
      <c r="BI160" s="46">
        <v>5546</v>
      </c>
      <c r="BJ160" s="129">
        <v>18.5</v>
      </c>
      <c r="BK160" s="44">
        <v>37478</v>
      </c>
      <c r="BL160" s="116">
        <v>18871</v>
      </c>
      <c r="BM160" s="47">
        <v>33364</v>
      </c>
      <c r="BN160" s="130">
        <v>114845</v>
      </c>
      <c r="BO160" s="46">
        <v>79328</v>
      </c>
      <c r="BP160" s="46">
        <v>18182</v>
      </c>
      <c r="BQ160" s="46">
        <v>7447</v>
      </c>
      <c r="BR160" s="130">
        <v>16870</v>
      </c>
      <c r="BS160" s="44">
        <v>9731</v>
      </c>
      <c r="BT160" s="92">
        <v>-6411</v>
      </c>
      <c r="BU160" s="117">
        <v>9689</v>
      </c>
      <c r="BV160" s="130">
        <v>42868</v>
      </c>
      <c r="BW160" s="48">
        <v>79328</v>
      </c>
      <c r="BX160" s="46">
        <v>68037</v>
      </c>
      <c r="BY160" s="130">
        <v>5320</v>
      </c>
      <c r="BZ160" s="46">
        <v>5971</v>
      </c>
      <c r="CA160" s="129">
        <v>18.5</v>
      </c>
      <c r="CB160" s="44">
        <v>35221</v>
      </c>
      <c r="CC160" s="116">
        <v>18961</v>
      </c>
      <c r="CD160" s="47">
        <v>25974</v>
      </c>
      <c r="CE160" s="130">
        <v>114780</v>
      </c>
      <c r="CF160" s="46">
        <v>80688</v>
      </c>
      <c r="CG160" s="46">
        <v>16219</v>
      </c>
      <c r="CH160" s="46">
        <v>1760</v>
      </c>
      <c r="CI160" s="130">
        <v>9201</v>
      </c>
      <c r="CJ160" s="44">
        <v>8426</v>
      </c>
      <c r="CK160" s="117">
        <v>-5899</v>
      </c>
      <c r="CL160" s="117">
        <v>845</v>
      </c>
      <c r="CM160" s="117">
        <v>43713</v>
      </c>
      <c r="CN160" s="48">
        <v>80688</v>
      </c>
      <c r="CO160" s="46">
        <v>67237</v>
      </c>
      <c r="CP160" s="130">
        <v>7391</v>
      </c>
      <c r="CQ160" s="46">
        <v>6060</v>
      </c>
      <c r="CR160" s="129">
        <v>18.5</v>
      </c>
      <c r="CS160" s="44">
        <v>30965</v>
      </c>
      <c r="CT160">
        <v>19068</v>
      </c>
      <c r="CU160">
        <v>83015</v>
      </c>
      <c r="CV160">
        <v>17430</v>
      </c>
      <c r="CW160">
        <v>24583</v>
      </c>
      <c r="CX160">
        <v>1665</v>
      </c>
      <c r="CY160">
        <v>69760</v>
      </c>
      <c r="CZ160">
        <v>7044</v>
      </c>
      <c r="DA160">
        <v>6211</v>
      </c>
      <c r="DB160">
        <v>10534</v>
      </c>
      <c r="DC160">
        <v>-7150</v>
      </c>
      <c r="DD160">
        <v>7932</v>
      </c>
      <c r="DE160">
        <v>27849</v>
      </c>
      <c r="DF160">
        <v>115823</v>
      </c>
      <c r="DG160">
        <v>4008</v>
      </c>
      <c r="DH160">
        <v>47720</v>
      </c>
      <c r="DI160">
        <v>18.5</v>
      </c>
      <c r="DJ160" s="174">
        <v>19167</v>
      </c>
      <c r="DK160" s="34">
        <v>86305</v>
      </c>
      <c r="DL160" s="34">
        <v>16028</v>
      </c>
      <c r="DM160">
        <v>24854</v>
      </c>
      <c r="DN160" s="173">
        <v>1581</v>
      </c>
      <c r="DO160" s="34">
        <v>71892</v>
      </c>
      <c r="DP160" s="173">
        <v>7868</v>
      </c>
      <c r="DQ160" s="34">
        <v>6545</v>
      </c>
      <c r="DR160" s="173">
        <v>14812</v>
      </c>
      <c r="DS160" s="173">
        <v>-7631</v>
      </c>
      <c r="DT160">
        <v>7885</v>
      </c>
      <c r="DU160">
        <v>22732</v>
      </c>
      <c r="DV160" s="173">
        <v>113956</v>
      </c>
      <c r="DW160" s="173">
        <v>7997</v>
      </c>
      <c r="DX160" s="173">
        <v>55718</v>
      </c>
      <c r="DY160" s="57">
        <v>19</v>
      </c>
      <c r="DZ160" s="184">
        <v>220</v>
      </c>
      <c r="EA160" s="116">
        <v>19245</v>
      </c>
      <c r="EB160" s="48">
        <v>89564</v>
      </c>
      <c r="EC160" s="46">
        <v>14306</v>
      </c>
      <c r="ED160" s="90">
        <v>25136</v>
      </c>
      <c r="EE160" s="186">
        <v>1874</v>
      </c>
      <c r="EF160" s="46">
        <v>74124</v>
      </c>
      <c r="EG160" s="130">
        <v>8840</v>
      </c>
      <c r="EH160" s="46">
        <v>6600</v>
      </c>
      <c r="EI160" s="130">
        <v>11724</v>
      </c>
      <c r="EJ160" s="48">
        <v>-8672</v>
      </c>
      <c r="EK160" s="44">
        <v>7768</v>
      </c>
      <c r="EL160" s="44">
        <v>20616</v>
      </c>
      <c r="EM160" s="130">
        <v>119156</v>
      </c>
      <c r="EN160" s="117">
        <v>4325</v>
      </c>
      <c r="EO160" s="117">
        <v>60044</v>
      </c>
      <c r="EP160" s="129">
        <v>19</v>
      </c>
    </row>
    <row r="161" spans="1:146" ht="15" x14ac:dyDescent="0.25">
      <c r="A161" s="27">
        <v>531</v>
      </c>
      <c r="B161" s="27" t="s">
        <v>288</v>
      </c>
      <c r="C161" s="27">
        <v>4</v>
      </c>
      <c r="D161" s="27" t="s">
        <v>120</v>
      </c>
      <c r="E161" s="27">
        <v>3</v>
      </c>
      <c r="F161" s="27" t="s">
        <v>743</v>
      </c>
      <c r="G161" s="29" t="s">
        <v>132</v>
      </c>
      <c r="H161" s="27" t="s">
        <v>99</v>
      </c>
      <c r="I161" s="31" t="s">
        <v>120</v>
      </c>
      <c r="J161" s="118">
        <v>-85.271278715986085</v>
      </c>
      <c r="K161" s="118">
        <v>219.98980781165642</v>
      </c>
      <c r="L161" s="118">
        <v>219.98980781165642</v>
      </c>
      <c r="M161" s="118">
        <v>1626.0408730298886</v>
      </c>
      <c r="N161" s="22">
        <v>3216</v>
      </c>
      <c r="O161" s="119">
        <v>2762</v>
      </c>
      <c r="P161" s="119">
        <v>2115</v>
      </c>
      <c r="Q161" s="120">
        <v>817</v>
      </c>
      <c r="R161" s="22">
        <v>232</v>
      </c>
      <c r="S161" s="22">
        <v>442</v>
      </c>
      <c r="T161" s="121">
        <v>1948</v>
      </c>
      <c r="U161" s="121">
        <v>3065</v>
      </c>
      <c r="V161" s="121">
        <v>3687</v>
      </c>
      <c r="W161" s="106">
        <v>3871</v>
      </c>
      <c r="X161" s="121">
        <v>2536</v>
      </c>
      <c r="Y161" s="121">
        <v>2281</v>
      </c>
      <c r="Z161" s="121">
        <v>1927</v>
      </c>
      <c r="AA161" s="121">
        <v>1918</v>
      </c>
      <c r="AB161" s="122">
        <v>17.5</v>
      </c>
      <c r="AC161" s="123">
        <v>18</v>
      </c>
      <c r="AD161" s="124">
        <v>18</v>
      </c>
      <c r="AE161" s="125">
        <v>18</v>
      </c>
      <c r="AF161" s="126">
        <v>18</v>
      </c>
      <c r="AG161" s="123">
        <v>18</v>
      </c>
      <c r="AH161" s="123">
        <v>18</v>
      </c>
      <c r="AI161" s="127">
        <v>18.75</v>
      </c>
      <c r="AJ161" s="127">
        <v>18.75</v>
      </c>
      <c r="AK161" s="22">
        <v>19.25</v>
      </c>
      <c r="AL161" s="128">
        <v>19.25</v>
      </c>
      <c r="AM161" s="128">
        <v>19.25</v>
      </c>
      <c r="AN161" s="128">
        <v>19.75</v>
      </c>
      <c r="AO161" s="77">
        <v>19.75</v>
      </c>
      <c r="AP161" s="77">
        <v>19.75</v>
      </c>
      <c r="AQ161" s="129">
        <v>20.25</v>
      </c>
      <c r="AR161" s="129">
        <v>20.25</v>
      </c>
      <c r="AS161" s="129">
        <v>20.75</v>
      </c>
      <c r="AT161" s="116">
        <v>5706</v>
      </c>
      <c r="AU161" s="47">
        <v>3808</v>
      </c>
      <c r="AV161" s="47">
        <v>32901</v>
      </c>
      <c r="AW161" s="46">
        <v>18544</v>
      </c>
      <c r="AX161" s="46">
        <v>11487</v>
      </c>
      <c r="AY161" s="92">
        <v>46</v>
      </c>
      <c r="AZ161" s="47">
        <v>969</v>
      </c>
      <c r="BA161" s="44">
        <v>1259</v>
      </c>
      <c r="BB161" s="23">
        <v>-1991</v>
      </c>
      <c r="BC161" s="47">
        <v>-290</v>
      </c>
      <c r="BD161" s="44">
        <v>-255</v>
      </c>
      <c r="BE161" s="47">
        <v>2281</v>
      </c>
      <c r="BF161" s="44">
        <v>18544</v>
      </c>
      <c r="BG161" s="46">
        <v>16949</v>
      </c>
      <c r="BH161" s="130">
        <v>448</v>
      </c>
      <c r="BI161" s="46">
        <v>1147</v>
      </c>
      <c r="BJ161" s="129">
        <v>20.25</v>
      </c>
      <c r="BK161" s="44">
        <v>6250</v>
      </c>
      <c r="BL161" s="116">
        <v>5651</v>
      </c>
      <c r="BM161" s="47">
        <v>4048</v>
      </c>
      <c r="BN161" s="130">
        <v>32997</v>
      </c>
      <c r="BO161" s="46">
        <v>18349</v>
      </c>
      <c r="BP161" s="46">
        <v>11455</v>
      </c>
      <c r="BQ161" s="46">
        <v>43</v>
      </c>
      <c r="BR161" s="130">
        <v>857</v>
      </c>
      <c r="BS161" s="44">
        <v>1245</v>
      </c>
      <c r="BT161" s="92">
        <v>-1129</v>
      </c>
      <c r="BU161" s="117">
        <v>-354</v>
      </c>
      <c r="BV161" s="130">
        <v>1927</v>
      </c>
      <c r="BW161" s="48">
        <v>18349</v>
      </c>
      <c r="BX161" s="46">
        <v>16580</v>
      </c>
      <c r="BY161" s="130">
        <v>542</v>
      </c>
      <c r="BZ161" s="46">
        <v>1227</v>
      </c>
      <c r="CA161" s="129">
        <v>20.25</v>
      </c>
      <c r="CB161" s="44">
        <v>6350</v>
      </c>
      <c r="CC161" s="116">
        <v>5651</v>
      </c>
      <c r="CD161" s="47">
        <v>3919</v>
      </c>
      <c r="CE161" s="130">
        <v>32806</v>
      </c>
      <c r="CF161" s="46">
        <v>19068</v>
      </c>
      <c r="CG161" s="46">
        <v>11026</v>
      </c>
      <c r="CH161" s="46">
        <v>58</v>
      </c>
      <c r="CI161" s="130">
        <v>1218</v>
      </c>
      <c r="CJ161" s="44">
        <v>1260</v>
      </c>
      <c r="CK161" s="117">
        <v>-781</v>
      </c>
      <c r="CL161" s="117">
        <v>-9</v>
      </c>
      <c r="CM161" s="117">
        <v>1918</v>
      </c>
      <c r="CN161" s="48">
        <v>19068</v>
      </c>
      <c r="CO161" s="46">
        <v>17133</v>
      </c>
      <c r="CP161" s="130">
        <v>677</v>
      </c>
      <c r="CQ161" s="46">
        <v>1258</v>
      </c>
      <c r="CR161" s="129">
        <v>20.75</v>
      </c>
      <c r="CS161" s="44">
        <v>5450</v>
      </c>
      <c r="CT161">
        <v>5548</v>
      </c>
      <c r="CU161">
        <v>19552</v>
      </c>
      <c r="CV161">
        <v>11296</v>
      </c>
      <c r="CW161">
        <v>3939</v>
      </c>
      <c r="CX161">
        <v>42</v>
      </c>
      <c r="CY161">
        <v>17593</v>
      </c>
      <c r="CZ161">
        <v>664</v>
      </c>
      <c r="DA161">
        <v>1295</v>
      </c>
      <c r="DB161">
        <v>2445</v>
      </c>
      <c r="DC161">
        <v>-639</v>
      </c>
      <c r="DD161">
        <v>1349</v>
      </c>
      <c r="DE161">
        <v>4600</v>
      </c>
      <c r="DF161">
        <v>32361</v>
      </c>
      <c r="DG161">
        <v>1129</v>
      </c>
      <c r="DH161">
        <v>3047</v>
      </c>
      <c r="DI161">
        <v>20.75</v>
      </c>
      <c r="DJ161" s="174">
        <v>5521</v>
      </c>
      <c r="DK161" s="34">
        <v>18919</v>
      </c>
      <c r="DL161" s="34">
        <v>10721</v>
      </c>
      <c r="DM161">
        <v>3532</v>
      </c>
      <c r="DN161" s="173">
        <v>111</v>
      </c>
      <c r="DO161" s="34">
        <v>16886</v>
      </c>
      <c r="DP161" s="173">
        <v>693</v>
      </c>
      <c r="DQ161" s="34">
        <v>1340</v>
      </c>
      <c r="DR161" s="173">
        <v>1457</v>
      </c>
      <c r="DS161" s="173">
        <v>-2696</v>
      </c>
      <c r="DT161">
        <v>1408</v>
      </c>
      <c r="DU161">
        <v>3800</v>
      </c>
      <c r="DV161" s="173">
        <v>31826</v>
      </c>
      <c r="DW161" s="173">
        <v>81</v>
      </c>
      <c r="DX161" s="173">
        <v>3128</v>
      </c>
      <c r="DY161" s="57">
        <v>21.25</v>
      </c>
      <c r="DZ161" s="184">
        <v>230</v>
      </c>
      <c r="EA161" s="116">
        <v>5437</v>
      </c>
      <c r="EB161" s="48">
        <v>19341</v>
      </c>
      <c r="EC161" s="46">
        <v>11101</v>
      </c>
      <c r="ED161" s="90">
        <v>3724</v>
      </c>
      <c r="EE161" s="186">
        <v>66</v>
      </c>
      <c r="EF161" s="46">
        <v>17362</v>
      </c>
      <c r="EG161" s="130">
        <v>574</v>
      </c>
      <c r="EH161" s="46">
        <v>1405</v>
      </c>
      <c r="EI161" s="130">
        <v>2038</v>
      </c>
      <c r="EJ161" s="48">
        <v>-5163</v>
      </c>
      <c r="EK161" s="44">
        <v>1139</v>
      </c>
      <c r="EL161" s="44">
        <v>7750</v>
      </c>
      <c r="EM161" s="130">
        <v>32194</v>
      </c>
      <c r="EN161" s="117">
        <v>919</v>
      </c>
      <c r="EO161" s="117">
        <v>4047</v>
      </c>
      <c r="EP161" s="129">
        <v>21.25</v>
      </c>
    </row>
    <row r="162" spans="1:146" ht="15" x14ac:dyDescent="0.25">
      <c r="A162" s="27">
        <v>535</v>
      </c>
      <c r="B162" s="27" t="s">
        <v>289</v>
      </c>
      <c r="C162" s="27">
        <v>17</v>
      </c>
      <c r="D162" s="27" t="s">
        <v>117</v>
      </c>
      <c r="E162" s="27">
        <v>4</v>
      </c>
      <c r="F162" s="27" t="s">
        <v>100</v>
      </c>
      <c r="G162" s="29" t="s">
        <v>132</v>
      </c>
      <c r="H162" s="27" t="s">
        <v>99</v>
      </c>
      <c r="I162" s="31" t="s">
        <v>117</v>
      </c>
      <c r="J162" s="118">
        <v>425.01089016823835</v>
      </c>
      <c r="K162" s="118">
        <v>486.56767125315139</v>
      </c>
      <c r="L162" s="118">
        <v>-640.79599981835702</v>
      </c>
      <c r="M162" s="118">
        <v>-626.16365021620561</v>
      </c>
      <c r="N162" s="22">
        <v>131</v>
      </c>
      <c r="O162" s="119">
        <v>-709</v>
      </c>
      <c r="P162" s="119">
        <v>-236</v>
      </c>
      <c r="Q162" s="120">
        <v>-907</v>
      </c>
      <c r="R162" s="22">
        <v>-2097</v>
      </c>
      <c r="S162" s="22">
        <v>-3226</v>
      </c>
      <c r="T162" s="121">
        <v>-2596</v>
      </c>
      <c r="U162" s="121">
        <v>835</v>
      </c>
      <c r="V162" s="121">
        <v>129</v>
      </c>
      <c r="W162" s="106">
        <v>8</v>
      </c>
      <c r="X162" s="121">
        <v>444</v>
      </c>
      <c r="Y162" s="121">
        <v>1182</v>
      </c>
      <c r="Z162" s="121">
        <v>1577</v>
      </c>
      <c r="AA162" s="121">
        <v>2588</v>
      </c>
      <c r="AB162" s="122">
        <v>18.5</v>
      </c>
      <c r="AC162" s="123">
        <v>18.5</v>
      </c>
      <c r="AD162" s="124">
        <v>18.5</v>
      </c>
      <c r="AE162" s="125">
        <v>18.5</v>
      </c>
      <c r="AF162" s="126">
        <v>18.5</v>
      </c>
      <c r="AG162" s="123">
        <v>18.5</v>
      </c>
      <c r="AH162" s="123">
        <v>19</v>
      </c>
      <c r="AI162" s="127">
        <v>19</v>
      </c>
      <c r="AJ162" s="127">
        <v>19.75</v>
      </c>
      <c r="AK162" s="22">
        <v>19.75</v>
      </c>
      <c r="AL162" s="128">
        <v>19.75</v>
      </c>
      <c r="AM162" s="128">
        <v>20.5</v>
      </c>
      <c r="AN162" s="128">
        <v>20.5</v>
      </c>
      <c r="AO162" s="77">
        <v>20.5</v>
      </c>
      <c r="AP162" s="77">
        <v>21</v>
      </c>
      <c r="AQ162" s="129">
        <v>21</v>
      </c>
      <c r="AR162" s="129">
        <v>21.5</v>
      </c>
      <c r="AS162" s="129">
        <v>21.5</v>
      </c>
      <c r="AT162" s="116">
        <v>10942</v>
      </c>
      <c r="AU162" s="47">
        <v>12464</v>
      </c>
      <c r="AV162" s="47">
        <v>72794</v>
      </c>
      <c r="AW162" s="46">
        <v>30479</v>
      </c>
      <c r="AX162" s="46">
        <v>31484</v>
      </c>
      <c r="AY162" s="92">
        <v>1073</v>
      </c>
      <c r="AZ162" s="47">
        <v>2166</v>
      </c>
      <c r="BA162" s="44">
        <v>1891</v>
      </c>
      <c r="BB162" s="23">
        <v>-5753</v>
      </c>
      <c r="BC162" s="47">
        <v>592</v>
      </c>
      <c r="BD162" s="44">
        <v>738</v>
      </c>
      <c r="BE162" s="47">
        <v>1182</v>
      </c>
      <c r="BF162" s="44">
        <v>30479</v>
      </c>
      <c r="BG162" s="46">
        <v>27351</v>
      </c>
      <c r="BH162" s="130">
        <v>1184</v>
      </c>
      <c r="BI162" s="46">
        <v>1944</v>
      </c>
      <c r="BJ162" s="129">
        <v>21</v>
      </c>
      <c r="BK162" s="44">
        <v>51219</v>
      </c>
      <c r="BL162" s="116">
        <v>10945</v>
      </c>
      <c r="BM162" s="47">
        <v>12165</v>
      </c>
      <c r="BN162" s="130">
        <v>73140</v>
      </c>
      <c r="BO162" s="46">
        <v>31326</v>
      </c>
      <c r="BP162" s="46">
        <v>31653</v>
      </c>
      <c r="BQ162" s="46">
        <v>452</v>
      </c>
      <c r="BR162" s="130">
        <v>2298</v>
      </c>
      <c r="BS162" s="44">
        <v>2004</v>
      </c>
      <c r="BT162" s="92">
        <v>-1657</v>
      </c>
      <c r="BU162" s="117">
        <v>396</v>
      </c>
      <c r="BV162" s="130">
        <v>1577</v>
      </c>
      <c r="BW162" s="48">
        <v>31326</v>
      </c>
      <c r="BX162" s="46">
        <v>27591</v>
      </c>
      <c r="BY162" s="130">
        <v>1385</v>
      </c>
      <c r="BZ162" s="46">
        <v>2350</v>
      </c>
      <c r="CA162" s="129">
        <v>21.5</v>
      </c>
      <c r="CB162" s="44">
        <v>50653</v>
      </c>
      <c r="CC162" s="116">
        <v>10876</v>
      </c>
      <c r="CD162" s="47">
        <v>12312</v>
      </c>
      <c r="CE162" s="130">
        <v>74416</v>
      </c>
      <c r="CF162" s="46">
        <v>31953</v>
      </c>
      <c r="CG162" s="46">
        <v>32260</v>
      </c>
      <c r="CH162" s="46">
        <v>795</v>
      </c>
      <c r="CI162" s="130">
        <v>2894</v>
      </c>
      <c r="CJ162" s="44">
        <v>2011</v>
      </c>
      <c r="CK162" s="117">
        <v>-2538</v>
      </c>
      <c r="CL162" s="117">
        <v>1010</v>
      </c>
      <c r="CM162" s="117">
        <v>2588</v>
      </c>
      <c r="CN162" s="48">
        <v>31953</v>
      </c>
      <c r="CO162" s="46">
        <v>28234</v>
      </c>
      <c r="CP162" s="130">
        <v>2412</v>
      </c>
      <c r="CQ162" s="46">
        <v>1307</v>
      </c>
      <c r="CR162" s="129">
        <v>21.5</v>
      </c>
      <c r="CS162" s="44">
        <v>50014</v>
      </c>
      <c r="CT162">
        <v>10889</v>
      </c>
      <c r="CU162">
        <v>30546</v>
      </c>
      <c r="CV162">
        <v>34898</v>
      </c>
      <c r="CW162">
        <v>11164</v>
      </c>
      <c r="CX162">
        <v>1263</v>
      </c>
      <c r="CY162">
        <v>27076</v>
      </c>
      <c r="CZ162">
        <v>1035</v>
      </c>
      <c r="DA162">
        <v>2435</v>
      </c>
      <c r="DB162">
        <v>3421</v>
      </c>
      <c r="DC162">
        <v>-2805</v>
      </c>
      <c r="DD162">
        <v>2034</v>
      </c>
      <c r="DE162">
        <v>50384</v>
      </c>
      <c r="DF162">
        <v>74450</v>
      </c>
      <c r="DG162">
        <v>1072</v>
      </c>
      <c r="DH162">
        <v>3659</v>
      </c>
      <c r="DI162">
        <v>21.5</v>
      </c>
      <c r="DJ162" s="174">
        <v>10815</v>
      </c>
      <c r="DK162" s="34">
        <v>30978</v>
      </c>
      <c r="DL162" s="34">
        <v>37123</v>
      </c>
      <c r="DM162">
        <v>10605</v>
      </c>
      <c r="DN162" s="173">
        <v>774</v>
      </c>
      <c r="DO162" s="34">
        <v>27412</v>
      </c>
      <c r="DP162" s="173">
        <v>1232</v>
      </c>
      <c r="DQ162" s="34">
        <v>2334</v>
      </c>
      <c r="DR162" s="173">
        <v>4666</v>
      </c>
      <c r="DS162" s="173">
        <v>-4017</v>
      </c>
      <c r="DT162">
        <v>2084</v>
      </c>
      <c r="DU162">
        <v>50004</v>
      </c>
      <c r="DV162" s="173">
        <v>74814</v>
      </c>
      <c r="DW162" s="173">
        <v>2584</v>
      </c>
      <c r="DX162" s="173">
        <v>6243</v>
      </c>
      <c r="DY162" s="57">
        <v>21.5</v>
      </c>
      <c r="DZ162" s="184">
        <v>230</v>
      </c>
      <c r="EA162" s="116">
        <v>10737</v>
      </c>
      <c r="EB162" s="48">
        <v>31179</v>
      </c>
      <c r="EC162" s="46">
        <v>37191</v>
      </c>
      <c r="ED162" s="90">
        <v>9852</v>
      </c>
      <c r="EE162" s="186">
        <v>40</v>
      </c>
      <c r="EF162" s="46">
        <v>27573</v>
      </c>
      <c r="EG162" s="130">
        <v>1130</v>
      </c>
      <c r="EH162" s="46">
        <v>2476</v>
      </c>
      <c r="EI162" s="130">
        <v>1869</v>
      </c>
      <c r="EJ162" s="48">
        <v>-6022</v>
      </c>
      <c r="EK162" s="44">
        <v>2237</v>
      </c>
      <c r="EL162" s="44">
        <v>53172</v>
      </c>
      <c r="EM162" s="130">
        <v>76393</v>
      </c>
      <c r="EN162" s="117">
        <v>384</v>
      </c>
      <c r="EO162" s="117">
        <v>6626</v>
      </c>
      <c r="EP162" s="129">
        <v>21.5</v>
      </c>
    </row>
    <row r="163" spans="1:146" ht="15" x14ac:dyDescent="0.25">
      <c r="A163" s="27">
        <v>536</v>
      </c>
      <c r="B163" s="27" t="s">
        <v>290</v>
      </c>
      <c r="C163" s="27">
        <v>6</v>
      </c>
      <c r="D163" s="27" t="s">
        <v>114</v>
      </c>
      <c r="E163" s="27">
        <v>5</v>
      </c>
      <c r="F163" s="27" t="s">
        <v>101</v>
      </c>
      <c r="G163" s="29" t="s">
        <v>141</v>
      </c>
      <c r="H163" s="27" t="s">
        <v>97</v>
      </c>
      <c r="I163" s="31" t="s">
        <v>114</v>
      </c>
      <c r="J163" s="118">
        <v>1850.7399427824673</v>
      </c>
      <c r="K163" s="118">
        <v>3809.9610981326095</v>
      </c>
      <c r="L163" s="118">
        <v>4417.287700585126</v>
      </c>
      <c r="M163" s="118">
        <v>4312.8429982525277</v>
      </c>
      <c r="N163" s="22">
        <v>8707</v>
      </c>
      <c r="O163" s="119">
        <v>7323</v>
      </c>
      <c r="P163" s="119">
        <v>14870</v>
      </c>
      <c r="Q163" s="120">
        <v>14259</v>
      </c>
      <c r="R163" s="22">
        <v>14984</v>
      </c>
      <c r="S163" s="22">
        <v>14742</v>
      </c>
      <c r="T163" s="121">
        <v>12110</v>
      </c>
      <c r="U163" s="121">
        <v>13633</v>
      </c>
      <c r="V163" s="121">
        <v>20144</v>
      </c>
      <c r="W163" s="106">
        <v>24556</v>
      </c>
      <c r="X163" s="121">
        <v>16782</v>
      </c>
      <c r="Y163" s="121">
        <v>26490</v>
      </c>
      <c r="Z163" s="121">
        <v>19898</v>
      </c>
      <c r="AA163" s="121">
        <v>12729</v>
      </c>
      <c r="AB163" s="122">
        <v>17.5</v>
      </c>
      <c r="AC163" s="123">
        <v>17.5</v>
      </c>
      <c r="AD163" s="124">
        <v>17.5</v>
      </c>
      <c r="AE163" s="125">
        <v>17.5</v>
      </c>
      <c r="AF163" s="126">
        <v>17.5</v>
      </c>
      <c r="AG163" s="123">
        <v>18</v>
      </c>
      <c r="AH163" s="123">
        <v>18</v>
      </c>
      <c r="AI163" s="131">
        <v>18</v>
      </c>
      <c r="AJ163" s="131">
        <v>18</v>
      </c>
      <c r="AK163" s="22">
        <v>18</v>
      </c>
      <c r="AL163" s="128">
        <v>18</v>
      </c>
      <c r="AM163" s="128">
        <v>19</v>
      </c>
      <c r="AN163" s="128">
        <v>19.75</v>
      </c>
      <c r="AO163" s="77">
        <v>19.75</v>
      </c>
      <c r="AP163" s="77">
        <v>19.75</v>
      </c>
      <c r="AQ163" s="129">
        <v>19.75</v>
      </c>
      <c r="AR163" s="129">
        <v>19.75</v>
      </c>
      <c r="AS163" s="129">
        <v>19.75</v>
      </c>
      <c r="AT163" s="116">
        <v>32690</v>
      </c>
      <c r="AU163" s="47">
        <v>36525</v>
      </c>
      <c r="AV163" s="47">
        <v>180253</v>
      </c>
      <c r="AW163" s="46">
        <v>122672</v>
      </c>
      <c r="AX163" s="46">
        <v>39602</v>
      </c>
      <c r="AY163" s="92">
        <v>3529</v>
      </c>
      <c r="AZ163" s="47">
        <v>17721</v>
      </c>
      <c r="BA163" s="44">
        <v>11070</v>
      </c>
      <c r="BB163" s="23">
        <v>-8794</v>
      </c>
      <c r="BC163" s="47">
        <v>9536</v>
      </c>
      <c r="BD163" s="44">
        <v>9708</v>
      </c>
      <c r="BE163" s="47">
        <v>26490</v>
      </c>
      <c r="BF163" s="44">
        <v>122672</v>
      </c>
      <c r="BG163" s="46">
        <v>111837</v>
      </c>
      <c r="BH163" s="130">
        <v>4149</v>
      </c>
      <c r="BI163" s="46">
        <v>6686</v>
      </c>
      <c r="BJ163" s="129">
        <v>19.75</v>
      </c>
      <c r="BK163" s="44">
        <v>50534</v>
      </c>
      <c r="BL163" s="116">
        <v>32847</v>
      </c>
      <c r="BM163" s="47">
        <v>29533</v>
      </c>
      <c r="BN163" s="130">
        <v>183126</v>
      </c>
      <c r="BO163" s="46">
        <v>122940</v>
      </c>
      <c r="BP163" s="46">
        <v>39520</v>
      </c>
      <c r="BQ163" s="46">
        <v>678</v>
      </c>
      <c r="BR163" s="130">
        <v>8512</v>
      </c>
      <c r="BS163" s="44">
        <v>10972</v>
      </c>
      <c r="BT163" s="92">
        <v>928</v>
      </c>
      <c r="BU163" s="117">
        <v>-6592</v>
      </c>
      <c r="BV163" s="130">
        <v>19898</v>
      </c>
      <c r="BW163" s="48">
        <v>122940</v>
      </c>
      <c r="BX163" s="46">
        <v>109710</v>
      </c>
      <c r="BY163" s="130">
        <v>6167</v>
      </c>
      <c r="BZ163" s="46">
        <v>7063</v>
      </c>
      <c r="CA163" s="129">
        <v>19.75</v>
      </c>
      <c r="CB163" s="44">
        <v>45929</v>
      </c>
      <c r="CC163" s="116">
        <v>33162</v>
      </c>
      <c r="CD163" s="47">
        <v>27579</v>
      </c>
      <c r="CE163" s="130">
        <v>184658</v>
      </c>
      <c r="CF163" s="46">
        <v>124582</v>
      </c>
      <c r="CG163" s="46">
        <v>40090</v>
      </c>
      <c r="CH163" s="46">
        <v>1290</v>
      </c>
      <c r="CI163" s="130">
        <v>7989</v>
      </c>
      <c r="CJ163" s="44">
        <v>10603</v>
      </c>
      <c r="CK163" s="117">
        <v>-12622</v>
      </c>
      <c r="CL163" s="117">
        <v>-7747</v>
      </c>
      <c r="CM163" s="117">
        <v>12729</v>
      </c>
      <c r="CN163" s="48">
        <v>124582</v>
      </c>
      <c r="CO163" s="46">
        <v>110914</v>
      </c>
      <c r="CP163" s="130">
        <v>6657</v>
      </c>
      <c r="CQ163" s="46">
        <v>7011</v>
      </c>
      <c r="CR163" s="129">
        <v>19.75</v>
      </c>
      <c r="CS163" s="44">
        <v>66126</v>
      </c>
      <c r="CT163">
        <v>33210</v>
      </c>
      <c r="CU163">
        <v>126598</v>
      </c>
      <c r="CV163">
        <v>40752</v>
      </c>
      <c r="CW163">
        <v>31911</v>
      </c>
      <c r="CX163">
        <v>2895</v>
      </c>
      <c r="CY163">
        <v>114099</v>
      </c>
      <c r="CZ163">
        <v>5575</v>
      </c>
      <c r="DA163">
        <v>6924</v>
      </c>
      <c r="DB163">
        <v>11773</v>
      </c>
      <c r="DC163">
        <v>-9363</v>
      </c>
      <c r="DD163">
        <v>12273</v>
      </c>
      <c r="DE163">
        <v>82221</v>
      </c>
      <c r="DF163">
        <v>187439</v>
      </c>
      <c r="DG163">
        <v>-1300</v>
      </c>
      <c r="DH163">
        <v>11546</v>
      </c>
      <c r="DI163">
        <v>19.75</v>
      </c>
      <c r="DJ163" s="174">
        <v>33322</v>
      </c>
      <c r="DK163" s="34">
        <v>130076</v>
      </c>
      <c r="DL163" s="34">
        <v>38939</v>
      </c>
      <c r="DM163">
        <v>27880</v>
      </c>
      <c r="DN163" s="173">
        <v>1012</v>
      </c>
      <c r="DO163" s="34">
        <v>114222</v>
      </c>
      <c r="DP163" s="173">
        <v>8614</v>
      </c>
      <c r="DQ163" s="34">
        <v>7240</v>
      </c>
      <c r="DR163" s="173">
        <v>9501</v>
      </c>
      <c r="DS163" s="173">
        <v>-11302</v>
      </c>
      <c r="DT163">
        <v>13993</v>
      </c>
      <c r="DU163">
        <v>88396</v>
      </c>
      <c r="DV163" s="173">
        <v>188406</v>
      </c>
      <c r="DW163" s="173">
        <v>-4425</v>
      </c>
      <c r="DX163" s="173">
        <v>7121</v>
      </c>
      <c r="DY163" s="57">
        <v>20</v>
      </c>
      <c r="DZ163" s="184">
        <v>120</v>
      </c>
      <c r="EA163" s="116">
        <v>33527</v>
      </c>
      <c r="EB163" s="48">
        <v>135888</v>
      </c>
      <c r="EC163" s="46">
        <v>39828</v>
      </c>
      <c r="ED163" s="90">
        <v>29309</v>
      </c>
      <c r="EE163" s="186">
        <v>654</v>
      </c>
      <c r="EF163" s="46">
        <v>118109</v>
      </c>
      <c r="EG163" s="130">
        <v>8837</v>
      </c>
      <c r="EH163" s="46">
        <v>8942</v>
      </c>
      <c r="EI163" s="130">
        <v>12318</v>
      </c>
      <c r="EJ163" s="48">
        <v>-6838</v>
      </c>
      <c r="EK163" s="44">
        <v>13881</v>
      </c>
      <c r="EL163" s="44">
        <v>92335</v>
      </c>
      <c r="EM163" s="130">
        <v>193361</v>
      </c>
      <c r="EN163" s="117">
        <v>-1495</v>
      </c>
      <c r="EO163" s="117">
        <v>5626</v>
      </c>
      <c r="EP163" s="129">
        <v>20.5</v>
      </c>
    </row>
    <row r="164" spans="1:146" ht="15" x14ac:dyDescent="0.25">
      <c r="A164" s="27">
        <v>538</v>
      </c>
      <c r="B164" s="27" t="s">
        <v>291</v>
      </c>
      <c r="C164" s="27">
        <v>2</v>
      </c>
      <c r="D164" s="27" t="s">
        <v>122</v>
      </c>
      <c r="E164" s="27">
        <v>2</v>
      </c>
      <c r="F164" s="27" t="s">
        <v>744</v>
      </c>
      <c r="G164" s="29" t="s">
        <v>130</v>
      </c>
      <c r="H164" s="27" t="s">
        <v>98</v>
      </c>
      <c r="I164" s="31" t="s">
        <v>122</v>
      </c>
      <c r="J164" s="118">
        <v>-52.306445129529926</v>
      </c>
      <c r="K164" s="118">
        <v>-114.87235377321203</v>
      </c>
      <c r="L164" s="118">
        <v>-1211.121258449341</v>
      </c>
      <c r="M164" s="118">
        <v>-586.80767542421199</v>
      </c>
      <c r="N164" s="22">
        <v>754</v>
      </c>
      <c r="O164" s="119">
        <v>755</v>
      </c>
      <c r="P164" s="119">
        <v>2061</v>
      </c>
      <c r="Q164" s="120">
        <v>1271</v>
      </c>
      <c r="R164" s="22">
        <v>693</v>
      </c>
      <c r="S164" s="22">
        <v>53</v>
      </c>
      <c r="T164" s="121">
        <v>-152</v>
      </c>
      <c r="U164" s="121">
        <v>404</v>
      </c>
      <c r="V164" s="121">
        <v>1125</v>
      </c>
      <c r="W164" s="106">
        <v>728</v>
      </c>
      <c r="X164" s="121">
        <v>-569</v>
      </c>
      <c r="Y164" s="121">
        <v>-1041</v>
      </c>
      <c r="Z164" s="121">
        <v>-1026</v>
      </c>
      <c r="AA164" s="121">
        <v>-764</v>
      </c>
      <c r="AB164" s="122">
        <v>16.75</v>
      </c>
      <c r="AC164" s="123">
        <v>16.75</v>
      </c>
      <c r="AD164" s="124">
        <v>16.75</v>
      </c>
      <c r="AE164" s="125">
        <v>17.25</v>
      </c>
      <c r="AF164" s="126">
        <v>17.75</v>
      </c>
      <c r="AG164" s="123">
        <v>17.75</v>
      </c>
      <c r="AH164" s="123">
        <v>17.75</v>
      </c>
      <c r="AI164" s="127">
        <v>17.75</v>
      </c>
      <c r="AJ164" s="127">
        <v>17.75</v>
      </c>
      <c r="AK164" s="22">
        <v>17.75</v>
      </c>
      <c r="AL164" s="128">
        <v>18.25</v>
      </c>
      <c r="AM164" s="128">
        <v>18.25</v>
      </c>
      <c r="AN164" s="128">
        <v>19.5</v>
      </c>
      <c r="AO164" s="77">
        <v>19.5</v>
      </c>
      <c r="AP164" s="77">
        <v>20</v>
      </c>
      <c r="AQ164" s="129">
        <v>20</v>
      </c>
      <c r="AR164" s="129">
        <v>20.5</v>
      </c>
      <c r="AS164" s="129">
        <v>21</v>
      </c>
      <c r="AT164" s="116">
        <v>4872</v>
      </c>
      <c r="AU164" s="47">
        <v>3459</v>
      </c>
      <c r="AV164" s="47">
        <v>27757</v>
      </c>
      <c r="AW164" s="46">
        <v>16033</v>
      </c>
      <c r="AX164" s="46">
        <v>9046</v>
      </c>
      <c r="AY164" s="92">
        <v>6</v>
      </c>
      <c r="AZ164" s="47">
        <v>708</v>
      </c>
      <c r="BA164" s="44">
        <v>969</v>
      </c>
      <c r="BB164" s="23">
        <v>-316</v>
      </c>
      <c r="BC164" s="47">
        <v>-441</v>
      </c>
      <c r="BD164" s="44">
        <v>-409</v>
      </c>
      <c r="BE164" s="47">
        <v>-1041</v>
      </c>
      <c r="BF164" s="44">
        <v>16033</v>
      </c>
      <c r="BG164" s="46">
        <v>15013</v>
      </c>
      <c r="BH164" s="130">
        <v>292</v>
      </c>
      <c r="BI164" s="46">
        <v>728</v>
      </c>
      <c r="BJ164" s="129">
        <v>20</v>
      </c>
      <c r="BK164" s="44">
        <v>8760</v>
      </c>
      <c r="BL164" s="116">
        <v>4844</v>
      </c>
      <c r="BM164" s="47">
        <v>3006</v>
      </c>
      <c r="BN164" s="130">
        <v>26882</v>
      </c>
      <c r="BO164" s="46">
        <v>16374</v>
      </c>
      <c r="BP164" s="46">
        <v>8556</v>
      </c>
      <c r="BQ164" s="46">
        <v>0</v>
      </c>
      <c r="BR164" s="130">
        <v>971</v>
      </c>
      <c r="BS164" s="44">
        <v>988</v>
      </c>
      <c r="BT164" s="92">
        <v>-702</v>
      </c>
      <c r="BU164" s="117">
        <v>15</v>
      </c>
      <c r="BV164" s="130">
        <v>-1026</v>
      </c>
      <c r="BW164" s="48">
        <v>16374</v>
      </c>
      <c r="BX164" s="46">
        <v>15297</v>
      </c>
      <c r="BY164" s="130">
        <v>288</v>
      </c>
      <c r="BZ164" s="46">
        <v>789</v>
      </c>
      <c r="CA164" s="129">
        <v>20.5</v>
      </c>
      <c r="CB164" s="44">
        <v>8968</v>
      </c>
      <c r="CC164" s="116">
        <v>4859</v>
      </c>
      <c r="CD164" s="47">
        <v>3287</v>
      </c>
      <c r="CE164" s="130">
        <v>28051</v>
      </c>
      <c r="CF164" s="46">
        <v>17122</v>
      </c>
      <c r="CG164" s="46">
        <v>8117</v>
      </c>
      <c r="CH164" s="46">
        <v>615</v>
      </c>
      <c r="CI164" s="130">
        <v>397</v>
      </c>
      <c r="CJ164" s="44">
        <v>899</v>
      </c>
      <c r="CK164" s="117">
        <v>-1212</v>
      </c>
      <c r="CL164" s="117">
        <v>146</v>
      </c>
      <c r="CM164" s="117">
        <v>-764</v>
      </c>
      <c r="CN164" s="48">
        <v>17122</v>
      </c>
      <c r="CO164" s="46">
        <v>15947</v>
      </c>
      <c r="CP164" s="130">
        <v>317</v>
      </c>
      <c r="CQ164" s="46">
        <v>858</v>
      </c>
      <c r="CR164" s="129">
        <v>21</v>
      </c>
      <c r="CS164" s="44">
        <v>9722</v>
      </c>
      <c r="CT164">
        <v>4815</v>
      </c>
      <c r="CU164">
        <v>17484</v>
      </c>
      <c r="CV164">
        <v>8727</v>
      </c>
      <c r="CW164">
        <v>3201</v>
      </c>
      <c r="CX164">
        <v>2276</v>
      </c>
      <c r="CY164">
        <v>16254</v>
      </c>
      <c r="CZ164">
        <v>877</v>
      </c>
      <c r="DA164">
        <v>353</v>
      </c>
      <c r="DB164">
        <v>274</v>
      </c>
      <c r="DC164">
        <v>2178</v>
      </c>
      <c r="DD164">
        <v>788</v>
      </c>
      <c r="DE164">
        <v>8842</v>
      </c>
      <c r="DF164">
        <v>29072</v>
      </c>
      <c r="DG164">
        <v>1762</v>
      </c>
      <c r="DH164">
        <v>998</v>
      </c>
      <c r="DI164">
        <v>21</v>
      </c>
      <c r="DJ164" s="174">
        <v>4813</v>
      </c>
      <c r="DK164" s="34">
        <v>17412</v>
      </c>
      <c r="DL164" s="34">
        <v>8892</v>
      </c>
      <c r="DM164">
        <v>2538</v>
      </c>
      <c r="DN164" s="173">
        <v>978</v>
      </c>
      <c r="DO164" s="34">
        <v>16097</v>
      </c>
      <c r="DP164" s="173">
        <v>462</v>
      </c>
      <c r="DQ164" s="34">
        <v>853</v>
      </c>
      <c r="DR164" s="173">
        <v>1023</v>
      </c>
      <c r="DS164" s="173">
        <v>-472</v>
      </c>
      <c r="DT164">
        <v>878</v>
      </c>
      <c r="DU164">
        <v>8933</v>
      </c>
      <c r="DV164" s="173">
        <v>27716</v>
      </c>
      <c r="DW164" s="173">
        <v>1262</v>
      </c>
      <c r="DX164" s="173">
        <v>2255</v>
      </c>
      <c r="DY164" s="57">
        <v>21</v>
      </c>
      <c r="DZ164" s="184">
        <v>330</v>
      </c>
      <c r="EA164" s="116">
        <v>4733</v>
      </c>
      <c r="EB164" s="48">
        <v>17786</v>
      </c>
      <c r="EC164" s="46">
        <v>8704</v>
      </c>
      <c r="ED164" s="90">
        <v>2182</v>
      </c>
      <c r="EE164" s="186">
        <v>-92</v>
      </c>
      <c r="EF164" s="46">
        <v>16500</v>
      </c>
      <c r="EG164" s="130">
        <v>428</v>
      </c>
      <c r="EH164" s="46">
        <v>858</v>
      </c>
      <c r="EI164" s="130">
        <v>715</v>
      </c>
      <c r="EJ164" s="48">
        <v>-1139</v>
      </c>
      <c r="EK164" s="44">
        <v>1610</v>
      </c>
      <c r="EL164" s="44">
        <v>8980</v>
      </c>
      <c r="EM164" s="130">
        <v>27865</v>
      </c>
      <c r="EN164" s="117">
        <v>-702</v>
      </c>
      <c r="EO164" s="117">
        <v>1554</v>
      </c>
      <c r="EP164" s="129">
        <v>21.5</v>
      </c>
    </row>
    <row r="165" spans="1:146" ht="15" x14ac:dyDescent="0.25">
      <c r="A165" s="27">
        <v>541</v>
      </c>
      <c r="B165" s="27" t="s">
        <v>292</v>
      </c>
      <c r="C165" s="27">
        <v>12</v>
      </c>
      <c r="D165" s="27" t="s">
        <v>116</v>
      </c>
      <c r="E165" s="27">
        <v>3</v>
      </c>
      <c r="F165" s="27" t="s">
        <v>743</v>
      </c>
      <c r="G165" s="29" t="s">
        <v>132</v>
      </c>
      <c r="H165" s="27" t="s">
        <v>99</v>
      </c>
      <c r="I165" s="31" t="s">
        <v>116</v>
      </c>
      <c r="J165" s="118">
        <v>2233.3674754824051</v>
      </c>
      <c r="K165" s="118">
        <v>1986.1312235839837</v>
      </c>
      <c r="L165" s="118">
        <v>1123.6635366893552</v>
      </c>
      <c r="M165" s="118">
        <v>2725.1489724558633</v>
      </c>
      <c r="N165" s="22">
        <v>2873</v>
      </c>
      <c r="O165" s="119">
        <v>3172</v>
      </c>
      <c r="P165" s="119">
        <v>2442</v>
      </c>
      <c r="Q165" s="120">
        <v>2568</v>
      </c>
      <c r="R165" s="22">
        <v>2149</v>
      </c>
      <c r="S165" s="22">
        <v>2061</v>
      </c>
      <c r="T165" s="121">
        <v>2026</v>
      </c>
      <c r="U165" s="121">
        <v>2569</v>
      </c>
      <c r="V165" s="121">
        <v>4974</v>
      </c>
      <c r="W165" s="106">
        <v>6557</v>
      </c>
      <c r="X165" s="121">
        <v>6227</v>
      </c>
      <c r="Y165" s="121">
        <v>5679</v>
      </c>
      <c r="Z165" s="121">
        <v>6119</v>
      </c>
      <c r="AA165" s="121">
        <v>6516</v>
      </c>
      <c r="AB165" s="122">
        <v>18.5</v>
      </c>
      <c r="AC165" s="123">
        <v>18.75</v>
      </c>
      <c r="AD165" s="124">
        <v>18.75</v>
      </c>
      <c r="AE165" s="125">
        <v>18.75</v>
      </c>
      <c r="AF165" s="126">
        <v>18.75</v>
      </c>
      <c r="AG165" s="123">
        <v>18.75</v>
      </c>
      <c r="AH165" s="123">
        <v>18.75</v>
      </c>
      <c r="AI165" s="127">
        <v>19.5</v>
      </c>
      <c r="AJ165" s="127">
        <v>19.5</v>
      </c>
      <c r="AK165" s="22">
        <v>19.5</v>
      </c>
      <c r="AL165" s="128">
        <v>19.5</v>
      </c>
      <c r="AM165" s="128">
        <v>19.5</v>
      </c>
      <c r="AN165" s="128">
        <v>19.5</v>
      </c>
      <c r="AO165" s="77">
        <v>20</v>
      </c>
      <c r="AP165" s="77">
        <v>20</v>
      </c>
      <c r="AQ165" s="129">
        <v>20</v>
      </c>
      <c r="AR165" s="129">
        <v>20.5</v>
      </c>
      <c r="AS165" s="129">
        <v>20.5</v>
      </c>
      <c r="AT165" s="116">
        <v>8191</v>
      </c>
      <c r="AU165" s="47">
        <v>7933</v>
      </c>
      <c r="AV165" s="47">
        <v>55442</v>
      </c>
      <c r="AW165" s="46">
        <v>23287</v>
      </c>
      <c r="AX165" s="46">
        <v>26385</v>
      </c>
      <c r="AY165" s="92">
        <v>304</v>
      </c>
      <c r="AZ165" s="47">
        <v>2291</v>
      </c>
      <c r="BA165" s="44">
        <v>3244</v>
      </c>
      <c r="BB165" s="23">
        <v>-7568</v>
      </c>
      <c r="BC165" s="47">
        <v>-953</v>
      </c>
      <c r="BD165" s="44">
        <v>-547</v>
      </c>
      <c r="BE165" s="47">
        <v>5679</v>
      </c>
      <c r="BF165" s="44">
        <v>23287</v>
      </c>
      <c r="BG165" s="46">
        <v>20115</v>
      </c>
      <c r="BH165" s="130">
        <v>1695</v>
      </c>
      <c r="BI165" s="46">
        <v>1477</v>
      </c>
      <c r="BJ165" s="129">
        <v>20</v>
      </c>
      <c r="BK165" s="44">
        <v>12040</v>
      </c>
      <c r="BL165" s="116">
        <v>8082</v>
      </c>
      <c r="BM165" s="47">
        <v>8101</v>
      </c>
      <c r="BN165" s="130">
        <v>55773</v>
      </c>
      <c r="BO165" s="46">
        <v>24094</v>
      </c>
      <c r="BP165" s="46">
        <v>26821</v>
      </c>
      <c r="BQ165" s="46">
        <v>313</v>
      </c>
      <c r="BR165" s="130">
        <v>3407</v>
      </c>
      <c r="BS165" s="44">
        <v>3339</v>
      </c>
      <c r="BT165" s="92">
        <v>-4643</v>
      </c>
      <c r="BU165" s="117">
        <v>440</v>
      </c>
      <c r="BV165" s="130">
        <v>6119</v>
      </c>
      <c r="BW165" s="48">
        <v>24094</v>
      </c>
      <c r="BX165" s="46">
        <v>20515</v>
      </c>
      <c r="BY165" s="130">
        <v>1920</v>
      </c>
      <c r="BZ165" s="46">
        <v>1659</v>
      </c>
      <c r="CA165" s="129">
        <v>20.5</v>
      </c>
      <c r="CB165" s="44">
        <v>13028</v>
      </c>
      <c r="CC165" s="116">
        <v>7996</v>
      </c>
      <c r="CD165" s="47">
        <v>8289</v>
      </c>
      <c r="CE165" s="130">
        <v>56056</v>
      </c>
      <c r="CF165" s="46">
        <v>25272</v>
      </c>
      <c r="CG165" s="46">
        <v>27061</v>
      </c>
      <c r="CH165" s="46">
        <v>196</v>
      </c>
      <c r="CI165" s="130">
        <v>4336</v>
      </c>
      <c r="CJ165" s="44">
        <v>3876</v>
      </c>
      <c r="CK165" s="117">
        <v>-3992</v>
      </c>
      <c r="CL165" s="117">
        <v>396</v>
      </c>
      <c r="CM165" s="117">
        <v>6516</v>
      </c>
      <c r="CN165" s="48">
        <v>25272</v>
      </c>
      <c r="CO165" s="46">
        <v>21347</v>
      </c>
      <c r="CP165" s="130">
        <v>2246</v>
      </c>
      <c r="CQ165" s="46">
        <v>1679</v>
      </c>
      <c r="CR165" s="129">
        <v>20.5</v>
      </c>
      <c r="CS165" s="44">
        <v>13263</v>
      </c>
      <c r="CT165">
        <v>7885</v>
      </c>
      <c r="CU165">
        <v>24215</v>
      </c>
      <c r="CV165">
        <v>28783</v>
      </c>
      <c r="CW165">
        <v>6434</v>
      </c>
      <c r="CX165">
        <v>303</v>
      </c>
      <c r="CY165">
        <v>20182</v>
      </c>
      <c r="CZ165">
        <v>2304</v>
      </c>
      <c r="DA165">
        <v>1729</v>
      </c>
      <c r="DB165">
        <v>4459</v>
      </c>
      <c r="DC165">
        <v>-1987</v>
      </c>
      <c r="DD165">
        <v>3927</v>
      </c>
      <c r="DE165">
        <v>11366</v>
      </c>
      <c r="DF165">
        <v>55197</v>
      </c>
      <c r="DG165">
        <v>518</v>
      </c>
      <c r="DH165">
        <v>7033</v>
      </c>
      <c r="DI165">
        <v>20.5</v>
      </c>
      <c r="DJ165" s="174">
        <v>7765</v>
      </c>
      <c r="DK165" s="34">
        <v>24236</v>
      </c>
      <c r="DL165" s="34">
        <v>30039</v>
      </c>
      <c r="DM165">
        <v>7428</v>
      </c>
      <c r="DN165" s="173">
        <v>603</v>
      </c>
      <c r="DO165" s="34">
        <v>19703</v>
      </c>
      <c r="DP165" s="173">
        <v>2881</v>
      </c>
      <c r="DQ165" s="34">
        <v>1652</v>
      </c>
      <c r="DR165" s="173">
        <v>7169</v>
      </c>
      <c r="DS165" s="173">
        <v>-4770</v>
      </c>
      <c r="DT165">
        <v>3635</v>
      </c>
      <c r="DU165">
        <v>9455</v>
      </c>
      <c r="DV165" s="173">
        <v>54767</v>
      </c>
      <c r="DW165" s="173">
        <v>1273</v>
      </c>
      <c r="DX165" s="173">
        <v>8307</v>
      </c>
      <c r="DY165" s="57">
        <v>20.5</v>
      </c>
      <c r="DZ165" s="184">
        <v>240</v>
      </c>
      <c r="EA165" s="116">
        <v>7641</v>
      </c>
      <c r="EB165" s="48">
        <v>23619</v>
      </c>
      <c r="EC165" s="46">
        <v>29748</v>
      </c>
      <c r="ED165" s="90">
        <v>7088</v>
      </c>
      <c r="EE165" s="186">
        <v>288</v>
      </c>
      <c r="EF165" s="46">
        <v>19247</v>
      </c>
      <c r="EG165" s="130">
        <v>2691</v>
      </c>
      <c r="EH165" s="46">
        <v>1681</v>
      </c>
      <c r="EI165" s="130">
        <v>5560</v>
      </c>
      <c r="EJ165" s="48">
        <v>-6591</v>
      </c>
      <c r="EK165" s="44">
        <v>3651</v>
      </c>
      <c r="EL165" s="44">
        <v>9560</v>
      </c>
      <c r="EM165" s="130">
        <v>55183</v>
      </c>
      <c r="EN165" s="117">
        <v>1612</v>
      </c>
      <c r="EO165" s="117">
        <v>9919</v>
      </c>
      <c r="EP165" s="129">
        <v>20.5</v>
      </c>
    </row>
    <row r="166" spans="1:146" ht="15" x14ac:dyDescent="0.25">
      <c r="A166" s="27">
        <v>543</v>
      </c>
      <c r="B166" s="27" t="s">
        <v>293</v>
      </c>
      <c r="C166" s="27">
        <v>1</v>
      </c>
      <c r="D166" s="27" t="s">
        <v>121</v>
      </c>
      <c r="E166" s="27">
        <v>6</v>
      </c>
      <c r="F166" s="27" t="s">
        <v>102</v>
      </c>
      <c r="G166" s="29" t="s">
        <v>141</v>
      </c>
      <c r="H166" s="27" t="s">
        <v>97</v>
      </c>
      <c r="I166" s="31" t="s">
        <v>121</v>
      </c>
      <c r="J166" s="118">
        <v>-5231.8218284382237</v>
      </c>
      <c r="K166" s="118">
        <v>-6792.7739739275075</v>
      </c>
      <c r="L166" s="118">
        <v>-3784.5647212369213</v>
      </c>
      <c r="M166" s="118">
        <v>6418.8922134035683</v>
      </c>
      <c r="N166" s="22">
        <v>14619</v>
      </c>
      <c r="O166" s="119">
        <v>16560</v>
      </c>
      <c r="P166" s="119">
        <v>16610</v>
      </c>
      <c r="Q166" s="120">
        <v>12256</v>
      </c>
      <c r="R166" s="22">
        <v>18976</v>
      </c>
      <c r="S166" s="22">
        <v>25223</v>
      </c>
      <c r="T166" s="121">
        <v>40267</v>
      </c>
      <c r="U166" s="121">
        <v>40322</v>
      </c>
      <c r="V166" s="121">
        <v>47631</v>
      </c>
      <c r="W166" s="106">
        <v>54597</v>
      </c>
      <c r="X166" s="121">
        <v>56421</v>
      </c>
      <c r="Y166" s="121">
        <v>56648</v>
      </c>
      <c r="Z166" s="121">
        <v>54672</v>
      </c>
      <c r="AA166" s="121">
        <v>54361</v>
      </c>
      <c r="AB166" s="122">
        <v>17.75</v>
      </c>
      <c r="AC166" s="123">
        <v>17.75</v>
      </c>
      <c r="AD166" s="124">
        <v>17.75</v>
      </c>
      <c r="AE166" s="125">
        <v>17.75</v>
      </c>
      <c r="AF166" s="126">
        <v>18.25</v>
      </c>
      <c r="AG166" s="123">
        <v>18.25</v>
      </c>
      <c r="AH166" s="123">
        <v>18.25</v>
      </c>
      <c r="AI166" s="127">
        <v>18.25</v>
      </c>
      <c r="AJ166" s="127">
        <v>18.75</v>
      </c>
      <c r="AK166" s="22">
        <v>18.75</v>
      </c>
      <c r="AL166" s="128">
        <v>18.75</v>
      </c>
      <c r="AM166" s="128">
        <v>18.75</v>
      </c>
      <c r="AN166" s="128">
        <v>18.75</v>
      </c>
      <c r="AO166" s="77">
        <v>19</v>
      </c>
      <c r="AP166" s="77">
        <v>19</v>
      </c>
      <c r="AQ166" s="129">
        <v>19</v>
      </c>
      <c r="AR166" s="129">
        <v>19.5</v>
      </c>
      <c r="AS166" s="129">
        <v>19.5</v>
      </c>
      <c r="AT166" s="116">
        <v>41178</v>
      </c>
      <c r="AU166" s="47">
        <v>34610</v>
      </c>
      <c r="AV166" s="47">
        <v>218371</v>
      </c>
      <c r="AW166" s="46">
        <v>167982</v>
      </c>
      <c r="AX166" s="46">
        <v>28206</v>
      </c>
      <c r="AY166" s="92">
        <v>2095</v>
      </c>
      <c r="AZ166" s="47">
        <v>13706</v>
      </c>
      <c r="BA166" s="44">
        <v>13491</v>
      </c>
      <c r="BB166" s="23">
        <v>-28500</v>
      </c>
      <c r="BC166" s="47">
        <v>215</v>
      </c>
      <c r="BD166" s="44">
        <v>227</v>
      </c>
      <c r="BE166" s="47">
        <v>56648</v>
      </c>
      <c r="BF166" s="44">
        <v>167982</v>
      </c>
      <c r="BG166" s="46">
        <v>155554</v>
      </c>
      <c r="BH166" s="130">
        <v>5347</v>
      </c>
      <c r="BI166" s="46">
        <v>7081</v>
      </c>
      <c r="BJ166" s="129">
        <v>19</v>
      </c>
      <c r="BK166" s="44">
        <v>95755</v>
      </c>
      <c r="BL166" s="116">
        <v>41577</v>
      </c>
      <c r="BM166" s="47">
        <v>35330</v>
      </c>
      <c r="BN166" s="130">
        <v>224267</v>
      </c>
      <c r="BO166" s="46">
        <v>173204</v>
      </c>
      <c r="BP166" s="46">
        <v>26012</v>
      </c>
      <c r="BQ166" s="46">
        <v>2096</v>
      </c>
      <c r="BR166" s="130">
        <v>11486</v>
      </c>
      <c r="BS166" s="44">
        <v>13473</v>
      </c>
      <c r="BT166" s="92">
        <v>-21741</v>
      </c>
      <c r="BU166" s="117">
        <v>-1975</v>
      </c>
      <c r="BV166" s="130">
        <v>54672</v>
      </c>
      <c r="BW166" s="48">
        <v>173204</v>
      </c>
      <c r="BX166" s="46">
        <v>159144</v>
      </c>
      <c r="BY166" s="130">
        <v>6517</v>
      </c>
      <c r="BZ166" s="46">
        <v>7543</v>
      </c>
      <c r="CA166" s="129">
        <v>19.5</v>
      </c>
      <c r="CB166" s="44">
        <v>103612</v>
      </c>
      <c r="CC166" s="116">
        <v>41897</v>
      </c>
      <c r="CD166" s="47">
        <v>39616</v>
      </c>
      <c r="CE166" s="130">
        <v>230828</v>
      </c>
      <c r="CF166" s="46">
        <v>177418</v>
      </c>
      <c r="CG166" s="46">
        <v>25775</v>
      </c>
      <c r="CH166" s="46">
        <v>4657</v>
      </c>
      <c r="CI166" s="130">
        <v>13747</v>
      </c>
      <c r="CJ166" s="44">
        <v>14019</v>
      </c>
      <c r="CK166" s="117">
        <v>-19313</v>
      </c>
      <c r="CL166" s="117">
        <v>-260</v>
      </c>
      <c r="CM166" s="117">
        <v>54361</v>
      </c>
      <c r="CN166" s="48">
        <v>177418</v>
      </c>
      <c r="CO166" s="46">
        <v>162221</v>
      </c>
      <c r="CP166" s="130">
        <v>7060</v>
      </c>
      <c r="CQ166" s="46">
        <v>8137</v>
      </c>
      <c r="CR166" s="129">
        <v>19.5</v>
      </c>
      <c r="CS166" s="44">
        <v>111565</v>
      </c>
      <c r="CT166">
        <v>42010</v>
      </c>
      <c r="CU166">
        <v>181538</v>
      </c>
      <c r="CV166">
        <v>30273</v>
      </c>
      <c r="CW166">
        <v>39139</v>
      </c>
      <c r="CX166">
        <v>2088</v>
      </c>
      <c r="CY166">
        <v>167223</v>
      </c>
      <c r="CZ166">
        <v>6303</v>
      </c>
      <c r="DA166">
        <v>8012</v>
      </c>
      <c r="DB166">
        <v>20682</v>
      </c>
      <c r="DC166">
        <v>-30160</v>
      </c>
      <c r="DD166">
        <v>14575</v>
      </c>
      <c r="DE166">
        <v>132362</v>
      </c>
      <c r="DF166">
        <v>231229</v>
      </c>
      <c r="DG166">
        <v>6119</v>
      </c>
      <c r="DH166">
        <v>60480</v>
      </c>
      <c r="DI166">
        <v>19.5</v>
      </c>
      <c r="DJ166" s="174">
        <v>42159</v>
      </c>
      <c r="DK166" s="34">
        <v>182607</v>
      </c>
      <c r="DL166" s="34">
        <v>29937</v>
      </c>
      <c r="DM166">
        <v>41009</v>
      </c>
      <c r="DN166" s="173">
        <v>757</v>
      </c>
      <c r="DO166" s="34">
        <v>165825</v>
      </c>
      <c r="DP166" s="173">
        <v>7810</v>
      </c>
      <c r="DQ166" s="34">
        <v>8972</v>
      </c>
      <c r="DR166" s="173">
        <v>20512</v>
      </c>
      <c r="DS166" s="173">
        <v>-32109</v>
      </c>
      <c r="DT166">
        <v>15168</v>
      </c>
      <c r="DU166">
        <v>153813</v>
      </c>
      <c r="DV166" s="173">
        <v>233798</v>
      </c>
      <c r="DW166" s="173">
        <v>5356</v>
      </c>
      <c r="DX166" s="173">
        <v>65836</v>
      </c>
      <c r="DY166" s="57">
        <v>19.5</v>
      </c>
      <c r="DZ166" s="184">
        <v>120</v>
      </c>
      <c r="EA166" s="116">
        <v>42665</v>
      </c>
      <c r="EB166" s="48">
        <v>183173</v>
      </c>
      <c r="EC166" s="46">
        <v>30117</v>
      </c>
      <c r="ED166" s="90">
        <v>103905</v>
      </c>
      <c r="EE166" s="186">
        <v>900</v>
      </c>
      <c r="EF166" s="46">
        <v>166166</v>
      </c>
      <c r="EG166" s="130">
        <v>7631</v>
      </c>
      <c r="EH166" s="46">
        <v>9376</v>
      </c>
      <c r="EI166" s="130">
        <v>6748</v>
      </c>
      <c r="EJ166" s="48">
        <v>-26417</v>
      </c>
      <c r="EK166" s="44">
        <v>18854</v>
      </c>
      <c r="EL166" s="44">
        <v>169248</v>
      </c>
      <c r="EM166" s="130">
        <v>311347</v>
      </c>
      <c r="EN166" s="117">
        <v>-12094</v>
      </c>
      <c r="EO166" s="117">
        <v>53564</v>
      </c>
      <c r="EP166" s="129">
        <v>19.5</v>
      </c>
    </row>
    <row r="167" spans="1:146" ht="15" x14ac:dyDescent="0.25">
      <c r="A167" s="27">
        <v>545</v>
      </c>
      <c r="B167" s="27" t="s">
        <v>294</v>
      </c>
      <c r="C167" s="27">
        <v>15</v>
      </c>
      <c r="D167" s="27" t="s">
        <v>115</v>
      </c>
      <c r="E167" s="27">
        <v>3</v>
      </c>
      <c r="F167" s="27" t="s">
        <v>743</v>
      </c>
      <c r="G167" s="29">
        <v>3</v>
      </c>
      <c r="H167" s="27" t="s">
        <v>98</v>
      </c>
      <c r="I167" s="31" t="s">
        <v>115</v>
      </c>
      <c r="J167" s="118">
        <v>428.5428366239301</v>
      </c>
      <c r="K167" s="118">
        <v>1402.5191187625405</v>
      </c>
      <c r="L167" s="118">
        <v>-2227.144522203329</v>
      </c>
      <c r="M167" s="118">
        <v>-1027.6282306798323</v>
      </c>
      <c r="N167" s="22">
        <v>-559</v>
      </c>
      <c r="O167" s="119">
        <v>975</v>
      </c>
      <c r="P167" s="119">
        <v>466</v>
      </c>
      <c r="Q167" s="120">
        <v>-29</v>
      </c>
      <c r="R167" s="22">
        <v>21</v>
      </c>
      <c r="S167" s="22">
        <v>603</v>
      </c>
      <c r="T167" s="121">
        <v>490</v>
      </c>
      <c r="U167" s="121">
        <v>2735</v>
      </c>
      <c r="V167" s="121">
        <v>2950</v>
      </c>
      <c r="W167" s="106">
        <v>3384</v>
      </c>
      <c r="X167" s="121">
        <v>2592</v>
      </c>
      <c r="Y167" s="121">
        <v>2657</v>
      </c>
      <c r="Z167" s="121">
        <v>2887</v>
      </c>
      <c r="AA167" s="121">
        <v>3103</v>
      </c>
      <c r="AB167" s="122">
        <v>18</v>
      </c>
      <c r="AC167" s="123">
        <v>19</v>
      </c>
      <c r="AD167" s="124">
        <v>19</v>
      </c>
      <c r="AE167" s="125">
        <v>19</v>
      </c>
      <c r="AF167" s="126">
        <v>19</v>
      </c>
      <c r="AG167" s="123">
        <v>19</v>
      </c>
      <c r="AH167" s="123">
        <v>19</v>
      </c>
      <c r="AI167" s="131">
        <v>19</v>
      </c>
      <c r="AJ167" s="131">
        <v>19.5</v>
      </c>
      <c r="AK167" s="22">
        <v>19.5</v>
      </c>
      <c r="AL167" s="128">
        <v>19.5</v>
      </c>
      <c r="AM167" s="128">
        <v>19.5</v>
      </c>
      <c r="AN167" s="128">
        <v>20</v>
      </c>
      <c r="AO167" s="77">
        <v>20</v>
      </c>
      <c r="AP167" s="77">
        <v>20</v>
      </c>
      <c r="AQ167" s="129">
        <v>20.5</v>
      </c>
      <c r="AR167" s="129">
        <v>20.5</v>
      </c>
      <c r="AS167" s="129">
        <v>21</v>
      </c>
      <c r="AT167" s="116">
        <v>9335</v>
      </c>
      <c r="AU167" s="47">
        <v>9129</v>
      </c>
      <c r="AV167" s="47">
        <v>61087</v>
      </c>
      <c r="AW167" s="46">
        <v>29636</v>
      </c>
      <c r="AX167" s="46">
        <v>24166</v>
      </c>
      <c r="AY167" s="92">
        <v>758</v>
      </c>
      <c r="AZ167" s="47">
        <v>2395</v>
      </c>
      <c r="BA167" s="44">
        <v>2453</v>
      </c>
      <c r="BB167" s="23">
        <v>-1770</v>
      </c>
      <c r="BC167" s="47">
        <v>-58</v>
      </c>
      <c r="BD167" s="44">
        <v>65</v>
      </c>
      <c r="BE167" s="47">
        <v>2657</v>
      </c>
      <c r="BF167" s="44">
        <v>29636</v>
      </c>
      <c r="BG167" s="46">
        <v>26024</v>
      </c>
      <c r="BH167" s="130">
        <v>1820</v>
      </c>
      <c r="BI167" s="46">
        <v>1792</v>
      </c>
      <c r="BJ167" s="129">
        <v>20.5</v>
      </c>
      <c r="BK167" s="44">
        <v>17169</v>
      </c>
      <c r="BL167" s="116">
        <v>9389</v>
      </c>
      <c r="BM167" s="47">
        <v>8975</v>
      </c>
      <c r="BN167" s="130">
        <v>60727</v>
      </c>
      <c r="BO167" s="46">
        <v>29949</v>
      </c>
      <c r="BP167" s="46">
        <v>24117</v>
      </c>
      <c r="BQ167" s="46">
        <v>691</v>
      </c>
      <c r="BR167" s="130">
        <v>2743</v>
      </c>
      <c r="BS167" s="44">
        <v>2672</v>
      </c>
      <c r="BT167" s="92">
        <v>-4702</v>
      </c>
      <c r="BU167" s="117">
        <v>230</v>
      </c>
      <c r="BV167" s="130">
        <v>2887</v>
      </c>
      <c r="BW167" s="48">
        <v>29949</v>
      </c>
      <c r="BX167" s="46">
        <v>26034</v>
      </c>
      <c r="BY167" s="130">
        <v>1989</v>
      </c>
      <c r="BZ167" s="46">
        <v>1926</v>
      </c>
      <c r="CA167" s="129">
        <v>20.5</v>
      </c>
      <c r="CB167" s="44">
        <v>19206</v>
      </c>
      <c r="CC167" s="116">
        <v>9387</v>
      </c>
      <c r="CD167" s="47">
        <v>9315</v>
      </c>
      <c r="CE167" s="130">
        <v>61443</v>
      </c>
      <c r="CF167" s="46">
        <v>30924</v>
      </c>
      <c r="CG167" s="46">
        <v>23540</v>
      </c>
      <c r="CH167" s="46">
        <v>590</v>
      </c>
      <c r="CI167" s="130">
        <v>2631</v>
      </c>
      <c r="CJ167" s="44">
        <v>2573</v>
      </c>
      <c r="CK167" s="117">
        <v>-3911</v>
      </c>
      <c r="CL167" s="117">
        <v>216</v>
      </c>
      <c r="CM167" s="117">
        <v>3103</v>
      </c>
      <c r="CN167" s="48">
        <v>30924</v>
      </c>
      <c r="CO167" s="46">
        <v>26239</v>
      </c>
      <c r="CP167" s="130">
        <v>2337</v>
      </c>
      <c r="CQ167" s="46">
        <v>2348</v>
      </c>
      <c r="CR167" s="129">
        <v>21</v>
      </c>
      <c r="CS167" s="44">
        <v>20026</v>
      </c>
      <c r="CT167">
        <v>9439</v>
      </c>
      <c r="CU167">
        <v>30875</v>
      </c>
      <c r="CV167">
        <v>27754</v>
      </c>
      <c r="CW167">
        <v>9691</v>
      </c>
      <c r="CX167">
        <v>703</v>
      </c>
      <c r="CY167">
        <v>25990</v>
      </c>
      <c r="CZ167">
        <v>2188</v>
      </c>
      <c r="DA167">
        <v>2697</v>
      </c>
      <c r="DB167">
        <v>6776</v>
      </c>
      <c r="DC167">
        <v>-5046</v>
      </c>
      <c r="DD167">
        <v>2688</v>
      </c>
      <c r="DE167">
        <v>19654</v>
      </c>
      <c r="DF167">
        <v>62096</v>
      </c>
      <c r="DG167">
        <v>1251</v>
      </c>
      <c r="DH167">
        <v>4355</v>
      </c>
      <c r="DI167">
        <v>21</v>
      </c>
      <c r="DJ167" s="174">
        <v>9507</v>
      </c>
      <c r="DK167" s="34">
        <v>31819</v>
      </c>
      <c r="DL167" s="34">
        <v>28279</v>
      </c>
      <c r="DM167">
        <v>9328</v>
      </c>
      <c r="DN167" s="173">
        <v>649</v>
      </c>
      <c r="DO167" s="34">
        <v>26290</v>
      </c>
      <c r="DP167" s="173">
        <v>2619</v>
      </c>
      <c r="DQ167" s="34">
        <v>2910</v>
      </c>
      <c r="DR167" s="173">
        <v>8622</v>
      </c>
      <c r="DS167" s="173">
        <v>-6619</v>
      </c>
      <c r="DT167">
        <v>2974</v>
      </c>
      <c r="DU167">
        <v>19631</v>
      </c>
      <c r="DV167" s="173">
        <v>61453</v>
      </c>
      <c r="DW167" s="173">
        <v>1809</v>
      </c>
      <c r="DX167" s="173">
        <v>6163</v>
      </c>
      <c r="DY167" s="57">
        <v>21</v>
      </c>
      <c r="DZ167" s="184">
        <v>320</v>
      </c>
      <c r="EA167" s="116">
        <v>9471</v>
      </c>
      <c r="EB167" s="48">
        <v>30586</v>
      </c>
      <c r="EC167" s="46">
        <v>29249</v>
      </c>
      <c r="ED167" s="90">
        <v>8918</v>
      </c>
      <c r="EE167" s="186">
        <v>437</v>
      </c>
      <c r="EF167" s="46">
        <v>24902</v>
      </c>
      <c r="EG167" s="130">
        <v>2682</v>
      </c>
      <c r="EH167" s="46">
        <v>3002</v>
      </c>
      <c r="EI167" s="130">
        <v>4702</v>
      </c>
      <c r="EJ167" s="48">
        <v>-10609</v>
      </c>
      <c r="EK167" s="44">
        <v>2978</v>
      </c>
      <c r="EL167" s="44">
        <v>24910</v>
      </c>
      <c r="EM167" s="130">
        <v>64488</v>
      </c>
      <c r="EN167" s="117">
        <v>1887</v>
      </c>
      <c r="EO167" s="117">
        <v>8050</v>
      </c>
      <c r="EP167" s="129">
        <v>21</v>
      </c>
    </row>
    <row r="168" spans="1:146" ht="15" x14ac:dyDescent="0.25">
      <c r="A168" s="27">
        <v>560</v>
      </c>
      <c r="B168" s="27" t="s">
        <v>295</v>
      </c>
      <c r="C168" s="27">
        <v>7</v>
      </c>
      <c r="D168" s="27" t="s">
        <v>119</v>
      </c>
      <c r="E168" s="27">
        <v>4</v>
      </c>
      <c r="F168" s="27" t="s">
        <v>100</v>
      </c>
      <c r="G168" s="29" t="s">
        <v>132</v>
      </c>
      <c r="H168" s="27" t="s">
        <v>99</v>
      </c>
      <c r="I168" s="31" t="s">
        <v>119</v>
      </c>
      <c r="J168" s="118">
        <v>-2402.7327174291463</v>
      </c>
      <c r="K168" s="118">
        <v>-3605.1082037024889</v>
      </c>
      <c r="L168" s="118">
        <v>-7240.3220462415884</v>
      </c>
      <c r="M168" s="118">
        <v>-2904.2691141373721</v>
      </c>
      <c r="N168" s="22">
        <v>-932</v>
      </c>
      <c r="O168" s="119">
        <v>-1886</v>
      </c>
      <c r="P168" s="119">
        <v>-3763</v>
      </c>
      <c r="Q168" s="120">
        <v>-6056</v>
      </c>
      <c r="R168" s="22">
        <v>-6851</v>
      </c>
      <c r="S168" s="22">
        <v>-7797</v>
      </c>
      <c r="T168" s="121">
        <v>-4614</v>
      </c>
      <c r="U168" s="121">
        <v>-2656</v>
      </c>
      <c r="V168" s="121">
        <v>217</v>
      </c>
      <c r="W168" s="106">
        <v>5222</v>
      </c>
      <c r="X168" s="121">
        <v>6109</v>
      </c>
      <c r="Y168" s="121">
        <v>6094</v>
      </c>
      <c r="Z168" s="121">
        <v>6874</v>
      </c>
      <c r="AA168" s="121">
        <v>7193</v>
      </c>
      <c r="AB168" s="122">
        <v>18</v>
      </c>
      <c r="AC168" s="123">
        <v>18</v>
      </c>
      <c r="AD168" s="124">
        <v>18</v>
      </c>
      <c r="AE168" s="125">
        <v>18.5</v>
      </c>
      <c r="AF168" s="126">
        <v>18.5</v>
      </c>
      <c r="AG168" s="123">
        <v>18.5</v>
      </c>
      <c r="AH168" s="123">
        <v>18.75</v>
      </c>
      <c r="AI168" s="127">
        <v>19</v>
      </c>
      <c r="AJ168" s="127">
        <v>19</v>
      </c>
      <c r="AK168" s="22">
        <v>19</v>
      </c>
      <c r="AL168" s="128">
        <v>19.5</v>
      </c>
      <c r="AM168" s="128">
        <v>19.5</v>
      </c>
      <c r="AN168" s="128">
        <v>19.75</v>
      </c>
      <c r="AO168" s="77">
        <v>19.75</v>
      </c>
      <c r="AP168" s="77">
        <v>19.75</v>
      </c>
      <c r="AQ168" s="129">
        <v>19.75</v>
      </c>
      <c r="AR168" s="129">
        <v>20.5</v>
      </c>
      <c r="AS168" s="129">
        <v>20.5</v>
      </c>
      <c r="AT168" s="116">
        <v>16347</v>
      </c>
      <c r="AU168" s="47">
        <v>9546</v>
      </c>
      <c r="AV168" s="47">
        <v>91727</v>
      </c>
      <c r="AW168" s="46">
        <v>50666</v>
      </c>
      <c r="AX168" s="46">
        <v>32782</v>
      </c>
      <c r="AY168" s="92">
        <v>2075</v>
      </c>
      <c r="AZ168" s="47">
        <v>3212</v>
      </c>
      <c r="BA168" s="44">
        <v>3251</v>
      </c>
      <c r="BB168" s="23">
        <v>-5106</v>
      </c>
      <c r="BC168" s="47">
        <v>-39</v>
      </c>
      <c r="BD168" s="44">
        <v>-15</v>
      </c>
      <c r="BE168" s="47">
        <v>6094</v>
      </c>
      <c r="BF168" s="44">
        <v>50666</v>
      </c>
      <c r="BG168" s="46">
        <v>45407</v>
      </c>
      <c r="BH168" s="130">
        <v>2015</v>
      </c>
      <c r="BI168" s="46">
        <v>3244</v>
      </c>
      <c r="BJ168" s="129">
        <v>19.75</v>
      </c>
      <c r="BK168" s="44">
        <v>34413</v>
      </c>
      <c r="BL168" s="116">
        <v>16288</v>
      </c>
      <c r="BM168" s="47">
        <v>9395</v>
      </c>
      <c r="BN168" s="130">
        <v>92738</v>
      </c>
      <c r="BO168" s="46">
        <v>54078</v>
      </c>
      <c r="BP168" s="46">
        <v>32397</v>
      </c>
      <c r="BQ168" s="46">
        <v>1607</v>
      </c>
      <c r="BR168" s="130">
        <v>4571</v>
      </c>
      <c r="BS168" s="44">
        <v>2948</v>
      </c>
      <c r="BT168" s="92">
        <v>-4634</v>
      </c>
      <c r="BU168" s="117">
        <v>1651</v>
      </c>
      <c r="BV168" s="130">
        <v>6874</v>
      </c>
      <c r="BW168" s="48">
        <v>54078</v>
      </c>
      <c r="BX168" s="46">
        <v>47356</v>
      </c>
      <c r="BY168" s="130">
        <v>2366</v>
      </c>
      <c r="BZ168" s="46">
        <v>4356</v>
      </c>
      <c r="CA168" s="129">
        <v>20.5</v>
      </c>
      <c r="CB168" s="44">
        <v>34294</v>
      </c>
      <c r="CC168" s="116">
        <v>16326</v>
      </c>
      <c r="CD168" s="47">
        <v>9740</v>
      </c>
      <c r="CE168" s="130">
        <v>93401</v>
      </c>
      <c r="CF168" s="46">
        <v>53705</v>
      </c>
      <c r="CG168" s="46">
        <v>31577</v>
      </c>
      <c r="CH168" s="46">
        <v>4027</v>
      </c>
      <c r="CI168" s="130">
        <v>3076</v>
      </c>
      <c r="CJ168" s="44">
        <v>3115</v>
      </c>
      <c r="CK168" s="117">
        <v>-6007</v>
      </c>
      <c r="CL168" s="117">
        <v>910</v>
      </c>
      <c r="CM168" s="117">
        <v>7193</v>
      </c>
      <c r="CN168" s="48">
        <v>53705</v>
      </c>
      <c r="CO168" s="46">
        <v>46660</v>
      </c>
      <c r="CP168" s="130">
        <v>2712</v>
      </c>
      <c r="CQ168" s="46">
        <v>4333</v>
      </c>
      <c r="CR168" s="129">
        <v>20.5</v>
      </c>
      <c r="CS168" s="44">
        <v>36045</v>
      </c>
      <c r="CT168">
        <v>16279</v>
      </c>
      <c r="CU168">
        <v>55640</v>
      </c>
      <c r="CV168">
        <v>33374</v>
      </c>
      <c r="CW168">
        <v>11285</v>
      </c>
      <c r="CX168">
        <v>1610</v>
      </c>
      <c r="CY168">
        <v>48784</v>
      </c>
      <c r="CZ168">
        <v>2429</v>
      </c>
      <c r="DA168">
        <v>4427</v>
      </c>
      <c r="DB168">
        <v>5917</v>
      </c>
      <c r="DC168">
        <v>-3875</v>
      </c>
      <c r="DD168">
        <v>3379</v>
      </c>
      <c r="DE168">
        <v>34419</v>
      </c>
      <c r="DF168">
        <v>95910</v>
      </c>
      <c r="DG168">
        <v>2566</v>
      </c>
      <c r="DH168">
        <v>9879</v>
      </c>
      <c r="DI168">
        <v>20.75</v>
      </c>
      <c r="DJ168" s="174">
        <v>16221</v>
      </c>
      <c r="DK168" s="34">
        <v>55841</v>
      </c>
      <c r="DL168" s="34">
        <v>32288</v>
      </c>
      <c r="DM168">
        <v>10190</v>
      </c>
      <c r="DN168" s="173">
        <v>1521</v>
      </c>
      <c r="DO168" s="34">
        <v>48770</v>
      </c>
      <c r="DP168" s="173">
        <v>2691</v>
      </c>
      <c r="DQ168" s="34">
        <v>4380</v>
      </c>
      <c r="DR168" s="173">
        <v>5487</v>
      </c>
      <c r="DS168" s="173">
        <v>-9925</v>
      </c>
      <c r="DT168">
        <v>3404</v>
      </c>
      <c r="DU168">
        <v>40663</v>
      </c>
      <c r="DV168" s="173">
        <v>94353</v>
      </c>
      <c r="DW168" s="173">
        <v>2116</v>
      </c>
      <c r="DX168" s="173">
        <v>12023</v>
      </c>
      <c r="DY168" s="57">
        <v>20.75</v>
      </c>
      <c r="DZ168" s="184">
        <v>230</v>
      </c>
      <c r="EA168" s="116">
        <v>16091</v>
      </c>
      <c r="EB168" s="48">
        <v>55043</v>
      </c>
      <c r="EC168" s="46">
        <v>31875</v>
      </c>
      <c r="ED168" s="90">
        <v>9358</v>
      </c>
      <c r="EE168" s="186">
        <v>1516</v>
      </c>
      <c r="EF168" s="46">
        <v>48357</v>
      </c>
      <c r="EG168" s="130">
        <v>2368</v>
      </c>
      <c r="EH168" s="46">
        <v>4318</v>
      </c>
      <c r="EI168" s="130">
        <v>2494</v>
      </c>
      <c r="EJ168" s="48">
        <v>-11621</v>
      </c>
      <c r="EK168" s="44">
        <v>3927</v>
      </c>
      <c r="EL168" s="44">
        <v>45760</v>
      </c>
      <c r="EM168" s="130">
        <v>95298</v>
      </c>
      <c r="EN168" s="117">
        <v>-1408</v>
      </c>
      <c r="EO168" s="117">
        <v>10642</v>
      </c>
      <c r="EP168" s="129">
        <v>20.75</v>
      </c>
    </row>
    <row r="169" spans="1:146" ht="15" x14ac:dyDescent="0.25">
      <c r="A169" s="27">
        <v>561</v>
      </c>
      <c r="B169" s="27" t="s">
        <v>296</v>
      </c>
      <c r="C169" s="27">
        <v>2</v>
      </c>
      <c r="D169" s="27" t="s">
        <v>122</v>
      </c>
      <c r="E169" s="27">
        <v>1</v>
      </c>
      <c r="F169" s="27" t="s">
        <v>103</v>
      </c>
      <c r="G169" s="29" t="s">
        <v>130</v>
      </c>
      <c r="H169" s="27" t="s">
        <v>98</v>
      </c>
      <c r="I169" s="27" t="s">
        <v>122</v>
      </c>
      <c r="J169" s="118">
        <v>475.63545603315316</v>
      </c>
      <c r="K169" s="118">
        <v>-119.41342778767283</v>
      </c>
      <c r="L169" s="118">
        <v>106.29476952367497</v>
      </c>
      <c r="M169" s="118">
        <v>112.18134694982786</v>
      </c>
      <c r="N169" s="22">
        <v>-339</v>
      </c>
      <c r="O169" s="119">
        <v>-30</v>
      </c>
      <c r="P169" s="119">
        <v>-226</v>
      </c>
      <c r="Q169" s="120">
        <v>-443</v>
      </c>
      <c r="R169" s="22">
        <v>-56</v>
      </c>
      <c r="S169" s="22">
        <v>292</v>
      </c>
      <c r="T169" s="121">
        <v>826</v>
      </c>
      <c r="U169" s="121">
        <v>1283</v>
      </c>
      <c r="V169" s="121">
        <v>1613</v>
      </c>
      <c r="W169" s="106">
        <v>1439</v>
      </c>
      <c r="X169" s="121">
        <v>1071</v>
      </c>
      <c r="Y169" s="121">
        <v>1207</v>
      </c>
      <c r="Z169" s="121">
        <v>872</v>
      </c>
      <c r="AA169" s="121">
        <v>1058</v>
      </c>
      <c r="AB169" s="122">
        <v>17</v>
      </c>
      <c r="AC169" s="123">
        <v>17</v>
      </c>
      <c r="AD169" s="124">
        <v>18</v>
      </c>
      <c r="AE169" s="125">
        <v>18</v>
      </c>
      <c r="AF169" s="126">
        <v>18</v>
      </c>
      <c r="AG169" s="123">
        <v>18</v>
      </c>
      <c r="AH169" s="123">
        <v>18</v>
      </c>
      <c r="AI169" s="127">
        <v>18</v>
      </c>
      <c r="AJ169" s="127">
        <v>18.5</v>
      </c>
      <c r="AK169" s="22">
        <v>18.5</v>
      </c>
      <c r="AL169" s="128">
        <v>18.5</v>
      </c>
      <c r="AM169" s="128">
        <v>18.5</v>
      </c>
      <c r="AN169" s="128">
        <v>19</v>
      </c>
      <c r="AO169" s="77">
        <v>19</v>
      </c>
      <c r="AP169" s="77">
        <v>19</v>
      </c>
      <c r="AQ169" s="129">
        <v>19.5</v>
      </c>
      <c r="AR169" s="129">
        <v>19.5</v>
      </c>
      <c r="AS169" s="129">
        <v>19.5</v>
      </c>
      <c r="AT169" s="116">
        <v>1423</v>
      </c>
      <c r="AU169" s="47">
        <v>1355</v>
      </c>
      <c r="AV169" s="47">
        <v>8714</v>
      </c>
      <c r="AW169" s="46">
        <v>4000</v>
      </c>
      <c r="AX169" s="46">
        <v>3794</v>
      </c>
      <c r="AY169" s="92">
        <v>4</v>
      </c>
      <c r="AZ169" s="47">
        <v>430</v>
      </c>
      <c r="BA169" s="44">
        <v>309</v>
      </c>
      <c r="BB169" s="23">
        <v>-857</v>
      </c>
      <c r="BC169" s="47">
        <v>121</v>
      </c>
      <c r="BD169" s="44">
        <v>136</v>
      </c>
      <c r="BE169" s="47">
        <v>1207</v>
      </c>
      <c r="BF169" s="44">
        <v>4000</v>
      </c>
      <c r="BG169" s="46">
        <v>3444</v>
      </c>
      <c r="BH169" s="130">
        <v>321</v>
      </c>
      <c r="BI169" s="46">
        <v>235</v>
      </c>
      <c r="BJ169" s="129">
        <v>19.5</v>
      </c>
      <c r="BK169" s="44">
        <v>1490</v>
      </c>
      <c r="BL169" s="116">
        <v>1417</v>
      </c>
      <c r="BM169" s="47">
        <v>1259</v>
      </c>
      <c r="BN169" s="130">
        <v>9020</v>
      </c>
      <c r="BO169" s="46">
        <v>4023</v>
      </c>
      <c r="BP169" s="46">
        <v>3704</v>
      </c>
      <c r="BQ169" s="46">
        <v>39</v>
      </c>
      <c r="BR169" s="130">
        <v>-67</v>
      </c>
      <c r="BS169" s="44">
        <v>322</v>
      </c>
      <c r="BT169" s="92">
        <v>-1477</v>
      </c>
      <c r="BU169" s="117">
        <v>-335</v>
      </c>
      <c r="BV169" s="130">
        <v>872</v>
      </c>
      <c r="BW169" s="48">
        <v>4023</v>
      </c>
      <c r="BX169" s="46">
        <v>3484</v>
      </c>
      <c r="BY169" s="130">
        <v>287</v>
      </c>
      <c r="BZ169" s="46">
        <v>252</v>
      </c>
      <c r="CA169" s="129">
        <v>19.5</v>
      </c>
      <c r="CB169" s="44">
        <v>3338</v>
      </c>
      <c r="CC169" s="116">
        <v>1377</v>
      </c>
      <c r="CD169" s="47">
        <v>1320</v>
      </c>
      <c r="CE169" s="130">
        <v>8713</v>
      </c>
      <c r="CF169" s="46">
        <v>4201</v>
      </c>
      <c r="CG169" s="46">
        <v>3662</v>
      </c>
      <c r="CH169" s="46">
        <v>122</v>
      </c>
      <c r="CI169" s="130">
        <v>426</v>
      </c>
      <c r="CJ169" s="44">
        <v>377</v>
      </c>
      <c r="CK169" s="117">
        <v>-660</v>
      </c>
      <c r="CL169" s="117">
        <v>186</v>
      </c>
      <c r="CM169" s="117">
        <v>1058</v>
      </c>
      <c r="CN169" s="48">
        <v>4201</v>
      </c>
      <c r="CO169" s="46">
        <v>3494</v>
      </c>
      <c r="CP169" s="130">
        <v>399</v>
      </c>
      <c r="CQ169" s="46">
        <v>308</v>
      </c>
      <c r="CR169" s="129">
        <v>19.5</v>
      </c>
      <c r="CS169" s="44">
        <v>3276</v>
      </c>
      <c r="CT169">
        <v>1363</v>
      </c>
      <c r="CU169">
        <v>4068</v>
      </c>
      <c r="CV169">
        <v>3860</v>
      </c>
      <c r="CW169">
        <v>1334</v>
      </c>
      <c r="CX169">
        <v>1</v>
      </c>
      <c r="CY169">
        <v>3331</v>
      </c>
      <c r="CZ169">
        <v>395</v>
      </c>
      <c r="DA169">
        <v>342</v>
      </c>
      <c r="DB169">
        <v>464</v>
      </c>
      <c r="DC169">
        <v>-307</v>
      </c>
      <c r="DD169">
        <v>410</v>
      </c>
      <c r="DE169">
        <v>3409</v>
      </c>
      <c r="DF169">
        <v>8764</v>
      </c>
      <c r="DG169">
        <v>69</v>
      </c>
      <c r="DH169">
        <v>1127</v>
      </c>
      <c r="DI169">
        <v>19.5</v>
      </c>
      <c r="DJ169" s="174">
        <v>1382</v>
      </c>
      <c r="DK169" s="34">
        <v>4173</v>
      </c>
      <c r="DL169" s="34">
        <v>3797</v>
      </c>
      <c r="DM169">
        <v>1300</v>
      </c>
      <c r="DN169" s="173">
        <v>-34</v>
      </c>
      <c r="DO169" s="34">
        <v>3458</v>
      </c>
      <c r="DP169" s="173">
        <v>388</v>
      </c>
      <c r="DQ169" s="34">
        <v>327</v>
      </c>
      <c r="DR169" s="173">
        <v>11</v>
      </c>
      <c r="DS169" s="173">
        <v>-918</v>
      </c>
      <c r="DT169">
        <v>459</v>
      </c>
      <c r="DU169">
        <v>3707</v>
      </c>
      <c r="DV169" s="173">
        <v>9225</v>
      </c>
      <c r="DW169" s="173">
        <v>-433</v>
      </c>
      <c r="DX169" s="173">
        <v>694</v>
      </c>
      <c r="DY169" s="57">
        <v>19.5</v>
      </c>
      <c r="DZ169" s="184">
        <v>320</v>
      </c>
      <c r="EA169" s="116">
        <v>1364</v>
      </c>
      <c r="EB169" s="48">
        <v>3987</v>
      </c>
      <c r="EC169" s="46">
        <v>3750</v>
      </c>
      <c r="ED169" s="90">
        <v>1332</v>
      </c>
      <c r="EE169" s="186">
        <v>-42</v>
      </c>
      <c r="EF169" s="46">
        <v>3314</v>
      </c>
      <c r="EG169" s="130">
        <v>356</v>
      </c>
      <c r="EH169" s="46">
        <v>317</v>
      </c>
      <c r="EI169" s="130">
        <v>-875</v>
      </c>
      <c r="EJ169" s="48">
        <v>-68</v>
      </c>
      <c r="EK169" s="44">
        <v>472</v>
      </c>
      <c r="EL169" s="44">
        <v>4427</v>
      </c>
      <c r="EM169" s="130">
        <v>9902</v>
      </c>
      <c r="EN169" s="117">
        <v>-1332</v>
      </c>
      <c r="EO169" s="117">
        <v>-638</v>
      </c>
      <c r="EP169" s="129">
        <v>19.5</v>
      </c>
    </row>
    <row r="170" spans="1:146" ht="15" x14ac:dyDescent="0.25">
      <c r="A170" s="27">
        <v>562</v>
      </c>
      <c r="B170" s="27" t="s">
        <v>297</v>
      </c>
      <c r="C170" s="27">
        <v>6</v>
      </c>
      <c r="D170" s="27" t="s">
        <v>114</v>
      </c>
      <c r="E170" s="27">
        <v>3</v>
      </c>
      <c r="F170" s="27" t="s">
        <v>743</v>
      </c>
      <c r="G170" s="29" t="s">
        <v>132</v>
      </c>
      <c r="H170" s="27" t="s">
        <v>99</v>
      </c>
      <c r="I170" s="31" t="s">
        <v>114</v>
      </c>
      <c r="J170" s="106">
        <v>-2813.4476338481563</v>
      </c>
      <c r="K170" s="106">
        <v>-3395.7142352579076</v>
      </c>
      <c r="L170" s="106">
        <v>-1609.5584562366605</v>
      </c>
      <c r="M170" s="106">
        <v>29.264699204302815</v>
      </c>
      <c r="N170" s="106">
        <v>1703</v>
      </c>
      <c r="O170" s="106">
        <v>1599</v>
      </c>
      <c r="P170" s="106">
        <v>2540</v>
      </c>
      <c r="Q170" s="106">
        <v>1899</v>
      </c>
      <c r="R170" s="106">
        <v>1121</v>
      </c>
      <c r="S170" s="106">
        <v>2077</v>
      </c>
      <c r="T170" s="106">
        <v>4360</v>
      </c>
      <c r="U170" s="106">
        <v>8015</v>
      </c>
      <c r="V170" s="106">
        <v>10562</v>
      </c>
      <c r="W170" s="106">
        <v>11736</v>
      </c>
      <c r="X170" s="106">
        <v>7899</v>
      </c>
      <c r="Y170" s="106">
        <v>5351</v>
      </c>
      <c r="Z170" s="106">
        <v>3961</v>
      </c>
      <c r="AA170" s="106">
        <v>4418</v>
      </c>
      <c r="AB170" s="107">
        <v>17.5</v>
      </c>
      <c r="AC170" s="108">
        <v>18</v>
      </c>
      <c r="AD170" s="109">
        <v>18.5</v>
      </c>
      <c r="AE170" s="110">
        <v>18.5</v>
      </c>
      <c r="AF170" s="111">
        <v>18.5</v>
      </c>
      <c r="AG170" s="108">
        <v>18.5</v>
      </c>
      <c r="AH170" s="108">
        <v>19</v>
      </c>
      <c r="AI170" s="149">
        <v>19</v>
      </c>
      <c r="AJ170" s="149">
        <v>19</v>
      </c>
      <c r="AK170" s="113">
        <v>19</v>
      </c>
      <c r="AL170" s="142">
        <v>19.5</v>
      </c>
      <c r="AM170" s="142">
        <v>19.5</v>
      </c>
      <c r="AN170" s="142">
        <v>20</v>
      </c>
      <c r="AO170" s="77">
        <v>20</v>
      </c>
      <c r="AP170" s="77">
        <v>20</v>
      </c>
      <c r="AQ170" s="129">
        <v>20.5</v>
      </c>
      <c r="AR170" s="129">
        <v>21.5</v>
      </c>
      <c r="AS170" s="129">
        <v>22.25</v>
      </c>
      <c r="AT170" s="116">
        <v>9630</v>
      </c>
      <c r="AU170" s="47">
        <v>8150</v>
      </c>
      <c r="AV170" s="47">
        <v>62501</v>
      </c>
      <c r="AW170" s="46">
        <v>29599</v>
      </c>
      <c r="AX170" s="46">
        <v>23889</v>
      </c>
      <c r="AY170" s="92">
        <v>2344</v>
      </c>
      <c r="AZ170" s="47">
        <v>-1036</v>
      </c>
      <c r="BA170" s="44">
        <v>2676</v>
      </c>
      <c r="BB170" s="23">
        <v>-5251</v>
      </c>
      <c r="BC170" s="47">
        <v>-2547</v>
      </c>
      <c r="BD170" s="44">
        <v>-2547</v>
      </c>
      <c r="BE170" s="47">
        <v>5351</v>
      </c>
      <c r="BF170" s="44">
        <v>29599</v>
      </c>
      <c r="BG170" s="46">
        <v>26385</v>
      </c>
      <c r="BH170" s="130">
        <v>1266</v>
      </c>
      <c r="BI170" s="46">
        <v>1948</v>
      </c>
      <c r="BJ170" s="129">
        <v>20.5</v>
      </c>
      <c r="BK170" s="44">
        <v>21841</v>
      </c>
      <c r="BL170" s="116">
        <v>9579</v>
      </c>
      <c r="BM170" s="47">
        <v>7623</v>
      </c>
      <c r="BN170" s="130">
        <v>63417</v>
      </c>
      <c r="BO170" s="46">
        <v>31931</v>
      </c>
      <c r="BP170" s="46">
        <v>25466</v>
      </c>
      <c r="BQ170" s="46">
        <v>157</v>
      </c>
      <c r="BR170" s="130">
        <v>1340</v>
      </c>
      <c r="BS170" s="44">
        <v>2730</v>
      </c>
      <c r="BT170" s="92">
        <v>-4375</v>
      </c>
      <c r="BU170" s="117">
        <v>-1390</v>
      </c>
      <c r="BV170" s="130">
        <v>3961</v>
      </c>
      <c r="BW170" s="48">
        <v>31931</v>
      </c>
      <c r="BX170" s="46">
        <v>28211</v>
      </c>
      <c r="BY170" s="130">
        <v>1447</v>
      </c>
      <c r="BZ170" s="46">
        <v>2273</v>
      </c>
      <c r="CA170" s="129">
        <v>21.5</v>
      </c>
      <c r="CB170" s="44">
        <v>28681</v>
      </c>
      <c r="CC170" s="116">
        <v>9408</v>
      </c>
      <c r="CD170" s="47">
        <v>7788</v>
      </c>
      <c r="CE170" s="130">
        <v>61048</v>
      </c>
      <c r="CF170" s="46">
        <v>33504</v>
      </c>
      <c r="CG170" s="46">
        <v>23863</v>
      </c>
      <c r="CH170" s="46">
        <v>226</v>
      </c>
      <c r="CI170" s="130">
        <v>3897</v>
      </c>
      <c r="CJ170" s="44">
        <v>3076</v>
      </c>
      <c r="CK170" s="117">
        <v>-4107</v>
      </c>
      <c r="CL170" s="117">
        <v>457</v>
      </c>
      <c r="CM170" s="117">
        <v>4418</v>
      </c>
      <c r="CN170" s="48">
        <v>33504</v>
      </c>
      <c r="CO170" s="46">
        <v>28783</v>
      </c>
      <c r="CP170" s="130">
        <v>1717</v>
      </c>
      <c r="CQ170" s="46">
        <v>3004</v>
      </c>
      <c r="CR170" s="129">
        <v>22.25</v>
      </c>
      <c r="CS170" s="44">
        <v>28971</v>
      </c>
      <c r="CT170">
        <v>9312</v>
      </c>
      <c r="CU170">
        <v>33895</v>
      </c>
      <c r="CV170">
        <v>25129</v>
      </c>
      <c r="CW170">
        <v>7347</v>
      </c>
      <c r="CX170">
        <v>195</v>
      </c>
      <c r="CY170">
        <v>29201</v>
      </c>
      <c r="CZ170">
        <v>1658</v>
      </c>
      <c r="DA170">
        <v>3036</v>
      </c>
      <c r="DB170">
        <v>5807</v>
      </c>
      <c r="DC170">
        <v>-2825</v>
      </c>
      <c r="DD170">
        <v>3028</v>
      </c>
      <c r="DE170">
        <v>27979</v>
      </c>
      <c r="DF170">
        <v>60408</v>
      </c>
      <c r="DG170">
        <v>1779</v>
      </c>
      <c r="DH170">
        <v>6197</v>
      </c>
      <c r="DI170">
        <v>22.25</v>
      </c>
      <c r="DJ170" s="174">
        <v>9285</v>
      </c>
      <c r="DK170" s="34">
        <v>33769</v>
      </c>
      <c r="DL170" s="34">
        <v>23814</v>
      </c>
      <c r="DM170">
        <v>7410</v>
      </c>
      <c r="DN170" s="173">
        <v>289</v>
      </c>
      <c r="DO170" s="34">
        <v>28775</v>
      </c>
      <c r="DP170" s="173">
        <v>1972</v>
      </c>
      <c r="DQ170" s="34">
        <v>3022</v>
      </c>
      <c r="DR170" s="173">
        <v>4734</v>
      </c>
      <c r="DS170" s="173">
        <v>-1964</v>
      </c>
      <c r="DT170">
        <v>3283</v>
      </c>
      <c r="DU170">
        <v>23690</v>
      </c>
      <c r="DV170" s="173">
        <v>60548</v>
      </c>
      <c r="DW170" s="173">
        <v>1451</v>
      </c>
      <c r="DX170" s="173">
        <v>7648</v>
      </c>
      <c r="DY170" s="57">
        <v>22</v>
      </c>
      <c r="DZ170" s="184">
        <v>230</v>
      </c>
      <c r="EA170" s="116">
        <v>9221</v>
      </c>
      <c r="EB170" s="48">
        <v>32967</v>
      </c>
      <c r="EC170" s="46">
        <v>22442</v>
      </c>
      <c r="ED170" s="90">
        <v>7537</v>
      </c>
      <c r="EE170" s="186">
        <v>331</v>
      </c>
      <c r="EF170" s="46">
        <v>28106</v>
      </c>
      <c r="EG170" s="130">
        <v>1892</v>
      </c>
      <c r="EH170" s="46">
        <v>2969</v>
      </c>
      <c r="EI170" s="130">
        <v>1513</v>
      </c>
      <c r="EJ170" s="48">
        <v>-2885</v>
      </c>
      <c r="EK170" s="44">
        <v>3004</v>
      </c>
      <c r="EL170" s="44">
        <v>19728</v>
      </c>
      <c r="EM170" s="130">
        <v>61764</v>
      </c>
      <c r="EN170" s="117">
        <v>-1423</v>
      </c>
      <c r="EO170" s="117">
        <v>6225</v>
      </c>
      <c r="EP170" s="129">
        <v>22</v>
      </c>
    </row>
    <row r="171" spans="1:146" ht="15" x14ac:dyDescent="0.25">
      <c r="A171" s="27">
        <v>563</v>
      </c>
      <c r="B171" s="27" t="s">
        <v>298</v>
      </c>
      <c r="C171" s="27">
        <v>17</v>
      </c>
      <c r="D171" s="27" t="s">
        <v>117</v>
      </c>
      <c r="E171" s="27">
        <v>3</v>
      </c>
      <c r="F171" s="27" t="s">
        <v>743</v>
      </c>
      <c r="G171" s="29" t="s">
        <v>132</v>
      </c>
      <c r="H171" s="27" t="s">
        <v>99</v>
      </c>
      <c r="I171" s="31" t="s">
        <v>117</v>
      </c>
      <c r="J171" s="118">
        <v>-1600.3081202812775</v>
      </c>
      <c r="K171" s="118">
        <v>129.00013959597896</v>
      </c>
      <c r="L171" s="118">
        <v>-1570.0342935182055</v>
      </c>
      <c r="M171" s="118">
        <v>-2237.7403615704043</v>
      </c>
      <c r="N171" s="22">
        <v>-1452</v>
      </c>
      <c r="O171" s="119">
        <v>-2240</v>
      </c>
      <c r="P171" s="119">
        <v>-4480</v>
      </c>
      <c r="Q171" s="120">
        <v>-6369</v>
      </c>
      <c r="R171" s="22">
        <v>-2394</v>
      </c>
      <c r="S171" s="22">
        <v>-2789</v>
      </c>
      <c r="T171" s="121">
        <v>-1376</v>
      </c>
      <c r="U171" s="121">
        <v>-565</v>
      </c>
      <c r="V171" s="121">
        <v>681</v>
      </c>
      <c r="W171" s="106">
        <v>-164</v>
      </c>
      <c r="X171" s="121">
        <v>325</v>
      </c>
      <c r="Y171" s="121">
        <v>613</v>
      </c>
      <c r="Z171" s="121">
        <v>2383</v>
      </c>
      <c r="AA171" s="121">
        <v>3364</v>
      </c>
      <c r="AB171" s="122">
        <v>18.5</v>
      </c>
      <c r="AC171" s="123">
        <v>19</v>
      </c>
      <c r="AD171" s="124">
        <v>18.75</v>
      </c>
      <c r="AE171" s="125">
        <v>18.75</v>
      </c>
      <c r="AF171" s="126">
        <v>19</v>
      </c>
      <c r="AG171" s="123">
        <v>19</v>
      </c>
      <c r="AH171" s="123">
        <v>19</v>
      </c>
      <c r="AI171" s="127">
        <v>19.5</v>
      </c>
      <c r="AJ171" s="127">
        <v>19.5</v>
      </c>
      <c r="AK171" s="22">
        <v>20.5</v>
      </c>
      <c r="AL171" s="128">
        <v>21</v>
      </c>
      <c r="AM171" s="128">
        <v>21</v>
      </c>
      <c r="AN171" s="128">
        <v>21</v>
      </c>
      <c r="AO171" s="77">
        <v>21</v>
      </c>
      <c r="AP171" s="77">
        <v>21</v>
      </c>
      <c r="AQ171" s="129">
        <v>21.5</v>
      </c>
      <c r="AR171" s="129">
        <v>21.5</v>
      </c>
      <c r="AS171" s="129">
        <v>21.75</v>
      </c>
      <c r="AT171" s="116">
        <v>7772</v>
      </c>
      <c r="AU171" s="47">
        <v>6763</v>
      </c>
      <c r="AV171" s="47">
        <v>50472</v>
      </c>
      <c r="AW171" s="46">
        <v>23454</v>
      </c>
      <c r="AX171" s="46">
        <v>21535</v>
      </c>
      <c r="AY171" s="92">
        <v>951</v>
      </c>
      <c r="AZ171" s="47">
        <v>1945</v>
      </c>
      <c r="BA171" s="44">
        <v>1712</v>
      </c>
      <c r="BB171" s="23">
        <v>-2613</v>
      </c>
      <c r="BC171" s="47">
        <v>233</v>
      </c>
      <c r="BD171" s="44">
        <v>288</v>
      </c>
      <c r="BE171" s="47">
        <v>613</v>
      </c>
      <c r="BF171" s="44">
        <v>23454</v>
      </c>
      <c r="BG171" s="46">
        <v>21093</v>
      </c>
      <c r="BH171" s="130">
        <v>952</v>
      </c>
      <c r="BI171" s="46">
        <v>1409</v>
      </c>
      <c r="BJ171" s="129">
        <v>21.5</v>
      </c>
      <c r="BK171" s="44">
        <v>24916</v>
      </c>
      <c r="BL171" s="116">
        <v>7725</v>
      </c>
      <c r="BM171" s="47">
        <v>6915</v>
      </c>
      <c r="BN171" s="130">
        <v>50997</v>
      </c>
      <c r="BO171" s="46">
        <v>24535</v>
      </c>
      <c r="BP171" s="46">
        <v>22525</v>
      </c>
      <c r="BQ171" s="46">
        <v>992</v>
      </c>
      <c r="BR171" s="130">
        <v>3726</v>
      </c>
      <c r="BS171" s="44">
        <v>1961</v>
      </c>
      <c r="BT171" s="92">
        <v>-4196</v>
      </c>
      <c r="BU171" s="117">
        <v>1770</v>
      </c>
      <c r="BV171" s="130">
        <v>2383</v>
      </c>
      <c r="BW171" s="48">
        <v>24535</v>
      </c>
      <c r="BX171" s="46">
        <v>21814</v>
      </c>
      <c r="BY171" s="130">
        <v>1182</v>
      </c>
      <c r="BZ171" s="46">
        <v>1539</v>
      </c>
      <c r="CA171" s="129">
        <v>21.5</v>
      </c>
      <c r="CB171" s="44">
        <v>26160</v>
      </c>
      <c r="CC171" s="116">
        <v>7610</v>
      </c>
      <c r="CD171" s="47">
        <v>7226</v>
      </c>
      <c r="CE171" s="130">
        <v>52782</v>
      </c>
      <c r="CF171" s="46">
        <v>25294</v>
      </c>
      <c r="CG171" s="46">
        <v>22945</v>
      </c>
      <c r="CH171" s="46">
        <v>573</v>
      </c>
      <c r="CI171" s="130">
        <v>2989</v>
      </c>
      <c r="CJ171" s="44">
        <v>2013</v>
      </c>
      <c r="CK171" s="117">
        <v>-5657</v>
      </c>
      <c r="CL171" s="117">
        <v>981</v>
      </c>
      <c r="CM171" s="117">
        <v>3364</v>
      </c>
      <c r="CN171" s="48">
        <v>25294</v>
      </c>
      <c r="CO171" s="46">
        <v>22315</v>
      </c>
      <c r="CP171" s="130">
        <v>1174</v>
      </c>
      <c r="CQ171" s="46">
        <v>1805</v>
      </c>
      <c r="CR171" s="129">
        <v>21.75</v>
      </c>
      <c r="CS171" s="44">
        <v>29050</v>
      </c>
      <c r="CT171">
        <v>7514</v>
      </c>
      <c r="CU171">
        <v>24921</v>
      </c>
      <c r="CV171">
        <v>24393</v>
      </c>
      <c r="CW171">
        <v>7653</v>
      </c>
      <c r="CX171">
        <v>987</v>
      </c>
      <c r="CY171">
        <v>22052</v>
      </c>
      <c r="CZ171">
        <v>1022</v>
      </c>
      <c r="DA171">
        <v>1847</v>
      </c>
      <c r="DB171">
        <v>2922</v>
      </c>
      <c r="DC171">
        <v>-5303</v>
      </c>
      <c r="DD171">
        <v>2145</v>
      </c>
      <c r="DE171">
        <v>32306</v>
      </c>
      <c r="DF171">
        <v>54933</v>
      </c>
      <c r="DG171">
        <v>797</v>
      </c>
      <c r="DH171">
        <v>4161</v>
      </c>
      <c r="DI171">
        <v>21.75</v>
      </c>
      <c r="DJ171" s="174">
        <v>7472</v>
      </c>
      <c r="DK171" s="34">
        <v>24616</v>
      </c>
      <c r="DL171" s="34">
        <v>24633</v>
      </c>
      <c r="DM171">
        <v>7664</v>
      </c>
      <c r="DN171" s="173">
        <v>1501</v>
      </c>
      <c r="DO171" s="34">
        <v>21436</v>
      </c>
      <c r="DP171" s="173">
        <v>1279</v>
      </c>
      <c r="DQ171" s="34">
        <v>1901</v>
      </c>
      <c r="DR171" s="173">
        <v>2963</v>
      </c>
      <c r="DS171" s="173">
        <v>-3063</v>
      </c>
      <c r="DT171">
        <v>2245</v>
      </c>
      <c r="DU171">
        <v>31821</v>
      </c>
      <c r="DV171" s="173">
        <v>54216</v>
      </c>
      <c r="DW171" s="173">
        <v>1608</v>
      </c>
      <c r="DX171" s="173">
        <v>5769</v>
      </c>
      <c r="DY171" s="57">
        <v>21.5</v>
      </c>
      <c r="DZ171" s="184">
        <v>230</v>
      </c>
      <c r="EA171" s="116">
        <v>7430</v>
      </c>
      <c r="EB171" s="48">
        <v>24331</v>
      </c>
      <c r="EC171" s="46">
        <v>24050</v>
      </c>
      <c r="ED171" s="90">
        <v>7314</v>
      </c>
      <c r="EE171" s="186">
        <v>268</v>
      </c>
      <c r="EF171" s="46">
        <v>21172</v>
      </c>
      <c r="EG171" s="130">
        <v>1128</v>
      </c>
      <c r="EH171" s="46">
        <v>2031</v>
      </c>
      <c r="EI171" s="130">
        <v>-20</v>
      </c>
      <c r="EJ171" s="48">
        <v>-1107</v>
      </c>
      <c r="EK171" s="44">
        <v>2541</v>
      </c>
      <c r="EL171" s="44">
        <v>32536</v>
      </c>
      <c r="EM171" s="130">
        <v>55983</v>
      </c>
      <c r="EN171" s="117">
        <v>-2506</v>
      </c>
      <c r="EO171" s="117">
        <v>3262</v>
      </c>
      <c r="EP171" s="129">
        <v>21.5</v>
      </c>
    </row>
    <row r="172" spans="1:146" ht="15" x14ac:dyDescent="0.25">
      <c r="A172" s="27">
        <v>564</v>
      </c>
      <c r="B172" s="27" t="s">
        <v>299</v>
      </c>
      <c r="C172" s="27">
        <v>17</v>
      </c>
      <c r="D172" s="27" t="s">
        <v>117</v>
      </c>
      <c r="E172" s="27">
        <v>7</v>
      </c>
      <c r="F172" s="27" t="s">
        <v>104</v>
      </c>
      <c r="G172" s="29" t="s">
        <v>141</v>
      </c>
      <c r="H172" s="27" t="s">
        <v>97</v>
      </c>
      <c r="I172" s="31" t="s">
        <v>117</v>
      </c>
      <c r="J172" s="118">
        <v>12227.598629604774</v>
      </c>
      <c r="K172" s="118">
        <v>47619.215806974076</v>
      </c>
      <c r="L172" s="118">
        <v>106066.70669539316</v>
      </c>
      <c r="M172" s="118">
        <v>169566.39470678961</v>
      </c>
      <c r="N172" s="22">
        <v>234081</v>
      </c>
      <c r="O172" s="119">
        <v>267946</v>
      </c>
      <c r="P172" s="119">
        <v>289262</v>
      </c>
      <c r="Q172" s="120">
        <v>327740</v>
      </c>
      <c r="R172" s="22">
        <v>379587</v>
      </c>
      <c r="S172" s="22">
        <v>476245</v>
      </c>
      <c r="T172" s="121">
        <v>503129</v>
      </c>
      <c r="U172" s="121">
        <v>520287</v>
      </c>
      <c r="V172" s="121">
        <v>565709</v>
      </c>
      <c r="W172" s="106">
        <v>583770</v>
      </c>
      <c r="X172" s="121">
        <v>562873</v>
      </c>
      <c r="Y172" s="121">
        <v>511480</v>
      </c>
      <c r="Z172" s="121">
        <v>833499</v>
      </c>
      <c r="AA172" s="121">
        <v>830251</v>
      </c>
      <c r="AB172" s="122">
        <v>18</v>
      </c>
      <c r="AC172" s="123">
        <v>18</v>
      </c>
      <c r="AD172" s="124">
        <v>18</v>
      </c>
      <c r="AE172" s="125">
        <v>18</v>
      </c>
      <c r="AF172" s="126">
        <v>18</v>
      </c>
      <c r="AG172" s="123">
        <v>18</v>
      </c>
      <c r="AH172" s="123">
        <v>18</v>
      </c>
      <c r="AI172" s="127">
        <v>18</v>
      </c>
      <c r="AJ172" s="127">
        <v>18</v>
      </c>
      <c r="AK172" s="22">
        <v>18</v>
      </c>
      <c r="AL172" s="128">
        <v>18</v>
      </c>
      <c r="AM172" s="128">
        <v>18</v>
      </c>
      <c r="AN172" s="128">
        <v>19</v>
      </c>
      <c r="AO172" s="77">
        <v>19</v>
      </c>
      <c r="AP172" s="77">
        <v>19</v>
      </c>
      <c r="AQ172" s="129">
        <v>19.25</v>
      </c>
      <c r="AR172" s="129">
        <v>20</v>
      </c>
      <c r="AS172" s="129">
        <v>20</v>
      </c>
      <c r="AT172" s="116">
        <v>193798</v>
      </c>
      <c r="AU172" s="47">
        <v>446235</v>
      </c>
      <c r="AV172" s="47">
        <v>1292495</v>
      </c>
      <c r="AW172" s="46">
        <v>692700</v>
      </c>
      <c r="AX172" s="46">
        <v>225083</v>
      </c>
      <c r="AY172" s="92">
        <v>12522</v>
      </c>
      <c r="AZ172" s="47">
        <v>80358</v>
      </c>
      <c r="BA172" s="44">
        <v>128507</v>
      </c>
      <c r="BB172" s="23">
        <v>-187794</v>
      </c>
      <c r="BC172" s="47">
        <v>-48149</v>
      </c>
      <c r="BD172" s="44">
        <v>-43763</v>
      </c>
      <c r="BE172" s="47">
        <v>511480</v>
      </c>
      <c r="BF172" s="44">
        <v>692700</v>
      </c>
      <c r="BG172" s="46">
        <v>624399</v>
      </c>
      <c r="BH172" s="130">
        <v>27798</v>
      </c>
      <c r="BI172" s="46">
        <v>40503</v>
      </c>
      <c r="BJ172" s="129">
        <v>19.25</v>
      </c>
      <c r="BK172" s="44">
        <v>540493</v>
      </c>
      <c r="BL172" s="116">
        <v>196291</v>
      </c>
      <c r="BM172" s="47">
        <v>430011</v>
      </c>
      <c r="BN172" s="130">
        <v>1299014</v>
      </c>
      <c r="BO172" s="46">
        <v>708152</v>
      </c>
      <c r="BP172" s="46">
        <v>230337</v>
      </c>
      <c r="BQ172" s="46">
        <v>350796</v>
      </c>
      <c r="BR172" s="130">
        <v>75204</v>
      </c>
      <c r="BS172" s="44">
        <v>100388</v>
      </c>
      <c r="BT172" s="92">
        <v>28507</v>
      </c>
      <c r="BU172" s="117">
        <v>322338</v>
      </c>
      <c r="BV172" s="130">
        <v>833499</v>
      </c>
      <c r="BW172" s="48">
        <v>708152</v>
      </c>
      <c r="BX172" s="46">
        <v>631475</v>
      </c>
      <c r="BY172" s="130">
        <v>32894</v>
      </c>
      <c r="BZ172" s="46">
        <v>43783</v>
      </c>
      <c r="CA172" s="129">
        <v>20</v>
      </c>
      <c r="CB172" s="44">
        <v>640832</v>
      </c>
      <c r="CC172" s="116">
        <v>198525</v>
      </c>
      <c r="CD172" s="47">
        <v>274385</v>
      </c>
      <c r="CE172" s="130">
        <v>1203902</v>
      </c>
      <c r="CF172" s="46">
        <v>734160</v>
      </c>
      <c r="CG172" s="46">
        <v>253771</v>
      </c>
      <c r="CH172" s="46">
        <v>49041</v>
      </c>
      <c r="CI172" s="130">
        <v>85323</v>
      </c>
      <c r="CJ172" s="44">
        <v>79616</v>
      </c>
      <c r="CK172" s="117">
        <v>-77755</v>
      </c>
      <c r="CL172" s="117">
        <v>5134</v>
      </c>
      <c r="CM172" s="117">
        <v>830251</v>
      </c>
      <c r="CN172" s="48">
        <v>734160</v>
      </c>
      <c r="CO172" s="46">
        <v>653256</v>
      </c>
      <c r="CP172" s="130">
        <v>37295</v>
      </c>
      <c r="CQ172" s="46">
        <v>43609</v>
      </c>
      <c r="CR172" s="129">
        <v>20</v>
      </c>
      <c r="CS172" s="44">
        <v>655340</v>
      </c>
      <c r="CT172">
        <v>200526</v>
      </c>
      <c r="CU172">
        <v>743649</v>
      </c>
      <c r="CV172">
        <v>273358</v>
      </c>
      <c r="CW172">
        <v>267508</v>
      </c>
      <c r="CX172">
        <v>8435</v>
      </c>
      <c r="CY172">
        <v>664334</v>
      </c>
      <c r="CZ172">
        <v>33793</v>
      </c>
      <c r="DA172">
        <v>45522</v>
      </c>
      <c r="DB172">
        <v>76266</v>
      </c>
      <c r="DC172">
        <v>-94754</v>
      </c>
      <c r="DD172">
        <v>80982</v>
      </c>
      <c r="DE172">
        <v>671141</v>
      </c>
      <c r="DF172">
        <v>1216684</v>
      </c>
      <c r="DG172">
        <v>-14129</v>
      </c>
      <c r="DH172">
        <v>812361</v>
      </c>
      <c r="DI172">
        <v>20</v>
      </c>
      <c r="DJ172" s="174">
        <v>201810</v>
      </c>
      <c r="DK172" s="34">
        <v>764560</v>
      </c>
      <c r="DL172" s="34">
        <v>269900</v>
      </c>
      <c r="DM172">
        <v>273511</v>
      </c>
      <c r="DN172" s="173">
        <v>28126</v>
      </c>
      <c r="DO172" s="34">
        <v>665862</v>
      </c>
      <c r="DP172" s="173">
        <v>42612</v>
      </c>
      <c r="DQ172" s="34">
        <v>56086</v>
      </c>
      <c r="DR172" s="173">
        <v>119163</v>
      </c>
      <c r="DS172" s="173">
        <v>-75742</v>
      </c>
      <c r="DT172">
        <v>80640</v>
      </c>
      <c r="DU172">
        <v>632599</v>
      </c>
      <c r="DV172" s="173">
        <v>1216934</v>
      </c>
      <c r="DW172" s="173">
        <v>43035</v>
      </c>
      <c r="DX172" s="173">
        <v>855385</v>
      </c>
      <c r="DY172" s="57">
        <v>20</v>
      </c>
      <c r="DZ172" s="184">
        <v>120</v>
      </c>
      <c r="EA172" s="116">
        <v>203567</v>
      </c>
      <c r="EB172" s="48">
        <v>766896</v>
      </c>
      <c r="EC172" s="46">
        <v>273284</v>
      </c>
      <c r="ED172" s="90">
        <v>264252</v>
      </c>
      <c r="EE172" s="186">
        <v>2354</v>
      </c>
      <c r="EF172" s="46">
        <v>665006</v>
      </c>
      <c r="EG172" s="130">
        <v>45173</v>
      </c>
      <c r="EH172" s="46">
        <v>56717</v>
      </c>
      <c r="EI172" s="130">
        <v>57897</v>
      </c>
      <c r="EJ172" s="48">
        <v>-85881</v>
      </c>
      <c r="EK172" s="44">
        <v>81437</v>
      </c>
      <c r="EL172" s="44">
        <v>645507</v>
      </c>
      <c r="EM172" s="130">
        <v>1248889</v>
      </c>
      <c r="EN172" s="117">
        <v>-19309</v>
      </c>
      <c r="EO172" s="117">
        <v>837326</v>
      </c>
      <c r="EP172" s="129">
        <v>20</v>
      </c>
    </row>
    <row r="173" spans="1:146" ht="15" x14ac:dyDescent="0.25">
      <c r="A173" s="27">
        <v>309</v>
      </c>
      <c r="B173" s="27" t="s">
        <v>300</v>
      </c>
      <c r="C173" s="27">
        <v>12</v>
      </c>
      <c r="D173" s="27" t="s">
        <v>116</v>
      </c>
      <c r="E173" s="27">
        <v>3</v>
      </c>
      <c r="F173" s="27" t="s">
        <v>743</v>
      </c>
      <c r="G173" s="29" t="s">
        <v>132</v>
      </c>
      <c r="H173" s="27" t="s">
        <v>99</v>
      </c>
      <c r="I173" s="31" t="s">
        <v>116</v>
      </c>
      <c r="J173" s="118">
        <v>-316.02511382117922</v>
      </c>
      <c r="K173" s="118">
        <v>-1082.4574947062849</v>
      </c>
      <c r="L173" s="118">
        <v>2886.7775697853754</v>
      </c>
      <c r="M173" s="118">
        <v>2921.2560947099851</v>
      </c>
      <c r="N173" s="22">
        <v>3912</v>
      </c>
      <c r="O173" s="119">
        <v>2014</v>
      </c>
      <c r="P173" s="119">
        <v>923</v>
      </c>
      <c r="Q173" s="120">
        <v>-1043</v>
      </c>
      <c r="R173" s="22">
        <v>-419</v>
      </c>
      <c r="S173" s="22">
        <v>-603</v>
      </c>
      <c r="T173" s="121">
        <v>-1869</v>
      </c>
      <c r="U173" s="121">
        <v>-3568</v>
      </c>
      <c r="V173" s="121">
        <v>-1646</v>
      </c>
      <c r="W173" s="106">
        <v>-2207</v>
      </c>
      <c r="X173" s="121">
        <v>-4672</v>
      </c>
      <c r="Y173" s="121">
        <v>-4012</v>
      </c>
      <c r="Z173" s="121">
        <v>-1650</v>
      </c>
      <c r="AA173" s="121">
        <v>1121</v>
      </c>
      <c r="AB173" s="122">
        <v>18</v>
      </c>
      <c r="AC173" s="123">
        <v>18</v>
      </c>
      <c r="AD173" s="124">
        <v>18.5</v>
      </c>
      <c r="AE173" s="125">
        <v>18.5</v>
      </c>
      <c r="AF173" s="126">
        <v>18.5</v>
      </c>
      <c r="AG173" s="123">
        <v>18.5</v>
      </c>
      <c r="AH173" s="123">
        <v>18.5</v>
      </c>
      <c r="AI173" s="131">
        <v>19.5</v>
      </c>
      <c r="AJ173" s="131">
        <v>19.5</v>
      </c>
      <c r="AK173" s="22">
        <v>19.5</v>
      </c>
      <c r="AL173" s="128">
        <v>19.5</v>
      </c>
      <c r="AM173" s="128">
        <v>19.5</v>
      </c>
      <c r="AN173" s="128">
        <v>20.5</v>
      </c>
      <c r="AO173" s="77">
        <v>20.5</v>
      </c>
      <c r="AP173" s="77">
        <v>21.25</v>
      </c>
      <c r="AQ173" s="129">
        <v>21.25</v>
      </c>
      <c r="AR173" s="129">
        <v>22.25</v>
      </c>
      <c r="AS173" s="129">
        <v>22.25</v>
      </c>
      <c r="AT173" s="116">
        <v>7262</v>
      </c>
      <c r="AU173" s="47">
        <v>6875</v>
      </c>
      <c r="AV173" s="47">
        <v>46735</v>
      </c>
      <c r="AW173" s="46">
        <v>22294</v>
      </c>
      <c r="AX173" s="46">
        <v>20073</v>
      </c>
      <c r="AY173" s="92">
        <v>623</v>
      </c>
      <c r="AZ173" s="47">
        <v>2898</v>
      </c>
      <c r="BA173" s="44">
        <v>2138</v>
      </c>
      <c r="BB173" s="23">
        <v>-2004</v>
      </c>
      <c r="BC173" s="47">
        <v>760</v>
      </c>
      <c r="BD173" s="44">
        <v>660</v>
      </c>
      <c r="BE173" s="47">
        <v>-4012</v>
      </c>
      <c r="BF173" s="44">
        <v>22294</v>
      </c>
      <c r="BG173" s="46">
        <v>19765</v>
      </c>
      <c r="BH173" s="130">
        <v>1104</v>
      </c>
      <c r="BI173" s="46">
        <v>1425</v>
      </c>
      <c r="BJ173" s="129">
        <v>21.25</v>
      </c>
      <c r="BK173" s="44">
        <v>15655</v>
      </c>
      <c r="BL173" s="116">
        <v>7172</v>
      </c>
      <c r="BM173" s="47">
        <v>7135</v>
      </c>
      <c r="BN173" s="130">
        <v>46594</v>
      </c>
      <c r="BO173" s="46">
        <v>23245</v>
      </c>
      <c r="BP173" s="46">
        <v>19822</v>
      </c>
      <c r="BQ173" s="46">
        <v>508</v>
      </c>
      <c r="BR173" s="130">
        <v>3899</v>
      </c>
      <c r="BS173" s="44">
        <v>1488</v>
      </c>
      <c r="BT173" s="92">
        <v>-2371</v>
      </c>
      <c r="BU173" s="117">
        <v>2362</v>
      </c>
      <c r="BV173" s="130">
        <v>-1650</v>
      </c>
      <c r="BW173" s="48">
        <v>23245</v>
      </c>
      <c r="BX173" s="46">
        <v>20016</v>
      </c>
      <c r="BY173" s="130">
        <v>1469</v>
      </c>
      <c r="BZ173" s="46">
        <v>1760</v>
      </c>
      <c r="CA173" s="129">
        <v>22.25</v>
      </c>
      <c r="CB173" s="44">
        <v>17185</v>
      </c>
      <c r="CC173" s="116">
        <v>7139</v>
      </c>
      <c r="CD173" s="47">
        <v>7387</v>
      </c>
      <c r="CE173" s="130">
        <v>46847</v>
      </c>
      <c r="CF173" s="46">
        <v>23613</v>
      </c>
      <c r="CG173" s="46">
        <v>20069</v>
      </c>
      <c r="CH173" s="46">
        <v>821</v>
      </c>
      <c r="CI173" s="130">
        <v>4542</v>
      </c>
      <c r="CJ173" s="44">
        <v>1734</v>
      </c>
      <c r="CK173" s="117">
        <v>-2051</v>
      </c>
      <c r="CL173" s="117">
        <v>2761</v>
      </c>
      <c r="CM173" s="117">
        <v>1121</v>
      </c>
      <c r="CN173" s="48">
        <v>23613</v>
      </c>
      <c r="CO173" s="46">
        <v>20287</v>
      </c>
      <c r="CP173" s="130">
        <v>1766</v>
      </c>
      <c r="CQ173" s="46">
        <v>1560</v>
      </c>
      <c r="CR173" s="129">
        <v>22.25</v>
      </c>
      <c r="CS173" s="44">
        <v>14236</v>
      </c>
      <c r="CT173">
        <v>7091</v>
      </c>
      <c r="CU173">
        <v>22970</v>
      </c>
      <c r="CV173">
        <v>20578</v>
      </c>
      <c r="CW173">
        <v>6712</v>
      </c>
      <c r="CX173">
        <v>515</v>
      </c>
      <c r="CY173">
        <v>19876</v>
      </c>
      <c r="CZ173">
        <v>1319</v>
      </c>
      <c r="DA173">
        <v>1775</v>
      </c>
      <c r="DB173">
        <v>3049</v>
      </c>
      <c r="DC173">
        <v>-4316</v>
      </c>
      <c r="DD173">
        <v>1735</v>
      </c>
      <c r="DE173">
        <v>13537</v>
      </c>
      <c r="DF173">
        <v>47582</v>
      </c>
      <c r="DG173">
        <v>1612</v>
      </c>
      <c r="DH173">
        <v>2733</v>
      </c>
      <c r="DI173">
        <v>22.25</v>
      </c>
      <c r="DJ173" s="174">
        <v>7003</v>
      </c>
      <c r="DK173" s="34">
        <v>22365</v>
      </c>
      <c r="DL173" s="34">
        <v>20714</v>
      </c>
      <c r="DM173">
        <v>7366</v>
      </c>
      <c r="DN173" s="173">
        <v>769</v>
      </c>
      <c r="DO173" s="34">
        <v>19165</v>
      </c>
      <c r="DP173" s="173">
        <v>1436</v>
      </c>
      <c r="DQ173" s="34">
        <v>1764</v>
      </c>
      <c r="DR173" s="173">
        <v>4156</v>
      </c>
      <c r="DS173" s="173">
        <v>-1565</v>
      </c>
      <c r="DT173">
        <v>2263</v>
      </c>
      <c r="DU173">
        <v>12758</v>
      </c>
      <c r="DV173" s="173">
        <v>46688</v>
      </c>
      <c r="DW173" s="173">
        <v>2257</v>
      </c>
      <c r="DX173" s="173">
        <v>4990</v>
      </c>
      <c r="DY173" s="57">
        <v>21.75</v>
      </c>
      <c r="DZ173" s="184">
        <v>240</v>
      </c>
      <c r="EA173" s="116">
        <v>6803</v>
      </c>
      <c r="EB173" s="48">
        <v>21362</v>
      </c>
      <c r="EC173" s="46">
        <v>20744</v>
      </c>
      <c r="ED173" s="90">
        <v>7335</v>
      </c>
      <c r="EE173" s="186">
        <v>423</v>
      </c>
      <c r="EF173" s="46">
        <v>18390</v>
      </c>
      <c r="EG173" s="130">
        <v>1246</v>
      </c>
      <c r="EH173" s="46">
        <v>1726</v>
      </c>
      <c r="EI173" s="130">
        <v>2490</v>
      </c>
      <c r="EJ173" s="48">
        <v>-1356</v>
      </c>
      <c r="EK173" s="44">
        <v>1972</v>
      </c>
      <c r="EL173" s="44">
        <v>11637</v>
      </c>
      <c r="EM173" s="130">
        <v>47374</v>
      </c>
      <c r="EN173" s="117">
        <v>513</v>
      </c>
      <c r="EO173" s="117">
        <v>5503</v>
      </c>
      <c r="EP173" s="129">
        <v>21.75</v>
      </c>
    </row>
    <row r="174" spans="1:146" ht="15" x14ac:dyDescent="0.25">
      <c r="A174" s="27">
        <v>576</v>
      </c>
      <c r="B174" s="27" t="s">
        <v>301</v>
      </c>
      <c r="C174" s="27">
        <v>7</v>
      </c>
      <c r="D174" s="27" t="s">
        <v>119</v>
      </c>
      <c r="E174" s="27">
        <v>2</v>
      </c>
      <c r="F174" s="27" t="s">
        <v>744</v>
      </c>
      <c r="G174" s="29" t="s">
        <v>130</v>
      </c>
      <c r="H174" s="27" t="s">
        <v>98</v>
      </c>
      <c r="I174" s="31" t="s">
        <v>119</v>
      </c>
      <c r="J174" s="85">
        <v>1058.9111850016734</v>
      </c>
      <c r="K174" s="85">
        <v>1065.6387020601339</v>
      </c>
      <c r="L174" s="85">
        <v>997.69077976968345</v>
      </c>
      <c r="M174" s="85">
        <v>384.47759989101428</v>
      </c>
      <c r="N174" s="85">
        <v>-814</v>
      </c>
      <c r="O174" s="85">
        <v>-78</v>
      </c>
      <c r="P174" s="85">
        <v>-191</v>
      </c>
      <c r="Q174" s="85">
        <v>-156</v>
      </c>
      <c r="R174" s="85">
        <v>-224</v>
      </c>
      <c r="S174" s="85">
        <v>869</v>
      </c>
      <c r="T174" s="85">
        <v>293</v>
      </c>
      <c r="U174" s="85">
        <v>802</v>
      </c>
      <c r="V174" s="85">
        <v>1139</v>
      </c>
      <c r="W174" s="106">
        <v>2093</v>
      </c>
      <c r="X174" s="85">
        <v>2176</v>
      </c>
      <c r="Y174" s="85">
        <v>2204</v>
      </c>
      <c r="Z174" s="85">
        <v>2637</v>
      </c>
      <c r="AA174" s="85">
        <v>3143</v>
      </c>
      <c r="AB174" s="133">
        <v>18</v>
      </c>
      <c r="AC174" s="134">
        <v>18</v>
      </c>
      <c r="AD174" s="135">
        <v>18</v>
      </c>
      <c r="AE174" s="136">
        <v>18</v>
      </c>
      <c r="AF174" s="137">
        <v>18</v>
      </c>
      <c r="AG174" s="134">
        <v>18</v>
      </c>
      <c r="AH174" s="134">
        <v>18</v>
      </c>
      <c r="AI174" s="138">
        <v>18</v>
      </c>
      <c r="AJ174" s="138">
        <v>18.5</v>
      </c>
      <c r="AK174" s="139">
        <v>18.5</v>
      </c>
      <c r="AL174" s="140">
        <v>18.5</v>
      </c>
      <c r="AM174" s="140">
        <v>19</v>
      </c>
      <c r="AN174" s="140">
        <v>19.5</v>
      </c>
      <c r="AO174" s="77">
        <v>19.75</v>
      </c>
      <c r="AP174" s="77">
        <v>19.75</v>
      </c>
      <c r="AQ174" s="129">
        <v>20</v>
      </c>
      <c r="AR174" s="129">
        <v>20</v>
      </c>
      <c r="AS174" s="129">
        <v>21</v>
      </c>
      <c r="AT174" s="116">
        <v>3279</v>
      </c>
      <c r="AU174" s="47">
        <v>3054</v>
      </c>
      <c r="AV174" s="47">
        <v>21412</v>
      </c>
      <c r="AW174" s="46">
        <v>9569</v>
      </c>
      <c r="AX174" s="46">
        <v>9707</v>
      </c>
      <c r="AY174" s="92">
        <v>500</v>
      </c>
      <c r="AZ174" s="47">
        <v>1274</v>
      </c>
      <c r="BA174" s="44">
        <v>1295</v>
      </c>
      <c r="BB174" s="23">
        <v>-2327</v>
      </c>
      <c r="BC174" s="47">
        <v>-21</v>
      </c>
      <c r="BD174" s="44">
        <v>28</v>
      </c>
      <c r="BE174" s="47">
        <v>2204</v>
      </c>
      <c r="BF174" s="44">
        <v>9569</v>
      </c>
      <c r="BG174" s="46">
        <v>7849</v>
      </c>
      <c r="BH174" s="130">
        <v>820</v>
      </c>
      <c r="BI174" s="46">
        <v>900</v>
      </c>
      <c r="BJ174" s="129">
        <v>20</v>
      </c>
      <c r="BK174" s="44">
        <v>9221</v>
      </c>
      <c r="BL174" s="116">
        <v>3197</v>
      </c>
      <c r="BM174" s="47">
        <v>3301</v>
      </c>
      <c r="BN174" s="130">
        <v>21961</v>
      </c>
      <c r="BO174" s="46">
        <v>10312</v>
      </c>
      <c r="BP174" s="46">
        <v>9868</v>
      </c>
      <c r="BQ174" s="46">
        <v>270</v>
      </c>
      <c r="BR174" s="130">
        <v>1790</v>
      </c>
      <c r="BS174" s="44">
        <v>1459</v>
      </c>
      <c r="BT174" s="92">
        <v>-1166</v>
      </c>
      <c r="BU174" s="117">
        <v>434</v>
      </c>
      <c r="BV174" s="130">
        <v>2637</v>
      </c>
      <c r="BW174" s="48">
        <v>10312</v>
      </c>
      <c r="BX174" s="46">
        <v>8009</v>
      </c>
      <c r="BY174" s="130">
        <v>958</v>
      </c>
      <c r="BZ174" s="46">
        <v>1345</v>
      </c>
      <c r="CA174" s="129">
        <v>20</v>
      </c>
      <c r="CB174" s="44">
        <v>9347</v>
      </c>
      <c r="CC174" s="116">
        <v>3143</v>
      </c>
      <c r="CD174" s="47">
        <v>3297</v>
      </c>
      <c r="CE174" s="130">
        <v>21983</v>
      </c>
      <c r="CF174" s="46">
        <v>10873</v>
      </c>
      <c r="CG174" s="46">
        <v>9689</v>
      </c>
      <c r="CH174" s="46">
        <v>157</v>
      </c>
      <c r="CI174" s="130">
        <v>1925</v>
      </c>
      <c r="CJ174" s="44">
        <v>1493</v>
      </c>
      <c r="CK174" s="117">
        <v>-1995</v>
      </c>
      <c r="CL174" s="117">
        <v>506</v>
      </c>
      <c r="CM174" s="117">
        <v>3143</v>
      </c>
      <c r="CN174" s="48">
        <v>10873</v>
      </c>
      <c r="CO174" s="46">
        <v>8296</v>
      </c>
      <c r="CP174" s="130">
        <v>1184</v>
      </c>
      <c r="CQ174" s="46">
        <v>1393</v>
      </c>
      <c r="CR174" s="129">
        <v>21</v>
      </c>
      <c r="CS174" s="44">
        <v>8623</v>
      </c>
      <c r="CT174">
        <v>3073</v>
      </c>
      <c r="CU174">
        <v>10959</v>
      </c>
      <c r="CV174">
        <v>9949</v>
      </c>
      <c r="CW174">
        <v>2861</v>
      </c>
      <c r="CX174">
        <v>54</v>
      </c>
      <c r="CY174">
        <v>8425</v>
      </c>
      <c r="CZ174">
        <v>1140</v>
      </c>
      <c r="DA174">
        <v>1394</v>
      </c>
      <c r="DB174">
        <v>1044</v>
      </c>
      <c r="DC174">
        <v>-1608</v>
      </c>
      <c r="DD174">
        <v>1555</v>
      </c>
      <c r="DE174">
        <v>8914</v>
      </c>
      <c r="DF174">
        <v>22295</v>
      </c>
      <c r="DG174">
        <v>-335</v>
      </c>
      <c r="DH174">
        <v>2809</v>
      </c>
      <c r="DI174">
        <v>21</v>
      </c>
      <c r="DJ174" s="174">
        <v>3027</v>
      </c>
      <c r="DK174" s="34">
        <v>10714</v>
      </c>
      <c r="DL174" s="34">
        <v>9557</v>
      </c>
      <c r="DM174">
        <v>3093</v>
      </c>
      <c r="DN174" s="173">
        <v>79</v>
      </c>
      <c r="DO174" s="34">
        <v>7978</v>
      </c>
      <c r="DP174" s="173">
        <v>1271</v>
      </c>
      <c r="DQ174" s="34">
        <v>1465</v>
      </c>
      <c r="DR174" s="173">
        <v>2078</v>
      </c>
      <c r="DS174" s="173">
        <v>-1475</v>
      </c>
      <c r="DT174">
        <v>1596</v>
      </c>
      <c r="DU174">
        <v>8558</v>
      </c>
      <c r="DV174" s="173">
        <v>21365</v>
      </c>
      <c r="DW174" s="173">
        <v>696</v>
      </c>
      <c r="DX174" s="173">
        <v>3505</v>
      </c>
      <c r="DY174" s="57">
        <v>21</v>
      </c>
      <c r="DZ174" s="184">
        <v>340</v>
      </c>
      <c r="EA174" s="116">
        <v>2963</v>
      </c>
      <c r="EB174" s="48">
        <v>10764</v>
      </c>
      <c r="EC174" s="46">
        <v>9437</v>
      </c>
      <c r="ED174" s="90">
        <v>3067</v>
      </c>
      <c r="EE174" s="186">
        <v>-24</v>
      </c>
      <c r="EF174" s="46">
        <v>8126</v>
      </c>
      <c r="EG174" s="130">
        <v>1172</v>
      </c>
      <c r="EH174" s="46">
        <v>1466</v>
      </c>
      <c r="EI174" s="130">
        <v>1128</v>
      </c>
      <c r="EJ174" s="48">
        <v>-1232</v>
      </c>
      <c r="EK174" s="44">
        <v>1588</v>
      </c>
      <c r="EL174" s="44">
        <v>8547</v>
      </c>
      <c r="EM174" s="130">
        <v>22116</v>
      </c>
      <c r="EN174" s="117">
        <v>-220</v>
      </c>
      <c r="EO174" s="117">
        <v>3285</v>
      </c>
      <c r="EP174" s="129">
        <v>21</v>
      </c>
    </row>
    <row r="175" spans="1:146" ht="15" x14ac:dyDescent="0.25">
      <c r="A175" s="27">
        <v>577</v>
      </c>
      <c r="B175" s="27" t="s">
        <v>302</v>
      </c>
      <c r="C175" s="27">
        <v>2</v>
      </c>
      <c r="D175" s="27" t="s">
        <v>122</v>
      </c>
      <c r="E175" s="27">
        <v>4</v>
      </c>
      <c r="F175" s="27" t="s">
        <v>100</v>
      </c>
      <c r="G175" s="29" t="s">
        <v>132</v>
      </c>
      <c r="H175" s="27" t="s">
        <v>99</v>
      </c>
      <c r="I175" s="31" t="s">
        <v>122</v>
      </c>
      <c r="J175" s="118">
        <v>-453.2664618137722</v>
      </c>
      <c r="K175" s="118">
        <v>859.77668007124441</v>
      </c>
      <c r="L175" s="118">
        <v>47.597183188607623</v>
      </c>
      <c r="M175" s="118">
        <v>-289.95598521964502</v>
      </c>
      <c r="N175" s="177">
        <v>2361</v>
      </c>
      <c r="O175" s="119">
        <v>2178</v>
      </c>
      <c r="P175" s="119">
        <v>105</v>
      </c>
      <c r="Q175" s="120">
        <v>126</v>
      </c>
      <c r="R175" s="177">
        <v>119</v>
      </c>
      <c r="S175" s="177">
        <v>1550</v>
      </c>
      <c r="T175" s="121">
        <v>-296</v>
      </c>
      <c r="U175" s="121">
        <v>-4433</v>
      </c>
      <c r="V175" s="121">
        <v>-6572</v>
      </c>
      <c r="W175" s="106">
        <v>-6758</v>
      </c>
      <c r="X175" s="121">
        <v>-7095</v>
      </c>
      <c r="Y175" s="121">
        <v>14048</v>
      </c>
      <c r="Z175" s="121">
        <v>11204</v>
      </c>
      <c r="AA175" s="121">
        <v>7676</v>
      </c>
      <c r="AB175" s="122">
        <v>17.5</v>
      </c>
      <c r="AC175" s="123">
        <v>17.5</v>
      </c>
      <c r="AD175" s="124">
        <v>17.5</v>
      </c>
      <c r="AE175" s="125">
        <v>17.5</v>
      </c>
      <c r="AF175" s="126">
        <v>18</v>
      </c>
      <c r="AG175" s="123">
        <v>18</v>
      </c>
      <c r="AH175" s="123">
        <v>18</v>
      </c>
      <c r="AI175" s="131">
        <v>18</v>
      </c>
      <c r="AJ175" s="131">
        <v>18.75</v>
      </c>
      <c r="AK175" s="177">
        <v>18.75</v>
      </c>
      <c r="AL175" s="128">
        <v>18.75</v>
      </c>
      <c r="AM175" s="128">
        <v>18.75</v>
      </c>
      <c r="AN175" s="128">
        <v>19.5</v>
      </c>
      <c r="AO175" s="77">
        <v>19.5</v>
      </c>
      <c r="AP175" s="77">
        <v>19.75</v>
      </c>
      <c r="AQ175" s="129">
        <v>19.75</v>
      </c>
      <c r="AR175" s="129">
        <v>20.25</v>
      </c>
      <c r="AS175" s="129">
        <v>20.75</v>
      </c>
      <c r="AT175" s="116">
        <v>10590</v>
      </c>
      <c r="AU175" s="47">
        <v>8451</v>
      </c>
      <c r="AV175" s="47">
        <v>60167</v>
      </c>
      <c r="AW175" s="46">
        <v>39257</v>
      </c>
      <c r="AX175" s="46">
        <v>13161</v>
      </c>
      <c r="AY175" s="92">
        <v>22941</v>
      </c>
      <c r="AZ175" s="47">
        <v>674</v>
      </c>
      <c r="BA175" s="44">
        <v>2055</v>
      </c>
      <c r="BB175" s="23">
        <v>17532</v>
      </c>
      <c r="BC175" s="47">
        <v>21059</v>
      </c>
      <c r="BD175" s="44">
        <v>21143</v>
      </c>
      <c r="BE175" s="47">
        <v>14048</v>
      </c>
      <c r="BF175" s="44">
        <v>39257</v>
      </c>
      <c r="BG175" s="46">
        <v>36498</v>
      </c>
      <c r="BH175" s="130">
        <v>1191</v>
      </c>
      <c r="BI175" s="46">
        <v>1568</v>
      </c>
      <c r="BJ175" s="129">
        <v>19.75</v>
      </c>
      <c r="BK175" s="44">
        <v>36210</v>
      </c>
      <c r="BL175" s="116">
        <v>10628</v>
      </c>
      <c r="BM175" s="47">
        <v>7188</v>
      </c>
      <c r="BN175" s="130">
        <v>59355</v>
      </c>
      <c r="BO175" s="46">
        <v>38172</v>
      </c>
      <c r="BP175" s="46">
        <v>12892</v>
      </c>
      <c r="BQ175" s="46">
        <v>417</v>
      </c>
      <c r="BR175" s="130">
        <v>-1189</v>
      </c>
      <c r="BS175" s="44">
        <v>1739</v>
      </c>
      <c r="BT175" s="92">
        <v>-3694</v>
      </c>
      <c r="BU175" s="117">
        <v>-2844</v>
      </c>
      <c r="BV175" s="130">
        <v>11204</v>
      </c>
      <c r="BW175" s="48">
        <v>38172</v>
      </c>
      <c r="BX175" s="46">
        <v>35343</v>
      </c>
      <c r="BY175" s="130">
        <v>1111</v>
      </c>
      <c r="BZ175" s="46">
        <v>1718</v>
      </c>
      <c r="CA175" s="129">
        <v>20.25</v>
      </c>
      <c r="CB175" s="44">
        <v>39852</v>
      </c>
      <c r="CC175" s="116">
        <v>10620</v>
      </c>
      <c r="CD175" s="47">
        <v>7243</v>
      </c>
      <c r="CE175" s="130">
        <v>62397</v>
      </c>
      <c r="CF175" s="46">
        <v>40456</v>
      </c>
      <c r="CG175" s="46">
        <v>12948</v>
      </c>
      <c r="CH175" s="46">
        <v>817</v>
      </c>
      <c r="CI175" s="130">
        <v>-1803</v>
      </c>
      <c r="CJ175" s="44">
        <v>1808</v>
      </c>
      <c r="CK175" s="117">
        <v>-5596</v>
      </c>
      <c r="CL175" s="117">
        <v>-3527</v>
      </c>
      <c r="CM175" s="117">
        <v>7676</v>
      </c>
      <c r="CN175" s="48">
        <v>40456</v>
      </c>
      <c r="CO175" s="46">
        <v>37138</v>
      </c>
      <c r="CP175" s="130">
        <v>1354</v>
      </c>
      <c r="CQ175" s="46">
        <v>1964</v>
      </c>
      <c r="CR175" s="129">
        <v>20.75</v>
      </c>
      <c r="CS175" s="44">
        <v>48295</v>
      </c>
      <c r="CT175">
        <v>10713</v>
      </c>
      <c r="CU175">
        <v>42090</v>
      </c>
      <c r="CV175">
        <v>14305</v>
      </c>
      <c r="CW175">
        <v>7360</v>
      </c>
      <c r="CX175">
        <v>517</v>
      </c>
      <c r="CY175">
        <v>38973</v>
      </c>
      <c r="CZ175">
        <v>1307</v>
      </c>
      <c r="DA175">
        <v>1810</v>
      </c>
      <c r="DB175">
        <v>2829</v>
      </c>
      <c r="DC175">
        <v>-3210</v>
      </c>
      <c r="DD175">
        <v>1875</v>
      </c>
      <c r="DE175">
        <v>49548</v>
      </c>
      <c r="DF175">
        <v>61443</v>
      </c>
      <c r="DG175">
        <v>845</v>
      </c>
      <c r="DH175">
        <v>9362</v>
      </c>
      <c r="DI175">
        <v>20.75</v>
      </c>
      <c r="DJ175" s="174">
        <v>10730</v>
      </c>
      <c r="DK175" s="34">
        <v>42092</v>
      </c>
      <c r="DL175" s="34">
        <v>13707</v>
      </c>
      <c r="DM175">
        <v>8118</v>
      </c>
      <c r="DN175" s="173">
        <v>620</v>
      </c>
      <c r="DO175" s="34">
        <v>38296</v>
      </c>
      <c r="DP175" s="173">
        <v>1494</v>
      </c>
      <c r="DQ175" s="34">
        <v>2302</v>
      </c>
      <c r="DR175" s="173">
        <v>5321</v>
      </c>
      <c r="DS175" s="173">
        <v>-672</v>
      </c>
      <c r="DT175">
        <v>1770</v>
      </c>
      <c r="DU175">
        <v>46700</v>
      </c>
      <c r="DV175" s="173">
        <v>59216</v>
      </c>
      <c r="DW175" s="173">
        <v>3635</v>
      </c>
      <c r="DX175" s="173">
        <v>12998</v>
      </c>
      <c r="DY175" s="57">
        <v>20.75</v>
      </c>
      <c r="DZ175" s="184">
        <v>220</v>
      </c>
      <c r="EA175" s="116">
        <v>10832</v>
      </c>
      <c r="EB175" s="48">
        <v>41088</v>
      </c>
      <c r="EC175" s="46">
        <v>13443</v>
      </c>
      <c r="ED175" s="90">
        <v>6665</v>
      </c>
      <c r="EE175" s="186">
        <v>644</v>
      </c>
      <c r="EF175" s="46">
        <v>37406</v>
      </c>
      <c r="EG175" s="130">
        <v>1345</v>
      </c>
      <c r="EH175" s="46">
        <v>2337</v>
      </c>
      <c r="EI175" s="130">
        <v>528</v>
      </c>
      <c r="EJ175" s="48">
        <v>-4494</v>
      </c>
      <c r="EK175" s="44">
        <v>1904</v>
      </c>
      <c r="EL175" s="44">
        <v>50653</v>
      </c>
      <c r="EM175" s="130">
        <v>61312</v>
      </c>
      <c r="EN175" s="117">
        <v>-1292</v>
      </c>
      <c r="EO175" s="117">
        <v>11705</v>
      </c>
      <c r="EP175" s="129">
        <v>20.75</v>
      </c>
    </row>
    <row r="176" spans="1:146" ht="15" x14ac:dyDescent="0.25">
      <c r="A176" s="27">
        <v>578</v>
      </c>
      <c r="B176" s="27" t="s">
        <v>303</v>
      </c>
      <c r="C176" s="27">
        <v>18</v>
      </c>
      <c r="D176" s="27" t="s">
        <v>108</v>
      </c>
      <c r="E176" s="27">
        <v>2</v>
      </c>
      <c r="F176" s="27" t="s">
        <v>744</v>
      </c>
      <c r="G176" s="29" t="s">
        <v>130</v>
      </c>
      <c r="H176" s="27" t="s">
        <v>98</v>
      </c>
      <c r="I176" s="31" t="s">
        <v>108</v>
      </c>
      <c r="J176" s="118">
        <v>-11.941342778767282</v>
      </c>
      <c r="K176" s="118">
        <v>-255.64564822149677</v>
      </c>
      <c r="L176" s="118">
        <v>-1016.8642033862957</v>
      </c>
      <c r="M176" s="118">
        <v>-957.3256774189208</v>
      </c>
      <c r="N176" s="22">
        <v>-333</v>
      </c>
      <c r="O176" s="119">
        <v>97</v>
      </c>
      <c r="P176" s="119">
        <v>1237</v>
      </c>
      <c r="Q176" s="120">
        <v>997</v>
      </c>
      <c r="R176" s="22">
        <v>467</v>
      </c>
      <c r="S176" s="22">
        <v>116</v>
      </c>
      <c r="T176" s="121">
        <v>12</v>
      </c>
      <c r="U176" s="121">
        <v>451</v>
      </c>
      <c r="V176" s="121">
        <v>1434</v>
      </c>
      <c r="W176" s="106">
        <v>1377</v>
      </c>
      <c r="X176" s="121">
        <v>435</v>
      </c>
      <c r="Y176" s="121">
        <v>612</v>
      </c>
      <c r="Z176" s="121">
        <v>932</v>
      </c>
      <c r="AA176" s="121">
        <v>1248</v>
      </c>
      <c r="AB176" s="122">
        <v>18.5</v>
      </c>
      <c r="AC176" s="123">
        <v>18.5</v>
      </c>
      <c r="AD176" s="124">
        <v>19</v>
      </c>
      <c r="AE176" s="125">
        <v>19</v>
      </c>
      <c r="AF176" s="126">
        <v>19</v>
      </c>
      <c r="AG176" s="123">
        <v>19</v>
      </c>
      <c r="AH176" s="123">
        <v>19</v>
      </c>
      <c r="AI176" s="127">
        <v>19</v>
      </c>
      <c r="AJ176" s="127">
        <v>19</v>
      </c>
      <c r="AK176" s="22">
        <v>19</v>
      </c>
      <c r="AL176" s="128">
        <v>19.75</v>
      </c>
      <c r="AM176" s="128">
        <v>19.75</v>
      </c>
      <c r="AN176" s="128">
        <v>20.5</v>
      </c>
      <c r="AO176" s="77">
        <v>20.5</v>
      </c>
      <c r="AP176" s="77">
        <v>20.5</v>
      </c>
      <c r="AQ176" s="129">
        <v>21</v>
      </c>
      <c r="AR176" s="129">
        <v>22</v>
      </c>
      <c r="AS176" s="129">
        <v>22</v>
      </c>
      <c r="AT176" s="116">
        <v>3620</v>
      </c>
      <c r="AU176" s="47">
        <v>3223</v>
      </c>
      <c r="AV176" s="47">
        <v>25032</v>
      </c>
      <c r="AW176" s="46">
        <v>10712</v>
      </c>
      <c r="AX176" s="46">
        <v>12323</v>
      </c>
      <c r="AY176" s="92">
        <v>201</v>
      </c>
      <c r="AZ176" s="47">
        <v>1219</v>
      </c>
      <c r="BA176" s="44">
        <v>1079</v>
      </c>
      <c r="BB176" s="23">
        <v>-698</v>
      </c>
      <c r="BC176" s="47">
        <v>140</v>
      </c>
      <c r="BD176" s="44">
        <v>161</v>
      </c>
      <c r="BE176" s="47">
        <v>612</v>
      </c>
      <c r="BF176" s="44">
        <v>10712</v>
      </c>
      <c r="BG176" s="46">
        <v>9063</v>
      </c>
      <c r="BH176" s="130">
        <v>463</v>
      </c>
      <c r="BI176" s="46">
        <v>1186</v>
      </c>
      <c r="BJ176" s="129">
        <v>21</v>
      </c>
      <c r="BK176" s="44">
        <v>12908</v>
      </c>
      <c r="BL176" s="116">
        <v>3564</v>
      </c>
      <c r="BM176" s="47">
        <v>3436</v>
      </c>
      <c r="BN176" s="130">
        <v>24762</v>
      </c>
      <c r="BO176" s="46">
        <v>10724</v>
      </c>
      <c r="BP176" s="46">
        <v>12152</v>
      </c>
      <c r="BQ176" s="46">
        <v>7</v>
      </c>
      <c r="BR176" s="130">
        <v>1362</v>
      </c>
      <c r="BS176" s="44">
        <v>1063</v>
      </c>
      <c r="BT176" s="92">
        <v>41</v>
      </c>
      <c r="BU176" s="117">
        <v>320</v>
      </c>
      <c r="BV176" s="130">
        <v>932</v>
      </c>
      <c r="BW176" s="48">
        <v>10724</v>
      </c>
      <c r="BX176" s="46">
        <v>8897</v>
      </c>
      <c r="BY176" s="130">
        <v>554</v>
      </c>
      <c r="BZ176" s="46">
        <v>1273</v>
      </c>
      <c r="CA176" s="129">
        <v>22</v>
      </c>
      <c r="CB176" s="44">
        <v>11495</v>
      </c>
      <c r="CC176" s="116">
        <v>3488</v>
      </c>
      <c r="CD176" s="47">
        <v>3664</v>
      </c>
      <c r="CE176" s="130">
        <v>25681</v>
      </c>
      <c r="CF176" s="46">
        <v>11449</v>
      </c>
      <c r="CG176" s="46">
        <v>12297</v>
      </c>
      <c r="CH176" s="46">
        <v>14</v>
      </c>
      <c r="CI176" s="130">
        <v>1565</v>
      </c>
      <c r="CJ176" s="44">
        <v>1270</v>
      </c>
      <c r="CK176" s="117">
        <v>-1816</v>
      </c>
      <c r="CL176" s="117">
        <v>316</v>
      </c>
      <c r="CM176" s="117">
        <v>1248</v>
      </c>
      <c r="CN176" s="48">
        <v>11449</v>
      </c>
      <c r="CO176" s="46">
        <v>9507</v>
      </c>
      <c r="CP176" s="130">
        <v>685</v>
      </c>
      <c r="CQ176" s="46">
        <v>1257</v>
      </c>
      <c r="CR176" s="129">
        <v>22</v>
      </c>
      <c r="CS176" s="44">
        <v>11151</v>
      </c>
      <c r="CT176">
        <v>3491</v>
      </c>
      <c r="CU176">
        <v>11153</v>
      </c>
      <c r="CV176">
        <v>12645</v>
      </c>
      <c r="CW176">
        <v>3849</v>
      </c>
      <c r="CX176">
        <v>0</v>
      </c>
      <c r="CY176">
        <v>9257</v>
      </c>
      <c r="CZ176">
        <v>622</v>
      </c>
      <c r="DA176">
        <v>1274</v>
      </c>
      <c r="DB176">
        <v>1643</v>
      </c>
      <c r="DC176">
        <v>-1895</v>
      </c>
      <c r="DD176">
        <v>1034</v>
      </c>
      <c r="DE176">
        <v>12283</v>
      </c>
      <c r="DF176">
        <v>25879</v>
      </c>
      <c r="DG176">
        <v>629</v>
      </c>
      <c r="DH176">
        <v>1879</v>
      </c>
      <c r="DI176">
        <v>22</v>
      </c>
      <c r="DJ176" s="174">
        <v>3435</v>
      </c>
      <c r="DK176" s="34">
        <v>11317</v>
      </c>
      <c r="DL176" s="34">
        <v>12704</v>
      </c>
      <c r="DM176">
        <v>4496</v>
      </c>
      <c r="DN176" s="173">
        <v>509</v>
      </c>
      <c r="DO176" s="34">
        <v>9356</v>
      </c>
      <c r="DP176" s="173">
        <v>673</v>
      </c>
      <c r="DQ176" s="34">
        <v>1288</v>
      </c>
      <c r="DR176" s="173">
        <v>1276</v>
      </c>
      <c r="DS176" s="173">
        <v>-1903</v>
      </c>
      <c r="DT176">
        <v>1798</v>
      </c>
      <c r="DU176">
        <v>13616</v>
      </c>
      <c r="DV176" s="173">
        <v>27750</v>
      </c>
      <c r="DW176" s="173">
        <v>314</v>
      </c>
      <c r="DX176" s="173">
        <v>2193</v>
      </c>
      <c r="DY176" s="57">
        <v>22</v>
      </c>
      <c r="DZ176" s="184">
        <v>340</v>
      </c>
      <c r="EA176" s="116">
        <v>3336</v>
      </c>
      <c r="EB176" s="48">
        <v>10688</v>
      </c>
      <c r="EC176" s="46">
        <v>12940</v>
      </c>
      <c r="ED176" s="90">
        <v>4310</v>
      </c>
      <c r="EE176" s="186">
        <v>-57</v>
      </c>
      <c r="EF176" s="46">
        <v>8812</v>
      </c>
      <c r="EG176" s="130">
        <v>598</v>
      </c>
      <c r="EH176" s="46">
        <v>1278</v>
      </c>
      <c r="EI176" s="130">
        <v>312</v>
      </c>
      <c r="EJ176" s="48">
        <v>-1921</v>
      </c>
      <c r="EK176" s="44">
        <v>1269</v>
      </c>
      <c r="EL176" s="44">
        <v>14700</v>
      </c>
      <c r="EM176" s="130">
        <v>27569</v>
      </c>
      <c r="EN176" s="117">
        <v>-937</v>
      </c>
      <c r="EO176" s="117">
        <v>1256</v>
      </c>
      <c r="EP176" s="129">
        <v>22</v>
      </c>
    </row>
    <row r="177" spans="1:146" ht="15" x14ac:dyDescent="0.25">
      <c r="A177" s="27">
        <v>445</v>
      </c>
      <c r="B177" s="27" t="s">
        <v>563</v>
      </c>
      <c r="C177" s="27">
        <v>2</v>
      </c>
      <c r="D177" s="27" t="s">
        <v>122</v>
      </c>
      <c r="E177" s="27">
        <v>4</v>
      </c>
      <c r="F177" s="27" t="s">
        <v>100</v>
      </c>
      <c r="G177" s="29" t="s">
        <v>132</v>
      </c>
      <c r="H177" s="27" t="s">
        <v>99</v>
      </c>
      <c r="I177" s="31" t="s">
        <v>122</v>
      </c>
      <c r="J177" s="118">
        <v>-1831.0619553864706</v>
      </c>
      <c r="K177" s="118">
        <v>1554.2246284308235</v>
      </c>
      <c r="L177" s="118">
        <v>-962.03493935984307</v>
      </c>
      <c r="M177" s="118">
        <v>-3956.2845941541241</v>
      </c>
      <c r="N177" s="22">
        <v>504</v>
      </c>
      <c r="O177" s="119">
        <v>391</v>
      </c>
      <c r="P177" s="119">
        <v>-1053</v>
      </c>
      <c r="Q177" s="120">
        <v>-3459</v>
      </c>
      <c r="R177" s="22">
        <v>-2705</v>
      </c>
      <c r="S177" s="22">
        <v>-364</v>
      </c>
      <c r="T177" s="121">
        <v>-2163</v>
      </c>
      <c r="U177" s="121">
        <v>1306</v>
      </c>
      <c r="V177" s="121">
        <v>4524</v>
      </c>
      <c r="W177" s="106">
        <v>5981</v>
      </c>
      <c r="X177" s="121">
        <v>4057</v>
      </c>
      <c r="Y177" s="121">
        <v>7136</v>
      </c>
      <c r="Z177" s="121">
        <v>8098</v>
      </c>
      <c r="AA177" s="121">
        <v>10746</v>
      </c>
      <c r="AB177" s="122">
        <v>18</v>
      </c>
      <c r="AC177" s="123">
        <v>18.75</v>
      </c>
      <c r="AD177" s="124">
        <v>18.5</v>
      </c>
      <c r="AE177" s="125">
        <v>18.5</v>
      </c>
      <c r="AF177" s="126">
        <v>18.75</v>
      </c>
      <c r="AG177" s="123">
        <v>18.75</v>
      </c>
      <c r="AH177" s="123">
        <v>18.75</v>
      </c>
      <c r="AI177" s="127">
        <v>19</v>
      </c>
      <c r="AJ177" s="127">
        <v>19</v>
      </c>
      <c r="AK177" s="22">
        <v>19.5</v>
      </c>
      <c r="AL177" s="128">
        <v>19.5</v>
      </c>
      <c r="AM177" s="128">
        <v>19.25</v>
      </c>
      <c r="AN177" s="128">
        <v>19.25</v>
      </c>
      <c r="AO177" s="77">
        <v>19.25</v>
      </c>
      <c r="AP177" s="77">
        <v>19.25</v>
      </c>
      <c r="AQ177" s="129">
        <v>19.75</v>
      </c>
      <c r="AR177" s="129">
        <v>19.75</v>
      </c>
      <c r="AS177" s="129">
        <v>19.75</v>
      </c>
      <c r="AT177" s="116">
        <v>15507</v>
      </c>
      <c r="AU177" s="47">
        <v>15183</v>
      </c>
      <c r="AV177" s="47">
        <v>104340</v>
      </c>
      <c r="AW177" s="46">
        <v>62372</v>
      </c>
      <c r="AX177" s="46">
        <v>31380</v>
      </c>
      <c r="AY177" s="92">
        <v>3581</v>
      </c>
      <c r="AZ177" s="47">
        <v>6830</v>
      </c>
      <c r="BA177" s="44">
        <v>4125</v>
      </c>
      <c r="BB177" s="23">
        <v>-5232</v>
      </c>
      <c r="BC177" s="47">
        <v>3035</v>
      </c>
      <c r="BD177" s="44">
        <v>3078</v>
      </c>
      <c r="BE177" s="47">
        <v>7136</v>
      </c>
      <c r="BF177" s="44">
        <v>62372</v>
      </c>
      <c r="BG177" s="46">
        <v>53015</v>
      </c>
      <c r="BH177" s="130">
        <v>2333</v>
      </c>
      <c r="BI177" s="46">
        <v>7024</v>
      </c>
      <c r="BJ177" s="129">
        <v>19.75</v>
      </c>
      <c r="BK177" s="44">
        <v>44038</v>
      </c>
      <c r="BL177" s="116">
        <v>15494</v>
      </c>
      <c r="BM177" s="47">
        <v>15049</v>
      </c>
      <c r="BN177" s="130">
        <v>103439</v>
      </c>
      <c r="BO177" s="46">
        <v>62661</v>
      </c>
      <c r="BP177" s="46">
        <v>31544</v>
      </c>
      <c r="BQ177" s="46">
        <v>89</v>
      </c>
      <c r="BR177" s="130">
        <v>5089</v>
      </c>
      <c r="BS177" s="44">
        <v>4170</v>
      </c>
      <c r="BT177" s="92">
        <v>-4851</v>
      </c>
      <c r="BU177" s="117">
        <v>962</v>
      </c>
      <c r="BV177" s="130">
        <v>8098</v>
      </c>
      <c r="BW177" s="48">
        <v>62661</v>
      </c>
      <c r="BX177" s="46">
        <v>52349</v>
      </c>
      <c r="BY177" s="130">
        <v>2253</v>
      </c>
      <c r="BZ177" s="46">
        <v>8059</v>
      </c>
      <c r="CA177" s="129">
        <v>19.75</v>
      </c>
      <c r="CB177" s="44">
        <v>43251</v>
      </c>
      <c r="CC177" s="116">
        <v>15457</v>
      </c>
      <c r="CD177" s="47">
        <v>15509</v>
      </c>
      <c r="CE177" s="130">
        <v>103371</v>
      </c>
      <c r="CF177" s="46">
        <v>64771</v>
      </c>
      <c r="CG177" s="46">
        <v>31146</v>
      </c>
      <c r="CH177" s="46">
        <v>112</v>
      </c>
      <c r="CI177" s="130">
        <v>7187</v>
      </c>
      <c r="CJ177" s="44">
        <v>4609</v>
      </c>
      <c r="CK177" s="117">
        <v>-5521</v>
      </c>
      <c r="CL177" s="117">
        <v>2648</v>
      </c>
      <c r="CM177" s="117">
        <v>10746</v>
      </c>
      <c r="CN177" s="48">
        <v>64771</v>
      </c>
      <c r="CO177" s="46">
        <v>53325</v>
      </c>
      <c r="CP177" s="130">
        <v>2354</v>
      </c>
      <c r="CQ177" s="46">
        <v>9092</v>
      </c>
      <c r="CR177" s="129">
        <v>19.75</v>
      </c>
      <c r="CS177" s="44">
        <v>42009</v>
      </c>
      <c r="CT177">
        <v>15398</v>
      </c>
      <c r="CU177">
        <v>65916</v>
      </c>
      <c r="CV177">
        <v>31849</v>
      </c>
      <c r="CW177">
        <v>15918</v>
      </c>
      <c r="CX177">
        <v>108</v>
      </c>
      <c r="CY177">
        <v>54746</v>
      </c>
      <c r="CZ177">
        <v>2014</v>
      </c>
      <c r="DA177">
        <v>9156</v>
      </c>
      <c r="DB177">
        <v>6723</v>
      </c>
      <c r="DC177">
        <v>-5282</v>
      </c>
      <c r="DD177">
        <v>4718</v>
      </c>
      <c r="DE177">
        <v>40187</v>
      </c>
      <c r="DF177">
        <v>105997</v>
      </c>
      <c r="DG177">
        <v>2047</v>
      </c>
      <c r="DH177">
        <v>12794</v>
      </c>
      <c r="DI177">
        <v>19.75</v>
      </c>
      <c r="DJ177" s="174">
        <v>15285</v>
      </c>
      <c r="DK177" s="34">
        <v>66231</v>
      </c>
      <c r="DL177" s="34">
        <v>30004</v>
      </c>
      <c r="DM177">
        <v>16191</v>
      </c>
      <c r="DN177" s="173">
        <v>-872</v>
      </c>
      <c r="DO177" s="34">
        <v>54787</v>
      </c>
      <c r="DP177" s="173">
        <v>2254</v>
      </c>
      <c r="DQ177" s="34">
        <v>9190</v>
      </c>
      <c r="DR177" s="173">
        <v>4668</v>
      </c>
      <c r="DS177" s="173">
        <v>-4327</v>
      </c>
      <c r="DT177">
        <v>4703</v>
      </c>
      <c r="DU177">
        <v>43904</v>
      </c>
      <c r="DV177" s="173">
        <v>106886</v>
      </c>
      <c r="DW177" s="173">
        <v>95</v>
      </c>
      <c r="DX177" s="173">
        <v>12725</v>
      </c>
      <c r="DY177" s="57">
        <v>19.75</v>
      </c>
      <c r="DZ177" s="184">
        <v>230</v>
      </c>
      <c r="EA177" s="116">
        <v>15217</v>
      </c>
      <c r="EB177" s="48">
        <v>65689</v>
      </c>
      <c r="EC177" s="46">
        <v>28595</v>
      </c>
      <c r="ED177" s="90">
        <v>16509</v>
      </c>
      <c r="EE177" s="186">
        <v>-719</v>
      </c>
      <c r="EF177" s="46">
        <v>54276</v>
      </c>
      <c r="EG177" s="130">
        <v>2304</v>
      </c>
      <c r="EH177" s="46">
        <v>9109</v>
      </c>
      <c r="EI177" s="130">
        <v>3006</v>
      </c>
      <c r="EJ177" s="48">
        <v>-4352</v>
      </c>
      <c r="EK177" s="44">
        <v>4960</v>
      </c>
      <c r="EL177" s="44">
        <v>41283</v>
      </c>
      <c r="EM177" s="130">
        <v>107068</v>
      </c>
      <c r="EN177" s="117">
        <v>-1912</v>
      </c>
      <c r="EO177" s="117">
        <v>10813</v>
      </c>
      <c r="EP177" s="129">
        <v>19.75</v>
      </c>
    </row>
    <row r="178" spans="1:146" ht="15" x14ac:dyDescent="0.25">
      <c r="A178" s="27">
        <v>580</v>
      </c>
      <c r="B178" s="27" t="s">
        <v>304</v>
      </c>
      <c r="C178" s="27">
        <v>9</v>
      </c>
      <c r="D178" s="27" t="s">
        <v>105</v>
      </c>
      <c r="E178" s="27">
        <v>2</v>
      </c>
      <c r="F178" s="27" t="s">
        <v>744</v>
      </c>
      <c r="G178" s="29" t="s">
        <v>130</v>
      </c>
      <c r="H178" s="27" t="s">
        <v>98</v>
      </c>
      <c r="I178" s="31" t="s">
        <v>105</v>
      </c>
      <c r="J178" s="118">
        <v>3980.5036555645815</v>
      </c>
      <c r="K178" s="118">
        <v>3792.805929633535</v>
      </c>
      <c r="L178" s="118">
        <v>3569.7887391455715</v>
      </c>
      <c r="M178" s="118">
        <v>3434.9020221234396</v>
      </c>
      <c r="N178" s="22">
        <v>5193</v>
      </c>
      <c r="O178" s="119">
        <v>6859</v>
      </c>
      <c r="P178" s="119">
        <v>7966</v>
      </c>
      <c r="Q178" s="120">
        <v>10024</v>
      </c>
      <c r="R178" s="22">
        <v>10740</v>
      </c>
      <c r="S178" s="22">
        <v>10864</v>
      </c>
      <c r="T178" s="121">
        <v>10568</v>
      </c>
      <c r="U178" s="121">
        <v>11156</v>
      </c>
      <c r="V178" s="121">
        <v>11435</v>
      </c>
      <c r="W178" s="106">
        <v>11156</v>
      </c>
      <c r="X178" s="121">
        <v>9957</v>
      </c>
      <c r="Y178" s="121">
        <v>10647</v>
      </c>
      <c r="Z178" s="121">
        <v>14150</v>
      </c>
      <c r="AA178" s="121">
        <v>15810</v>
      </c>
      <c r="AB178" s="122">
        <v>17.5</v>
      </c>
      <c r="AC178" s="123">
        <v>17.5</v>
      </c>
      <c r="AD178" s="124">
        <v>17.5</v>
      </c>
      <c r="AE178" s="125">
        <v>17.5</v>
      </c>
      <c r="AF178" s="126">
        <v>17.5</v>
      </c>
      <c r="AG178" s="123">
        <v>17.5</v>
      </c>
      <c r="AH178" s="123">
        <v>17.5</v>
      </c>
      <c r="AI178" s="127">
        <v>17.5</v>
      </c>
      <c r="AJ178" s="127">
        <v>17.5</v>
      </c>
      <c r="AK178" s="22">
        <v>17.5</v>
      </c>
      <c r="AL178" s="128">
        <v>17.5</v>
      </c>
      <c r="AM178" s="128">
        <v>17.5</v>
      </c>
      <c r="AN178" s="128">
        <v>18.5</v>
      </c>
      <c r="AO178" s="77">
        <v>18.5</v>
      </c>
      <c r="AP178" s="77">
        <v>18.5</v>
      </c>
      <c r="AQ178" s="129">
        <v>19.5</v>
      </c>
      <c r="AR178" s="129">
        <v>19.5</v>
      </c>
      <c r="AS178" s="129">
        <v>19.5</v>
      </c>
      <c r="AT178" s="116">
        <v>5509</v>
      </c>
      <c r="AU178" s="47">
        <v>10817</v>
      </c>
      <c r="AV178" s="47">
        <v>40835</v>
      </c>
      <c r="AW178" s="46">
        <v>15719</v>
      </c>
      <c r="AX178" s="46">
        <v>16317</v>
      </c>
      <c r="AY178" s="92">
        <v>70</v>
      </c>
      <c r="AZ178" s="47">
        <v>2064</v>
      </c>
      <c r="BA178" s="44">
        <v>1398</v>
      </c>
      <c r="BB178" s="23">
        <v>-3346</v>
      </c>
      <c r="BC178" s="47">
        <v>666</v>
      </c>
      <c r="BD178" s="44">
        <v>691</v>
      </c>
      <c r="BE178" s="47">
        <v>10647</v>
      </c>
      <c r="BF178" s="44">
        <v>15719</v>
      </c>
      <c r="BG178" s="46">
        <v>13549</v>
      </c>
      <c r="BH178" s="130">
        <v>992</v>
      </c>
      <c r="BI178" s="46">
        <v>1178</v>
      </c>
      <c r="BJ178" s="129">
        <v>19.5</v>
      </c>
      <c r="BK178" s="44">
        <v>3473</v>
      </c>
      <c r="BL178" s="116">
        <v>5373</v>
      </c>
      <c r="BM178" s="47">
        <v>9475</v>
      </c>
      <c r="BN178" s="130">
        <v>42156</v>
      </c>
      <c r="BO178" s="46">
        <v>15995</v>
      </c>
      <c r="BP178" s="46">
        <v>21847</v>
      </c>
      <c r="BQ178" s="46">
        <v>60</v>
      </c>
      <c r="BR178" s="130">
        <v>5182</v>
      </c>
      <c r="BS178" s="44">
        <v>1704</v>
      </c>
      <c r="BT178" s="92">
        <v>-2112</v>
      </c>
      <c r="BU178" s="117">
        <v>3503</v>
      </c>
      <c r="BV178" s="130">
        <v>14150</v>
      </c>
      <c r="BW178" s="48">
        <v>15995</v>
      </c>
      <c r="BX178" s="46">
        <v>13530</v>
      </c>
      <c r="BY178" s="130">
        <v>1106</v>
      </c>
      <c r="BZ178" s="46">
        <v>1359</v>
      </c>
      <c r="CA178" s="129">
        <v>19.5</v>
      </c>
      <c r="CB178" s="44">
        <v>3114</v>
      </c>
      <c r="CC178" s="116">
        <v>5235</v>
      </c>
      <c r="CD178" s="47">
        <v>9079</v>
      </c>
      <c r="CE178" s="130">
        <v>40164</v>
      </c>
      <c r="CF178" s="46">
        <v>16058</v>
      </c>
      <c r="CG178" s="46">
        <v>17862</v>
      </c>
      <c r="CH178" s="46">
        <v>58</v>
      </c>
      <c r="CI178" s="130">
        <v>2873</v>
      </c>
      <c r="CJ178" s="44">
        <v>1705</v>
      </c>
      <c r="CK178" s="117">
        <v>-2670</v>
      </c>
      <c r="CL178" s="117">
        <v>1192</v>
      </c>
      <c r="CM178" s="117">
        <v>15810</v>
      </c>
      <c r="CN178" s="48">
        <v>16058</v>
      </c>
      <c r="CO178" s="46">
        <v>13444</v>
      </c>
      <c r="CP178" s="130">
        <v>1252</v>
      </c>
      <c r="CQ178" s="46">
        <v>1362</v>
      </c>
      <c r="CR178" s="129">
        <v>19.5</v>
      </c>
      <c r="CS178" s="44">
        <v>2755</v>
      </c>
      <c r="CT178">
        <v>5126</v>
      </c>
      <c r="CU178">
        <v>15789</v>
      </c>
      <c r="CV178">
        <v>18201</v>
      </c>
      <c r="CW178">
        <v>8494</v>
      </c>
      <c r="CX178">
        <v>51</v>
      </c>
      <c r="CY178">
        <v>12990</v>
      </c>
      <c r="CZ178">
        <v>1418</v>
      </c>
      <c r="DA178">
        <v>1381</v>
      </c>
      <c r="DB178">
        <v>3230</v>
      </c>
      <c r="DC178">
        <v>-2843</v>
      </c>
      <c r="DD178">
        <v>1969</v>
      </c>
      <c r="DE178">
        <v>2417</v>
      </c>
      <c r="DF178">
        <v>39305</v>
      </c>
      <c r="DG178">
        <v>1283</v>
      </c>
      <c r="DH178">
        <v>17093</v>
      </c>
      <c r="DI178">
        <v>19.5</v>
      </c>
      <c r="DJ178" s="174">
        <v>4969</v>
      </c>
      <c r="DK178" s="34">
        <v>15814</v>
      </c>
      <c r="DL178" s="34">
        <v>17785</v>
      </c>
      <c r="DM178">
        <v>7728</v>
      </c>
      <c r="DN178" s="173">
        <v>25</v>
      </c>
      <c r="DO178" s="34">
        <v>12734</v>
      </c>
      <c r="DP178" s="173">
        <v>1748</v>
      </c>
      <c r="DQ178" s="34">
        <v>1332</v>
      </c>
      <c r="DR178" s="173">
        <v>3162</v>
      </c>
      <c r="DS178" s="173">
        <v>-2512</v>
      </c>
      <c r="DT178">
        <v>2071</v>
      </c>
      <c r="DU178">
        <v>2079</v>
      </c>
      <c r="DV178" s="173">
        <v>38190</v>
      </c>
      <c r="DW178" s="173">
        <v>1110</v>
      </c>
      <c r="DX178" s="173">
        <v>18203</v>
      </c>
      <c r="DY178" s="57">
        <v>19.5</v>
      </c>
      <c r="DZ178" s="184">
        <v>340</v>
      </c>
      <c r="EA178" s="116">
        <v>4842</v>
      </c>
      <c r="EB178" s="48">
        <v>14846</v>
      </c>
      <c r="EC178" s="46">
        <v>16657</v>
      </c>
      <c r="ED178" s="90">
        <v>9266</v>
      </c>
      <c r="EE178" s="186">
        <v>71</v>
      </c>
      <c r="EF178" s="46">
        <v>12085</v>
      </c>
      <c r="EG178" s="130">
        <v>1439</v>
      </c>
      <c r="EH178" s="46">
        <v>1322</v>
      </c>
      <c r="EI178" s="130">
        <v>3440</v>
      </c>
      <c r="EJ178" s="48">
        <v>1052</v>
      </c>
      <c r="EK178" s="44">
        <v>1671</v>
      </c>
      <c r="EL178" s="44">
        <v>1741</v>
      </c>
      <c r="EM178" s="130">
        <v>37400</v>
      </c>
      <c r="EN178" s="117">
        <v>1788</v>
      </c>
      <c r="EO178" s="117">
        <v>19990</v>
      </c>
      <c r="EP178" s="129">
        <v>19.5</v>
      </c>
    </row>
    <row r="179" spans="1:146" ht="15" x14ac:dyDescent="0.25">
      <c r="A179" s="27">
        <v>581</v>
      </c>
      <c r="B179" s="27" t="s">
        <v>305</v>
      </c>
      <c r="C179" s="27">
        <v>6</v>
      </c>
      <c r="D179" s="27" t="s">
        <v>114</v>
      </c>
      <c r="E179" s="27">
        <v>3</v>
      </c>
      <c r="F179" s="27" t="s">
        <v>743</v>
      </c>
      <c r="G179" s="29" t="s">
        <v>132</v>
      </c>
      <c r="H179" s="27" t="s">
        <v>99</v>
      </c>
      <c r="I179" s="31" t="s">
        <v>114</v>
      </c>
      <c r="J179" s="118">
        <v>-526.93277360391403</v>
      </c>
      <c r="K179" s="118">
        <v>-1982.9356529812151</v>
      </c>
      <c r="L179" s="118">
        <v>-980.19923541768628</v>
      </c>
      <c r="M179" s="118">
        <v>176.26094693166363</v>
      </c>
      <c r="N179" s="22">
        <v>2916</v>
      </c>
      <c r="O179" s="119">
        <v>1978</v>
      </c>
      <c r="P179" s="119">
        <v>1049</v>
      </c>
      <c r="Q179" s="120">
        <v>-1225</v>
      </c>
      <c r="R179" s="22">
        <v>-2131</v>
      </c>
      <c r="S179" s="22">
        <v>-241</v>
      </c>
      <c r="T179" s="121">
        <v>1370</v>
      </c>
      <c r="U179" s="121">
        <v>4259</v>
      </c>
      <c r="V179" s="121">
        <v>6555</v>
      </c>
      <c r="W179" s="106">
        <v>8187</v>
      </c>
      <c r="X179" s="121">
        <v>8080</v>
      </c>
      <c r="Y179" s="121">
        <v>7583</v>
      </c>
      <c r="Z179" s="121">
        <v>7460</v>
      </c>
      <c r="AA179" s="121">
        <v>8148</v>
      </c>
      <c r="AB179" s="122">
        <v>18.5</v>
      </c>
      <c r="AC179" s="123">
        <v>18.5</v>
      </c>
      <c r="AD179" s="124">
        <v>18.5</v>
      </c>
      <c r="AE179" s="125">
        <v>18.5</v>
      </c>
      <c r="AF179" s="126">
        <v>18.5</v>
      </c>
      <c r="AG179" s="123">
        <v>18.5</v>
      </c>
      <c r="AH179" s="123">
        <v>18.5</v>
      </c>
      <c r="AI179" s="131">
        <v>18.5</v>
      </c>
      <c r="AJ179" s="131">
        <v>19.5</v>
      </c>
      <c r="AK179" s="22">
        <v>20.5</v>
      </c>
      <c r="AL179" s="128">
        <v>20.5</v>
      </c>
      <c r="AM179" s="128">
        <v>20.5</v>
      </c>
      <c r="AN179" s="128">
        <v>20.5</v>
      </c>
      <c r="AO179" s="77">
        <v>20.5</v>
      </c>
      <c r="AP179" s="77">
        <v>20.5</v>
      </c>
      <c r="AQ179" s="129">
        <v>20.5</v>
      </c>
      <c r="AR179" s="129">
        <v>20.5</v>
      </c>
      <c r="AS179" s="129">
        <v>20.5</v>
      </c>
      <c r="AT179" s="116">
        <v>6836</v>
      </c>
      <c r="AU179" s="47">
        <v>8691</v>
      </c>
      <c r="AV179" s="47">
        <v>45160</v>
      </c>
      <c r="AW179" s="46">
        <v>21176</v>
      </c>
      <c r="AX179" s="46">
        <v>16363</v>
      </c>
      <c r="AY179" s="92">
        <v>81</v>
      </c>
      <c r="AZ179" s="47">
        <v>1035</v>
      </c>
      <c r="BA179" s="44">
        <v>1532</v>
      </c>
      <c r="BB179" s="23">
        <v>-3786</v>
      </c>
      <c r="BC179" s="47">
        <v>-497</v>
      </c>
      <c r="BD179" s="44">
        <v>-497</v>
      </c>
      <c r="BE179" s="47">
        <v>7583</v>
      </c>
      <c r="BF179" s="44">
        <v>21176</v>
      </c>
      <c r="BG179" s="46">
        <v>18241</v>
      </c>
      <c r="BH179" s="130">
        <v>1638</v>
      </c>
      <c r="BI179" s="46">
        <v>1297</v>
      </c>
      <c r="BJ179" s="129">
        <v>20.5</v>
      </c>
      <c r="BK179" s="44">
        <v>13605</v>
      </c>
      <c r="BL179" s="116">
        <v>6808</v>
      </c>
      <c r="BM179" s="47">
        <v>8637</v>
      </c>
      <c r="BN179" s="130">
        <v>45421</v>
      </c>
      <c r="BO179" s="46">
        <v>21473</v>
      </c>
      <c r="BP179" s="46">
        <v>16737</v>
      </c>
      <c r="BQ179" s="46">
        <v>100</v>
      </c>
      <c r="BR179" s="130">
        <v>1376</v>
      </c>
      <c r="BS179" s="44">
        <v>1499</v>
      </c>
      <c r="BT179" s="92">
        <v>-3512</v>
      </c>
      <c r="BU179" s="117">
        <v>-123</v>
      </c>
      <c r="BV179" s="130">
        <v>7460</v>
      </c>
      <c r="BW179" s="48">
        <v>21473</v>
      </c>
      <c r="BX179" s="46">
        <v>17967</v>
      </c>
      <c r="BY179" s="130">
        <v>1640</v>
      </c>
      <c r="BZ179" s="46">
        <v>1866</v>
      </c>
      <c r="CA179" s="129">
        <v>20.5</v>
      </c>
      <c r="CB179" s="44">
        <v>14561</v>
      </c>
      <c r="CC179" s="116">
        <v>6766</v>
      </c>
      <c r="CD179" s="47">
        <v>14445</v>
      </c>
      <c r="CE179" s="130">
        <v>50902</v>
      </c>
      <c r="CF179" s="46">
        <v>22225</v>
      </c>
      <c r="CG179" s="46">
        <v>17134</v>
      </c>
      <c r="CH179" s="46">
        <v>106</v>
      </c>
      <c r="CI179" s="130">
        <v>2877</v>
      </c>
      <c r="CJ179" s="44">
        <v>2189</v>
      </c>
      <c r="CK179" s="117">
        <v>-2132</v>
      </c>
      <c r="CL179" s="117">
        <v>688</v>
      </c>
      <c r="CM179" s="117">
        <v>8148</v>
      </c>
      <c r="CN179" s="48">
        <v>22225</v>
      </c>
      <c r="CO179" s="46">
        <v>18469</v>
      </c>
      <c r="CP179" s="130">
        <v>1865</v>
      </c>
      <c r="CQ179" s="46">
        <v>1891</v>
      </c>
      <c r="CR179" s="129">
        <v>20.5</v>
      </c>
      <c r="CS179" s="44">
        <v>19161</v>
      </c>
      <c r="CT179">
        <v>6692</v>
      </c>
      <c r="CU179">
        <v>22232</v>
      </c>
      <c r="CV179">
        <v>18264</v>
      </c>
      <c r="CW179">
        <v>19340</v>
      </c>
      <c r="CX179">
        <v>372</v>
      </c>
      <c r="CY179">
        <v>18541</v>
      </c>
      <c r="CZ179">
        <v>1848</v>
      </c>
      <c r="DA179">
        <v>1843</v>
      </c>
      <c r="DB179">
        <v>2674</v>
      </c>
      <c r="DC179">
        <v>-3819</v>
      </c>
      <c r="DD179">
        <v>2286</v>
      </c>
      <c r="DE179">
        <v>18778</v>
      </c>
      <c r="DF179">
        <v>57409</v>
      </c>
      <c r="DG179">
        <v>388</v>
      </c>
      <c r="DH179">
        <v>8536</v>
      </c>
      <c r="DI179">
        <v>21</v>
      </c>
      <c r="DJ179" s="174">
        <v>6562</v>
      </c>
      <c r="DK179" s="34">
        <v>22063</v>
      </c>
      <c r="DL179" s="34">
        <v>18425</v>
      </c>
      <c r="DM179">
        <v>18681</v>
      </c>
      <c r="DN179" s="173">
        <v>391</v>
      </c>
      <c r="DO179" s="34">
        <v>18014</v>
      </c>
      <c r="DP179" s="173">
        <v>2181</v>
      </c>
      <c r="DQ179" s="34">
        <v>1868</v>
      </c>
      <c r="DR179" s="173">
        <v>3509</v>
      </c>
      <c r="DS179" s="173">
        <v>-1066</v>
      </c>
      <c r="DT179">
        <v>1723</v>
      </c>
      <c r="DU179">
        <v>17942</v>
      </c>
      <c r="DV179" s="173">
        <v>56051</v>
      </c>
      <c r="DW179" s="173">
        <v>1786</v>
      </c>
      <c r="DX179" s="173">
        <v>10322</v>
      </c>
      <c r="DY179" s="57">
        <v>21</v>
      </c>
      <c r="DZ179" s="184">
        <v>240</v>
      </c>
      <c r="EA179" s="116">
        <v>6469</v>
      </c>
      <c r="EB179" s="48">
        <v>22176</v>
      </c>
      <c r="EC179" s="46">
        <v>18275</v>
      </c>
      <c r="ED179" s="90">
        <v>19461</v>
      </c>
      <c r="EE179" s="186">
        <v>215</v>
      </c>
      <c r="EF179" s="46">
        <v>18261</v>
      </c>
      <c r="EG179" s="130">
        <v>2013</v>
      </c>
      <c r="EH179" s="46">
        <v>1902</v>
      </c>
      <c r="EI179" s="130">
        <v>3663</v>
      </c>
      <c r="EJ179" s="48">
        <v>-395</v>
      </c>
      <c r="EK179" s="44">
        <v>1988</v>
      </c>
      <c r="EL179" s="44">
        <v>15770</v>
      </c>
      <c r="EM179" s="130">
        <v>56464</v>
      </c>
      <c r="EN179" s="117">
        <v>1675</v>
      </c>
      <c r="EO179" s="117">
        <v>11997</v>
      </c>
      <c r="EP179" s="129">
        <v>22</v>
      </c>
    </row>
    <row r="180" spans="1:146" ht="15" x14ac:dyDescent="0.25">
      <c r="A180" s="27">
        <v>599</v>
      </c>
      <c r="B180" s="27" t="s">
        <v>306</v>
      </c>
      <c r="C180" s="27">
        <v>15</v>
      </c>
      <c r="D180" s="27" t="s">
        <v>115</v>
      </c>
      <c r="E180" s="27">
        <v>4</v>
      </c>
      <c r="F180" s="27" t="s">
        <v>100</v>
      </c>
      <c r="G180" s="29" t="s">
        <v>130</v>
      </c>
      <c r="H180" s="27" t="s">
        <v>98</v>
      </c>
      <c r="I180" s="31" t="s">
        <v>115</v>
      </c>
      <c r="J180" s="118">
        <v>3528.9190730154246</v>
      </c>
      <c r="K180" s="118">
        <v>3293.4559759693088</v>
      </c>
      <c r="L180" s="118">
        <v>1746.1270525234074</v>
      </c>
      <c r="M180" s="118">
        <v>3336.0075213640712</v>
      </c>
      <c r="N180" s="22">
        <v>6342</v>
      </c>
      <c r="O180" s="119">
        <v>5971</v>
      </c>
      <c r="P180" s="119">
        <v>5541</v>
      </c>
      <c r="Q180" s="120">
        <v>4377</v>
      </c>
      <c r="R180" s="22">
        <v>4437</v>
      </c>
      <c r="S180" s="22">
        <v>4417</v>
      </c>
      <c r="T180" s="121">
        <v>4876</v>
      </c>
      <c r="U180" s="121">
        <v>5462</v>
      </c>
      <c r="V180" s="121">
        <v>7125</v>
      </c>
      <c r="W180" s="106">
        <v>7742</v>
      </c>
      <c r="X180" s="121">
        <v>6851</v>
      </c>
      <c r="Y180" s="121">
        <v>9667</v>
      </c>
      <c r="Z180" s="121">
        <v>12484</v>
      </c>
      <c r="AA180" s="121">
        <v>12689</v>
      </c>
      <c r="AB180" s="122">
        <v>18</v>
      </c>
      <c r="AC180" s="123">
        <v>18</v>
      </c>
      <c r="AD180" s="124">
        <v>18</v>
      </c>
      <c r="AE180" s="125">
        <v>18</v>
      </c>
      <c r="AF180" s="126">
        <v>18</v>
      </c>
      <c r="AG180" s="123">
        <v>18</v>
      </c>
      <c r="AH180" s="123">
        <v>18.5</v>
      </c>
      <c r="AI180" s="127">
        <v>18.5</v>
      </c>
      <c r="AJ180" s="127">
        <v>18.5</v>
      </c>
      <c r="AK180" s="22">
        <v>18.5</v>
      </c>
      <c r="AL180" s="128">
        <v>19</v>
      </c>
      <c r="AM180" s="128">
        <v>19</v>
      </c>
      <c r="AN180" s="128">
        <v>19.5</v>
      </c>
      <c r="AO180" s="77">
        <v>19.5</v>
      </c>
      <c r="AP180" s="77">
        <v>19.5</v>
      </c>
      <c r="AQ180" s="129">
        <v>20.5</v>
      </c>
      <c r="AR180" s="129">
        <v>20.5</v>
      </c>
      <c r="AS180" s="129">
        <v>20.5</v>
      </c>
      <c r="AT180" s="116">
        <v>10970</v>
      </c>
      <c r="AU180" s="47">
        <v>15753</v>
      </c>
      <c r="AV180" s="47">
        <v>71354</v>
      </c>
      <c r="AW180" s="46">
        <v>33959</v>
      </c>
      <c r="AX180" s="46">
        <v>26314</v>
      </c>
      <c r="AY180" s="92">
        <v>257</v>
      </c>
      <c r="AZ180" s="47">
        <v>4742</v>
      </c>
      <c r="BA180" s="44">
        <v>1942</v>
      </c>
      <c r="BB180" s="23">
        <v>-5203</v>
      </c>
      <c r="BC180" s="47">
        <v>2800</v>
      </c>
      <c r="BD180" s="44">
        <v>2847</v>
      </c>
      <c r="BE180" s="47">
        <v>9667</v>
      </c>
      <c r="BF180" s="44">
        <v>33959</v>
      </c>
      <c r="BG180" s="46">
        <v>29861</v>
      </c>
      <c r="BH180" s="130">
        <v>2301</v>
      </c>
      <c r="BI180" s="46">
        <v>1797</v>
      </c>
      <c r="BJ180" s="129">
        <v>20.5</v>
      </c>
      <c r="BK180" s="44">
        <v>25463</v>
      </c>
      <c r="BL180" s="116">
        <v>11060</v>
      </c>
      <c r="BM180" s="47">
        <v>15763</v>
      </c>
      <c r="BN180" s="130">
        <v>73019</v>
      </c>
      <c r="BO180" s="46">
        <v>35847</v>
      </c>
      <c r="BP180" s="46">
        <v>25691</v>
      </c>
      <c r="BQ180" s="46">
        <v>327</v>
      </c>
      <c r="BR180" s="130">
        <v>4609</v>
      </c>
      <c r="BS180" s="44">
        <v>1809</v>
      </c>
      <c r="BT180" s="92">
        <v>-2908</v>
      </c>
      <c r="BU180" s="117">
        <v>2845</v>
      </c>
      <c r="BV180" s="130">
        <v>12484</v>
      </c>
      <c r="BW180" s="48">
        <v>35847</v>
      </c>
      <c r="BX180" s="46">
        <v>30889</v>
      </c>
      <c r="BY180" s="130">
        <v>2885</v>
      </c>
      <c r="BZ180" s="46">
        <v>2073</v>
      </c>
      <c r="CA180" s="129">
        <v>20.5</v>
      </c>
      <c r="CB180" s="44">
        <v>16986</v>
      </c>
      <c r="CC180" s="116">
        <v>11129</v>
      </c>
      <c r="CD180" s="47">
        <v>16065</v>
      </c>
      <c r="CE180" s="130">
        <v>74953</v>
      </c>
      <c r="CF180" s="46">
        <v>36296</v>
      </c>
      <c r="CG180" s="46">
        <v>24538</v>
      </c>
      <c r="CH180" s="46">
        <v>279</v>
      </c>
      <c r="CI180" s="130">
        <v>2127</v>
      </c>
      <c r="CJ180" s="44">
        <v>1942</v>
      </c>
      <c r="CK180" s="117">
        <v>-4106</v>
      </c>
      <c r="CL180" s="117">
        <v>230</v>
      </c>
      <c r="CM180" s="117">
        <v>12689</v>
      </c>
      <c r="CN180" s="48">
        <v>36296</v>
      </c>
      <c r="CO180" s="46">
        <v>30703</v>
      </c>
      <c r="CP180" s="130">
        <v>3536</v>
      </c>
      <c r="CQ180" s="46">
        <v>2057</v>
      </c>
      <c r="CR180" s="129">
        <v>20.5</v>
      </c>
      <c r="CS180" s="44">
        <v>20588</v>
      </c>
      <c r="CT180">
        <v>11067</v>
      </c>
      <c r="CU180">
        <v>35480</v>
      </c>
      <c r="CV180">
        <v>25316</v>
      </c>
      <c r="CW180">
        <v>14879</v>
      </c>
      <c r="CX180">
        <v>205</v>
      </c>
      <c r="CY180">
        <v>30276</v>
      </c>
      <c r="CZ180">
        <v>3058</v>
      </c>
      <c r="DA180">
        <v>2146</v>
      </c>
      <c r="DB180">
        <v>1173</v>
      </c>
      <c r="DC180">
        <v>2</v>
      </c>
      <c r="DD180">
        <v>2055</v>
      </c>
      <c r="DE180">
        <v>20452</v>
      </c>
      <c r="DF180">
        <v>74690</v>
      </c>
      <c r="DG180">
        <v>-837</v>
      </c>
      <c r="DH180">
        <v>11833</v>
      </c>
      <c r="DI180">
        <v>20.5</v>
      </c>
      <c r="DJ180" s="174">
        <v>11084</v>
      </c>
      <c r="DK180" s="34">
        <v>35563</v>
      </c>
      <c r="DL180" s="34">
        <v>25472</v>
      </c>
      <c r="DM180">
        <v>13635</v>
      </c>
      <c r="DN180" s="173">
        <v>275</v>
      </c>
      <c r="DO180" s="34">
        <v>30169</v>
      </c>
      <c r="DP180" s="173">
        <v>3210</v>
      </c>
      <c r="DQ180" s="34">
        <v>2184</v>
      </c>
      <c r="DR180" s="173">
        <v>2199</v>
      </c>
      <c r="DS180" s="173">
        <v>-5783</v>
      </c>
      <c r="DT180">
        <v>1917</v>
      </c>
      <c r="DU180">
        <v>26568</v>
      </c>
      <c r="DV180" s="173">
        <v>72746</v>
      </c>
      <c r="DW180" s="173">
        <v>327</v>
      </c>
      <c r="DX180" s="173">
        <v>12160</v>
      </c>
      <c r="DY180" s="57">
        <v>20.5</v>
      </c>
      <c r="DZ180" s="184">
        <v>330</v>
      </c>
      <c r="EA180" s="116">
        <v>11016</v>
      </c>
      <c r="EB180" s="48">
        <v>34206</v>
      </c>
      <c r="EC180" s="46">
        <v>25728</v>
      </c>
      <c r="ED180" s="90">
        <v>13138</v>
      </c>
      <c r="EE180" s="186">
        <v>214</v>
      </c>
      <c r="EF180" s="46">
        <v>29339</v>
      </c>
      <c r="EG180" s="130">
        <v>2665</v>
      </c>
      <c r="EH180" s="46">
        <v>2202</v>
      </c>
      <c r="EI180" s="130">
        <v>62</v>
      </c>
      <c r="EJ180" s="48">
        <v>-4678</v>
      </c>
      <c r="EK180" s="44">
        <v>2013</v>
      </c>
      <c r="EL180" s="44">
        <v>29050</v>
      </c>
      <c r="EM180" s="130">
        <v>73224</v>
      </c>
      <c r="EN180" s="117">
        <v>-1906</v>
      </c>
      <c r="EO180" s="117">
        <v>10253</v>
      </c>
      <c r="EP180" s="129">
        <v>20.5</v>
      </c>
    </row>
    <row r="181" spans="1:146" ht="15" x14ac:dyDescent="0.25">
      <c r="A181" s="27">
        <v>583</v>
      </c>
      <c r="B181" s="27" t="s">
        <v>307</v>
      </c>
      <c r="C181" s="27">
        <v>19</v>
      </c>
      <c r="D181" s="27" t="s">
        <v>113</v>
      </c>
      <c r="E181" s="27">
        <v>1</v>
      </c>
      <c r="F181" s="27" t="s">
        <v>103</v>
      </c>
      <c r="G181" s="29" t="s">
        <v>130</v>
      </c>
      <c r="H181" s="27" t="s">
        <v>98</v>
      </c>
      <c r="I181" s="31" t="s">
        <v>113</v>
      </c>
      <c r="J181" s="118">
        <v>181.30658472550888</v>
      </c>
      <c r="K181" s="118">
        <v>248.07719153072875</v>
      </c>
      <c r="L181" s="118">
        <v>96.203493935984312</v>
      </c>
      <c r="M181" s="118">
        <v>-646.34620139158687</v>
      </c>
      <c r="N181" s="22">
        <v>-994</v>
      </c>
      <c r="O181" s="119">
        <v>-1140</v>
      </c>
      <c r="P181" s="119">
        <v>-863</v>
      </c>
      <c r="Q181" s="120">
        <v>-1737</v>
      </c>
      <c r="R181" s="22">
        <v>-1661</v>
      </c>
      <c r="S181" s="22">
        <v>-966</v>
      </c>
      <c r="T181" s="121">
        <v>10</v>
      </c>
      <c r="U181" s="121">
        <v>1073</v>
      </c>
      <c r="V181" s="121">
        <v>2004</v>
      </c>
      <c r="W181" s="106">
        <v>2349</v>
      </c>
      <c r="X181" s="121">
        <v>2432</v>
      </c>
      <c r="Y181" s="121">
        <v>2274</v>
      </c>
      <c r="Z181" s="121">
        <v>2131</v>
      </c>
      <c r="AA181" s="121">
        <v>2096</v>
      </c>
      <c r="AB181" s="122">
        <v>19</v>
      </c>
      <c r="AC181" s="123">
        <v>19</v>
      </c>
      <c r="AD181" s="124">
        <v>19</v>
      </c>
      <c r="AE181" s="125">
        <v>19</v>
      </c>
      <c r="AF181" s="126">
        <v>19</v>
      </c>
      <c r="AG181" s="123">
        <v>20</v>
      </c>
      <c r="AH181" s="123">
        <v>20</v>
      </c>
      <c r="AI181" s="127">
        <v>20</v>
      </c>
      <c r="AJ181" s="127">
        <v>20</v>
      </c>
      <c r="AK181" s="22">
        <v>21</v>
      </c>
      <c r="AL181" s="128">
        <v>21</v>
      </c>
      <c r="AM181" s="128">
        <v>20.75</v>
      </c>
      <c r="AN181" s="128">
        <v>20.75</v>
      </c>
      <c r="AO181" s="77">
        <v>20.5</v>
      </c>
      <c r="AP181" s="77">
        <v>19.75</v>
      </c>
      <c r="AQ181" s="129">
        <v>19.5</v>
      </c>
      <c r="AR181" s="129">
        <v>19.5</v>
      </c>
      <c r="AS181" s="129">
        <v>19.5</v>
      </c>
      <c r="AT181" s="116">
        <v>966</v>
      </c>
      <c r="AU181" s="47">
        <v>1445</v>
      </c>
      <c r="AV181" s="47">
        <v>9466</v>
      </c>
      <c r="AW181" s="46">
        <v>4297</v>
      </c>
      <c r="AX181" s="46">
        <v>3929</v>
      </c>
      <c r="AY181" s="92">
        <v>10</v>
      </c>
      <c r="AZ181" s="47">
        <v>187</v>
      </c>
      <c r="BA181" s="44">
        <v>345</v>
      </c>
      <c r="BB181" s="23">
        <v>-414</v>
      </c>
      <c r="BC181" s="47">
        <v>-158</v>
      </c>
      <c r="BD181" s="44">
        <v>-158</v>
      </c>
      <c r="BE181" s="47">
        <v>2274</v>
      </c>
      <c r="BF181" s="44">
        <v>4297</v>
      </c>
      <c r="BG181" s="46">
        <v>2518</v>
      </c>
      <c r="BH181" s="130">
        <v>252</v>
      </c>
      <c r="BI181" s="46">
        <v>1527</v>
      </c>
      <c r="BJ181" s="129">
        <v>19.5</v>
      </c>
      <c r="BK181" s="44">
        <v>2838</v>
      </c>
      <c r="BL181" s="116">
        <v>947</v>
      </c>
      <c r="BM181" s="47">
        <v>1308</v>
      </c>
      <c r="BN181" s="130">
        <v>9706</v>
      </c>
      <c r="BO181" s="46">
        <v>4516</v>
      </c>
      <c r="BP181" s="46">
        <v>4100</v>
      </c>
      <c r="BQ181" s="46">
        <v>12</v>
      </c>
      <c r="BR181" s="130">
        <v>198</v>
      </c>
      <c r="BS181" s="44">
        <v>342</v>
      </c>
      <c r="BT181" s="92">
        <v>-196</v>
      </c>
      <c r="BU181" s="117">
        <v>-143</v>
      </c>
      <c r="BV181" s="130">
        <v>2131</v>
      </c>
      <c r="BW181" s="48">
        <v>4516</v>
      </c>
      <c r="BX181" s="46">
        <v>2573</v>
      </c>
      <c r="BY181" s="130">
        <v>296</v>
      </c>
      <c r="BZ181" s="46">
        <v>1647</v>
      </c>
      <c r="CA181" s="129">
        <v>19.5</v>
      </c>
      <c r="CB181" s="44">
        <v>2814</v>
      </c>
      <c r="CC181" s="116">
        <v>958</v>
      </c>
      <c r="CD181" s="47">
        <v>1128</v>
      </c>
      <c r="CE181" s="130">
        <v>9033</v>
      </c>
      <c r="CF181" s="46">
        <v>4448</v>
      </c>
      <c r="CG181" s="46">
        <v>4056</v>
      </c>
      <c r="CH181" s="46">
        <v>789</v>
      </c>
      <c r="CI181" s="130">
        <v>576</v>
      </c>
      <c r="CJ181" s="44">
        <v>333</v>
      </c>
      <c r="CK181" s="117">
        <v>-195</v>
      </c>
      <c r="CL181" s="117">
        <v>-34</v>
      </c>
      <c r="CM181" s="117">
        <v>2096</v>
      </c>
      <c r="CN181" s="48">
        <v>4448</v>
      </c>
      <c r="CO181" s="46">
        <v>2476</v>
      </c>
      <c r="CP181" s="130">
        <v>322</v>
      </c>
      <c r="CQ181" s="46">
        <v>1650</v>
      </c>
      <c r="CR181" s="129">
        <v>19.5</v>
      </c>
      <c r="CS181" s="44">
        <v>2876</v>
      </c>
      <c r="CT181">
        <v>951</v>
      </c>
      <c r="CU181">
        <v>4896</v>
      </c>
      <c r="CV181">
        <v>4027</v>
      </c>
      <c r="CW181">
        <v>1244</v>
      </c>
      <c r="CX181">
        <v>8</v>
      </c>
      <c r="CY181">
        <v>2868</v>
      </c>
      <c r="CZ181">
        <v>276</v>
      </c>
      <c r="DA181">
        <v>1752</v>
      </c>
      <c r="DB181">
        <v>726</v>
      </c>
      <c r="DC181">
        <v>-399</v>
      </c>
      <c r="DD181">
        <v>588</v>
      </c>
      <c r="DE181">
        <v>2893</v>
      </c>
      <c r="DF181">
        <v>9441</v>
      </c>
      <c r="DG181">
        <v>138</v>
      </c>
      <c r="DH181">
        <v>2234</v>
      </c>
      <c r="DI181">
        <v>21.5</v>
      </c>
      <c r="DJ181" s="174">
        <v>958</v>
      </c>
      <c r="DK181" s="34">
        <v>4977</v>
      </c>
      <c r="DL181" s="34">
        <v>3995</v>
      </c>
      <c r="DM181">
        <v>1532</v>
      </c>
      <c r="DN181" s="173">
        <v>-13</v>
      </c>
      <c r="DO181" s="34">
        <v>2883</v>
      </c>
      <c r="DP181" s="173">
        <v>357</v>
      </c>
      <c r="DQ181" s="34">
        <v>1737</v>
      </c>
      <c r="DR181" s="173">
        <v>767</v>
      </c>
      <c r="DS181" s="173">
        <v>-26</v>
      </c>
      <c r="DT181">
        <v>496</v>
      </c>
      <c r="DU181">
        <v>2416</v>
      </c>
      <c r="DV181" s="173">
        <v>9724</v>
      </c>
      <c r="DW181" s="173">
        <v>271</v>
      </c>
      <c r="DX181" s="173">
        <v>2505</v>
      </c>
      <c r="DY181" s="57">
        <v>22</v>
      </c>
      <c r="DZ181" s="184">
        <v>320</v>
      </c>
      <c r="EA181" s="116">
        <v>954</v>
      </c>
      <c r="EB181" s="48">
        <v>5021</v>
      </c>
      <c r="EC181" s="46">
        <v>3961</v>
      </c>
      <c r="ED181" s="90">
        <v>1324</v>
      </c>
      <c r="EE181" s="186">
        <v>-10</v>
      </c>
      <c r="EF181" s="46">
        <v>2688</v>
      </c>
      <c r="EG181" s="130">
        <v>344</v>
      </c>
      <c r="EH181" s="46">
        <v>1989</v>
      </c>
      <c r="EI181" s="130">
        <v>345</v>
      </c>
      <c r="EJ181" s="48">
        <v>-217</v>
      </c>
      <c r="EK181" s="44">
        <v>254</v>
      </c>
      <c r="EL181" s="44">
        <v>1977</v>
      </c>
      <c r="EM181" s="130">
        <v>9951</v>
      </c>
      <c r="EN181" s="117">
        <v>91</v>
      </c>
      <c r="EO181" s="117">
        <v>2596</v>
      </c>
      <c r="EP181" s="129">
        <v>22.25</v>
      </c>
    </row>
    <row r="182" spans="1:146" ht="15" x14ac:dyDescent="0.25">
      <c r="A182" s="27">
        <v>854</v>
      </c>
      <c r="B182" s="27" t="s">
        <v>308</v>
      </c>
      <c r="C182" s="27">
        <v>19</v>
      </c>
      <c r="D182" s="27" t="s">
        <v>113</v>
      </c>
      <c r="E182" s="27">
        <v>2</v>
      </c>
      <c r="F182" s="27" t="s">
        <v>744</v>
      </c>
      <c r="G182" s="29" t="s">
        <v>130</v>
      </c>
      <c r="H182" s="27" t="s">
        <v>98</v>
      </c>
      <c r="I182" s="31" t="s">
        <v>113</v>
      </c>
      <c r="J182" s="118">
        <v>191.56604823966106</v>
      </c>
      <c r="K182" s="118">
        <v>-357.06296787778791</v>
      </c>
      <c r="L182" s="118">
        <v>-2670.1515205029491</v>
      </c>
      <c r="M182" s="118">
        <v>-1716.3577895397202</v>
      </c>
      <c r="N182" s="22">
        <v>-874</v>
      </c>
      <c r="O182" s="119">
        <v>-1598</v>
      </c>
      <c r="P182" s="119">
        <v>-1925</v>
      </c>
      <c r="Q182" s="120">
        <v>-3401</v>
      </c>
      <c r="R182" s="22">
        <v>-3268</v>
      </c>
      <c r="S182" s="22">
        <v>-4247</v>
      </c>
      <c r="T182" s="121">
        <v>-1745</v>
      </c>
      <c r="U182" s="121">
        <v>594</v>
      </c>
      <c r="V182" s="121">
        <v>3053</v>
      </c>
      <c r="W182" s="106">
        <v>4582</v>
      </c>
      <c r="X182" s="121">
        <v>4429</v>
      </c>
      <c r="Y182" s="121">
        <v>4415</v>
      </c>
      <c r="Z182" s="121">
        <v>4659</v>
      </c>
      <c r="AA182" s="121">
        <v>3783</v>
      </c>
      <c r="AB182" s="122">
        <v>18.5</v>
      </c>
      <c r="AC182" s="123">
        <v>18.5</v>
      </c>
      <c r="AD182" s="124">
        <v>18.5</v>
      </c>
      <c r="AE182" s="125">
        <v>18.75</v>
      </c>
      <c r="AF182" s="126">
        <v>18.75</v>
      </c>
      <c r="AG182" s="123">
        <v>19</v>
      </c>
      <c r="AH182" s="123">
        <v>19</v>
      </c>
      <c r="AI182" s="127">
        <v>19</v>
      </c>
      <c r="AJ182" s="127">
        <v>19.25</v>
      </c>
      <c r="AK182" s="22">
        <v>19.5</v>
      </c>
      <c r="AL182" s="128">
        <v>19.75</v>
      </c>
      <c r="AM182" s="128">
        <v>20.25</v>
      </c>
      <c r="AN182" s="128">
        <v>20.25</v>
      </c>
      <c r="AO182" s="77">
        <v>20.25</v>
      </c>
      <c r="AP182" s="77">
        <v>20.25</v>
      </c>
      <c r="AQ182" s="129">
        <v>20.25</v>
      </c>
      <c r="AR182" s="129">
        <v>20.25</v>
      </c>
      <c r="AS182" s="129">
        <v>20.25</v>
      </c>
      <c r="AT182" s="116">
        <v>3739</v>
      </c>
      <c r="AU182" s="47">
        <v>4636</v>
      </c>
      <c r="AV182" s="47">
        <v>30034</v>
      </c>
      <c r="AW182" s="46">
        <v>10957</v>
      </c>
      <c r="AX182" s="46">
        <v>15086</v>
      </c>
      <c r="AY182" s="92">
        <v>249</v>
      </c>
      <c r="AZ182" s="47">
        <v>836</v>
      </c>
      <c r="BA182" s="44">
        <v>1072</v>
      </c>
      <c r="BB182" s="23">
        <v>-1889</v>
      </c>
      <c r="BC182" s="47">
        <v>-236</v>
      </c>
      <c r="BD182" s="44">
        <v>-236</v>
      </c>
      <c r="BE182" s="47">
        <v>4415</v>
      </c>
      <c r="BF182" s="44">
        <v>10957</v>
      </c>
      <c r="BG182" s="46">
        <v>9755</v>
      </c>
      <c r="BH182" s="130">
        <v>681</v>
      </c>
      <c r="BI182" s="46">
        <v>521</v>
      </c>
      <c r="BJ182" s="129">
        <v>20.25</v>
      </c>
      <c r="BK182" s="44">
        <v>4017</v>
      </c>
      <c r="BL182" s="116">
        <v>3676</v>
      </c>
      <c r="BM182" s="47">
        <v>4834</v>
      </c>
      <c r="BN182" s="130">
        <v>30185</v>
      </c>
      <c r="BO182" s="46">
        <v>11459</v>
      </c>
      <c r="BP182" s="46">
        <v>15153</v>
      </c>
      <c r="BQ182" s="46">
        <v>230</v>
      </c>
      <c r="BR182" s="130">
        <v>1455</v>
      </c>
      <c r="BS182" s="44">
        <v>1220</v>
      </c>
      <c r="BT182" s="92">
        <v>-1123</v>
      </c>
      <c r="BU182" s="117">
        <v>244</v>
      </c>
      <c r="BV182" s="130">
        <v>4659</v>
      </c>
      <c r="BW182" s="48">
        <v>11459</v>
      </c>
      <c r="BX182" s="46">
        <v>10091</v>
      </c>
      <c r="BY182" s="130">
        <v>703</v>
      </c>
      <c r="BZ182" s="46">
        <v>665</v>
      </c>
      <c r="CA182" s="129">
        <v>20.25</v>
      </c>
      <c r="CB182" s="44">
        <v>3639</v>
      </c>
      <c r="CC182" s="116">
        <v>3623</v>
      </c>
      <c r="CD182" s="47">
        <v>4209</v>
      </c>
      <c r="CE182" s="130">
        <v>29867</v>
      </c>
      <c r="CF182" s="46">
        <v>11313</v>
      </c>
      <c r="CG182" s="46">
        <v>14426</v>
      </c>
      <c r="CH182" s="46">
        <v>314</v>
      </c>
      <c r="CI182" s="130">
        <v>215</v>
      </c>
      <c r="CJ182" s="44">
        <v>1143</v>
      </c>
      <c r="CK182" s="117">
        <v>373</v>
      </c>
      <c r="CL182" s="117">
        <v>-876</v>
      </c>
      <c r="CM182" s="117">
        <v>3783</v>
      </c>
      <c r="CN182" s="48">
        <v>11313</v>
      </c>
      <c r="CO182" s="46">
        <v>9860</v>
      </c>
      <c r="CP182" s="130">
        <v>776</v>
      </c>
      <c r="CQ182" s="46">
        <v>677</v>
      </c>
      <c r="CR182" s="129">
        <v>20.25</v>
      </c>
      <c r="CS182" s="44">
        <v>3262</v>
      </c>
      <c r="CT182">
        <v>3565</v>
      </c>
      <c r="CU182">
        <v>11329</v>
      </c>
      <c r="CV182">
        <v>14959</v>
      </c>
      <c r="CW182">
        <v>3772</v>
      </c>
      <c r="CX182">
        <v>83</v>
      </c>
      <c r="CY182">
        <v>9937</v>
      </c>
      <c r="CZ182">
        <v>672</v>
      </c>
      <c r="DA182">
        <v>720</v>
      </c>
      <c r="DB182">
        <v>656</v>
      </c>
      <c r="DC182">
        <v>-1436</v>
      </c>
      <c r="DD182">
        <v>1119</v>
      </c>
      <c r="DE182">
        <v>2923</v>
      </c>
      <c r="DF182">
        <v>29465</v>
      </c>
      <c r="DG182">
        <v>-411</v>
      </c>
      <c r="DH182">
        <v>3372</v>
      </c>
      <c r="DI182">
        <v>20.25</v>
      </c>
      <c r="DJ182" s="174">
        <v>3510</v>
      </c>
      <c r="DK182" s="34">
        <v>11090</v>
      </c>
      <c r="DL182" s="34">
        <v>14766</v>
      </c>
      <c r="DM182">
        <v>3941</v>
      </c>
      <c r="DN182" s="173">
        <v>124</v>
      </c>
      <c r="DO182" s="34">
        <v>9553</v>
      </c>
      <c r="DP182" s="173">
        <v>791</v>
      </c>
      <c r="DQ182" s="34">
        <v>746</v>
      </c>
      <c r="DR182" s="173">
        <v>-687</v>
      </c>
      <c r="DS182" s="173">
        <v>-944</v>
      </c>
      <c r="DT182">
        <v>1205</v>
      </c>
      <c r="DU182">
        <v>4566</v>
      </c>
      <c r="DV182" s="173">
        <v>30608</v>
      </c>
      <c r="DW182" s="173">
        <v>-1840</v>
      </c>
      <c r="DX182" s="173">
        <v>1532</v>
      </c>
      <c r="DY182" s="57">
        <v>20.25</v>
      </c>
      <c r="DZ182" s="184">
        <v>340</v>
      </c>
      <c r="EA182" s="116">
        <v>3438</v>
      </c>
      <c r="EB182" s="48">
        <v>11055</v>
      </c>
      <c r="EC182" s="46">
        <v>15093</v>
      </c>
      <c r="ED182" s="90">
        <v>3818</v>
      </c>
      <c r="EE182" s="186">
        <v>95</v>
      </c>
      <c r="EF182" s="46">
        <v>9571</v>
      </c>
      <c r="EG182" s="130">
        <v>765</v>
      </c>
      <c r="EH182" s="46">
        <v>719</v>
      </c>
      <c r="EI182" s="130">
        <v>578</v>
      </c>
      <c r="EJ182" s="48">
        <v>-607</v>
      </c>
      <c r="EK182" s="44">
        <v>1152</v>
      </c>
      <c r="EL182" s="44">
        <v>3891</v>
      </c>
      <c r="EM182" s="130">
        <v>29483</v>
      </c>
      <c r="EN182" s="117">
        <v>-522</v>
      </c>
      <c r="EO182" s="117">
        <v>1010</v>
      </c>
      <c r="EP182" s="129">
        <v>21</v>
      </c>
    </row>
    <row r="183" spans="1:146" ht="15" x14ac:dyDescent="0.25">
      <c r="A183" s="27">
        <v>584</v>
      </c>
      <c r="B183" s="27" t="s">
        <v>309</v>
      </c>
      <c r="C183" s="27">
        <v>16</v>
      </c>
      <c r="D183" s="27" t="s">
        <v>110</v>
      </c>
      <c r="E183" s="27">
        <v>2</v>
      </c>
      <c r="F183" s="27" t="s">
        <v>744</v>
      </c>
      <c r="G183" s="29" t="s">
        <v>130</v>
      </c>
      <c r="H183" s="27" t="s">
        <v>98</v>
      </c>
      <c r="I183" s="31" t="s">
        <v>110</v>
      </c>
      <c r="J183" s="118">
        <v>1414.7968373942308</v>
      </c>
      <c r="K183" s="118">
        <v>1360.6403250736241</v>
      </c>
      <c r="L183" s="118">
        <v>1360.6403250736241</v>
      </c>
      <c r="M183" s="118">
        <v>965.7350737419963</v>
      </c>
      <c r="N183" s="22">
        <v>-313</v>
      </c>
      <c r="O183" s="119">
        <v>-843</v>
      </c>
      <c r="P183" s="119">
        <v>-638</v>
      </c>
      <c r="Q183" s="120">
        <v>-821</v>
      </c>
      <c r="R183" s="22">
        <v>-246</v>
      </c>
      <c r="S183" s="22">
        <v>347</v>
      </c>
      <c r="T183" s="121">
        <v>1386</v>
      </c>
      <c r="U183" s="121">
        <v>2027</v>
      </c>
      <c r="V183" s="121">
        <v>1948</v>
      </c>
      <c r="W183" s="106">
        <v>1964</v>
      </c>
      <c r="X183" s="121">
        <v>1974</v>
      </c>
      <c r="Y183" s="121">
        <v>1802</v>
      </c>
      <c r="Z183" s="121">
        <v>2844</v>
      </c>
      <c r="AA183" s="121">
        <v>3905</v>
      </c>
      <c r="AB183" s="122">
        <v>19</v>
      </c>
      <c r="AC183" s="123">
        <v>19</v>
      </c>
      <c r="AD183" s="124">
        <v>19</v>
      </c>
      <c r="AE183" s="125">
        <v>19</v>
      </c>
      <c r="AF183" s="126">
        <v>19</v>
      </c>
      <c r="AG183" s="123">
        <v>19</v>
      </c>
      <c r="AH183" s="123">
        <v>19</v>
      </c>
      <c r="AI183" s="127">
        <v>19</v>
      </c>
      <c r="AJ183" s="127">
        <v>19.5</v>
      </c>
      <c r="AK183" s="22">
        <v>19.5</v>
      </c>
      <c r="AL183" s="128">
        <v>19.5</v>
      </c>
      <c r="AM183" s="128">
        <v>19.5</v>
      </c>
      <c r="AN183" s="128">
        <v>19.5</v>
      </c>
      <c r="AO183" s="77">
        <v>20</v>
      </c>
      <c r="AP183" s="77">
        <v>20.5</v>
      </c>
      <c r="AQ183" s="129">
        <v>20.5</v>
      </c>
      <c r="AR183" s="129">
        <v>21</v>
      </c>
      <c r="AS183" s="129">
        <v>21</v>
      </c>
      <c r="AT183" s="116">
        <v>2923</v>
      </c>
      <c r="AU183" s="47">
        <v>3833</v>
      </c>
      <c r="AV183" s="47">
        <v>21247</v>
      </c>
      <c r="AW183" s="46">
        <v>6859</v>
      </c>
      <c r="AX183" s="46">
        <v>11108</v>
      </c>
      <c r="AY183" s="92">
        <v>391</v>
      </c>
      <c r="AZ183" s="47">
        <v>944</v>
      </c>
      <c r="BA183" s="44">
        <v>1121</v>
      </c>
      <c r="BB183" s="23">
        <v>-2941</v>
      </c>
      <c r="BC183" s="47">
        <v>-177</v>
      </c>
      <c r="BD183" s="44">
        <v>-171</v>
      </c>
      <c r="BE183" s="47">
        <v>1802</v>
      </c>
      <c r="BF183" s="44">
        <v>6859</v>
      </c>
      <c r="BG183" s="46">
        <v>6041</v>
      </c>
      <c r="BH183" s="130">
        <v>421</v>
      </c>
      <c r="BI183" s="46">
        <v>397</v>
      </c>
      <c r="BJ183" s="129">
        <v>20.5</v>
      </c>
      <c r="BK183" s="44">
        <v>6465</v>
      </c>
      <c r="BL183" s="116">
        <v>2893</v>
      </c>
      <c r="BM183" s="47">
        <v>3385</v>
      </c>
      <c r="BN183" s="130">
        <v>19695</v>
      </c>
      <c r="BO183" s="46">
        <v>7015</v>
      </c>
      <c r="BP183" s="46">
        <v>11503</v>
      </c>
      <c r="BQ183" s="46">
        <v>199</v>
      </c>
      <c r="BR183" s="130">
        <v>2407</v>
      </c>
      <c r="BS183" s="44">
        <v>1372</v>
      </c>
      <c r="BT183" s="92">
        <v>-887</v>
      </c>
      <c r="BU183" s="117">
        <v>1042</v>
      </c>
      <c r="BV183" s="130">
        <v>2844</v>
      </c>
      <c r="BW183" s="48">
        <v>7015</v>
      </c>
      <c r="BX183" s="46">
        <v>6092</v>
      </c>
      <c r="BY183" s="130">
        <v>477</v>
      </c>
      <c r="BZ183" s="46">
        <v>446</v>
      </c>
      <c r="CA183" s="129">
        <v>21</v>
      </c>
      <c r="CB183" s="44">
        <v>7399</v>
      </c>
      <c r="CC183" s="116">
        <v>2931</v>
      </c>
      <c r="CD183" s="47">
        <v>3403</v>
      </c>
      <c r="CE183" s="130">
        <v>19820</v>
      </c>
      <c r="CF183" s="46">
        <v>7463</v>
      </c>
      <c r="CG183" s="46">
        <v>11647</v>
      </c>
      <c r="CH183" s="46">
        <v>307</v>
      </c>
      <c r="CI183" s="130">
        <v>2997</v>
      </c>
      <c r="CJ183" s="44">
        <v>1143</v>
      </c>
      <c r="CK183" s="117">
        <v>-2030</v>
      </c>
      <c r="CL183" s="117">
        <v>1060</v>
      </c>
      <c r="CM183" s="117">
        <v>3905</v>
      </c>
      <c r="CN183" s="48">
        <v>7463</v>
      </c>
      <c r="CO183" s="46">
        <v>6430</v>
      </c>
      <c r="CP183" s="130">
        <v>560</v>
      </c>
      <c r="CQ183" s="46">
        <v>473</v>
      </c>
      <c r="CR183" s="129">
        <v>21</v>
      </c>
      <c r="CS183" s="44">
        <v>6629</v>
      </c>
      <c r="CT183">
        <v>2907</v>
      </c>
      <c r="CU183">
        <v>7128</v>
      </c>
      <c r="CV183">
        <v>11720</v>
      </c>
      <c r="CW183">
        <v>3213</v>
      </c>
      <c r="CX183">
        <v>218</v>
      </c>
      <c r="CY183">
        <v>6094</v>
      </c>
      <c r="CZ183">
        <v>547</v>
      </c>
      <c r="DA183">
        <v>487</v>
      </c>
      <c r="DB183">
        <v>1658</v>
      </c>
      <c r="DC183">
        <v>-3634</v>
      </c>
      <c r="DD183">
        <v>1293</v>
      </c>
      <c r="DE183">
        <v>8730</v>
      </c>
      <c r="DF183">
        <v>20621</v>
      </c>
      <c r="DG183">
        <v>371</v>
      </c>
      <c r="DH183">
        <v>4275</v>
      </c>
      <c r="DI183">
        <v>21</v>
      </c>
      <c r="DJ183" s="174">
        <v>2860</v>
      </c>
      <c r="DK183" s="34">
        <v>7802</v>
      </c>
      <c r="DL183" s="34">
        <v>11547</v>
      </c>
      <c r="DM183">
        <v>3097</v>
      </c>
      <c r="DN183" s="173">
        <v>285</v>
      </c>
      <c r="DO183" s="34">
        <v>6569</v>
      </c>
      <c r="DP183" s="173">
        <v>650</v>
      </c>
      <c r="DQ183" s="34">
        <v>583</v>
      </c>
      <c r="DR183" s="173">
        <v>1506</v>
      </c>
      <c r="DS183" s="173">
        <v>-4373</v>
      </c>
      <c r="DT183">
        <v>1352</v>
      </c>
      <c r="DU183">
        <v>13147</v>
      </c>
      <c r="DV183" s="173">
        <v>21225</v>
      </c>
      <c r="DW183" s="173">
        <v>197</v>
      </c>
      <c r="DX183" s="173">
        <v>4472</v>
      </c>
      <c r="DY183" s="57">
        <v>21.5</v>
      </c>
      <c r="DZ183" s="184">
        <v>340</v>
      </c>
      <c r="EA183" s="116">
        <v>2825</v>
      </c>
      <c r="EB183" s="48">
        <v>7715</v>
      </c>
      <c r="EC183" s="46">
        <v>11391</v>
      </c>
      <c r="ED183" s="90">
        <v>3184</v>
      </c>
      <c r="EE183" s="186">
        <v>-34</v>
      </c>
      <c r="EF183" s="46">
        <v>6365</v>
      </c>
      <c r="EG183" s="130">
        <v>613</v>
      </c>
      <c r="EH183" s="46">
        <v>737</v>
      </c>
      <c r="EI183" s="130">
        <v>-56</v>
      </c>
      <c r="EJ183" s="48">
        <v>-3852</v>
      </c>
      <c r="EK183" s="44">
        <v>1413</v>
      </c>
      <c r="EL183" s="44">
        <v>16612</v>
      </c>
      <c r="EM183" s="130">
        <v>22312</v>
      </c>
      <c r="EN183" s="117">
        <v>-1403</v>
      </c>
      <c r="EO183" s="117">
        <v>3070</v>
      </c>
      <c r="EP183" s="129">
        <v>21.5</v>
      </c>
    </row>
    <row r="184" spans="1:146" ht="15" x14ac:dyDescent="0.25">
      <c r="A184" s="27">
        <v>588</v>
      </c>
      <c r="B184" s="27" t="s">
        <v>310</v>
      </c>
      <c r="C184" s="27">
        <v>10</v>
      </c>
      <c r="D184" s="27" t="s">
        <v>107</v>
      </c>
      <c r="E184" s="27">
        <v>1</v>
      </c>
      <c r="F184" s="27" t="s">
        <v>103</v>
      </c>
      <c r="G184" s="29" t="s">
        <v>130</v>
      </c>
      <c r="H184" s="27" t="s">
        <v>98</v>
      </c>
      <c r="I184" s="31" t="s">
        <v>107</v>
      </c>
      <c r="J184" s="118">
        <v>57.688458776298283</v>
      </c>
      <c r="K184" s="118">
        <v>-188.87504141627687</v>
      </c>
      <c r="L184" s="118">
        <v>-326.7891411147159</v>
      </c>
      <c r="M184" s="118">
        <v>-728.92647328418877</v>
      </c>
      <c r="N184" s="22">
        <v>-54</v>
      </c>
      <c r="O184" s="119">
        <v>-636</v>
      </c>
      <c r="P184" s="119">
        <v>-481</v>
      </c>
      <c r="Q184" s="120">
        <v>-417</v>
      </c>
      <c r="R184" s="22">
        <v>-484</v>
      </c>
      <c r="S184" s="22">
        <v>-231</v>
      </c>
      <c r="T184" s="121">
        <v>373</v>
      </c>
      <c r="U184" s="121">
        <v>855</v>
      </c>
      <c r="V184" s="121">
        <v>864</v>
      </c>
      <c r="W184" s="106">
        <v>1249</v>
      </c>
      <c r="X184" s="121">
        <v>900</v>
      </c>
      <c r="Y184" s="121">
        <v>451</v>
      </c>
      <c r="Z184" s="121">
        <v>471</v>
      </c>
      <c r="AA184" s="121">
        <v>736</v>
      </c>
      <c r="AB184" s="122">
        <v>18</v>
      </c>
      <c r="AC184" s="123">
        <v>18</v>
      </c>
      <c r="AD184" s="124">
        <v>18</v>
      </c>
      <c r="AE184" s="125">
        <v>18</v>
      </c>
      <c r="AF184" s="126">
        <v>18.5</v>
      </c>
      <c r="AG184" s="123">
        <v>18.5</v>
      </c>
      <c r="AH184" s="123">
        <v>18.5</v>
      </c>
      <c r="AI184" s="127">
        <v>18.5</v>
      </c>
      <c r="AJ184" s="127">
        <v>18.5</v>
      </c>
      <c r="AK184" s="22">
        <v>19.5</v>
      </c>
      <c r="AL184" s="128">
        <v>20</v>
      </c>
      <c r="AM184" s="128">
        <v>20</v>
      </c>
      <c r="AN184" s="128">
        <v>20</v>
      </c>
      <c r="AO184" s="77">
        <v>20</v>
      </c>
      <c r="AP184" s="77">
        <v>20</v>
      </c>
      <c r="AQ184" s="129">
        <v>20</v>
      </c>
      <c r="AR184" s="129">
        <v>21</v>
      </c>
      <c r="AS184" s="129">
        <v>21</v>
      </c>
      <c r="AT184" s="116">
        <v>1842</v>
      </c>
      <c r="AU184" s="47">
        <v>2337</v>
      </c>
      <c r="AV184" s="47">
        <v>13271</v>
      </c>
      <c r="AW184" s="46">
        <v>4984</v>
      </c>
      <c r="AX184" s="46">
        <v>6006</v>
      </c>
      <c r="AY184" s="92">
        <v>78</v>
      </c>
      <c r="AZ184" s="47">
        <v>111</v>
      </c>
      <c r="BA184" s="44">
        <v>559</v>
      </c>
      <c r="BB184" s="23">
        <v>-718</v>
      </c>
      <c r="BC184" s="47">
        <v>-448</v>
      </c>
      <c r="BD184" s="44">
        <v>-448</v>
      </c>
      <c r="BE184" s="47">
        <v>451</v>
      </c>
      <c r="BF184" s="44">
        <v>4984</v>
      </c>
      <c r="BG184" s="46">
        <v>3890</v>
      </c>
      <c r="BH184" s="130">
        <v>551</v>
      </c>
      <c r="BI184" s="46">
        <v>543</v>
      </c>
      <c r="BJ184" s="129">
        <v>20</v>
      </c>
      <c r="BK184" s="44">
        <v>4799</v>
      </c>
      <c r="BL184" s="116">
        <v>1832</v>
      </c>
      <c r="BM184" s="47">
        <v>2338</v>
      </c>
      <c r="BN184" s="130">
        <v>13507</v>
      </c>
      <c r="BO184" s="46">
        <v>5567</v>
      </c>
      <c r="BP184" s="46">
        <v>6233</v>
      </c>
      <c r="BQ184" s="46">
        <v>59</v>
      </c>
      <c r="BR184" s="130">
        <v>665</v>
      </c>
      <c r="BS184" s="44">
        <v>645</v>
      </c>
      <c r="BT184" s="92">
        <v>-1341</v>
      </c>
      <c r="BU184" s="117">
        <v>20</v>
      </c>
      <c r="BV184" s="130">
        <v>471</v>
      </c>
      <c r="BW184" s="48">
        <v>5567</v>
      </c>
      <c r="BX184" s="46">
        <v>4087</v>
      </c>
      <c r="BY184" s="130">
        <v>652</v>
      </c>
      <c r="BZ184" s="46">
        <v>828</v>
      </c>
      <c r="CA184" s="129">
        <v>21</v>
      </c>
      <c r="CB184" s="44">
        <v>5878</v>
      </c>
      <c r="CC184" s="116">
        <v>1817</v>
      </c>
      <c r="CD184" s="47">
        <v>2533</v>
      </c>
      <c r="CE184" s="130">
        <v>13531</v>
      </c>
      <c r="CF184" s="46">
        <v>5701</v>
      </c>
      <c r="CG184" s="46">
        <v>6109</v>
      </c>
      <c r="CH184" s="46">
        <v>94</v>
      </c>
      <c r="CI184" s="130">
        <v>828</v>
      </c>
      <c r="CJ184" s="44">
        <v>685</v>
      </c>
      <c r="CK184" s="117">
        <v>-248</v>
      </c>
      <c r="CL184" s="117">
        <v>143</v>
      </c>
      <c r="CM184" s="117">
        <v>736</v>
      </c>
      <c r="CN184" s="48">
        <v>5701</v>
      </c>
      <c r="CO184" s="46">
        <v>4103</v>
      </c>
      <c r="CP184" s="130">
        <v>818</v>
      </c>
      <c r="CQ184" s="46">
        <v>780</v>
      </c>
      <c r="CR184" s="129">
        <v>21</v>
      </c>
      <c r="CS184" s="44">
        <v>5305</v>
      </c>
      <c r="CT184">
        <v>1796</v>
      </c>
      <c r="CU184">
        <v>5626</v>
      </c>
      <c r="CV184">
        <v>6301</v>
      </c>
      <c r="CW184">
        <v>2499</v>
      </c>
      <c r="CX184">
        <v>55</v>
      </c>
      <c r="CY184">
        <v>4056</v>
      </c>
      <c r="CZ184">
        <v>734</v>
      </c>
      <c r="DA184">
        <v>836</v>
      </c>
      <c r="DB184">
        <v>706</v>
      </c>
      <c r="DC184">
        <v>-1331</v>
      </c>
      <c r="DD184">
        <v>649</v>
      </c>
      <c r="DE184">
        <v>5832</v>
      </c>
      <c r="DF184">
        <v>13749</v>
      </c>
      <c r="DG184">
        <v>57</v>
      </c>
      <c r="DH184">
        <v>792</v>
      </c>
      <c r="DI184">
        <v>21</v>
      </c>
      <c r="DJ184" s="174">
        <v>1739</v>
      </c>
      <c r="DK184" s="34">
        <v>5780</v>
      </c>
      <c r="DL184" s="34">
        <v>6163</v>
      </c>
      <c r="DM184">
        <v>1975</v>
      </c>
      <c r="DN184" s="173">
        <v>96</v>
      </c>
      <c r="DO184" s="34">
        <v>4126</v>
      </c>
      <c r="DP184" s="173">
        <v>841</v>
      </c>
      <c r="DQ184" s="34">
        <v>813</v>
      </c>
      <c r="DR184" s="173">
        <v>811</v>
      </c>
      <c r="DS184" s="173">
        <v>-1249</v>
      </c>
      <c r="DT184">
        <v>642</v>
      </c>
      <c r="DU184">
        <v>6692</v>
      </c>
      <c r="DV184" s="173">
        <v>13203</v>
      </c>
      <c r="DW184" s="173">
        <v>169</v>
      </c>
      <c r="DX184" s="173">
        <v>954</v>
      </c>
      <c r="DY184" s="57">
        <v>21</v>
      </c>
      <c r="DZ184" s="184">
        <v>340</v>
      </c>
      <c r="EA184" s="116">
        <v>1713</v>
      </c>
      <c r="EB184" s="48">
        <v>5495</v>
      </c>
      <c r="EC184" s="46">
        <v>5822</v>
      </c>
      <c r="ED184" s="90">
        <v>1949</v>
      </c>
      <c r="EE184" s="186">
        <v>0</v>
      </c>
      <c r="EF184" s="46">
        <v>3876</v>
      </c>
      <c r="EG184" s="130">
        <v>795</v>
      </c>
      <c r="EH184" s="46">
        <v>824</v>
      </c>
      <c r="EI184" s="130">
        <v>-637</v>
      </c>
      <c r="EJ184" s="48">
        <v>-274</v>
      </c>
      <c r="EK184" s="44">
        <v>713</v>
      </c>
      <c r="EL184" s="44">
        <v>6831</v>
      </c>
      <c r="EM184" s="130">
        <v>13903</v>
      </c>
      <c r="EN184" s="117">
        <v>-1350</v>
      </c>
      <c r="EO184" s="117">
        <v>-396</v>
      </c>
      <c r="EP184" s="129">
        <v>21.5</v>
      </c>
    </row>
    <row r="185" spans="1:146" ht="15" x14ac:dyDescent="0.25">
      <c r="A185" s="27">
        <v>592</v>
      </c>
      <c r="B185" s="27" t="s">
        <v>311</v>
      </c>
      <c r="C185" s="27">
        <v>13</v>
      </c>
      <c r="D185" s="27" t="s">
        <v>111</v>
      </c>
      <c r="E185" s="27">
        <v>2</v>
      </c>
      <c r="F185" s="27" t="s">
        <v>744</v>
      </c>
      <c r="G185" s="29" t="s">
        <v>130</v>
      </c>
      <c r="H185" s="27" t="s">
        <v>98</v>
      </c>
      <c r="I185" s="31" t="s">
        <v>111</v>
      </c>
      <c r="J185" s="118">
        <v>-114.03141414090447</v>
      </c>
      <c r="K185" s="118">
        <v>-98.72631283290697</v>
      </c>
      <c r="L185" s="118">
        <v>8564.8019671259881</v>
      </c>
      <c r="M185" s="118">
        <v>7025.0415003708549</v>
      </c>
      <c r="N185" s="22">
        <v>6854</v>
      </c>
      <c r="O185" s="119">
        <v>8100</v>
      </c>
      <c r="P185" s="119">
        <v>8382</v>
      </c>
      <c r="Q185" s="120">
        <v>8488</v>
      </c>
      <c r="R185" s="22">
        <v>8963</v>
      </c>
      <c r="S185" s="22">
        <v>9717</v>
      </c>
      <c r="T185" s="121">
        <v>9091</v>
      </c>
      <c r="U185" s="121">
        <v>9069</v>
      </c>
      <c r="V185" s="121">
        <v>9667</v>
      </c>
      <c r="W185" s="106">
        <v>9235</v>
      </c>
      <c r="X185" s="121">
        <v>7782</v>
      </c>
      <c r="Y185" s="121">
        <v>7036</v>
      </c>
      <c r="Z185" s="121">
        <v>7417</v>
      </c>
      <c r="AA185" s="121">
        <v>9008</v>
      </c>
      <c r="AB185" s="122">
        <v>18.5</v>
      </c>
      <c r="AC185" s="123">
        <v>18.5</v>
      </c>
      <c r="AD185" s="124">
        <v>18.5</v>
      </c>
      <c r="AE185" s="125">
        <v>18.5</v>
      </c>
      <c r="AF185" s="126">
        <v>18.75</v>
      </c>
      <c r="AG185" s="123">
        <v>19.25</v>
      </c>
      <c r="AH185" s="123">
        <v>19.25</v>
      </c>
      <c r="AI185" s="127">
        <v>19.25</v>
      </c>
      <c r="AJ185" s="127">
        <v>19.25</v>
      </c>
      <c r="AK185" s="22">
        <v>19.25</v>
      </c>
      <c r="AL185" s="128">
        <v>19.25</v>
      </c>
      <c r="AM185" s="128">
        <v>19.25</v>
      </c>
      <c r="AN185" s="128">
        <v>20</v>
      </c>
      <c r="AO185" s="77">
        <v>20</v>
      </c>
      <c r="AP185" s="77">
        <v>20.5</v>
      </c>
      <c r="AQ185" s="129">
        <v>21</v>
      </c>
      <c r="AR185" s="129">
        <v>21.25</v>
      </c>
      <c r="AS185" s="129">
        <v>21.25</v>
      </c>
      <c r="AT185" s="116">
        <v>4125</v>
      </c>
      <c r="AU185" s="47">
        <v>3478</v>
      </c>
      <c r="AV185" s="47">
        <v>25787</v>
      </c>
      <c r="AW185" s="46">
        <v>11643</v>
      </c>
      <c r="AX185" s="46">
        <v>10844</v>
      </c>
      <c r="AY185" s="92">
        <v>279</v>
      </c>
      <c r="AZ185" s="47">
        <v>378</v>
      </c>
      <c r="BA185" s="44">
        <v>1131</v>
      </c>
      <c r="BB185" s="23">
        <v>-1422</v>
      </c>
      <c r="BC185" s="47">
        <v>-753</v>
      </c>
      <c r="BD185" s="44">
        <v>-746</v>
      </c>
      <c r="BE185" s="47">
        <v>7036</v>
      </c>
      <c r="BF185" s="44">
        <v>11643</v>
      </c>
      <c r="BG185" s="46">
        <v>10339</v>
      </c>
      <c r="BH185" s="130">
        <v>543</v>
      </c>
      <c r="BI185" s="46">
        <v>761</v>
      </c>
      <c r="BJ185" s="129">
        <v>21</v>
      </c>
      <c r="BK185" s="44">
        <v>9577</v>
      </c>
      <c r="BL185" s="116">
        <v>4081</v>
      </c>
      <c r="BM185" s="47">
        <v>3443</v>
      </c>
      <c r="BN185" s="130">
        <v>25787</v>
      </c>
      <c r="BO185" s="46">
        <v>12335</v>
      </c>
      <c r="BP185" s="46">
        <v>11285</v>
      </c>
      <c r="BQ185" s="46">
        <v>165</v>
      </c>
      <c r="BR185" s="130">
        <v>1370</v>
      </c>
      <c r="BS185" s="44">
        <v>996</v>
      </c>
      <c r="BT185" s="92">
        <v>-419</v>
      </c>
      <c r="BU185" s="117">
        <v>381</v>
      </c>
      <c r="BV185" s="130">
        <v>7417</v>
      </c>
      <c r="BW185" s="48">
        <v>12335</v>
      </c>
      <c r="BX185" s="46">
        <v>10759</v>
      </c>
      <c r="BY185" s="130">
        <v>714</v>
      </c>
      <c r="BZ185" s="46">
        <v>862</v>
      </c>
      <c r="CA185" s="129">
        <v>21.25</v>
      </c>
      <c r="CB185" s="44">
        <v>8715</v>
      </c>
      <c r="CC185" s="116">
        <v>4008</v>
      </c>
      <c r="CD185" s="47">
        <v>3468</v>
      </c>
      <c r="CE185" s="130">
        <v>25449</v>
      </c>
      <c r="CF185" s="46">
        <v>13040</v>
      </c>
      <c r="CG185" s="46">
        <v>11179</v>
      </c>
      <c r="CH185" s="46">
        <v>420</v>
      </c>
      <c r="CI185" s="130">
        <v>2616</v>
      </c>
      <c r="CJ185" s="44">
        <v>1032</v>
      </c>
      <c r="CK185" s="117">
        <v>-659</v>
      </c>
      <c r="CL185" s="117">
        <v>1591</v>
      </c>
      <c r="CM185" s="117">
        <v>9008</v>
      </c>
      <c r="CN185" s="48">
        <v>13040</v>
      </c>
      <c r="CO185" s="46">
        <v>11283</v>
      </c>
      <c r="CP185" s="130">
        <v>858</v>
      </c>
      <c r="CQ185" s="46">
        <v>899</v>
      </c>
      <c r="CR185" s="129">
        <v>21.25</v>
      </c>
      <c r="CS185" s="44">
        <v>6854</v>
      </c>
      <c r="CT185">
        <v>3981</v>
      </c>
      <c r="CU185">
        <v>12696</v>
      </c>
      <c r="CV185">
        <v>10969</v>
      </c>
      <c r="CW185">
        <v>2904</v>
      </c>
      <c r="CX185">
        <v>129</v>
      </c>
      <c r="CY185">
        <v>10960</v>
      </c>
      <c r="CZ185">
        <v>884</v>
      </c>
      <c r="DA185">
        <v>852</v>
      </c>
      <c r="DB185">
        <v>489</v>
      </c>
      <c r="DC185">
        <v>-2299</v>
      </c>
      <c r="DD185">
        <v>1011</v>
      </c>
      <c r="DE185">
        <v>8437</v>
      </c>
      <c r="DF185">
        <v>26177</v>
      </c>
      <c r="DG185">
        <v>-515</v>
      </c>
      <c r="DH185">
        <v>8493</v>
      </c>
      <c r="DI185">
        <v>21.25</v>
      </c>
      <c r="DJ185" s="174">
        <v>3920</v>
      </c>
      <c r="DK185" s="34">
        <v>13009</v>
      </c>
      <c r="DL185" s="34">
        <v>10808</v>
      </c>
      <c r="DM185">
        <v>2868</v>
      </c>
      <c r="DN185" s="173">
        <v>167</v>
      </c>
      <c r="DO185" s="34">
        <v>11046</v>
      </c>
      <c r="DP185" s="173">
        <v>1081</v>
      </c>
      <c r="DQ185" s="34">
        <v>882</v>
      </c>
      <c r="DR185" s="173">
        <v>764</v>
      </c>
      <c r="DS185" s="173">
        <v>-1092</v>
      </c>
      <c r="DT185">
        <v>981</v>
      </c>
      <c r="DU185">
        <v>8689</v>
      </c>
      <c r="DV185" s="173">
        <v>26088</v>
      </c>
      <c r="DW185" s="173">
        <v>-210</v>
      </c>
      <c r="DX185" s="173">
        <v>8284</v>
      </c>
      <c r="DY185" s="57">
        <v>21.25</v>
      </c>
      <c r="DZ185" s="184">
        <v>340</v>
      </c>
      <c r="EA185" s="116">
        <v>3900</v>
      </c>
      <c r="EB185" s="48">
        <v>12973</v>
      </c>
      <c r="EC185" s="46">
        <v>10356</v>
      </c>
      <c r="ED185" s="90">
        <v>3089</v>
      </c>
      <c r="EE185" s="186">
        <v>7</v>
      </c>
      <c r="EF185" s="46">
        <v>10870</v>
      </c>
      <c r="EG185" s="130">
        <v>1161</v>
      </c>
      <c r="EH185" s="46">
        <v>942</v>
      </c>
      <c r="EI185" s="130">
        <v>579</v>
      </c>
      <c r="EJ185" s="48">
        <v>-1520</v>
      </c>
      <c r="EK185" s="44">
        <v>968</v>
      </c>
      <c r="EL185" s="44">
        <v>9370</v>
      </c>
      <c r="EM185" s="130">
        <v>25846</v>
      </c>
      <c r="EN185" s="117">
        <v>-382</v>
      </c>
      <c r="EO185" s="117">
        <v>7901</v>
      </c>
      <c r="EP185" s="129">
        <v>21.75</v>
      </c>
    </row>
    <row r="186" spans="1:146" ht="15" x14ac:dyDescent="0.25">
      <c r="A186" s="27">
        <v>593</v>
      </c>
      <c r="B186" s="27" t="s">
        <v>312</v>
      </c>
      <c r="C186" s="27">
        <v>10</v>
      </c>
      <c r="D186" s="27" t="s">
        <v>107</v>
      </c>
      <c r="E186" s="27">
        <v>4</v>
      </c>
      <c r="F186" s="27" t="s">
        <v>100</v>
      </c>
      <c r="G186" s="29" t="s">
        <v>132</v>
      </c>
      <c r="H186" s="27" t="s">
        <v>99</v>
      </c>
      <c r="I186" s="31" t="s">
        <v>107</v>
      </c>
      <c r="J186" s="118">
        <v>1624.1908058388119</v>
      </c>
      <c r="K186" s="118">
        <v>1801.1245044763216</v>
      </c>
      <c r="L186" s="118">
        <v>-2779.9782364823159</v>
      </c>
      <c r="M186" s="118">
        <v>-193.92067921012222</v>
      </c>
      <c r="N186" s="22">
        <v>2251</v>
      </c>
      <c r="O186" s="119">
        <v>1360</v>
      </c>
      <c r="P186" s="119">
        <v>-1344</v>
      </c>
      <c r="Q186" s="120">
        <v>-4098</v>
      </c>
      <c r="R186" s="22">
        <v>-82</v>
      </c>
      <c r="S186" s="22">
        <v>580</v>
      </c>
      <c r="T186" s="121">
        <v>3266</v>
      </c>
      <c r="U186" s="121">
        <v>5300</v>
      </c>
      <c r="V186" s="121">
        <v>7145</v>
      </c>
      <c r="W186" s="106">
        <v>4505</v>
      </c>
      <c r="X186" s="121">
        <v>3304</v>
      </c>
      <c r="Y186" s="121">
        <v>1699</v>
      </c>
      <c r="Z186" s="121">
        <v>-2248</v>
      </c>
      <c r="AA186" s="121">
        <v>767</v>
      </c>
      <c r="AB186" s="122">
        <v>18.25</v>
      </c>
      <c r="AC186" s="123">
        <v>18.25</v>
      </c>
      <c r="AD186" s="124">
        <v>18.25</v>
      </c>
      <c r="AE186" s="125">
        <v>18.75</v>
      </c>
      <c r="AF186" s="126">
        <v>18.75</v>
      </c>
      <c r="AG186" s="123">
        <v>18.75</v>
      </c>
      <c r="AH186" s="123">
        <v>18.75</v>
      </c>
      <c r="AI186" s="127">
        <v>18.75</v>
      </c>
      <c r="AJ186" s="127">
        <v>18.75</v>
      </c>
      <c r="AK186" s="22">
        <v>19</v>
      </c>
      <c r="AL186" s="128">
        <v>19</v>
      </c>
      <c r="AM186" s="128">
        <v>19</v>
      </c>
      <c r="AN186" s="128">
        <v>19.75</v>
      </c>
      <c r="AO186" s="77">
        <v>19.75</v>
      </c>
      <c r="AP186" s="77">
        <v>19.75</v>
      </c>
      <c r="AQ186" s="129">
        <v>20.5</v>
      </c>
      <c r="AR186" s="129">
        <v>20.5</v>
      </c>
      <c r="AS186" s="129">
        <v>21.5</v>
      </c>
      <c r="AT186" s="116">
        <v>19288</v>
      </c>
      <c r="AU186" s="47">
        <v>22991</v>
      </c>
      <c r="AV186" s="47">
        <v>129979</v>
      </c>
      <c r="AW186" s="46">
        <v>62382</v>
      </c>
      <c r="AX186" s="46">
        <v>45097</v>
      </c>
      <c r="AY186" s="92">
        <v>3717</v>
      </c>
      <c r="AZ186" s="47">
        <v>654</v>
      </c>
      <c r="BA186" s="44">
        <v>5591</v>
      </c>
      <c r="BB186" s="23">
        <v>-6322</v>
      </c>
      <c r="BC186" s="47">
        <v>-1922</v>
      </c>
      <c r="BD186" s="44">
        <v>-1604</v>
      </c>
      <c r="BE186" s="47">
        <v>1699</v>
      </c>
      <c r="BF186" s="44">
        <v>62382</v>
      </c>
      <c r="BG186" s="46">
        <v>55346</v>
      </c>
      <c r="BH186" s="130">
        <v>3853</v>
      </c>
      <c r="BI186" s="46">
        <v>3183</v>
      </c>
      <c r="BJ186" s="129">
        <v>20.5</v>
      </c>
      <c r="BK186" s="44">
        <v>53743</v>
      </c>
      <c r="BL186" s="116">
        <v>19051</v>
      </c>
      <c r="BM186" s="47">
        <v>24050</v>
      </c>
      <c r="BN186" s="130">
        <v>132028</v>
      </c>
      <c r="BO186" s="46">
        <v>63953</v>
      </c>
      <c r="BP186" s="46">
        <v>45349</v>
      </c>
      <c r="BQ186" s="46">
        <v>781</v>
      </c>
      <c r="BR186" s="130">
        <v>1389</v>
      </c>
      <c r="BS186" s="44">
        <v>5604</v>
      </c>
      <c r="BT186" s="92">
        <v>-16454</v>
      </c>
      <c r="BU186" s="117">
        <v>-3947</v>
      </c>
      <c r="BV186" s="130">
        <v>-2248</v>
      </c>
      <c r="BW186" s="48">
        <v>63953</v>
      </c>
      <c r="BX186" s="46">
        <v>56137</v>
      </c>
      <c r="BY186" s="130">
        <v>4406</v>
      </c>
      <c r="BZ186" s="46">
        <v>3410</v>
      </c>
      <c r="CA186" s="129">
        <v>20.5</v>
      </c>
      <c r="CB186" s="44">
        <v>67628</v>
      </c>
      <c r="CC186" s="116">
        <v>18801</v>
      </c>
      <c r="CD186" s="47">
        <v>24024</v>
      </c>
      <c r="CE186" s="130">
        <v>135280</v>
      </c>
      <c r="CF186" s="46">
        <v>67328</v>
      </c>
      <c r="CG186" s="46">
        <v>46303</v>
      </c>
      <c r="CH186" s="46">
        <v>7994</v>
      </c>
      <c r="CI186" s="130">
        <v>2342</v>
      </c>
      <c r="CJ186" s="44">
        <v>6290</v>
      </c>
      <c r="CK186" s="117">
        <v>6924</v>
      </c>
      <c r="CL186" s="117">
        <v>3015</v>
      </c>
      <c r="CM186" s="117">
        <v>767</v>
      </c>
      <c r="CN186" s="48">
        <v>67328</v>
      </c>
      <c r="CO186" s="46">
        <v>58853</v>
      </c>
      <c r="CP186" s="130">
        <v>4706</v>
      </c>
      <c r="CQ186" s="46">
        <v>3769</v>
      </c>
      <c r="CR186" s="129">
        <v>21.5</v>
      </c>
      <c r="CS186" s="44">
        <v>71531</v>
      </c>
      <c r="CT186">
        <v>18475</v>
      </c>
      <c r="CU186">
        <v>67882</v>
      </c>
      <c r="CV186">
        <v>49675</v>
      </c>
      <c r="CW186">
        <v>21484</v>
      </c>
      <c r="CX186">
        <v>571</v>
      </c>
      <c r="CY186">
        <v>59467</v>
      </c>
      <c r="CZ186">
        <v>4151</v>
      </c>
      <c r="DA186">
        <v>4264</v>
      </c>
      <c r="DB186">
        <v>8791</v>
      </c>
      <c r="DC186">
        <v>-4127</v>
      </c>
      <c r="DD186">
        <v>6668</v>
      </c>
      <c r="DE186">
        <v>68686</v>
      </c>
      <c r="DF186">
        <v>130778</v>
      </c>
      <c r="DG186">
        <v>2260</v>
      </c>
      <c r="DH186">
        <v>3151</v>
      </c>
      <c r="DI186">
        <v>22</v>
      </c>
      <c r="DJ186" s="174">
        <v>18220</v>
      </c>
      <c r="DK186" s="34">
        <v>66970</v>
      </c>
      <c r="DL186" s="34">
        <v>49505</v>
      </c>
      <c r="DM186">
        <v>20634</v>
      </c>
      <c r="DN186" s="173">
        <v>1070</v>
      </c>
      <c r="DO186" s="34">
        <v>58000</v>
      </c>
      <c r="DP186" s="173">
        <v>4818</v>
      </c>
      <c r="DQ186" s="34">
        <v>4152</v>
      </c>
      <c r="DR186" s="173">
        <v>10525</v>
      </c>
      <c r="DS186" s="173">
        <v>-4737</v>
      </c>
      <c r="DT186">
        <v>5729</v>
      </c>
      <c r="DU186">
        <v>61919</v>
      </c>
      <c r="DV186" s="173">
        <v>127654</v>
      </c>
      <c r="DW186" s="173">
        <v>4831</v>
      </c>
      <c r="DX186" s="173">
        <v>7982</v>
      </c>
      <c r="DY186" s="57">
        <v>22</v>
      </c>
      <c r="DZ186" s="184">
        <v>240</v>
      </c>
      <c r="EA186" s="116">
        <v>17933</v>
      </c>
      <c r="EB186" s="48">
        <v>65202</v>
      </c>
      <c r="EC186" s="46">
        <v>48548</v>
      </c>
      <c r="ED186" s="90">
        <v>21349</v>
      </c>
      <c r="EE186" s="186">
        <v>859</v>
      </c>
      <c r="EF186" s="46">
        <v>56515</v>
      </c>
      <c r="EG186" s="130">
        <v>4472</v>
      </c>
      <c r="EH186" s="46">
        <v>4215</v>
      </c>
      <c r="EI186" s="130">
        <v>5728</v>
      </c>
      <c r="EJ186" s="48">
        <v>-14467</v>
      </c>
      <c r="EK186" s="44">
        <v>6853</v>
      </c>
      <c r="EL186" s="44">
        <v>68957</v>
      </c>
      <c r="EM186" s="130">
        <v>130230</v>
      </c>
      <c r="EN186" s="117">
        <v>-989</v>
      </c>
      <c r="EO186" s="117">
        <v>6993</v>
      </c>
      <c r="EP186" s="129">
        <v>22</v>
      </c>
    </row>
    <row r="187" spans="1:146" ht="15" x14ac:dyDescent="0.25">
      <c r="A187" s="27">
        <v>595</v>
      </c>
      <c r="B187" s="27" t="s">
        <v>313</v>
      </c>
      <c r="C187" s="27">
        <v>11</v>
      </c>
      <c r="D187" s="27" t="s">
        <v>118</v>
      </c>
      <c r="E187" s="27">
        <v>2</v>
      </c>
      <c r="F187" s="27" t="s">
        <v>744</v>
      </c>
      <c r="G187" s="29" t="s">
        <v>130</v>
      </c>
      <c r="H187" s="27" t="s">
        <v>98</v>
      </c>
      <c r="I187" s="31" t="s">
        <v>118</v>
      </c>
      <c r="J187" s="118">
        <v>-263.55048076518779</v>
      </c>
      <c r="K187" s="118">
        <v>8.9139601024600843</v>
      </c>
      <c r="L187" s="118">
        <v>-2076.2799521673537</v>
      </c>
      <c r="M187" s="118">
        <v>-910.23305800969774</v>
      </c>
      <c r="N187" s="22">
        <v>500</v>
      </c>
      <c r="O187" s="119">
        <v>251</v>
      </c>
      <c r="P187" s="119">
        <v>-326</v>
      </c>
      <c r="Q187" s="120">
        <v>-1187</v>
      </c>
      <c r="R187" s="22">
        <v>-1987</v>
      </c>
      <c r="S187" s="22">
        <v>-2952</v>
      </c>
      <c r="T187" s="121">
        <v>-1480</v>
      </c>
      <c r="U187" s="121">
        <v>-1752</v>
      </c>
      <c r="V187" s="121">
        <v>-1063</v>
      </c>
      <c r="W187" s="106">
        <v>-1026</v>
      </c>
      <c r="X187" s="121">
        <v>-1901</v>
      </c>
      <c r="Y187" s="121">
        <v>-1776</v>
      </c>
      <c r="Z187" s="121">
        <v>-1455</v>
      </c>
      <c r="AA187" s="121">
        <v>-1839</v>
      </c>
      <c r="AB187" s="122">
        <v>18.75</v>
      </c>
      <c r="AC187" s="123">
        <v>18.75</v>
      </c>
      <c r="AD187" s="124">
        <v>18.75</v>
      </c>
      <c r="AE187" s="125">
        <v>18.75</v>
      </c>
      <c r="AF187" s="126">
        <v>18.75</v>
      </c>
      <c r="AG187" s="123">
        <v>18.75</v>
      </c>
      <c r="AH187" s="123">
        <v>18.75</v>
      </c>
      <c r="AI187" s="127">
        <v>18.75</v>
      </c>
      <c r="AJ187" s="127">
        <v>18.75</v>
      </c>
      <c r="AK187" s="22">
        <v>18.75</v>
      </c>
      <c r="AL187" s="128">
        <v>19.25</v>
      </c>
      <c r="AM187" s="128">
        <v>19.25</v>
      </c>
      <c r="AN187" s="128">
        <v>19.75</v>
      </c>
      <c r="AO187" s="77">
        <v>19.75</v>
      </c>
      <c r="AP187" s="77">
        <v>19.75</v>
      </c>
      <c r="AQ187" s="129">
        <v>20.75</v>
      </c>
      <c r="AR187" s="129">
        <v>20.75</v>
      </c>
      <c r="AS187" s="129">
        <v>20.75</v>
      </c>
      <c r="AT187" s="116">
        <v>4824</v>
      </c>
      <c r="AU187" s="47">
        <v>4846</v>
      </c>
      <c r="AV187" s="47">
        <v>35136</v>
      </c>
      <c r="AW187" s="46">
        <v>12834</v>
      </c>
      <c r="AX187" s="46">
        <v>18434</v>
      </c>
      <c r="AY187" s="92">
        <v>553</v>
      </c>
      <c r="AZ187" s="47">
        <v>1483</v>
      </c>
      <c r="BA187" s="44">
        <v>1075</v>
      </c>
      <c r="BB187" s="23">
        <v>-1475</v>
      </c>
      <c r="BC187" s="47">
        <v>125</v>
      </c>
      <c r="BD187" s="44">
        <v>125</v>
      </c>
      <c r="BE187" s="47">
        <v>-1776</v>
      </c>
      <c r="BF187" s="44">
        <v>12834</v>
      </c>
      <c r="BG187" s="46">
        <v>10851</v>
      </c>
      <c r="BH187" s="130">
        <v>1059</v>
      </c>
      <c r="BI187" s="46">
        <v>924</v>
      </c>
      <c r="BJ187" s="129">
        <v>20.75</v>
      </c>
      <c r="BK187" s="44">
        <v>7668</v>
      </c>
      <c r="BL187" s="116">
        <v>4787</v>
      </c>
      <c r="BM187" s="47">
        <v>5074</v>
      </c>
      <c r="BN187" s="130">
        <v>36180</v>
      </c>
      <c r="BO187" s="46">
        <v>13212</v>
      </c>
      <c r="BP187" s="46">
        <v>18824</v>
      </c>
      <c r="BQ187" s="46">
        <v>510</v>
      </c>
      <c r="BR187" s="130">
        <v>1379</v>
      </c>
      <c r="BS187" s="44">
        <v>1069</v>
      </c>
      <c r="BT187" s="92">
        <v>-3738</v>
      </c>
      <c r="BU187" s="117">
        <v>321</v>
      </c>
      <c r="BV187" s="130">
        <v>-1455</v>
      </c>
      <c r="BW187" s="48">
        <v>13212</v>
      </c>
      <c r="BX187" s="46">
        <v>10829</v>
      </c>
      <c r="BY187" s="130">
        <v>1236</v>
      </c>
      <c r="BZ187" s="46">
        <v>1147</v>
      </c>
      <c r="CA187" s="129">
        <v>20.75</v>
      </c>
      <c r="CB187" s="44">
        <v>10446</v>
      </c>
      <c r="CC187" s="116">
        <v>4740</v>
      </c>
      <c r="CD187" s="47">
        <v>4620</v>
      </c>
      <c r="CE187" s="130">
        <v>37204</v>
      </c>
      <c r="CF187" s="46">
        <v>13605</v>
      </c>
      <c r="CG187" s="46">
        <v>19024</v>
      </c>
      <c r="CH187" s="46">
        <v>1182</v>
      </c>
      <c r="CI187" s="130">
        <v>450</v>
      </c>
      <c r="CJ187" s="44">
        <v>1179</v>
      </c>
      <c r="CK187" s="117">
        <v>-2712</v>
      </c>
      <c r="CL187" s="117">
        <v>-384</v>
      </c>
      <c r="CM187" s="117">
        <v>-1839</v>
      </c>
      <c r="CN187" s="48">
        <v>13605</v>
      </c>
      <c r="CO187" s="46">
        <v>11000</v>
      </c>
      <c r="CP187" s="130">
        <v>1452</v>
      </c>
      <c r="CQ187" s="46">
        <v>1153</v>
      </c>
      <c r="CR187" s="129">
        <v>20.75</v>
      </c>
      <c r="CS187" s="44">
        <v>9161</v>
      </c>
      <c r="CT187">
        <v>4697</v>
      </c>
      <c r="CU187">
        <v>12973</v>
      </c>
      <c r="CV187">
        <v>19593</v>
      </c>
      <c r="CW187">
        <v>5181</v>
      </c>
      <c r="CX187">
        <v>246</v>
      </c>
      <c r="CY187">
        <v>10470</v>
      </c>
      <c r="CZ187">
        <v>1339</v>
      </c>
      <c r="DA187">
        <v>1164</v>
      </c>
      <c r="DB187">
        <v>1187</v>
      </c>
      <c r="DC187">
        <v>-8460</v>
      </c>
      <c r="DD187">
        <v>1450</v>
      </c>
      <c r="DE187">
        <v>17197</v>
      </c>
      <c r="DF187">
        <v>36743</v>
      </c>
      <c r="DG187">
        <v>-252</v>
      </c>
      <c r="DH187">
        <v>-2092</v>
      </c>
      <c r="DI187">
        <v>20.75</v>
      </c>
      <c r="DJ187" s="174">
        <v>4624</v>
      </c>
      <c r="DK187" s="34">
        <v>13060</v>
      </c>
      <c r="DL187" s="34">
        <v>20323</v>
      </c>
      <c r="DM187">
        <v>5182</v>
      </c>
      <c r="DN187" s="173">
        <v>412</v>
      </c>
      <c r="DO187" s="34">
        <v>10348</v>
      </c>
      <c r="DP187" s="173">
        <v>1534</v>
      </c>
      <c r="DQ187" s="34">
        <v>1178</v>
      </c>
      <c r="DR187" s="173">
        <v>2706</v>
      </c>
      <c r="DS187" s="173">
        <v>-926</v>
      </c>
      <c r="DT187">
        <v>1986</v>
      </c>
      <c r="DU187">
        <v>17213</v>
      </c>
      <c r="DV187" s="173">
        <v>36271</v>
      </c>
      <c r="DW187" s="173">
        <v>720</v>
      </c>
      <c r="DX187" s="173">
        <v>-1372</v>
      </c>
      <c r="DY187" s="57">
        <v>20.75</v>
      </c>
      <c r="DZ187" s="184">
        <v>340</v>
      </c>
      <c r="EA187" s="116">
        <v>4498</v>
      </c>
      <c r="EB187" s="48">
        <v>13210</v>
      </c>
      <c r="EC187" s="46">
        <v>19946</v>
      </c>
      <c r="ED187" s="90">
        <v>5293</v>
      </c>
      <c r="EE187" s="186">
        <v>394</v>
      </c>
      <c r="EF187" s="46">
        <v>10601</v>
      </c>
      <c r="EG187" s="130">
        <v>1438</v>
      </c>
      <c r="EH187" s="46">
        <v>1171</v>
      </c>
      <c r="EI187" s="130">
        <v>2179</v>
      </c>
      <c r="EJ187" s="48">
        <v>-877</v>
      </c>
      <c r="EK187" s="44">
        <v>1807</v>
      </c>
      <c r="EL187" s="44">
        <v>16001</v>
      </c>
      <c r="EM187" s="130">
        <v>36664</v>
      </c>
      <c r="EN187" s="117">
        <v>372</v>
      </c>
      <c r="EO187" s="117">
        <v>-1000</v>
      </c>
      <c r="EP187" s="129">
        <v>21.75</v>
      </c>
    </row>
    <row r="188" spans="1:146" ht="15" x14ac:dyDescent="0.25">
      <c r="A188" s="27">
        <v>598</v>
      </c>
      <c r="B188" s="27" t="s">
        <v>314</v>
      </c>
      <c r="C188" s="27">
        <v>15</v>
      </c>
      <c r="D188" s="27" t="s">
        <v>115</v>
      </c>
      <c r="E188" s="27">
        <v>4</v>
      </c>
      <c r="F188" s="27" t="s">
        <v>100</v>
      </c>
      <c r="G188" s="29" t="s">
        <v>141</v>
      </c>
      <c r="H188" s="27" t="s">
        <v>97</v>
      </c>
      <c r="I188" s="31" t="s">
        <v>115</v>
      </c>
      <c r="J188" s="118">
        <v>-2941.7750217382895</v>
      </c>
      <c r="K188" s="118">
        <v>1526.3054326382126</v>
      </c>
      <c r="L188" s="118">
        <v>2116.1404907387318</v>
      </c>
      <c r="M188" s="118">
        <v>5468.1258651166463</v>
      </c>
      <c r="N188" s="177">
        <v>8303</v>
      </c>
      <c r="O188" s="119">
        <v>10167</v>
      </c>
      <c r="P188" s="119">
        <v>14155</v>
      </c>
      <c r="Q188" s="120">
        <v>11889</v>
      </c>
      <c r="R188" s="177">
        <v>14525</v>
      </c>
      <c r="S188" s="177">
        <v>14302</v>
      </c>
      <c r="T188" s="121">
        <v>13944</v>
      </c>
      <c r="U188" s="121">
        <v>10815</v>
      </c>
      <c r="V188" s="121">
        <v>12608</v>
      </c>
      <c r="W188" s="106">
        <v>11250</v>
      </c>
      <c r="X188" s="121">
        <v>8337</v>
      </c>
      <c r="Y188" s="121">
        <v>2052</v>
      </c>
      <c r="Z188" s="121">
        <v>82604</v>
      </c>
      <c r="AA188" s="121">
        <v>82617</v>
      </c>
      <c r="AB188" s="122">
        <v>18.5</v>
      </c>
      <c r="AC188" s="123">
        <v>18.5</v>
      </c>
      <c r="AD188" s="124">
        <v>18.5</v>
      </c>
      <c r="AE188" s="125">
        <v>18.5</v>
      </c>
      <c r="AF188" s="126">
        <v>18.5</v>
      </c>
      <c r="AG188" s="123">
        <v>18.5</v>
      </c>
      <c r="AH188" s="123">
        <v>18.5</v>
      </c>
      <c r="AI188" s="127">
        <v>18.5</v>
      </c>
      <c r="AJ188" s="127">
        <v>19.25</v>
      </c>
      <c r="AK188" s="177">
        <v>19.25</v>
      </c>
      <c r="AL188" s="128">
        <v>19.25</v>
      </c>
      <c r="AM188" s="128">
        <v>19.25</v>
      </c>
      <c r="AN188" s="128">
        <v>20.25</v>
      </c>
      <c r="AO188" s="77">
        <v>20.25</v>
      </c>
      <c r="AP188" s="77">
        <v>20.25</v>
      </c>
      <c r="AQ188" s="129">
        <v>21.25</v>
      </c>
      <c r="AR188" s="129">
        <v>21.25</v>
      </c>
      <c r="AS188" s="129">
        <v>21.25</v>
      </c>
      <c r="AT188" s="116">
        <v>19633</v>
      </c>
      <c r="AU188" s="47">
        <v>116102</v>
      </c>
      <c r="AV188" s="47">
        <v>222820</v>
      </c>
      <c r="AW188" s="46">
        <v>76516</v>
      </c>
      <c r="AX188" s="46">
        <v>37714</v>
      </c>
      <c r="AY188" s="92">
        <v>1580</v>
      </c>
      <c r="AZ188" s="47">
        <v>7710</v>
      </c>
      <c r="BA188" s="44">
        <v>9655</v>
      </c>
      <c r="BB188" s="23">
        <v>-14299</v>
      </c>
      <c r="BC188" s="47">
        <v>-1945</v>
      </c>
      <c r="BD188" s="44">
        <v>-1945</v>
      </c>
      <c r="BE188" s="47">
        <v>2052</v>
      </c>
      <c r="BF188" s="44">
        <v>76516</v>
      </c>
      <c r="BG188" s="46">
        <v>66712</v>
      </c>
      <c r="BH188" s="130">
        <v>4673</v>
      </c>
      <c r="BI188" s="46">
        <v>5131</v>
      </c>
      <c r="BJ188" s="129">
        <v>21.25</v>
      </c>
      <c r="BK188" s="44">
        <v>111009</v>
      </c>
      <c r="BL188" s="116">
        <v>19577</v>
      </c>
      <c r="BM188" s="47">
        <v>197039</v>
      </c>
      <c r="BN188" s="130">
        <v>220570</v>
      </c>
      <c r="BO188" s="46">
        <v>78958</v>
      </c>
      <c r="BP188" s="46">
        <v>37310</v>
      </c>
      <c r="BQ188" s="46">
        <v>437</v>
      </c>
      <c r="BR188" s="130">
        <v>91664</v>
      </c>
      <c r="BS188" s="44">
        <v>10782</v>
      </c>
      <c r="BT188" s="92">
        <v>69520</v>
      </c>
      <c r="BU188" s="117">
        <v>80882</v>
      </c>
      <c r="BV188" s="130">
        <v>82604</v>
      </c>
      <c r="BW188" s="48">
        <v>78958</v>
      </c>
      <c r="BX188" s="46">
        <v>68129</v>
      </c>
      <c r="BY188" s="130">
        <v>5347</v>
      </c>
      <c r="BZ188" s="46">
        <v>5482</v>
      </c>
      <c r="CA188" s="129">
        <v>21.25</v>
      </c>
      <c r="CB188" s="44">
        <v>82125</v>
      </c>
      <c r="CC188" s="116">
        <v>19436</v>
      </c>
      <c r="CD188" s="47">
        <v>95264</v>
      </c>
      <c r="CE188" s="130">
        <v>205187</v>
      </c>
      <c r="CF188" s="46">
        <v>80212</v>
      </c>
      <c r="CG188" s="46">
        <v>37218</v>
      </c>
      <c r="CH188" s="46">
        <v>582</v>
      </c>
      <c r="CI188" s="130">
        <v>6979</v>
      </c>
      <c r="CJ188" s="44">
        <v>6965</v>
      </c>
      <c r="CK188" s="117">
        <v>-11311</v>
      </c>
      <c r="CL188" s="117">
        <v>14</v>
      </c>
      <c r="CM188" s="117">
        <v>82617</v>
      </c>
      <c r="CN188" s="48">
        <v>80212</v>
      </c>
      <c r="CO188" s="46">
        <v>68907</v>
      </c>
      <c r="CP188" s="130">
        <v>5867</v>
      </c>
      <c r="CQ188" s="46">
        <v>5438</v>
      </c>
      <c r="CR188" s="129">
        <v>21.25</v>
      </c>
      <c r="CS188" s="44">
        <v>42700</v>
      </c>
      <c r="CT188">
        <v>19377</v>
      </c>
      <c r="CU188">
        <v>77548</v>
      </c>
      <c r="CV188">
        <v>39204</v>
      </c>
      <c r="CW188">
        <v>92003</v>
      </c>
      <c r="CX188">
        <v>513</v>
      </c>
      <c r="CY188">
        <v>67731</v>
      </c>
      <c r="CZ188">
        <v>5140</v>
      </c>
      <c r="DA188">
        <v>4677</v>
      </c>
      <c r="DB188">
        <v>1903</v>
      </c>
      <c r="DC188">
        <v>-7075</v>
      </c>
      <c r="DD188">
        <v>6779</v>
      </c>
      <c r="DE188">
        <v>43700</v>
      </c>
      <c r="DF188">
        <v>206704</v>
      </c>
      <c r="DG188">
        <v>-4876</v>
      </c>
      <c r="DH188">
        <v>77743</v>
      </c>
      <c r="DI188">
        <v>21.25</v>
      </c>
      <c r="DJ188" s="174">
        <v>19379</v>
      </c>
      <c r="DK188" s="34">
        <v>77735</v>
      </c>
      <c r="DL188" s="34">
        <v>39672</v>
      </c>
      <c r="DM188">
        <v>89767</v>
      </c>
      <c r="DN188" s="173">
        <v>314</v>
      </c>
      <c r="DO188" s="34">
        <v>66694</v>
      </c>
      <c r="DP188" s="173">
        <v>5922</v>
      </c>
      <c r="DQ188" s="34">
        <v>5119</v>
      </c>
      <c r="DR188" s="173">
        <v>4299</v>
      </c>
      <c r="DS188" s="173">
        <v>-9702</v>
      </c>
      <c r="DT188">
        <v>7233</v>
      </c>
      <c r="DU188">
        <v>60400</v>
      </c>
      <c r="DV188" s="173">
        <v>203189</v>
      </c>
      <c r="DW188" s="173">
        <v>-2934</v>
      </c>
      <c r="DX188" s="173">
        <v>74555</v>
      </c>
      <c r="DY188" s="57">
        <v>21.25</v>
      </c>
      <c r="DZ188" s="184">
        <v>130</v>
      </c>
      <c r="EA188" s="116">
        <v>19278</v>
      </c>
      <c r="EB188" s="48">
        <v>78348</v>
      </c>
      <c r="EC188" s="46">
        <v>39597</v>
      </c>
      <c r="ED188" s="90">
        <v>91563</v>
      </c>
      <c r="EE188" s="186">
        <v>1699</v>
      </c>
      <c r="EF188" s="46">
        <v>66249</v>
      </c>
      <c r="EG188" s="130">
        <v>6167</v>
      </c>
      <c r="EH188" s="46">
        <v>5932</v>
      </c>
      <c r="EI188" s="130">
        <v>4860</v>
      </c>
      <c r="EJ188" s="48">
        <v>-7255</v>
      </c>
      <c r="EK188" s="44">
        <v>7851</v>
      </c>
      <c r="EL188" s="44">
        <v>60450</v>
      </c>
      <c r="EM188" s="130">
        <v>206347</v>
      </c>
      <c r="EN188" s="117">
        <v>-2991</v>
      </c>
      <c r="EO188" s="117">
        <v>71564</v>
      </c>
      <c r="EP188" s="129">
        <v>21.25</v>
      </c>
    </row>
    <row r="189" spans="1:146" ht="15" x14ac:dyDescent="0.25">
      <c r="A189" s="27">
        <v>601</v>
      </c>
      <c r="B189" s="27" t="s">
        <v>315</v>
      </c>
      <c r="C189" s="27">
        <v>13</v>
      </c>
      <c r="D189" s="27" t="s">
        <v>111</v>
      </c>
      <c r="E189" s="27">
        <v>2</v>
      </c>
      <c r="F189" s="27" t="s">
        <v>744</v>
      </c>
      <c r="G189" s="29" t="s">
        <v>130</v>
      </c>
      <c r="H189" s="27" t="s">
        <v>98</v>
      </c>
      <c r="I189" s="31" t="s">
        <v>111</v>
      </c>
      <c r="J189" s="118">
        <v>282.55571645533854</v>
      </c>
      <c r="K189" s="118">
        <v>-354.87652483378827</v>
      </c>
      <c r="L189" s="118">
        <v>30.442014689533497</v>
      </c>
      <c r="M189" s="118">
        <v>284.91034742579967</v>
      </c>
      <c r="N189" s="22">
        <v>-23</v>
      </c>
      <c r="O189" s="119">
        <v>2</v>
      </c>
      <c r="P189" s="119">
        <v>-541</v>
      </c>
      <c r="Q189" s="120">
        <v>-467</v>
      </c>
      <c r="R189" s="22">
        <v>-76</v>
      </c>
      <c r="S189" s="22">
        <v>496</v>
      </c>
      <c r="T189" s="121">
        <v>-288</v>
      </c>
      <c r="U189" s="121">
        <v>-131</v>
      </c>
      <c r="V189" s="121">
        <v>171</v>
      </c>
      <c r="W189" s="106">
        <v>220</v>
      </c>
      <c r="X189" s="121">
        <v>1868</v>
      </c>
      <c r="Y189" s="121">
        <v>3078</v>
      </c>
      <c r="Z189" s="121">
        <v>9097</v>
      </c>
      <c r="AA189" s="121">
        <v>10375</v>
      </c>
      <c r="AB189" s="122">
        <v>18.5</v>
      </c>
      <c r="AC189" s="123">
        <v>18.5</v>
      </c>
      <c r="AD189" s="124">
        <v>18.5</v>
      </c>
      <c r="AE189" s="125">
        <v>18.5</v>
      </c>
      <c r="AF189" s="126">
        <v>18.5</v>
      </c>
      <c r="AG189" s="123">
        <v>18.5</v>
      </c>
      <c r="AH189" s="123">
        <v>18.5</v>
      </c>
      <c r="AI189" s="127">
        <v>19</v>
      </c>
      <c r="AJ189" s="127">
        <v>19</v>
      </c>
      <c r="AK189" s="22">
        <v>19</v>
      </c>
      <c r="AL189" s="128">
        <v>19</v>
      </c>
      <c r="AM189" s="128">
        <v>19</v>
      </c>
      <c r="AN189" s="128">
        <v>19.5</v>
      </c>
      <c r="AO189" s="77">
        <v>19.5</v>
      </c>
      <c r="AP189" s="77">
        <v>20</v>
      </c>
      <c r="AQ189" s="129">
        <v>21</v>
      </c>
      <c r="AR189" s="129">
        <v>21</v>
      </c>
      <c r="AS189" s="129">
        <v>21</v>
      </c>
      <c r="AT189" s="116">
        <v>4354</v>
      </c>
      <c r="AU189" s="47">
        <v>15377</v>
      </c>
      <c r="AV189" s="47">
        <v>42723</v>
      </c>
      <c r="AW189" s="46">
        <v>11819</v>
      </c>
      <c r="AX189" s="46">
        <v>17370</v>
      </c>
      <c r="AY189" s="92">
        <v>537</v>
      </c>
      <c r="AZ189" s="47">
        <v>2310</v>
      </c>
      <c r="BA189" s="44">
        <v>1212</v>
      </c>
      <c r="BB189" s="23">
        <v>-6138</v>
      </c>
      <c r="BC189" s="47">
        <v>1098</v>
      </c>
      <c r="BD189" s="44">
        <v>1211</v>
      </c>
      <c r="BE189" s="47">
        <v>3078</v>
      </c>
      <c r="BF189" s="44">
        <v>11819</v>
      </c>
      <c r="BG189" s="46">
        <v>9914</v>
      </c>
      <c r="BH189" s="130">
        <v>1110</v>
      </c>
      <c r="BI189" s="46">
        <v>795</v>
      </c>
      <c r="BJ189" s="129">
        <v>21</v>
      </c>
      <c r="BK189" s="44">
        <v>17481</v>
      </c>
      <c r="BL189" s="116">
        <v>4261</v>
      </c>
      <c r="BM189" s="47">
        <v>15267</v>
      </c>
      <c r="BN189" s="130">
        <v>42510</v>
      </c>
      <c r="BO189" s="46">
        <v>12095</v>
      </c>
      <c r="BP189" s="46">
        <v>17619</v>
      </c>
      <c r="BQ189" s="46">
        <v>0</v>
      </c>
      <c r="BR189" s="130">
        <v>2291</v>
      </c>
      <c r="BS189" s="44">
        <v>1533</v>
      </c>
      <c r="BT189" s="92">
        <v>-1821</v>
      </c>
      <c r="BU189" s="117">
        <v>915</v>
      </c>
      <c r="BV189" s="130">
        <v>9097</v>
      </c>
      <c r="BW189" s="48">
        <v>12095</v>
      </c>
      <c r="BX189" s="46">
        <v>9982</v>
      </c>
      <c r="BY189" s="130">
        <v>1233</v>
      </c>
      <c r="BZ189" s="46">
        <v>880</v>
      </c>
      <c r="CA189" s="129">
        <v>21</v>
      </c>
      <c r="CB189" s="44">
        <v>17988</v>
      </c>
      <c r="CC189" s="116">
        <v>4221</v>
      </c>
      <c r="CD189" s="47">
        <v>14667</v>
      </c>
      <c r="CE189" s="130">
        <v>41766</v>
      </c>
      <c r="CF189" s="46">
        <v>12480</v>
      </c>
      <c r="CG189" s="46">
        <v>17259</v>
      </c>
      <c r="CH189" s="46">
        <v>136</v>
      </c>
      <c r="CI189" s="130">
        <v>2668</v>
      </c>
      <c r="CJ189" s="44">
        <v>1499</v>
      </c>
      <c r="CK189" s="117">
        <v>-926</v>
      </c>
      <c r="CL189" s="117">
        <v>1276</v>
      </c>
      <c r="CM189" s="117">
        <v>10375</v>
      </c>
      <c r="CN189" s="48">
        <v>12480</v>
      </c>
      <c r="CO189" s="46">
        <v>10132</v>
      </c>
      <c r="CP189" s="130">
        <v>1473</v>
      </c>
      <c r="CQ189" s="46">
        <v>875</v>
      </c>
      <c r="CR189" s="129">
        <v>21</v>
      </c>
      <c r="CS189" s="44">
        <v>16794</v>
      </c>
      <c r="CT189">
        <v>4202</v>
      </c>
      <c r="CU189">
        <v>11793</v>
      </c>
      <c r="CV189">
        <v>17746</v>
      </c>
      <c r="CW189">
        <v>14790</v>
      </c>
      <c r="CX189">
        <v>233</v>
      </c>
      <c r="CY189">
        <v>9536</v>
      </c>
      <c r="CZ189">
        <v>1398</v>
      </c>
      <c r="DA189">
        <v>859</v>
      </c>
      <c r="DB189">
        <v>2357</v>
      </c>
      <c r="DC189">
        <v>-1481</v>
      </c>
      <c r="DD189">
        <v>1490</v>
      </c>
      <c r="DE189">
        <v>15600</v>
      </c>
      <c r="DF189">
        <v>42205</v>
      </c>
      <c r="DG189">
        <v>974</v>
      </c>
      <c r="DH189">
        <v>11592</v>
      </c>
      <c r="DI189">
        <v>21</v>
      </c>
      <c r="DJ189" s="174">
        <v>4127</v>
      </c>
      <c r="DK189" s="34">
        <v>12435</v>
      </c>
      <c r="DL189" s="34">
        <v>17116</v>
      </c>
      <c r="DM189">
        <v>14736</v>
      </c>
      <c r="DN189" s="173">
        <v>154</v>
      </c>
      <c r="DO189" s="34">
        <v>9872</v>
      </c>
      <c r="DP189" s="173">
        <v>1628</v>
      </c>
      <c r="DQ189" s="34">
        <v>935</v>
      </c>
      <c r="DR189" s="173">
        <v>1931</v>
      </c>
      <c r="DS189" s="173">
        <v>-1104</v>
      </c>
      <c r="DT189">
        <v>1539</v>
      </c>
      <c r="DU189">
        <v>14605</v>
      </c>
      <c r="DV189" s="173">
        <v>42510</v>
      </c>
      <c r="DW189" s="173">
        <v>498</v>
      </c>
      <c r="DX189" s="173">
        <v>12090</v>
      </c>
      <c r="DY189" s="57">
        <v>21</v>
      </c>
      <c r="DZ189" s="184">
        <v>340</v>
      </c>
      <c r="EA189" s="116">
        <v>4053</v>
      </c>
      <c r="EB189" s="48">
        <v>11792</v>
      </c>
      <c r="EC189" s="46">
        <v>16633</v>
      </c>
      <c r="ED189" s="90">
        <v>15547</v>
      </c>
      <c r="EE189" s="186">
        <v>113</v>
      </c>
      <c r="EF189" s="46">
        <v>9292</v>
      </c>
      <c r="EG189" s="130">
        <v>1562</v>
      </c>
      <c r="EH189" s="46">
        <v>938</v>
      </c>
      <c r="EI189" s="130">
        <v>865</v>
      </c>
      <c r="EJ189" s="48">
        <v>-1878</v>
      </c>
      <c r="EK189" s="44">
        <v>1621</v>
      </c>
      <c r="EL189" s="44">
        <v>14815</v>
      </c>
      <c r="EM189" s="130">
        <v>43220</v>
      </c>
      <c r="EN189" s="117">
        <v>-650</v>
      </c>
      <c r="EO189" s="117">
        <v>11440</v>
      </c>
      <c r="EP189" s="129">
        <v>21</v>
      </c>
    </row>
    <row r="190" spans="1:146" ht="15" x14ac:dyDescent="0.25">
      <c r="A190" s="27">
        <v>604</v>
      </c>
      <c r="B190" s="27" t="s">
        <v>316</v>
      </c>
      <c r="C190" s="27">
        <v>6</v>
      </c>
      <c r="D190" s="27" t="s">
        <v>114</v>
      </c>
      <c r="E190" s="27">
        <v>4</v>
      </c>
      <c r="F190" s="27" t="s">
        <v>100</v>
      </c>
      <c r="G190" s="29" t="s">
        <v>141</v>
      </c>
      <c r="H190" s="27" t="s">
        <v>97</v>
      </c>
      <c r="I190" s="31" t="s">
        <v>114</v>
      </c>
      <c r="J190" s="118">
        <v>370.01343821532424</v>
      </c>
      <c r="K190" s="118">
        <v>365.97692798024798</v>
      </c>
      <c r="L190" s="118">
        <v>725.05815097557399</v>
      </c>
      <c r="M190" s="118">
        <v>-627.00458984851309</v>
      </c>
      <c r="N190" s="22">
        <v>3696</v>
      </c>
      <c r="O190" s="119">
        <v>5920</v>
      </c>
      <c r="P190" s="119">
        <v>10373</v>
      </c>
      <c r="Q190" s="120">
        <v>11311</v>
      </c>
      <c r="R190" s="22">
        <v>10858</v>
      </c>
      <c r="S190" s="22">
        <v>12349</v>
      </c>
      <c r="T190" s="121">
        <v>20748</v>
      </c>
      <c r="U190" s="121">
        <v>23818</v>
      </c>
      <c r="V190" s="121">
        <v>26387</v>
      </c>
      <c r="W190" s="106">
        <v>31932</v>
      </c>
      <c r="X190" s="121">
        <v>35049</v>
      </c>
      <c r="Y190" s="121">
        <v>45602</v>
      </c>
      <c r="Z190" s="121">
        <v>45610</v>
      </c>
      <c r="AA190" s="121">
        <v>45621</v>
      </c>
      <c r="AB190" s="122">
        <v>17.5</v>
      </c>
      <c r="AC190" s="123">
        <v>17.75</v>
      </c>
      <c r="AD190" s="124">
        <v>17.75</v>
      </c>
      <c r="AE190" s="125">
        <v>17.75</v>
      </c>
      <c r="AF190" s="126">
        <v>17.75</v>
      </c>
      <c r="AG190" s="123">
        <v>18.25</v>
      </c>
      <c r="AH190" s="123">
        <v>18.25</v>
      </c>
      <c r="AI190" s="127">
        <v>18.25</v>
      </c>
      <c r="AJ190" s="127">
        <v>18.25</v>
      </c>
      <c r="AK190" s="22">
        <v>19</v>
      </c>
      <c r="AL190" s="128">
        <v>19</v>
      </c>
      <c r="AM190" s="128">
        <v>19</v>
      </c>
      <c r="AN190" s="128">
        <v>19</v>
      </c>
      <c r="AO190" s="77">
        <v>20</v>
      </c>
      <c r="AP190" s="77">
        <v>20</v>
      </c>
      <c r="AQ190" s="129">
        <v>20</v>
      </c>
      <c r="AR190" s="129">
        <v>20</v>
      </c>
      <c r="AS190" s="129">
        <v>20</v>
      </c>
      <c r="AT190" s="116">
        <v>18369</v>
      </c>
      <c r="AU190" s="47">
        <v>29063</v>
      </c>
      <c r="AV190" s="47">
        <v>107538</v>
      </c>
      <c r="AW190" s="46">
        <v>80127</v>
      </c>
      <c r="AX190" s="46">
        <v>13030</v>
      </c>
      <c r="AY190" s="92">
        <v>3394</v>
      </c>
      <c r="AZ190" s="47">
        <v>12960</v>
      </c>
      <c r="BA190" s="44">
        <v>5801</v>
      </c>
      <c r="BB190" s="23">
        <v>-8980</v>
      </c>
      <c r="BC190" s="47">
        <v>10553</v>
      </c>
      <c r="BD190" s="44">
        <v>10553</v>
      </c>
      <c r="BE190" s="47">
        <v>45602</v>
      </c>
      <c r="BF190" s="44">
        <v>80127</v>
      </c>
      <c r="BG190" s="46">
        <v>74271</v>
      </c>
      <c r="BH190" s="130">
        <v>2377</v>
      </c>
      <c r="BI190" s="46">
        <v>3479</v>
      </c>
      <c r="BJ190" s="129">
        <v>20</v>
      </c>
      <c r="BK190" s="44">
        <v>44168</v>
      </c>
      <c r="BL190" s="116">
        <v>18689</v>
      </c>
      <c r="BM190" s="47">
        <v>29690</v>
      </c>
      <c r="BN190" s="130">
        <v>111531</v>
      </c>
      <c r="BO190" s="46">
        <v>79441</v>
      </c>
      <c r="BP190" s="46">
        <v>11941</v>
      </c>
      <c r="BQ190" s="46">
        <v>109</v>
      </c>
      <c r="BR190" s="130">
        <v>8691</v>
      </c>
      <c r="BS190" s="44">
        <v>6219</v>
      </c>
      <c r="BT190" s="92">
        <v>-11015</v>
      </c>
      <c r="BU190" s="117">
        <v>8</v>
      </c>
      <c r="BV190" s="130">
        <v>45610</v>
      </c>
      <c r="BW190" s="48">
        <v>79441</v>
      </c>
      <c r="BX190" s="46">
        <v>72724</v>
      </c>
      <c r="BY190" s="130">
        <v>2870</v>
      </c>
      <c r="BZ190" s="46">
        <v>3847</v>
      </c>
      <c r="CA190" s="129">
        <v>20</v>
      </c>
      <c r="CB190" s="44">
        <v>45459</v>
      </c>
      <c r="CC190" s="116">
        <v>18913</v>
      </c>
      <c r="CD190" s="47">
        <v>31871</v>
      </c>
      <c r="CE190" s="130">
        <v>116132</v>
      </c>
      <c r="CF190" s="46">
        <v>81316</v>
      </c>
      <c r="CG190" s="46">
        <v>10963</v>
      </c>
      <c r="CH190" s="46">
        <v>197</v>
      </c>
      <c r="CI190" s="130">
        <v>7376</v>
      </c>
      <c r="CJ190" s="44">
        <v>6950</v>
      </c>
      <c r="CK190" s="117">
        <v>-5545</v>
      </c>
      <c r="CL190" s="117">
        <v>11</v>
      </c>
      <c r="CM190" s="117">
        <v>45621</v>
      </c>
      <c r="CN190" s="48">
        <v>81316</v>
      </c>
      <c r="CO190" s="46">
        <v>74077</v>
      </c>
      <c r="CP190" s="130">
        <v>3275</v>
      </c>
      <c r="CQ190" s="46">
        <v>3964</v>
      </c>
      <c r="CR190" s="129">
        <v>20</v>
      </c>
      <c r="CS190" s="44">
        <v>44850</v>
      </c>
      <c r="CT190">
        <v>19163</v>
      </c>
      <c r="CU190">
        <v>84809</v>
      </c>
      <c r="CV190">
        <v>11735</v>
      </c>
      <c r="CW190">
        <v>37386</v>
      </c>
      <c r="CX190">
        <v>157</v>
      </c>
      <c r="CY190">
        <v>77696</v>
      </c>
      <c r="CZ190">
        <v>2989</v>
      </c>
      <c r="DA190">
        <v>4124</v>
      </c>
      <c r="DB190">
        <v>16122</v>
      </c>
      <c r="DC190">
        <v>-1062</v>
      </c>
      <c r="DD190">
        <v>9046</v>
      </c>
      <c r="DE190">
        <v>44100</v>
      </c>
      <c r="DF190">
        <v>117407</v>
      </c>
      <c r="DG190">
        <v>6</v>
      </c>
      <c r="DH190">
        <v>45627</v>
      </c>
      <c r="DI190">
        <v>20</v>
      </c>
      <c r="DJ190" s="174">
        <v>19237</v>
      </c>
      <c r="DK190" s="34">
        <v>85448</v>
      </c>
      <c r="DL190" s="34">
        <v>11272</v>
      </c>
      <c r="DM190">
        <v>32989</v>
      </c>
      <c r="DN190" s="173">
        <v>37</v>
      </c>
      <c r="DO190" s="34">
        <v>76541</v>
      </c>
      <c r="DP190" s="173">
        <v>3743</v>
      </c>
      <c r="DQ190" s="34">
        <v>5164</v>
      </c>
      <c r="DR190" s="173">
        <v>10461</v>
      </c>
      <c r="DS190" s="173">
        <v>-7534</v>
      </c>
      <c r="DT190">
        <v>7944</v>
      </c>
      <c r="DU190">
        <v>39000</v>
      </c>
      <c r="DV190" s="173">
        <v>119285</v>
      </c>
      <c r="DW190" s="173">
        <v>66</v>
      </c>
      <c r="DX190" s="173">
        <v>45694</v>
      </c>
      <c r="DY190" s="57">
        <v>20</v>
      </c>
      <c r="DZ190" s="184">
        <v>120</v>
      </c>
      <c r="EA190" s="116">
        <v>19368</v>
      </c>
      <c r="EB190" s="48">
        <v>86067</v>
      </c>
      <c r="EC190" s="46">
        <v>11375</v>
      </c>
      <c r="ED190" s="90">
        <v>35208</v>
      </c>
      <c r="EE190" s="186">
        <v>51</v>
      </c>
      <c r="EF190" s="46">
        <v>76869</v>
      </c>
      <c r="EG190" s="130">
        <v>3814</v>
      </c>
      <c r="EH190" s="46">
        <v>5384</v>
      </c>
      <c r="EI190" s="130">
        <v>6751</v>
      </c>
      <c r="EJ190" s="48">
        <v>-8668</v>
      </c>
      <c r="EK190" s="44">
        <v>8164</v>
      </c>
      <c r="EL190" s="44">
        <v>44250</v>
      </c>
      <c r="EM190" s="130">
        <v>125950</v>
      </c>
      <c r="EN190" s="117">
        <v>-1413</v>
      </c>
      <c r="EO190" s="117">
        <v>44280</v>
      </c>
      <c r="EP190" s="129">
        <v>20</v>
      </c>
    </row>
    <row r="191" spans="1:146" ht="15" x14ac:dyDescent="0.25">
      <c r="A191" s="27">
        <v>607</v>
      </c>
      <c r="B191" s="27" t="s">
        <v>317</v>
      </c>
      <c r="C191" s="27">
        <v>12</v>
      </c>
      <c r="D191" s="27" t="s">
        <v>116</v>
      </c>
      <c r="E191" s="27">
        <v>2</v>
      </c>
      <c r="F191" s="27" t="s">
        <v>744</v>
      </c>
      <c r="G191" s="29" t="s">
        <v>130</v>
      </c>
      <c r="H191" s="27" t="s">
        <v>98</v>
      </c>
      <c r="I191" s="31" t="s">
        <v>116</v>
      </c>
      <c r="J191" s="118">
        <v>751.96821920941579</v>
      </c>
      <c r="K191" s="118">
        <v>799.06083861863885</v>
      </c>
      <c r="L191" s="118">
        <v>758.35936041495324</v>
      </c>
      <c r="M191" s="118">
        <v>2166.7650566036464</v>
      </c>
      <c r="N191" s="22">
        <v>4727</v>
      </c>
      <c r="O191" s="119">
        <v>5070</v>
      </c>
      <c r="P191" s="119">
        <v>6160</v>
      </c>
      <c r="Q191" s="120">
        <v>6117</v>
      </c>
      <c r="R191" s="22">
        <v>6160</v>
      </c>
      <c r="S191" s="22">
        <v>6270</v>
      </c>
      <c r="T191" s="121">
        <v>6295</v>
      </c>
      <c r="U191" s="121">
        <v>6312</v>
      </c>
      <c r="V191" s="121">
        <v>6355</v>
      </c>
      <c r="W191" s="106">
        <v>6415</v>
      </c>
      <c r="X191" s="121">
        <v>6483</v>
      </c>
      <c r="Y191" s="121">
        <v>6749</v>
      </c>
      <c r="Z191" s="121">
        <v>6800</v>
      </c>
      <c r="AA191" s="121">
        <v>6843</v>
      </c>
      <c r="AB191" s="122">
        <v>17.5</v>
      </c>
      <c r="AC191" s="123">
        <v>18.5</v>
      </c>
      <c r="AD191" s="124">
        <v>18.5</v>
      </c>
      <c r="AE191" s="125">
        <v>18.5</v>
      </c>
      <c r="AF191" s="126">
        <v>18.5</v>
      </c>
      <c r="AG191" s="123">
        <v>18.5</v>
      </c>
      <c r="AH191" s="123">
        <v>18.5</v>
      </c>
      <c r="AI191" s="131">
        <v>18.5</v>
      </c>
      <c r="AJ191" s="131">
        <v>18.5</v>
      </c>
      <c r="AK191" s="22">
        <v>19</v>
      </c>
      <c r="AL191" s="128">
        <v>19</v>
      </c>
      <c r="AM191" s="128">
        <v>19</v>
      </c>
      <c r="AN191" s="128">
        <v>19</v>
      </c>
      <c r="AO191" s="77">
        <v>19</v>
      </c>
      <c r="AP191" s="77">
        <v>19</v>
      </c>
      <c r="AQ191" s="129">
        <v>19</v>
      </c>
      <c r="AR191" s="129">
        <v>19</v>
      </c>
      <c r="AS191" s="129">
        <v>19.5</v>
      </c>
      <c r="AT191" s="116">
        <v>4664</v>
      </c>
      <c r="AU191" s="47">
        <v>4627</v>
      </c>
      <c r="AV191" s="47">
        <v>29057</v>
      </c>
      <c r="AW191" s="46">
        <v>10938</v>
      </c>
      <c r="AX191" s="46">
        <v>15520</v>
      </c>
      <c r="AY191" s="92">
        <v>226</v>
      </c>
      <c r="AZ191" s="47">
        <v>2237</v>
      </c>
      <c r="BA191" s="44">
        <v>1247</v>
      </c>
      <c r="BB191" s="23">
        <v>-1781</v>
      </c>
      <c r="BC191" s="47">
        <v>990</v>
      </c>
      <c r="BD191" s="44">
        <v>35</v>
      </c>
      <c r="BE191" s="47">
        <v>6749</v>
      </c>
      <c r="BF191" s="44">
        <v>10938</v>
      </c>
      <c r="BG191" s="46">
        <v>9506</v>
      </c>
      <c r="BH191" s="130">
        <v>755</v>
      </c>
      <c r="BI191" s="46">
        <v>677</v>
      </c>
      <c r="BJ191" s="129">
        <v>19</v>
      </c>
      <c r="BK191" s="44">
        <v>2492</v>
      </c>
      <c r="BL191" s="116">
        <v>4609</v>
      </c>
      <c r="BM191" s="47">
        <v>4674</v>
      </c>
      <c r="BN191" s="130">
        <v>29633</v>
      </c>
      <c r="BO191" s="46">
        <v>10974</v>
      </c>
      <c r="BP191" s="46">
        <v>15312</v>
      </c>
      <c r="BQ191" s="46">
        <v>223</v>
      </c>
      <c r="BR191" s="130">
        <v>1535</v>
      </c>
      <c r="BS191" s="44">
        <v>1260</v>
      </c>
      <c r="BT191" s="92">
        <v>-1520</v>
      </c>
      <c r="BU191" s="117">
        <v>51</v>
      </c>
      <c r="BV191" s="130">
        <v>6800</v>
      </c>
      <c r="BW191" s="48">
        <v>10974</v>
      </c>
      <c r="BX191" s="46">
        <v>9301</v>
      </c>
      <c r="BY191" s="130">
        <v>868</v>
      </c>
      <c r="BZ191" s="46">
        <v>805</v>
      </c>
      <c r="CA191" s="129">
        <v>19</v>
      </c>
      <c r="CB191" s="44">
        <v>2085</v>
      </c>
      <c r="CC191" s="116">
        <v>4556</v>
      </c>
      <c r="CD191" s="47">
        <v>4438</v>
      </c>
      <c r="CE191" s="130">
        <v>29380</v>
      </c>
      <c r="CF191" s="46">
        <v>12189</v>
      </c>
      <c r="CG191" s="46">
        <v>14960</v>
      </c>
      <c r="CH191" s="46">
        <v>411</v>
      </c>
      <c r="CI191" s="130">
        <v>2366</v>
      </c>
      <c r="CJ191" s="44">
        <v>1224</v>
      </c>
      <c r="CK191" s="117">
        <v>-1162</v>
      </c>
      <c r="CL191" s="117">
        <v>43</v>
      </c>
      <c r="CM191" s="117">
        <v>6843</v>
      </c>
      <c r="CN191" s="48">
        <v>12189</v>
      </c>
      <c r="CO191" s="46">
        <v>10195</v>
      </c>
      <c r="CP191" s="130">
        <v>1097</v>
      </c>
      <c r="CQ191" s="46">
        <v>897</v>
      </c>
      <c r="CR191" s="129">
        <v>19.5</v>
      </c>
      <c r="CS191" s="44">
        <v>1689</v>
      </c>
      <c r="CT191">
        <v>4514</v>
      </c>
      <c r="CU191">
        <v>11604</v>
      </c>
      <c r="CV191">
        <v>15123</v>
      </c>
      <c r="CW191">
        <v>4623</v>
      </c>
      <c r="CX191">
        <v>215</v>
      </c>
      <c r="CY191">
        <v>9659</v>
      </c>
      <c r="CZ191">
        <v>1026</v>
      </c>
      <c r="DA191">
        <v>919</v>
      </c>
      <c r="DB191">
        <v>2140</v>
      </c>
      <c r="DC191">
        <v>-1714</v>
      </c>
      <c r="DD191">
        <v>1562</v>
      </c>
      <c r="DE191">
        <v>1350</v>
      </c>
      <c r="DF191">
        <v>29414</v>
      </c>
      <c r="DG191">
        <v>908</v>
      </c>
      <c r="DH191">
        <v>7744</v>
      </c>
      <c r="DI191">
        <v>20.25</v>
      </c>
      <c r="DJ191" s="174">
        <v>4414</v>
      </c>
      <c r="DK191" s="34">
        <v>12113</v>
      </c>
      <c r="DL191" s="34">
        <v>14555</v>
      </c>
      <c r="DM191">
        <v>4092</v>
      </c>
      <c r="DN191" s="173">
        <v>136</v>
      </c>
      <c r="DO191" s="34">
        <v>9963</v>
      </c>
      <c r="DP191" s="173">
        <v>1241</v>
      </c>
      <c r="DQ191" s="34">
        <v>909</v>
      </c>
      <c r="DR191" s="173">
        <v>2526</v>
      </c>
      <c r="DS191" s="173">
        <v>-1304</v>
      </c>
      <c r="DT191">
        <v>1231</v>
      </c>
      <c r="DU191">
        <v>1050</v>
      </c>
      <c r="DV191" s="173">
        <v>28370</v>
      </c>
      <c r="DW191" s="173">
        <v>524</v>
      </c>
      <c r="DX191" s="173">
        <v>8268</v>
      </c>
      <c r="DY191" s="57">
        <v>20.25</v>
      </c>
      <c r="DZ191" s="184">
        <v>340</v>
      </c>
      <c r="EA191" s="116">
        <v>4307</v>
      </c>
      <c r="EB191" s="48">
        <v>11249</v>
      </c>
      <c r="EC191" s="46">
        <v>14481</v>
      </c>
      <c r="ED191" s="90">
        <v>4005</v>
      </c>
      <c r="EE191" s="186">
        <v>175</v>
      </c>
      <c r="EF191" s="46">
        <v>9223</v>
      </c>
      <c r="EG191" s="130">
        <v>1125</v>
      </c>
      <c r="EH191" s="46">
        <v>901</v>
      </c>
      <c r="EI191" s="130">
        <v>881</v>
      </c>
      <c r="EJ191" s="48">
        <v>-4778</v>
      </c>
      <c r="EK191" s="44">
        <v>1213</v>
      </c>
      <c r="EL191" s="44">
        <v>750</v>
      </c>
      <c r="EM191" s="130">
        <v>29029</v>
      </c>
      <c r="EN191" s="117">
        <v>42</v>
      </c>
      <c r="EO191" s="117">
        <v>8310</v>
      </c>
      <c r="EP191" s="129">
        <v>20.25</v>
      </c>
    </row>
    <row r="192" spans="1:146" ht="15" x14ac:dyDescent="0.25">
      <c r="A192" s="27">
        <v>608</v>
      </c>
      <c r="B192" s="27" t="s">
        <v>318</v>
      </c>
      <c r="C192" s="27">
        <v>4</v>
      </c>
      <c r="D192" s="27" t="s">
        <v>120</v>
      </c>
      <c r="E192" s="27">
        <v>2</v>
      </c>
      <c r="F192" s="27" t="s">
        <v>744</v>
      </c>
      <c r="G192" s="29" t="s">
        <v>130</v>
      </c>
      <c r="H192" s="27" t="s">
        <v>98</v>
      </c>
      <c r="I192" s="31" t="s">
        <v>120</v>
      </c>
      <c r="J192" s="118">
        <v>-399.27813741962717</v>
      </c>
      <c r="K192" s="118">
        <v>-679.1428470515815</v>
      </c>
      <c r="L192" s="118">
        <v>-875.75453308508793</v>
      </c>
      <c r="M192" s="118">
        <v>-1342.1396531628579</v>
      </c>
      <c r="N192" s="22">
        <v>-633</v>
      </c>
      <c r="O192" s="119">
        <v>-713</v>
      </c>
      <c r="P192" s="119">
        <v>-394</v>
      </c>
      <c r="Q192" s="120">
        <v>-608</v>
      </c>
      <c r="R192" s="22">
        <v>-373</v>
      </c>
      <c r="S192" s="22">
        <v>-698</v>
      </c>
      <c r="T192" s="121">
        <v>15</v>
      </c>
      <c r="U192" s="121">
        <v>881</v>
      </c>
      <c r="V192" s="121">
        <v>1579</v>
      </c>
      <c r="W192" s="106">
        <v>1445</v>
      </c>
      <c r="X192" s="121">
        <v>1238</v>
      </c>
      <c r="Y192" s="121">
        <v>2661</v>
      </c>
      <c r="Z192" s="121">
        <v>3676</v>
      </c>
      <c r="AA192" s="121">
        <v>3879</v>
      </c>
      <c r="AB192" s="122">
        <v>19</v>
      </c>
      <c r="AC192" s="123">
        <v>19</v>
      </c>
      <c r="AD192" s="124">
        <v>19</v>
      </c>
      <c r="AE192" s="125">
        <v>19</v>
      </c>
      <c r="AF192" s="126">
        <v>19</v>
      </c>
      <c r="AG192" s="123">
        <v>19</v>
      </c>
      <c r="AH192" s="123">
        <v>19</v>
      </c>
      <c r="AI192" s="127">
        <v>19</v>
      </c>
      <c r="AJ192" s="127">
        <v>19.5</v>
      </c>
      <c r="AK192" s="22">
        <v>19.5</v>
      </c>
      <c r="AL192" s="128">
        <v>19.75</v>
      </c>
      <c r="AM192" s="128">
        <v>19.75</v>
      </c>
      <c r="AN192" s="128">
        <v>19.75</v>
      </c>
      <c r="AO192" s="77">
        <v>19.75</v>
      </c>
      <c r="AP192" s="77">
        <v>19.75</v>
      </c>
      <c r="AQ192" s="129">
        <v>20.5</v>
      </c>
      <c r="AR192" s="129">
        <v>20.5</v>
      </c>
      <c r="AS192" s="129">
        <v>20.5</v>
      </c>
      <c r="AT192" s="116">
        <v>2340</v>
      </c>
      <c r="AU192" s="47">
        <v>1662</v>
      </c>
      <c r="AV192" s="47">
        <v>15123</v>
      </c>
      <c r="AW192" s="46">
        <v>6485</v>
      </c>
      <c r="AX192" s="46">
        <v>8813</v>
      </c>
      <c r="AY192" s="92">
        <v>8</v>
      </c>
      <c r="AZ192" s="47">
        <v>1825</v>
      </c>
      <c r="BA192" s="44">
        <v>402</v>
      </c>
      <c r="BB192" s="23">
        <v>-1094</v>
      </c>
      <c r="BC192" s="47">
        <v>1423</v>
      </c>
      <c r="BD192" s="44">
        <v>1423</v>
      </c>
      <c r="BE192" s="47">
        <v>2661</v>
      </c>
      <c r="BF192" s="44">
        <v>6485</v>
      </c>
      <c r="BG192" s="46">
        <v>5820</v>
      </c>
      <c r="BH192" s="130">
        <v>297</v>
      </c>
      <c r="BI192" s="46">
        <v>368</v>
      </c>
      <c r="BJ192" s="129">
        <v>20.5</v>
      </c>
      <c r="BK192" s="44">
        <v>1615</v>
      </c>
      <c r="BL192" s="116">
        <v>2275</v>
      </c>
      <c r="BM192" s="47">
        <v>1928</v>
      </c>
      <c r="BN192" s="130">
        <v>15683</v>
      </c>
      <c r="BO192" s="46">
        <v>6685</v>
      </c>
      <c r="BP192" s="46">
        <v>8523</v>
      </c>
      <c r="BQ192" s="46">
        <v>2</v>
      </c>
      <c r="BR192" s="130">
        <v>1442</v>
      </c>
      <c r="BS192" s="44">
        <v>426</v>
      </c>
      <c r="BT192" s="92">
        <v>-1745</v>
      </c>
      <c r="BU192" s="117">
        <v>1015</v>
      </c>
      <c r="BV192" s="130">
        <v>3676</v>
      </c>
      <c r="BW192" s="48">
        <v>6685</v>
      </c>
      <c r="BX192" s="46">
        <v>5887</v>
      </c>
      <c r="BY192" s="130">
        <v>394</v>
      </c>
      <c r="BZ192" s="46">
        <v>404</v>
      </c>
      <c r="CA192" s="129">
        <v>20.5</v>
      </c>
      <c r="CB192" s="44">
        <v>1948</v>
      </c>
      <c r="CC192" s="116">
        <v>2240</v>
      </c>
      <c r="CD192" s="47">
        <v>1859</v>
      </c>
      <c r="CE192" s="130">
        <v>15921</v>
      </c>
      <c r="CF192" s="46">
        <v>6587</v>
      </c>
      <c r="CG192" s="46">
        <v>8086</v>
      </c>
      <c r="CH192" s="46">
        <v>0</v>
      </c>
      <c r="CI192" s="130">
        <v>604</v>
      </c>
      <c r="CJ192" s="44">
        <v>401</v>
      </c>
      <c r="CK192" s="117">
        <v>-2138</v>
      </c>
      <c r="CL192" s="117">
        <v>203</v>
      </c>
      <c r="CM192" s="117">
        <v>3879</v>
      </c>
      <c r="CN192" s="48">
        <v>6587</v>
      </c>
      <c r="CO192" s="46">
        <v>5681</v>
      </c>
      <c r="CP192" s="130">
        <v>459</v>
      </c>
      <c r="CQ192" s="46">
        <v>447</v>
      </c>
      <c r="CR192" s="129">
        <v>20.5</v>
      </c>
      <c r="CS192" s="44">
        <v>4069</v>
      </c>
      <c r="CT192">
        <v>2233</v>
      </c>
      <c r="CU192">
        <v>6455</v>
      </c>
      <c r="CV192">
        <v>8004</v>
      </c>
      <c r="CW192">
        <v>1678</v>
      </c>
      <c r="CX192">
        <v>3</v>
      </c>
      <c r="CY192">
        <v>5578</v>
      </c>
      <c r="CZ192">
        <v>434</v>
      </c>
      <c r="DA192">
        <v>443</v>
      </c>
      <c r="DB192">
        <v>325</v>
      </c>
      <c r="DC192">
        <v>-163</v>
      </c>
      <c r="DD192">
        <v>549</v>
      </c>
      <c r="DE192">
        <v>4149</v>
      </c>
      <c r="DF192">
        <v>15803</v>
      </c>
      <c r="DG192">
        <v>-224</v>
      </c>
      <c r="DH192">
        <v>3655</v>
      </c>
      <c r="DI192">
        <v>20.5</v>
      </c>
      <c r="DJ192" s="174">
        <v>2166</v>
      </c>
      <c r="DK192" s="34">
        <v>6559</v>
      </c>
      <c r="DL192" s="34">
        <v>7790</v>
      </c>
      <c r="DM192">
        <v>1646</v>
      </c>
      <c r="DN192" s="173">
        <v>-9</v>
      </c>
      <c r="DO192" s="34">
        <v>5495</v>
      </c>
      <c r="DP192" s="173">
        <v>530</v>
      </c>
      <c r="DQ192" s="34">
        <v>534</v>
      </c>
      <c r="DR192" s="173">
        <v>132</v>
      </c>
      <c r="DS192" s="173">
        <v>-231</v>
      </c>
      <c r="DT192">
        <v>538</v>
      </c>
      <c r="DU192">
        <v>4239</v>
      </c>
      <c r="DV192" s="173">
        <v>15854</v>
      </c>
      <c r="DW192" s="173">
        <v>-406</v>
      </c>
      <c r="DX192" s="173">
        <v>3249</v>
      </c>
      <c r="DY192" s="57">
        <v>20.5</v>
      </c>
      <c r="DZ192" s="184">
        <v>340</v>
      </c>
      <c r="EA192" s="116">
        <v>2146</v>
      </c>
      <c r="EB192" s="48">
        <v>6103</v>
      </c>
      <c r="EC192" s="46">
        <v>7648</v>
      </c>
      <c r="ED192" s="90">
        <v>1661</v>
      </c>
      <c r="EE192" s="186">
        <v>-35</v>
      </c>
      <c r="EF192" s="46">
        <v>5032</v>
      </c>
      <c r="EG192" s="130">
        <v>540</v>
      </c>
      <c r="EH192" s="46">
        <v>531</v>
      </c>
      <c r="EI192" s="130">
        <v>-206</v>
      </c>
      <c r="EJ192" s="48">
        <v>-151</v>
      </c>
      <c r="EK192" s="44">
        <v>537</v>
      </c>
      <c r="EL192" s="44">
        <v>3892</v>
      </c>
      <c r="EM192" s="130">
        <v>15583</v>
      </c>
      <c r="EN192" s="117">
        <v>-743</v>
      </c>
      <c r="EO192" s="117">
        <v>2506</v>
      </c>
      <c r="EP192" s="129">
        <v>20.5</v>
      </c>
    </row>
    <row r="193" spans="1:146" ht="15" x14ac:dyDescent="0.25">
      <c r="A193" s="27">
        <v>609</v>
      </c>
      <c r="B193" s="27" t="s">
        <v>319</v>
      </c>
      <c r="C193" s="27">
        <v>4</v>
      </c>
      <c r="D193" s="27" t="s">
        <v>120</v>
      </c>
      <c r="E193" s="27">
        <v>6</v>
      </c>
      <c r="F193" s="27" t="s">
        <v>102</v>
      </c>
      <c r="G193" s="29" t="s">
        <v>141</v>
      </c>
      <c r="H193" s="27" t="s">
        <v>97</v>
      </c>
      <c r="I193" s="31" t="s">
        <v>120</v>
      </c>
      <c r="J193" s="118">
        <v>-12835.7661716896</v>
      </c>
      <c r="K193" s="118">
        <v>-28527.363334695652</v>
      </c>
      <c r="L193" s="118">
        <v>-29713.760967955153</v>
      </c>
      <c r="M193" s="118">
        <v>-24385.567457654484</v>
      </c>
      <c r="N193" s="22">
        <v>-10597</v>
      </c>
      <c r="O193" s="119">
        <v>306</v>
      </c>
      <c r="P193" s="119">
        <v>6517</v>
      </c>
      <c r="Q193" s="120">
        <v>-1893</v>
      </c>
      <c r="R193" s="22">
        <v>67770</v>
      </c>
      <c r="S193" s="22">
        <v>-788</v>
      </c>
      <c r="T193" s="121">
        <v>4099</v>
      </c>
      <c r="U193" s="121">
        <v>10464</v>
      </c>
      <c r="V193" s="121">
        <v>11242</v>
      </c>
      <c r="W193" s="106">
        <v>44383</v>
      </c>
      <c r="X193" s="121">
        <v>53254</v>
      </c>
      <c r="Y193" s="121">
        <v>52144</v>
      </c>
      <c r="Z193" s="121">
        <v>73868</v>
      </c>
      <c r="AA193" s="121">
        <v>63906</v>
      </c>
      <c r="AB193" s="122">
        <v>17</v>
      </c>
      <c r="AC193" s="123">
        <v>17</v>
      </c>
      <c r="AD193" s="124">
        <v>17</v>
      </c>
      <c r="AE193" s="125">
        <v>17</v>
      </c>
      <c r="AF193" s="126">
        <v>18</v>
      </c>
      <c r="AG193" s="123">
        <v>18</v>
      </c>
      <c r="AH193" s="123">
        <v>18</v>
      </c>
      <c r="AI193" s="127">
        <v>18</v>
      </c>
      <c r="AJ193" s="127">
        <v>18</v>
      </c>
      <c r="AK193" s="22">
        <v>18</v>
      </c>
      <c r="AL193" s="128">
        <v>18</v>
      </c>
      <c r="AM193" s="128">
        <v>18.25</v>
      </c>
      <c r="AN193" s="128">
        <v>18.75</v>
      </c>
      <c r="AO193" s="77">
        <v>18.75</v>
      </c>
      <c r="AP193" s="77">
        <v>19.25</v>
      </c>
      <c r="AQ193" s="129">
        <v>19.25</v>
      </c>
      <c r="AR193" s="129">
        <v>19.25</v>
      </c>
      <c r="AS193" s="129">
        <v>19.75</v>
      </c>
      <c r="AT193" s="116">
        <v>85399</v>
      </c>
      <c r="AU193" s="47">
        <v>222761</v>
      </c>
      <c r="AV193" s="47">
        <v>633853</v>
      </c>
      <c r="AW193" s="46">
        <v>301304</v>
      </c>
      <c r="AX193" s="46">
        <v>143229</v>
      </c>
      <c r="AY193" s="92">
        <v>7996</v>
      </c>
      <c r="AZ193" s="47">
        <v>41406</v>
      </c>
      <c r="BA193" s="44">
        <v>43588</v>
      </c>
      <c r="BB193" s="23">
        <v>-33715</v>
      </c>
      <c r="BC193" s="47">
        <v>-4609</v>
      </c>
      <c r="BD193" s="44">
        <v>346</v>
      </c>
      <c r="BE193" s="47">
        <v>52144</v>
      </c>
      <c r="BF193" s="44">
        <v>301304</v>
      </c>
      <c r="BG193" s="46">
        <v>265623</v>
      </c>
      <c r="BH193" s="130">
        <v>15866</v>
      </c>
      <c r="BI193" s="46">
        <v>19815</v>
      </c>
      <c r="BJ193" s="129">
        <v>19.25</v>
      </c>
      <c r="BK193" s="44">
        <v>240828</v>
      </c>
      <c r="BL193" s="116">
        <v>85418</v>
      </c>
      <c r="BM193" s="47">
        <v>221447</v>
      </c>
      <c r="BN193" s="130">
        <v>644390</v>
      </c>
      <c r="BO193" s="46">
        <v>302294</v>
      </c>
      <c r="BP193" s="46">
        <v>143428</v>
      </c>
      <c r="BQ193" s="46">
        <v>39908</v>
      </c>
      <c r="BR193" s="130">
        <v>31400</v>
      </c>
      <c r="BS193" s="44">
        <v>32228</v>
      </c>
      <c r="BT193" s="92">
        <v>-11201</v>
      </c>
      <c r="BU193" s="117">
        <v>21723</v>
      </c>
      <c r="BV193" s="130">
        <v>73868</v>
      </c>
      <c r="BW193" s="48">
        <v>302294</v>
      </c>
      <c r="BX193" s="46">
        <v>262928</v>
      </c>
      <c r="BY193" s="130">
        <v>18143</v>
      </c>
      <c r="BZ193" s="46">
        <v>21223</v>
      </c>
      <c r="CA193" s="129">
        <v>19.25</v>
      </c>
      <c r="CB193" s="44">
        <v>236691</v>
      </c>
      <c r="CC193" s="116">
        <v>85363</v>
      </c>
      <c r="CD193" s="47">
        <v>200179</v>
      </c>
      <c r="CE193" s="130">
        <v>637309</v>
      </c>
      <c r="CF193" s="46">
        <v>308395</v>
      </c>
      <c r="CG193" s="46">
        <v>139056</v>
      </c>
      <c r="CH193" s="46">
        <v>12025</v>
      </c>
      <c r="CI193" s="130">
        <v>20728</v>
      </c>
      <c r="CJ193" s="44">
        <v>27977</v>
      </c>
      <c r="CK193" s="117">
        <v>-28553</v>
      </c>
      <c r="CL193" s="117">
        <v>-9961</v>
      </c>
      <c r="CM193" s="117">
        <v>63906</v>
      </c>
      <c r="CN193" s="48">
        <v>308395</v>
      </c>
      <c r="CO193" s="46">
        <v>268349</v>
      </c>
      <c r="CP193" s="130">
        <v>17944</v>
      </c>
      <c r="CQ193" s="46">
        <v>22102</v>
      </c>
      <c r="CR193" s="129">
        <v>19.75</v>
      </c>
      <c r="CS193" s="44">
        <v>237587</v>
      </c>
      <c r="CT193">
        <v>85059</v>
      </c>
      <c r="CU193">
        <v>308400</v>
      </c>
      <c r="CV193">
        <v>143557</v>
      </c>
      <c r="CW193">
        <v>202141</v>
      </c>
      <c r="CX193">
        <v>5769</v>
      </c>
      <c r="CY193">
        <v>271049</v>
      </c>
      <c r="CZ193">
        <v>14121</v>
      </c>
      <c r="DA193">
        <v>23230</v>
      </c>
      <c r="DB193">
        <v>37957</v>
      </c>
      <c r="DC193">
        <v>-15800</v>
      </c>
      <c r="DD193">
        <v>28237</v>
      </c>
      <c r="DE193">
        <v>221519</v>
      </c>
      <c r="DF193">
        <v>621910</v>
      </c>
      <c r="DG193">
        <v>9819</v>
      </c>
      <c r="DH193">
        <v>73725</v>
      </c>
      <c r="DI193">
        <v>19.75</v>
      </c>
      <c r="DJ193" s="174">
        <v>84587</v>
      </c>
      <c r="DK193" s="34">
        <v>303487</v>
      </c>
      <c r="DL193" s="34">
        <v>138882</v>
      </c>
      <c r="DM193">
        <v>210078</v>
      </c>
      <c r="DN193" s="173">
        <v>7700</v>
      </c>
      <c r="DO193" s="34">
        <v>263387</v>
      </c>
      <c r="DP193" s="173">
        <v>16961</v>
      </c>
      <c r="DQ193" s="34">
        <v>23139</v>
      </c>
      <c r="DR193" s="173">
        <v>40910</v>
      </c>
      <c r="DS193" s="173">
        <v>-21206</v>
      </c>
      <c r="DT193">
        <v>24972</v>
      </c>
      <c r="DU193">
        <v>243497</v>
      </c>
      <c r="DV193" s="173">
        <v>619237</v>
      </c>
      <c r="DW193" s="173">
        <v>16755</v>
      </c>
      <c r="DX193" s="173">
        <v>91721</v>
      </c>
      <c r="DY193" s="57">
        <v>19.75</v>
      </c>
      <c r="DZ193" s="184">
        <v>130</v>
      </c>
      <c r="EA193" s="116">
        <v>84403</v>
      </c>
      <c r="EB193" s="48">
        <v>306557</v>
      </c>
      <c r="EC193" s="46">
        <v>140787</v>
      </c>
      <c r="ED193" s="90">
        <v>202447</v>
      </c>
      <c r="EE193" s="186">
        <v>6853</v>
      </c>
      <c r="EF193" s="46">
        <v>265797</v>
      </c>
      <c r="EG193" s="130">
        <v>16332</v>
      </c>
      <c r="EH193" s="46">
        <v>24428</v>
      </c>
      <c r="EI193" s="130">
        <v>12130</v>
      </c>
      <c r="EJ193" s="48">
        <v>-26431</v>
      </c>
      <c r="EK193" s="44">
        <v>25837</v>
      </c>
      <c r="EL193" s="44">
        <v>257586</v>
      </c>
      <c r="EM193" s="130">
        <v>644514</v>
      </c>
      <c r="EN193" s="117">
        <v>-13854</v>
      </c>
      <c r="EO193" s="117">
        <v>73155</v>
      </c>
      <c r="EP193" s="129">
        <v>19.75</v>
      </c>
    </row>
    <row r="194" spans="1:146" ht="15" x14ac:dyDescent="0.25">
      <c r="A194" s="27">
        <v>611</v>
      </c>
      <c r="B194" s="27" t="s">
        <v>320</v>
      </c>
      <c r="C194" s="27">
        <v>1</v>
      </c>
      <c r="D194" s="27" t="s">
        <v>121</v>
      </c>
      <c r="E194" s="27">
        <v>3</v>
      </c>
      <c r="F194" s="27" t="s">
        <v>743</v>
      </c>
      <c r="G194" s="29" t="s">
        <v>130</v>
      </c>
      <c r="H194" s="27" t="s">
        <v>98</v>
      </c>
      <c r="I194" s="31" t="s">
        <v>121</v>
      </c>
      <c r="J194" s="118">
        <v>44.569800512300425</v>
      </c>
      <c r="K194" s="118">
        <v>-97.212621494753378</v>
      </c>
      <c r="L194" s="118">
        <v>-1000.7181624459906</v>
      </c>
      <c r="M194" s="118">
        <v>-691.08418983034881</v>
      </c>
      <c r="N194" s="22">
        <v>728</v>
      </c>
      <c r="O194" s="119">
        <v>1761</v>
      </c>
      <c r="P194" s="119">
        <v>2240</v>
      </c>
      <c r="Q194" s="120">
        <v>1608</v>
      </c>
      <c r="R194" s="22">
        <v>1470</v>
      </c>
      <c r="S194" s="22">
        <v>2306</v>
      </c>
      <c r="T194" s="121">
        <v>2721</v>
      </c>
      <c r="U194" s="121">
        <v>3955</v>
      </c>
      <c r="V194" s="121">
        <v>5049</v>
      </c>
      <c r="W194" s="106">
        <v>6368</v>
      </c>
      <c r="X194" s="121">
        <v>5701</v>
      </c>
      <c r="Y194" s="121">
        <v>5466</v>
      </c>
      <c r="Z194" s="121">
        <v>5423</v>
      </c>
      <c r="AA194" s="121">
        <v>5580</v>
      </c>
      <c r="AB194" s="122">
        <v>18</v>
      </c>
      <c r="AC194" s="123">
        <v>18</v>
      </c>
      <c r="AD194" s="124">
        <v>18</v>
      </c>
      <c r="AE194" s="125">
        <v>18</v>
      </c>
      <c r="AF194" s="126">
        <v>18.75</v>
      </c>
      <c r="AG194" s="123">
        <v>18.75</v>
      </c>
      <c r="AH194" s="123">
        <v>18.75</v>
      </c>
      <c r="AI194" s="127">
        <v>18.75</v>
      </c>
      <c r="AJ194" s="127">
        <v>19.5</v>
      </c>
      <c r="AK194" s="22">
        <v>19.5</v>
      </c>
      <c r="AL194" s="128">
        <v>19.5</v>
      </c>
      <c r="AM194" s="128">
        <v>19.5</v>
      </c>
      <c r="AN194" s="128">
        <v>19.5</v>
      </c>
      <c r="AO194" s="77">
        <v>19.5</v>
      </c>
      <c r="AP194" s="77">
        <v>19.5</v>
      </c>
      <c r="AQ194" s="129">
        <v>19.5</v>
      </c>
      <c r="AR194" s="129">
        <v>20</v>
      </c>
      <c r="AS194" s="129">
        <v>20</v>
      </c>
      <c r="AT194" s="116">
        <v>5145</v>
      </c>
      <c r="AU194" s="47">
        <v>3027</v>
      </c>
      <c r="AV194" s="47">
        <v>25490</v>
      </c>
      <c r="AW194" s="46">
        <v>17743</v>
      </c>
      <c r="AX194" s="46">
        <v>6037</v>
      </c>
      <c r="AY194" s="92">
        <v>6</v>
      </c>
      <c r="AZ194" s="47">
        <v>1240</v>
      </c>
      <c r="BA194" s="44">
        <v>1474</v>
      </c>
      <c r="BB194" s="23">
        <v>-1974</v>
      </c>
      <c r="BC194" s="47">
        <v>-234</v>
      </c>
      <c r="BD194" s="44">
        <v>-235</v>
      </c>
      <c r="BE194" s="47">
        <v>5466</v>
      </c>
      <c r="BF194" s="44">
        <v>17743</v>
      </c>
      <c r="BG194" s="46">
        <v>16421</v>
      </c>
      <c r="BH194" s="130">
        <v>302</v>
      </c>
      <c r="BI194" s="46">
        <v>1020</v>
      </c>
      <c r="BJ194" s="129">
        <v>19.5</v>
      </c>
      <c r="BK194" s="44">
        <v>10941</v>
      </c>
      <c r="BL194" s="116">
        <v>5148</v>
      </c>
      <c r="BM194" s="47">
        <v>3202</v>
      </c>
      <c r="BN194" s="130">
        <v>25783</v>
      </c>
      <c r="BO194" s="46">
        <v>18572</v>
      </c>
      <c r="BP194" s="46">
        <v>5654</v>
      </c>
      <c r="BQ194" s="46">
        <v>0</v>
      </c>
      <c r="BR194" s="130">
        <v>1505</v>
      </c>
      <c r="BS194" s="44">
        <v>1549</v>
      </c>
      <c r="BT194" s="92">
        <v>-4603</v>
      </c>
      <c r="BU194" s="117">
        <v>-44</v>
      </c>
      <c r="BV194" s="130">
        <v>5423</v>
      </c>
      <c r="BW194" s="48">
        <v>18572</v>
      </c>
      <c r="BX194" s="46">
        <v>17133</v>
      </c>
      <c r="BY194" s="130">
        <v>346</v>
      </c>
      <c r="BZ194" s="46">
        <v>1093</v>
      </c>
      <c r="CA194" s="129">
        <v>20</v>
      </c>
      <c r="CB194" s="44">
        <v>16259</v>
      </c>
      <c r="CC194" s="116">
        <v>5125</v>
      </c>
      <c r="CD194" s="47">
        <v>2980</v>
      </c>
      <c r="CE194" s="130">
        <v>25381</v>
      </c>
      <c r="CF194" s="46">
        <v>18499</v>
      </c>
      <c r="CG194" s="46">
        <v>5569</v>
      </c>
      <c r="CH194" s="46">
        <v>488</v>
      </c>
      <c r="CI194" s="130">
        <v>1518</v>
      </c>
      <c r="CJ194" s="44">
        <v>1753</v>
      </c>
      <c r="CK194" s="117">
        <v>-165</v>
      </c>
      <c r="CL194" s="117">
        <v>246</v>
      </c>
      <c r="CM194" s="117">
        <v>5580</v>
      </c>
      <c r="CN194" s="48">
        <v>18499</v>
      </c>
      <c r="CO194" s="46">
        <v>17007</v>
      </c>
      <c r="CP194" s="130">
        <v>387</v>
      </c>
      <c r="CQ194" s="46">
        <v>1105</v>
      </c>
      <c r="CR194" s="129">
        <v>20</v>
      </c>
      <c r="CS194" s="44">
        <v>14759</v>
      </c>
      <c r="CT194">
        <v>5108</v>
      </c>
      <c r="CU194">
        <v>19287</v>
      </c>
      <c r="CV194">
        <v>6104</v>
      </c>
      <c r="CW194">
        <v>3236</v>
      </c>
      <c r="CX194">
        <v>5</v>
      </c>
      <c r="CY194">
        <v>17837</v>
      </c>
      <c r="CZ194">
        <v>351</v>
      </c>
      <c r="DA194">
        <v>1099</v>
      </c>
      <c r="DB194">
        <v>3330</v>
      </c>
      <c r="DC194">
        <v>-1539</v>
      </c>
      <c r="DD194">
        <v>1749</v>
      </c>
      <c r="DE194">
        <v>14986</v>
      </c>
      <c r="DF194">
        <v>25142</v>
      </c>
      <c r="DG194">
        <v>1581</v>
      </c>
      <c r="DH194">
        <v>7161</v>
      </c>
      <c r="DI194">
        <v>20.5</v>
      </c>
      <c r="DJ194" s="174">
        <v>5121</v>
      </c>
      <c r="DK194" s="34">
        <v>19796</v>
      </c>
      <c r="DL194" s="34">
        <v>6000</v>
      </c>
      <c r="DM194">
        <v>3435</v>
      </c>
      <c r="DN194" s="173">
        <v>-150</v>
      </c>
      <c r="DO194" s="34">
        <v>18040</v>
      </c>
      <c r="DP194" s="173">
        <v>627</v>
      </c>
      <c r="DQ194" s="34">
        <v>1129</v>
      </c>
      <c r="DR194" s="173">
        <v>3538</v>
      </c>
      <c r="DS194" s="173">
        <v>-956</v>
      </c>
      <c r="DT194">
        <v>1705</v>
      </c>
      <c r="DU194">
        <v>14486</v>
      </c>
      <c r="DV194" s="173">
        <v>25543</v>
      </c>
      <c r="DW194" s="173">
        <v>1833</v>
      </c>
      <c r="DX194" s="173">
        <v>8994</v>
      </c>
      <c r="DY194" s="57">
        <v>20.5</v>
      </c>
      <c r="DZ194" s="184">
        <v>330</v>
      </c>
      <c r="EA194" s="116">
        <v>5068</v>
      </c>
      <c r="EB194" s="48">
        <v>19682</v>
      </c>
      <c r="EC194" s="46">
        <v>5624</v>
      </c>
      <c r="ED194" s="90">
        <v>8972</v>
      </c>
      <c r="EE194" s="186">
        <v>-143</v>
      </c>
      <c r="EF194" s="46">
        <v>17786</v>
      </c>
      <c r="EG194" s="130">
        <v>726</v>
      </c>
      <c r="EH194" s="46">
        <v>1170</v>
      </c>
      <c r="EI194" s="130">
        <v>2629</v>
      </c>
      <c r="EJ194" s="48">
        <v>-307</v>
      </c>
      <c r="EK194" s="44">
        <v>1626</v>
      </c>
      <c r="EL194" s="44">
        <v>13452</v>
      </c>
      <c r="EM194" s="130">
        <v>31506</v>
      </c>
      <c r="EN194" s="117">
        <v>894</v>
      </c>
      <c r="EO194" s="117">
        <v>9887</v>
      </c>
      <c r="EP194" s="129">
        <v>20.5</v>
      </c>
    </row>
    <row r="195" spans="1:146" ht="15" x14ac:dyDescent="0.25">
      <c r="A195" s="27">
        <v>638</v>
      </c>
      <c r="B195" s="27" t="s">
        <v>321</v>
      </c>
      <c r="C195" s="27">
        <v>1</v>
      </c>
      <c r="D195" s="27" t="s">
        <v>121</v>
      </c>
      <c r="E195" s="27">
        <v>6</v>
      </c>
      <c r="F195" s="27" t="s">
        <v>102</v>
      </c>
      <c r="G195" s="29" t="s">
        <v>141</v>
      </c>
      <c r="H195" s="27" t="s">
        <v>97</v>
      </c>
      <c r="I195" s="31" t="s">
        <v>121</v>
      </c>
      <c r="J195" s="132">
        <v>-907.20567533339045</v>
      </c>
      <c r="K195" s="132">
        <v>4555.5381761364879</v>
      </c>
      <c r="L195" s="132">
        <v>14081.870518842934</v>
      </c>
      <c r="M195" s="132">
        <v>11035.314418919123</v>
      </c>
      <c r="N195" s="132">
        <v>19288</v>
      </c>
      <c r="O195" s="132">
        <v>20325</v>
      </c>
      <c r="P195" s="132">
        <v>29465</v>
      </c>
      <c r="Q195" s="132">
        <v>36026</v>
      </c>
      <c r="R195" s="132">
        <v>47392</v>
      </c>
      <c r="S195" s="132">
        <v>58532</v>
      </c>
      <c r="T195" s="132">
        <v>56379</v>
      </c>
      <c r="U195" s="132">
        <v>52428</v>
      </c>
      <c r="V195" s="132">
        <v>56477</v>
      </c>
      <c r="W195" s="106">
        <v>59654</v>
      </c>
      <c r="X195" s="132">
        <v>54250</v>
      </c>
      <c r="Y195" s="132">
        <v>52576</v>
      </c>
      <c r="Z195" s="132">
        <v>45769</v>
      </c>
      <c r="AA195" s="132">
        <v>43775</v>
      </c>
      <c r="AB195" s="133">
        <v>17.75</v>
      </c>
      <c r="AC195" s="134">
        <v>18.75</v>
      </c>
      <c r="AD195" s="135">
        <v>18.5</v>
      </c>
      <c r="AE195" s="136">
        <v>18.25</v>
      </c>
      <c r="AF195" s="137">
        <v>18.25</v>
      </c>
      <c r="AG195" s="134">
        <v>18.75</v>
      </c>
      <c r="AH195" s="134">
        <v>18.75</v>
      </c>
      <c r="AI195" s="138">
        <v>18.75</v>
      </c>
      <c r="AJ195" s="138">
        <v>18.75</v>
      </c>
      <c r="AK195" s="139">
        <v>18.75</v>
      </c>
      <c r="AL195" s="140">
        <v>18.75</v>
      </c>
      <c r="AM195" s="140">
        <v>19.25</v>
      </c>
      <c r="AN195" s="140">
        <v>19.25</v>
      </c>
      <c r="AO195" s="83">
        <v>19.25</v>
      </c>
      <c r="AP195" s="83">
        <v>19.25</v>
      </c>
      <c r="AQ195" s="44">
        <v>19.25</v>
      </c>
      <c r="AR195" s="44">
        <v>19.25</v>
      </c>
      <c r="AS195" s="129">
        <v>19.75</v>
      </c>
      <c r="AT195" s="44">
        <v>49426</v>
      </c>
      <c r="AU195" s="44">
        <v>69802</v>
      </c>
      <c r="AV195" s="44">
        <v>302437</v>
      </c>
      <c r="AW195" s="44">
        <v>209769</v>
      </c>
      <c r="AX195" s="44">
        <v>52016</v>
      </c>
      <c r="AY195" s="44">
        <v>2332</v>
      </c>
      <c r="AZ195" s="44">
        <v>29361</v>
      </c>
      <c r="BA195" s="44">
        <v>30641</v>
      </c>
      <c r="BB195" s="44">
        <v>-7053</v>
      </c>
      <c r="BC195" s="44">
        <v>-1280</v>
      </c>
      <c r="BD195" s="44">
        <v>-1674</v>
      </c>
      <c r="BE195" s="44">
        <v>52576</v>
      </c>
      <c r="BF195" s="44">
        <v>209769</v>
      </c>
      <c r="BG195" s="44">
        <v>179781</v>
      </c>
      <c r="BH195" s="44">
        <v>16753</v>
      </c>
      <c r="BI195" s="44">
        <v>13235</v>
      </c>
      <c r="BJ195" s="44">
        <v>19.25</v>
      </c>
      <c r="BK195" s="44">
        <v>118449</v>
      </c>
      <c r="BL195" s="44">
        <v>49728</v>
      </c>
      <c r="BM195" s="44">
        <v>66896</v>
      </c>
      <c r="BN195" s="44">
        <v>311498</v>
      </c>
      <c r="BO195" s="44">
        <v>210347</v>
      </c>
      <c r="BP195" s="44">
        <v>49449</v>
      </c>
      <c r="BQ195" s="44">
        <v>2296</v>
      </c>
      <c r="BR195" s="44">
        <v>15863</v>
      </c>
      <c r="BS195" s="44">
        <v>25773</v>
      </c>
      <c r="BT195" s="44">
        <v>-15135</v>
      </c>
      <c r="BU195" s="44">
        <v>-6807</v>
      </c>
      <c r="BV195" s="44">
        <v>45769</v>
      </c>
      <c r="BW195" s="44">
        <v>210347</v>
      </c>
      <c r="BX195" s="44">
        <v>179307</v>
      </c>
      <c r="BY195" s="44">
        <v>15825</v>
      </c>
      <c r="BZ195" s="44">
        <v>15215</v>
      </c>
      <c r="CA195" s="44">
        <v>19.25</v>
      </c>
      <c r="CB195" s="44">
        <v>115785</v>
      </c>
      <c r="CC195" s="116">
        <v>49928</v>
      </c>
      <c r="CD195" s="47">
        <v>68909</v>
      </c>
      <c r="CE195" s="130">
        <v>315279</v>
      </c>
      <c r="CF195" s="46">
        <v>221842</v>
      </c>
      <c r="CG195" s="46">
        <v>46652</v>
      </c>
      <c r="CH195" s="46">
        <v>4064</v>
      </c>
      <c r="CI195" s="130">
        <v>23330</v>
      </c>
      <c r="CJ195" s="44">
        <v>24294</v>
      </c>
      <c r="CK195" s="117">
        <v>-15170</v>
      </c>
      <c r="CL195" s="117">
        <v>-182</v>
      </c>
      <c r="CM195" s="117">
        <v>43775</v>
      </c>
      <c r="CN195" s="48">
        <v>221842</v>
      </c>
      <c r="CO195" s="46">
        <v>187564</v>
      </c>
      <c r="CP195" s="130">
        <v>17859</v>
      </c>
      <c r="CQ195" s="46">
        <v>16419</v>
      </c>
      <c r="CR195" s="129">
        <v>19.75</v>
      </c>
      <c r="CS195" s="44">
        <v>115059</v>
      </c>
      <c r="CT195">
        <v>50144</v>
      </c>
      <c r="CU195">
        <v>228727</v>
      </c>
      <c r="CV195">
        <v>52316</v>
      </c>
      <c r="CW195">
        <v>74622</v>
      </c>
      <c r="CX195">
        <v>4421</v>
      </c>
      <c r="CY195">
        <v>196962</v>
      </c>
      <c r="CZ195">
        <v>14924</v>
      </c>
      <c r="DA195">
        <v>16841</v>
      </c>
      <c r="DB195">
        <v>36083</v>
      </c>
      <c r="DC195">
        <v>-34025</v>
      </c>
      <c r="DD195">
        <v>30613</v>
      </c>
      <c r="DE195">
        <v>117863</v>
      </c>
      <c r="DF195">
        <v>321286</v>
      </c>
      <c r="DG195">
        <v>3919</v>
      </c>
      <c r="DH195">
        <v>47694</v>
      </c>
      <c r="DI195">
        <v>19.75</v>
      </c>
      <c r="DJ195" s="174">
        <v>50159</v>
      </c>
      <c r="DK195" s="34">
        <v>221181</v>
      </c>
      <c r="DL195" s="34">
        <v>48980</v>
      </c>
      <c r="DM195">
        <v>74275</v>
      </c>
      <c r="DN195" s="173">
        <v>1732</v>
      </c>
      <c r="DO195" s="34">
        <v>190592</v>
      </c>
      <c r="DP195" s="173">
        <v>13931</v>
      </c>
      <c r="DQ195" s="34">
        <v>16658</v>
      </c>
      <c r="DR195" s="173">
        <v>28633</v>
      </c>
      <c r="DS195" s="173">
        <v>-43003</v>
      </c>
      <c r="DT195">
        <v>23714</v>
      </c>
      <c r="DU195">
        <v>144999</v>
      </c>
      <c r="DV195" s="173">
        <v>317535</v>
      </c>
      <c r="DW195" s="173">
        <v>4810</v>
      </c>
      <c r="DX195" s="173">
        <v>52748</v>
      </c>
      <c r="DY195" s="57">
        <v>19.75</v>
      </c>
      <c r="DZ195" s="184">
        <v>120</v>
      </c>
      <c r="EA195" s="116">
        <v>50262</v>
      </c>
      <c r="EB195" s="48">
        <v>229152</v>
      </c>
      <c r="EC195" s="46">
        <v>50465</v>
      </c>
      <c r="ED195" s="90">
        <v>74366</v>
      </c>
      <c r="EE195" s="186">
        <v>2263</v>
      </c>
      <c r="EF195" s="46">
        <v>192402</v>
      </c>
      <c r="EG195" s="130">
        <v>20364</v>
      </c>
      <c r="EH195" s="46">
        <v>16386</v>
      </c>
      <c r="EI195" s="130">
        <v>29156</v>
      </c>
      <c r="EJ195" s="48">
        <v>-44842</v>
      </c>
      <c r="EK195" s="44">
        <v>26157</v>
      </c>
      <c r="EL195" s="44">
        <v>163048</v>
      </c>
      <c r="EM195" s="130">
        <v>327090</v>
      </c>
      <c r="EN195" s="117">
        <v>2432</v>
      </c>
      <c r="EO195" s="117">
        <v>55181</v>
      </c>
      <c r="EP195" s="129">
        <v>19.75</v>
      </c>
    </row>
    <row r="196" spans="1:146" ht="15" x14ac:dyDescent="0.25">
      <c r="A196" s="27">
        <v>614</v>
      </c>
      <c r="B196" s="27" t="s">
        <v>322</v>
      </c>
      <c r="C196" s="27">
        <v>19</v>
      </c>
      <c r="D196" s="27" t="s">
        <v>113</v>
      </c>
      <c r="E196" s="27">
        <v>2</v>
      </c>
      <c r="F196" s="27" t="s">
        <v>744</v>
      </c>
      <c r="G196" s="29" t="s">
        <v>130</v>
      </c>
      <c r="H196" s="27" t="s">
        <v>98</v>
      </c>
      <c r="I196" s="31" t="s">
        <v>113</v>
      </c>
      <c r="J196" s="118">
        <v>377.07733112670775</v>
      </c>
      <c r="K196" s="118">
        <v>447.71626024054234</v>
      </c>
      <c r="L196" s="118">
        <v>100.07181624459906</v>
      </c>
      <c r="M196" s="118">
        <v>11.26859107292124</v>
      </c>
      <c r="N196" s="22">
        <v>5</v>
      </c>
      <c r="O196" s="119">
        <v>9</v>
      </c>
      <c r="P196" s="119">
        <v>5</v>
      </c>
      <c r="Q196" s="120">
        <v>106</v>
      </c>
      <c r="R196" s="22">
        <v>142</v>
      </c>
      <c r="S196" s="22">
        <v>187</v>
      </c>
      <c r="T196" s="121">
        <v>38</v>
      </c>
      <c r="U196" s="121">
        <v>3055</v>
      </c>
      <c r="V196" s="121">
        <v>2789</v>
      </c>
      <c r="W196" s="106">
        <v>1329</v>
      </c>
      <c r="X196" s="121">
        <v>-34</v>
      </c>
      <c r="Y196" s="121">
        <v>-921</v>
      </c>
      <c r="Z196" s="121">
        <v>-329</v>
      </c>
      <c r="AA196" s="121">
        <v>-165</v>
      </c>
      <c r="AB196" s="122">
        <v>18</v>
      </c>
      <c r="AC196" s="123">
        <v>18</v>
      </c>
      <c r="AD196" s="124">
        <v>18</v>
      </c>
      <c r="AE196" s="125">
        <v>18.5</v>
      </c>
      <c r="AF196" s="126">
        <v>18.5</v>
      </c>
      <c r="AG196" s="123">
        <v>18.5</v>
      </c>
      <c r="AH196" s="123">
        <v>18.5</v>
      </c>
      <c r="AI196" s="127">
        <v>19</v>
      </c>
      <c r="AJ196" s="127">
        <v>19</v>
      </c>
      <c r="AK196" s="22">
        <v>19</v>
      </c>
      <c r="AL196" s="128">
        <v>19.5</v>
      </c>
      <c r="AM196" s="128">
        <v>19.5</v>
      </c>
      <c r="AN196" s="128">
        <v>20.5</v>
      </c>
      <c r="AO196" s="77">
        <v>20.5</v>
      </c>
      <c r="AP196" s="77">
        <v>20.5</v>
      </c>
      <c r="AQ196" s="129">
        <v>20.5</v>
      </c>
      <c r="AR196" s="129">
        <v>21</v>
      </c>
      <c r="AS196" s="129">
        <v>21</v>
      </c>
      <c r="AT196" s="116">
        <v>3647</v>
      </c>
      <c r="AU196" s="47">
        <v>8310</v>
      </c>
      <c r="AV196" s="47">
        <v>33200</v>
      </c>
      <c r="AW196" s="46">
        <v>9920</v>
      </c>
      <c r="AX196" s="46">
        <v>15186</v>
      </c>
      <c r="AY196" s="92">
        <v>288</v>
      </c>
      <c r="AZ196" s="47">
        <v>238</v>
      </c>
      <c r="BA196" s="44">
        <v>1354</v>
      </c>
      <c r="BB196" s="23">
        <v>-564</v>
      </c>
      <c r="BC196" s="47">
        <v>-1116</v>
      </c>
      <c r="BD196" s="44">
        <v>-888</v>
      </c>
      <c r="BE196" s="47">
        <v>-921</v>
      </c>
      <c r="BF196" s="44">
        <v>9920</v>
      </c>
      <c r="BG196" s="46">
        <v>8475</v>
      </c>
      <c r="BH196" s="130">
        <v>578</v>
      </c>
      <c r="BI196" s="46">
        <v>867</v>
      </c>
      <c r="BJ196" s="129">
        <v>20.5</v>
      </c>
      <c r="BK196" s="44">
        <v>13977</v>
      </c>
      <c r="BL196" s="116">
        <v>3633</v>
      </c>
      <c r="BM196" s="47">
        <v>8289</v>
      </c>
      <c r="BN196" s="130">
        <v>33654</v>
      </c>
      <c r="BO196" s="46">
        <v>10104</v>
      </c>
      <c r="BP196" s="46">
        <v>15608</v>
      </c>
      <c r="BQ196" s="46">
        <v>497</v>
      </c>
      <c r="BR196" s="130">
        <v>607</v>
      </c>
      <c r="BS196" s="44">
        <v>1116</v>
      </c>
      <c r="BT196" s="92">
        <v>-763</v>
      </c>
      <c r="BU196" s="117">
        <v>-329</v>
      </c>
      <c r="BV196" s="130">
        <v>-329</v>
      </c>
      <c r="BW196" s="48">
        <v>10104</v>
      </c>
      <c r="BX196" s="46">
        <v>8337</v>
      </c>
      <c r="BY196" s="130">
        <v>646</v>
      </c>
      <c r="BZ196" s="46">
        <v>1121</v>
      </c>
      <c r="CA196" s="129">
        <v>21</v>
      </c>
      <c r="CB196" s="44">
        <v>14592</v>
      </c>
      <c r="CC196" s="116">
        <v>3477</v>
      </c>
      <c r="CD196" s="47">
        <v>8138</v>
      </c>
      <c r="CE196" s="130">
        <v>33495</v>
      </c>
      <c r="CF196" s="46">
        <v>10557</v>
      </c>
      <c r="CG196" s="46">
        <v>15319</v>
      </c>
      <c r="CH196" s="46">
        <v>438</v>
      </c>
      <c r="CI196" s="130">
        <v>750</v>
      </c>
      <c r="CJ196" s="44">
        <v>1078</v>
      </c>
      <c r="CK196" s="117">
        <v>-332</v>
      </c>
      <c r="CL196" s="117">
        <v>-165</v>
      </c>
      <c r="CM196" s="117">
        <v>-165</v>
      </c>
      <c r="CN196" s="48">
        <v>10557</v>
      </c>
      <c r="CO196" s="46">
        <v>8723</v>
      </c>
      <c r="CP196" s="130">
        <v>707</v>
      </c>
      <c r="CQ196" s="46">
        <v>1127</v>
      </c>
      <c r="CR196" s="129">
        <v>21</v>
      </c>
      <c r="CS196" s="44">
        <v>14673</v>
      </c>
      <c r="CT196">
        <v>3424</v>
      </c>
      <c r="CU196">
        <v>10065</v>
      </c>
      <c r="CV196">
        <v>15907</v>
      </c>
      <c r="CW196">
        <v>7501</v>
      </c>
      <c r="CX196">
        <v>101</v>
      </c>
      <c r="CY196">
        <v>8126</v>
      </c>
      <c r="CZ196">
        <v>705</v>
      </c>
      <c r="DA196">
        <v>1234</v>
      </c>
      <c r="DB196">
        <v>1010</v>
      </c>
      <c r="DC196">
        <v>-408</v>
      </c>
      <c r="DD196">
        <v>1056</v>
      </c>
      <c r="DE196">
        <v>14364</v>
      </c>
      <c r="DF196">
        <v>32376</v>
      </c>
      <c r="DG196">
        <v>275</v>
      </c>
      <c r="DH196">
        <v>111</v>
      </c>
      <c r="DI196">
        <v>21.75</v>
      </c>
      <c r="DJ196" s="174">
        <v>3310</v>
      </c>
      <c r="DK196" s="34">
        <v>10653</v>
      </c>
      <c r="DL196" s="34">
        <v>17140</v>
      </c>
      <c r="DM196">
        <v>7924</v>
      </c>
      <c r="DN196" s="173">
        <v>164</v>
      </c>
      <c r="DO196" s="34">
        <v>8590</v>
      </c>
      <c r="DP196" s="173">
        <v>786</v>
      </c>
      <c r="DQ196" s="34">
        <v>1277</v>
      </c>
      <c r="DR196" s="173">
        <v>3949</v>
      </c>
      <c r="DS196" s="173">
        <v>-660</v>
      </c>
      <c r="DT196">
        <v>1037</v>
      </c>
      <c r="DU196">
        <v>13103</v>
      </c>
      <c r="DV196" s="173">
        <v>31932</v>
      </c>
      <c r="DW196" s="173">
        <v>3050</v>
      </c>
      <c r="DX196" s="173">
        <v>3159</v>
      </c>
      <c r="DY196" s="57">
        <v>21.75</v>
      </c>
      <c r="DZ196" s="184">
        <v>340</v>
      </c>
      <c r="EA196" s="116">
        <v>3237</v>
      </c>
      <c r="EB196" s="48">
        <v>9401</v>
      </c>
      <c r="EC196" s="46">
        <v>16916</v>
      </c>
      <c r="ED196" s="90">
        <v>7562</v>
      </c>
      <c r="EE196" s="186">
        <v>-158</v>
      </c>
      <c r="EF196" s="46">
        <v>7511</v>
      </c>
      <c r="EG196" s="130">
        <v>660</v>
      </c>
      <c r="EH196" s="46">
        <v>1230</v>
      </c>
      <c r="EI196" s="130">
        <v>1910</v>
      </c>
      <c r="EJ196" s="48">
        <v>-730</v>
      </c>
      <c r="EK196" s="44">
        <v>1113</v>
      </c>
      <c r="EL196" s="44">
        <v>11887</v>
      </c>
      <c r="EM196" s="130">
        <v>31811</v>
      </c>
      <c r="EN196" s="117">
        <v>935</v>
      </c>
      <c r="EO196" s="117">
        <v>4206</v>
      </c>
      <c r="EP196" s="129">
        <v>21.75</v>
      </c>
    </row>
    <row r="197" spans="1:146" ht="15" x14ac:dyDescent="0.25">
      <c r="A197" s="27">
        <v>615</v>
      </c>
      <c r="B197" s="27" t="s">
        <v>323</v>
      </c>
      <c r="C197" s="27">
        <v>17</v>
      </c>
      <c r="D197" s="27" t="s">
        <v>117</v>
      </c>
      <c r="E197" s="27">
        <v>3</v>
      </c>
      <c r="F197" s="27" t="s">
        <v>743</v>
      </c>
      <c r="G197" s="29" t="s">
        <v>130</v>
      </c>
      <c r="H197" s="27" t="s">
        <v>98</v>
      </c>
      <c r="I197" s="31" t="s">
        <v>117</v>
      </c>
      <c r="J197" s="118">
        <v>183.99759154889307</v>
      </c>
      <c r="K197" s="118">
        <v>397.76444608147358</v>
      </c>
      <c r="L197" s="118">
        <v>968.59426849184206</v>
      </c>
      <c r="M197" s="118">
        <v>1744.2769853323307</v>
      </c>
      <c r="N197" s="22">
        <v>2836</v>
      </c>
      <c r="O197" s="119">
        <v>2196</v>
      </c>
      <c r="P197" s="119">
        <v>2743</v>
      </c>
      <c r="Q197" s="120">
        <v>1174</v>
      </c>
      <c r="R197" s="22">
        <v>3091</v>
      </c>
      <c r="S197" s="22">
        <v>1973</v>
      </c>
      <c r="T197" s="121">
        <v>-636</v>
      </c>
      <c r="U197" s="121">
        <v>-1480</v>
      </c>
      <c r="V197" s="121">
        <v>1509</v>
      </c>
      <c r="W197" s="106">
        <v>2503</v>
      </c>
      <c r="X197" s="121">
        <v>5670</v>
      </c>
      <c r="Y197" s="121">
        <v>6449</v>
      </c>
      <c r="Z197" s="121">
        <v>8026</v>
      </c>
      <c r="AA197" s="121">
        <v>10239</v>
      </c>
      <c r="AB197" s="122">
        <v>18</v>
      </c>
      <c r="AC197" s="123">
        <v>19</v>
      </c>
      <c r="AD197" s="124">
        <v>19</v>
      </c>
      <c r="AE197" s="125">
        <v>19</v>
      </c>
      <c r="AF197" s="126">
        <v>19</v>
      </c>
      <c r="AG197" s="123">
        <v>19</v>
      </c>
      <c r="AH197" s="123">
        <v>19</v>
      </c>
      <c r="AI197" s="127">
        <v>19</v>
      </c>
      <c r="AJ197" s="127">
        <v>19</v>
      </c>
      <c r="AK197" s="22">
        <v>19</v>
      </c>
      <c r="AL197" s="128">
        <v>19</v>
      </c>
      <c r="AM197" s="128">
        <v>19</v>
      </c>
      <c r="AN197" s="128">
        <v>20</v>
      </c>
      <c r="AO197" s="77">
        <v>20.5</v>
      </c>
      <c r="AP197" s="77">
        <v>20.5</v>
      </c>
      <c r="AQ197" s="129">
        <v>20.5</v>
      </c>
      <c r="AR197" s="129">
        <v>20.5</v>
      </c>
      <c r="AS197" s="129">
        <v>20.5</v>
      </c>
      <c r="AT197" s="116">
        <v>8537</v>
      </c>
      <c r="AU197" s="47">
        <v>10759</v>
      </c>
      <c r="AV197" s="47">
        <v>65658</v>
      </c>
      <c r="AW197" s="46">
        <v>22321</v>
      </c>
      <c r="AX197" s="46">
        <v>37304</v>
      </c>
      <c r="AY197" s="92">
        <v>1335</v>
      </c>
      <c r="AZ197" s="47">
        <v>5538</v>
      </c>
      <c r="BA197" s="44">
        <v>3007</v>
      </c>
      <c r="BB197" s="23">
        <v>-6905</v>
      </c>
      <c r="BC197" s="47">
        <v>2440</v>
      </c>
      <c r="BD197" s="44">
        <v>3812</v>
      </c>
      <c r="BE197" s="47">
        <v>6449</v>
      </c>
      <c r="BF197" s="44">
        <v>22321</v>
      </c>
      <c r="BG197" s="46">
        <v>18732</v>
      </c>
      <c r="BH197" s="130">
        <v>1978</v>
      </c>
      <c r="BI197" s="46">
        <v>1611</v>
      </c>
      <c r="BJ197" s="129">
        <v>20.5</v>
      </c>
      <c r="BK197" s="44">
        <v>23813</v>
      </c>
      <c r="BL197" s="116">
        <v>8399</v>
      </c>
      <c r="BM197" s="47">
        <v>10706</v>
      </c>
      <c r="BN197" s="130">
        <v>66228</v>
      </c>
      <c r="BO197" s="46">
        <v>22621</v>
      </c>
      <c r="BP197" s="46">
        <v>38238</v>
      </c>
      <c r="BQ197" s="46">
        <v>309</v>
      </c>
      <c r="BR197" s="130">
        <v>5157</v>
      </c>
      <c r="BS197" s="44">
        <v>3633</v>
      </c>
      <c r="BT197" s="92">
        <v>-1217</v>
      </c>
      <c r="BU197" s="117">
        <v>1752</v>
      </c>
      <c r="BV197" s="130">
        <v>8026</v>
      </c>
      <c r="BW197" s="48">
        <v>22621</v>
      </c>
      <c r="BX197" s="46">
        <v>18715</v>
      </c>
      <c r="BY197" s="130">
        <v>2129</v>
      </c>
      <c r="BZ197" s="46">
        <v>1777</v>
      </c>
      <c r="CA197" s="129">
        <v>20.5</v>
      </c>
      <c r="CB197" s="44">
        <v>21198</v>
      </c>
      <c r="CC197" s="116">
        <v>8257</v>
      </c>
      <c r="CD197" s="47">
        <v>8849</v>
      </c>
      <c r="CE197" s="130">
        <v>64588</v>
      </c>
      <c r="CF197" s="46">
        <v>23214</v>
      </c>
      <c r="CG197" s="46">
        <v>38040</v>
      </c>
      <c r="CH197" s="46">
        <v>603</v>
      </c>
      <c r="CI197" s="130">
        <v>5960</v>
      </c>
      <c r="CJ197" s="44">
        <v>3505</v>
      </c>
      <c r="CK197" s="117">
        <v>-1483</v>
      </c>
      <c r="CL197" s="117">
        <v>2627</v>
      </c>
      <c r="CM197" s="117">
        <v>10239</v>
      </c>
      <c r="CN197" s="48">
        <v>23214</v>
      </c>
      <c r="CO197" s="46">
        <v>18865</v>
      </c>
      <c r="CP197" s="130">
        <v>2527</v>
      </c>
      <c r="CQ197" s="46">
        <v>1822</v>
      </c>
      <c r="CR197" s="129">
        <v>20.5</v>
      </c>
      <c r="CS197" s="44">
        <v>20845</v>
      </c>
      <c r="CT197">
        <v>8187</v>
      </c>
      <c r="CU197">
        <v>22448</v>
      </c>
      <c r="CV197">
        <v>38491</v>
      </c>
      <c r="CW197">
        <v>9268</v>
      </c>
      <c r="CX197">
        <v>409</v>
      </c>
      <c r="CY197">
        <v>18211</v>
      </c>
      <c r="CZ197">
        <v>2398</v>
      </c>
      <c r="DA197">
        <v>1839</v>
      </c>
      <c r="DB197">
        <v>4197</v>
      </c>
      <c r="DC197">
        <v>-5661</v>
      </c>
      <c r="DD197">
        <v>5610</v>
      </c>
      <c r="DE197">
        <v>23256</v>
      </c>
      <c r="DF197">
        <v>66146</v>
      </c>
      <c r="DG197">
        <v>-1210</v>
      </c>
      <c r="DH197">
        <v>8800</v>
      </c>
      <c r="DI197">
        <v>20.5</v>
      </c>
      <c r="DJ197" s="174">
        <v>8103</v>
      </c>
      <c r="DK197" s="34">
        <v>23266</v>
      </c>
      <c r="DL197" s="34">
        <v>36935</v>
      </c>
      <c r="DM197">
        <v>9606</v>
      </c>
      <c r="DN197" s="173">
        <v>2064</v>
      </c>
      <c r="DO197" s="34">
        <v>18463</v>
      </c>
      <c r="DP197" s="173">
        <v>2832</v>
      </c>
      <c r="DQ197" s="34">
        <v>1971</v>
      </c>
      <c r="DR197" s="173">
        <v>4616</v>
      </c>
      <c r="DS197" s="173">
        <v>-2982</v>
      </c>
      <c r="DT197">
        <v>3628</v>
      </c>
      <c r="DU197">
        <v>21946</v>
      </c>
      <c r="DV197" s="173">
        <v>67255</v>
      </c>
      <c r="DW197" s="173">
        <v>1505</v>
      </c>
      <c r="DX197" s="173">
        <v>10305</v>
      </c>
      <c r="DY197" s="57">
        <v>20.5</v>
      </c>
      <c r="DZ197" s="184">
        <v>340</v>
      </c>
      <c r="EA197" s="116">
        <v>7990</v>
      </c>
      <c r="EB197" s="48">
        <v>22246</v>
      </c>
      <c r="EC197" s="46">
        <v>35877</v>
      </c>
      <c r="ED197" s="90">
        <v>9949</v>
      </c>
      <c r="EE197" s="186">
        <v>455</v>
      </c>
      <c r="EF197" s="46">
        <v>17561</v>
      </c>
      <c r="EG197" s="130">
        <v>2619</v>
      </c>
      <c r="EH197" s="46">
        <v>2066</v>
      </c>
      <c r="EI197" s="130">
        <v>-990</v>
      </c>
      <c r="EJ197" s="48">
        <v>-4335</v>
      </c>
      <c r="EK197" s="44">
        <v>3675</v>
      </c>
      <c r="EL197" s="44">
        <v>25420</v>
      </c>
      <c r="EM197" s="130">
        <v>69517</v>
      </c>
      <c r="EN197" s="117">
        <v>-4120</v>
      </c>
      <c r="EO197" s="117">
        <v>6099</v>
      </c>
      <c r="EP197" s="129">
        <v>20.5</v>
      </c>
    </row>
    <row r="198" spans="1:146" ht="15" x14ac:dyDescent="0.25">
      <c r="A198" s="27">
        <v>616</v>
      </c>
      <c r="B198" s="27" t="s">
        <v>324</v>
      </c>
      <c r="C198" s="27">
        <v>1</v>
      </c>
      <c r="D198" s="27" t="s">
        <v>121</v>
      </c>
      <c r="E198" s="27">
        <v>1</v>
      </c>
      <c r="F198" s="27" t="s">
        <v>103</v>
      </c>
      <c r="G198" s="29" t="s">
        <v>130</v>
      </c>
      <c r="H198" s="27" t="s">
        <v>98</v>
      </c>
      <c r="I198" s="31" t="s">
        <v>121</v>
      </c>
      <c r="J198" s="118">
        <v>760.3776155324914</v>
      </c>
      <c r="K198" s="118">
        <v>750.45452787126226</v>
      </c>
      <c r="L198" s="118">
        <v>459.65760301930965</v>
      </c>
      <c r="M198" s="118">
        <v>295.00162301349036</v>
      </c>
      <c r="N198" s="22">
        <v>851</v>
      </c>
      <c r="O198" s="119">
        <v>1388</v>
      </c>
      <c r="P198" s="119">
        <v>1722</v>
      </c>
      <c r="Q198" s="120">
        <v>1696</v>
      </c>
      <c r="R198" s="22">
        <v>1538</v>
      </c>
      <c r="S198" s="22">
        <v>1209</v>
      </c>
      <c r="T198" s="121">
        <v>2562</v>
      </c>
      <c r="U198" s="121">
        <v>2393</v>
      </c>
      <c r="V198" s="121">
        <v>2569</v>
      </c>
      <c r="W198" s="106">
        <v>2497</v>
      </c>
      <c r="X198" s="121">
        <v>1764</v>
      </c>
      <c r="Y198" s="121">
        <v>783</v>
      </c>
      <c r="Z198" s="121">
        <v>871</v>
      </c>
      <c r="AA198" s="121">
        <v>772</v>
      </c>
      <c r="AB198" s="122">
        <v>18.5</v>
      </c>
      <c r="AC198" s="123">
        <v>18.5</v>
      </c>
      <c r="AD198" s="124">
        <v>18.5</v>
      </c>
      <c r="AE198" s="125">
        <v>18.5</v>
      </c>
      <c r="AF198" s="126">
        <v>18.5</v>
      </c>
      <c r="AG198" s="123">
        <v>18.5</v>
      </c>
      <c r="AH198" s="123">
        <v>18.5</v>
      </c>
      <c r="AI198" s="131">
        <v>18.5</v>
      </c>
      <c r="AJ198" s="131">
        <v>18.5</v>
      </c>
      <c r="AK198" s="22">
        <v>18.5</v>
      </c>
      <c r="AL198" s="128">
        <v>19.5</v>
      </c>
      <c r="AM198" s="128">
        <v>19.5</v>
      </c>
      <c r="AN198" s="128">
        <v>19.5</v>
      </c>
      <c r="AO198" s="77">
        <v>19.5</v>
      </c>
      <c r="AP198" s="77">
        <v>19.5</v>
      </c>
      <c r="AQ198" s="129">
        <v>20</v>
      </c>
      <c r="AR198" s="129">
        <v>21</v>
      </c>
      <c r="AS198" s="129">
        <v>22</v>
      </c>
      <c r="AT198" s="116">
        <v>2036</v>
      </c>
      <c r="AU198" s="47">
        <v>1699</v>
      </c>
      <c r="AV198" s="47">
        <v>12333</v>
      </c>
      <c r="AW198" s="46">
        <v>6547</v>
      </c>
      <c r="AX198" s="46">
        <v>3578</v>
      </c>
      <c r="AY198" s="92">
        <v>183</v>
      </c>
      <c r="AZ198" s="47">
        <v>-442</v>
      </c>
      <c r="BA198" s="44">
        <v>539</v>
      </c>
      <c r="BB198" s="23">
        <v>-376</v>
      </c>
      <c r="BC198" s="47">
        <v>-981</v>
      </c>
      <c r="BD198" s="44">
        <v>-981</v>
      </c>
      <c r="BE198" s="47">
        <v>783</v>
      </c>
      <c r="BF198" s="44">
        <v>6547</v>
      </c>
      <c r="BG198" s="46">
        <v>5877</v>
      </c>
      <c r="BH198" s="130">
        <v>280</v>
      </c>
      <c r="BI198" s="46">
        <v>390</v>
      </c>
      <c r="BJ198" s="129">
        <v>20</v>
      </c>
      <c r="BK198" s="44">
        <v>5582</v>
      </c>
      <c r="BL198" s="116">
        <v>2013</v>
      </c>
      <c r="BM198" s="47">
        <v>1624</v>
      </c>
      <c r="BN198" s="130">
        <v>12155</v>
      </c>
      <c r="BO198" s="46">
        <v>6974</v>
      </c>
      <c r="BP198" s="46">
        <v>4068</v>
      </c>
      <c r="BQ198" s="46">
        <v>139</v>
      </c>
      <c r="BR198" s="130">
        <v>534</v>
      </c>
      <c r="BS198" s="44">
        <v>446</v>
      </c>
      <c r="BT198" s="92">
        <v>-182</v>
      </c>
      <c r="BU198" s="117">
        <v>88</v>
      </c>
      <c r="BV198" s="130">
        <v>871</v>
      </c>
      <c r="BW198" s="48">
        <v>6974</v>
      </c>
      <c r="BX198" s="46">
        <v>6206</v>
      </c>
      <c r="BY198" s="130">
        <v>330</v>
      </c>
      <c r="BZ198" s="46">
        <v>438</v>
      </c>
      <c r="CA198" s="129">
        <v>21</v>
      </c>
      <c r="CB198" s="44">
        <v>5778</v>
      </c>
      <c r="CC198" s="116">
        <v>1971</v>
      </c>
      <c r="CD198" s="47">
        <v>1718</v>
      </c>
      <c r="CE198" s="130">
        <v>12175</v>
      </c>
      <c r="CF198" s="46">
        <v>7220</v>
      </c>
      <c r="CG198" s="46">
        <v>3626</v>
      </c>
      <c r="CH198" s="46">
        <v>282</v>
      </c>
      <c r="CI198" s="130">
        <v>406</v>
      </c>
      <c r="CJ198" s="44">
        <v>463</v>
      </c>
      <c r="CK198" s="117">
        <v>303</v>
      </c>
      <c r="CL198" s="117">
        <v>-57</v>
      </c>
      <c r="CM198" s="117">
        <v>772</v>
      </c>
      <c r="CN198" s="48">
        <v>7220</v>
      </c>
      <c r="CO198" s="46">
        <v>6446</v>
      </c>
      <c r="CP198" s="130">
        <v>340</v>
      </c>
      <c r="CQ198" s="46">
        <v>434</v>
      </c>
      <c r="CR198" s="129">
        <v>22</v>
      </c>
      <c r="CS198" s="44">
        <v>5646</v>
      </c>
      <c r="CT198">
        <v>1988</v>
      </c>
      <c r="CU198">
        <v>7314</v>
      </c>
      <c r="CV198">
        <v>3587</v>
      </c>
      <c r="CW198">
        <v>1464</v>
      </c>
      <c r="CX198">
        <v>4554</v>
      </c>
      <c r="CY198">
        <v>6509</v>
      </c>
      <c r="CZ198">
        <v>399</v>
      </c>
      <c r="DA198">
        <v>406</v>
      </c>
      <c r="DB198">
        <v>290</v>
      </c>
      <c r="DC198">
        <v>4322</v>
      </c>
      <c r="DD198">
        <v>2521</v>
      </c>
      <c r="DE198">
        <v>5199</v>
      </c>
      <c r="DF198">
        <v>12100</v>
      </c>
      <c r="DG198">
        <v>2178</v>
      </c>
      <c r="DH198">
        <v>3013</v>
      </c>
      <c r="DI198">
        <v>22</v>
      </c>
      <c r="DJ198" s="174">
        <v>1940</v>
      </c>
      <c r="DK198" s="34">
        <v>7456</v>
      </c>
      <c r="DL198" s="34">
        <v>3432</v>
      </c>
      <c r="DM198">
        <v>1286</v>
      </c>
      <c r="DN198" s="173">
        <v>584</v>
      </c>
      <c r="DO198" s="34">
        <v>6556</v>
      </c>
      <c r="DP198" s="173">
        <v>455</v>
      </c>
      <c r="DQ198" s="34">
        <v>445</v>
      </c>
      <c r="DR198" s="173">
        <v>821</v>
      </c>
      <c r="DS198" s="173">
        <v>321</v>
      </c>
      <c r="DT198">
        <v>701</v>
      </c>
      <c r="DU198">
        <v>5293</v>
      </c>
      <c r="DV198" s="173">
        <v>11446</v>
      </c>
      <c r="DW198" s="173">
        <v>611</v>
      </c>
      <c r="DX198" s="173">
        <v>3624</v>
      </c>
      <c r="DY198" s="57">
        <v>22</v>
      </c>
      <c r="DZ198" s="184">
        <v>340</v>
      </c>
      <c r="EA198" s="116">
        <v>1899</v>
      </c>
      <c r="EB198" s="48">
        <v>6501</v>
      </c>
      <c r="EC198" s="46">
        <v>3373</v>
      </c>
      <c r="ED198" s="90">
        <v>1247</v>
      </c>
      <c r="EE198" s="186">
        <v>132</v>
      </c>
      <c r="EF198" s="46">
        <v>5803</v>
      </c>
      <c r="EG198" s="130">
        <v>291</v>
      </c>
      <c r="EH198" s="46">
        <v>407</v>
      </c>
      <c r="EI198" s="130">
        <v>-843</v>
      </c>
      <c r="EJ198" s="48">
        <v>38</v>
      </c>
      <c r="EK198" s="44">
        <v>340</v>
      </c>
      <c r="EL198" s="44">
        <v>5097</v>
      </c>
      <c r="EM198" s="130">
        <v>12096</v>
      </c>
      <c r="EN198" s="117">
        <v>-1256</v>
      </c>
      <c r="EO198" s="117">
        <v>2368</v>
      </c>
      <c r="EP198" s="129">
        <v>21.5</v>
      </c>
    </row>
    <row r="199" spans="1:146" ht="15" x14ac:dyDescent="0.25">
      <c r="A199" s="27">
        <v>619</v>
      </c>
      <c r="B199" s="27" t="s">
        <v>325</v>
      </c>
      <c r="C199" s="27">
        <v>6</v>
      </c>
      <c r="D199" s="27" t="s">
        <v>114</v>
      </c>
      <c r="E199" s="27">
        <v>2</v>
      </c>
      <c r="F199" s="27" t="s">
        <v>744</v>
      </c>
      <c r="G199" s="29" t="s">
        <v>130</v>
      </c>
      <c r="H199" s="27" t="s">
        <v>98</v>
      </c>
      <c r="I199" s="31" t="s">
        <v>114</v>
      </c>
      <c r="J199" s="118">
        <v>-615.73599877559184</v>
      </c>
      <c r="K199" s="118">
        <v>-431.23384344731426</v>
      </c>
      <c r="L199" s="118">
        <v>-183.49302776950853</v>
      </c>
      <c r="M199" s="118">
        <v>645.84163761220236</v>
      </c>
      <c r="N199" s="22">
        <v>1707</v>
      </c>
      <c r="O199" s="119">
        <v>2943</v>
      </c>
      <c r="P199" s="119">
        <v>3577</v>
      </c>
      <c r="Q199" s="120">
        <v>3802</v>
      </c>
      <c r="R199" s="22">
        <v>3540</v>
      </c>
      <c r="S199" s="22">
        <v>3305</v>
      </c>
      <c r="T199" s="121">
        <v>2962</v>
      </c>
      <c r="U199" s="121">
        <v>2743</v>
      </c>
      <c r="V199" s="121">
        <v>3094</v>
      </c>
      <c r="W199" s="106">
        <v>2784</v>
      </c>
      <c r="X199" s="121">
        <v>2160</v>
      </c>
      <c r="Y199" s="121">
        <v>2226</v>
      </c>
      <c r="Z199" s="121">
        <v>2165</v>
      </c>
      <c r="AA199" s="121">
        <v>2764</v>
      </c>
      <c r="AB199" s="122">
        <v>18</v>
      </c>
      <c r="AC199" s="123">
        <v>19</v>
      </c>
      <c r="AD199" s="124">
        <v>18.5</v>
      </c>
      <c r="AE199" s="125">
        <v>18.5</v>
      </c>
      <c r="AF199" s="126">
        <v>18.5</v>
      </c>
      <c r="AG199" s="123">
        <v>18.5</v>
      </c>
      <c r="AH199" s="123">
        <v>18.5</v>
      </c>
      <c r="AI199" s="127">
        <v>18.5</v>
      </c>
      <c r="AJ199" s="127">
        <v>18.5</v>
      </c>
      <c r="AK199" s="22">
        <v>18.5</v>
      </c>
      <c r="AL199" s="128">
        <v>19</v>
      </c>
      <c r="AM199" s="128">
        <v>19</v>
      </c>
      <c r="AN199" s="128">
        <v>19.5</v>
      </c>
      <c r="AO199" s="77">
        <v>19.5</v>
      </c>
      <c r="AP199" s="77">
        <v>19.75</v>
      </c>
      <c r="AQ199" s="129">
        <v>19.75</v>
      </c>
      <c r="AR199" s="129">
        <v>20.5</v>
      </c>
      <c r="AS199" s="129">
        <v>21.5</v>
      </c>
      <c r="AT199" s="116">
        <v>3173</v>
      </c>
      <c r="AU199" s="47">
        <v>3135</v>
      </c>
      <c r="AV199" s="47">
        <v>21214</v>
      </c>
      <c r="AW199" s="46">
        <v>8126</v>
      </c>
      <c r="AX199" s="46">
        <v>10789</v>
      </c>
      <c r="AY199" s="92">
        <v>9</v>
      </c>
      <c r="AZ199" s="47">
        <v>815</v>
      </c>
      <c r="BA199" s="44">
        <v>768</v>
      </c>
      <c r="BB199" s="23">
        <v>-1620</v>
      </c>
      <c r="BC199" s="47">
        <v>47</v>
      </c>
      <c r="BD199" s="44">
        <v>66</v>
      </c>
      <c r="BE199" s="47">
        <v>2226</v>
      </c>
      <c r="BF199" s="44">
        <v>8126</v>
      </c>
      <c r="BG199" s="46">
        <v>7361</v>
      </c>
      <c r="BH199" s="130">
        <v>362</v>
      </c>
      <c r="BI199" s="46">
        <v>403</v>
      </c>
      <c r="BJ199" s="129">
        <v>19.75</v>
      </c>
      <c r="BK199" s="44">
        <v>2734</v>
      </c>
      <c r="BL199" s="116">
        <v>3117</v>
      </c>
      <c r="BM199" s="47">
        <v>3178</v>
      </c>
      <c r="BN199" s="130">
        <v>22249</v>
      </c>
      <c r="BO199" s="46">
        <v>8632</v>
      </c>
      <c r="BP199" s="46">
        <v>10995</v>
      </c>
      <c r="BQ199" s="46">
        <v>204</v>
      </c>
      <c r="BR199" s="130">
        <v>527</v>
      </c>
      <c r="BS199" s="44">
        <v>805</v>
      </c>
      <c r="BT199" s="92">
        <v>-426</v>
      </c>
      <c r="BU199" s="117">
        <v>-61</v>
      </c>
      <c r="BV199" s="130">
        <v>2165</v>
      </c>
      <c r="BW199" s="48">
        <v>8632</v>
      </c>
      <c r="BX199" s="46">
        <v>7718</v>
      </c>
      <c r="BY199" s="130">
        <v>426</v>
      </c>
      <c r="BZ199" s="46">
        <v>488</v>
      </c>
      <c r="CA199" s="129">
        <v>20.5</v>
      </c>
      <c r="CB199" s="44">
        <v>3228</v>
      </c>
      <c r="CC199" s="116">
        <v>3049</v>
      </c>
      <c r="CD199" s="47">
        <v>2916</v>
      </c>
      <c r="CE199" s="130">
        <v>21438</v>
      </c>
      <c r="CF199" s="46">
        <v>8989</v>
      </c>
      <c r="CG199" s="46">
        <v>10862</v>
      </c>
      <c r="CH199" s="46">
        <v>9</v>
      </c>
      <c r="CI199" s="130">
        <v>1313</v>
      </c>
      <c r="CJ199" s="44">
        <v>771</v>
      </c>
      <c r="CK199" s="117">
        <v>-986</v>
      </c>
      <c r="CL199" s="117">
        <v>598</v>
      </c>
      <c r="CM199" s="117">
        <v>2764</v>
      </c>
      <c r="CN199" s="48">
        <v>8989</v>
      </c>
      <c r="CO199" s="46">
        <v>7872</v>
      </c>
      <c r="CP199" s="130">
        <v>502</v>
      </c>
      <c r="CQ199" s="46">
        <v>615</v>
      </c>
      <c r="CR199" s="129">
        <v>21.5</v>
      </c>
      <c r="CS199" s="44">
        <v>2360</v>
      </c>
      <c r="CT199">
        <v>3003</v>
      </c>
      <c r="CU199">
        <v>8646</v>
      </c>
      <c r="CV199">
        <v>11231</v>
      </c>
      <c r="CW199">
        <v>3186</v>
      </c>
      <c r="CX199">
        <v>4</v>
      </c>
      <c r="CY199">
        <v>7507</v>
      </c>
      <c r="CZ199">
        <v>522</v>
      </c>
      <c r="DA199">
        <v>617</v>
      </c>
      <c r="DB199">
        <v>1152</v>
      </c>
      <c r="DC199">
        <v>-813</v>
      </c>
      <c r="DD199">
        <v>848</v>
      </c>
      <c r="DE199">
        <v>2291</v>
      </c>
      <c r="DF199">
        <v>21903</v>
      </c>
      <c r="DG199">
        <v>362</v>
      </c>
      <c r="DH199">
        <v>3126</v>
      </c>
      <c r="DI199">
        <v>21.5</v>
      </c>
      <c r="DJ199" s="174">
        <v>2949</v>
      </c>
      <c r="DK199" s="34">
        <v>8981</v>
      </c>
      <c r="DL199" s="34">
        <v>10920</v>
      </c>
      <c r="DM199">
        <v>2793</v>
      </c>
      <c r="DN199" s="173">
        <v>0</v>
      </c>
      <c r="DO199" s="34">
        <v>7772</v>
      </c>
      <c r="DP199" s="173">
        <v>603</v>
      </c>
      <c r="DQ199" s="34">
        <v>606</v>
      </c>
      <c r="DR199" s="173">
        <v>1538</v>
      </c>
      <c r="DS199" s="173">
        <v>-366</v>
      </c>
      <c r="DT199">
        <v>1184</v>
      </c>
      <c r="DU199">
        <v>941</v>
      </c>
      <c r="DV199" s="173">
        <v>21156</v>
      </c>
      <c r="DW199" s="173">
        <v>408</v>
      </c>
      <c r="DX199" s="173">
        <v>3534</v>
      </c>
      <c r="DY199" s="57">
        <v>21.5</v>
      </c>
      <c r="DZ199" s="184">
        <v>340</v>
      </c>
      <c r="EA199" s="116">
        <v>2896</v>
      </c>
      <c r="EB199" s="48">
        <v>8877</v>
      </c>
      <c r="EC199" s="46">
        <v>10108</v>
      </c>
      <c r="ED199" s="90">
        <v>2904</v>
      </c>
      <c r="EE199" s="186">
        <v>-5</v>
      </c>
      <c r="EF199" s="46">
        <v>7721</v>
      </c>
      <c r="EG199" s="130">
        <v>482</v>
      </c>
      <c r="EH199" s="46">
        <v>674</v>
      </c>
      <c r="EI199" s="130">
        <v>1027</v>
      </c>
      <c r="EJ199" s="48">
        <v>-2110</v>
      </c>
      <c r="EK199" s="44">
        <v>1044</v>
      </c>
      <c r="EL199" s="44">
        <v>3150</v>
      </c>
      <c r="EM199" s="130">
        <v>20857</v>
      </c>
      <c r="EN199" s="117">
        <v>33</v>
      </c>
      <c r="EO199" s="117">
        <v>3567</v>
      </c>
      <c r="EP199" s="129">
        <v>22</v>
      </c>
    </row>
    <row r="200" spans="1:146" ht="15" x14ac:dyDescent="0.25">
      <c r="A200" s="27">
        <v>620</v>
      </c>
      <c r="B200" s="27" t="s">
        <v>326</v>
      </c>
      <c r="C200" s="27">
        <v>18</v>
      </c>
      <c r="D200" s="27" t="s">
        <v>108</v>
      </c>
      <c r="E200" s="27">
        <v>2</v>
      </c>
      <c r="F200" s="27" t="s">
        <v>744</v>
      </c>
      <c r="G200" s="29" t="s">
        <v>130</v>
      </c>
      <c r="H200" s="27" t="s">
        <v>98</v>
      </c>
      <c r="I200" s="31" t="s">
        <v>108</v>
      </c>
      <c r="J200" s="118">
        <v>871.04527114416567</v>
      </c>
      <c r="K200" s="118">
        <v>184.3339674018161</v>
      </c>
      <c r="L200" s="118">
        <v>-745.24070215095537</v>
      </c>
      <c r="M200" s="118">
        <v>-1444.3979124514567</v>
      </c>
      <c r="N200" s="22">
        <v>-1127</v>
      </c>
      <c r="O200" s="119">
        <v>-1690</v>
      </c>
      <c r="P200" s="119">
        <v>-3267</v>
      </c>
      <c r="Q200" s="120">
        <v>-3584</v>
      </c>
      <c r="R200" s="22">
        <v>-3423</v>
      </c>
      <c r="S200" s="22">
        <v>-2947</v>
      </c>
      <c r="T200" s="121">
        <v>-2484</v>
      </c>
      <c r="U200" s="121">
        <v>-946</v>
      </c>
      <c r="V200" s="121">
        <v>1447</v>
      </c>
      <c r="W200" s="106">
        <v>1422</v>
      </c>
      <c r="X200" s="121">
        <v>1532</v>
      </c>
      <c r="Y200" s="121">
        <v>1524</v>
      </c>
      <c r="Z200" s="121">
        <v>1467</v>
      </c>
      <c r="AA200" s="121">
        <v>1929</v>
      </c>
      <c r="AB200" s="122">
        <v>18</v>
      </c>
      <c r="AC200" s="123">
        <v>18.5</v>
      </c>
      <c r="AD200" s="124">
        <v>18.5</v>
      </c>
      <c r="AE200" s="125">
        <v>19</v>
      </c>
      <c r="AF200" s="126">
        <v>19.75</v>
      </c>
      <c r="AG200" s="123">
        <v>19.75</v>
      </c>
      <c r="AH200" s="123">
        <v>19.75</v>
      </c>
      <c r="AI200" s="127">
        <v>19.75</v>
      </c>
      <c r="AJ200" s="127">
        <v>19.75</v>
      </c>
      <c r="AK200" s="22">
        <v>19.75</v>
      </c>
      <c r="AL200" s="128">
        <v>20.25</v>
      </c>
      <c r="AM200" s="128">
        <v>20.25</v>
      </c>
      <c r="AN200" s="128">
        <v>20.25</v>
      </c>
      <c r="AO200" s="77">
        <v>20</v>
      </c>
      <c r="AP200" s="77">
        <v>20</v>
      </c>
      <c r="AQ200" s="129">
        <v>21</v>
      </c>
      <c r="AR200" s="129">
        <v>21</v>
      </c>
      <c r="AS200" s="129">
        <v>21.5</v>
      </c>
      <c r="AT200" s="116">
        <v>2878</v>
      </c>
      <c r="AU200" s="47">
        <v>3954</v>
      </c>
      <c r="AV200" s="47">
        <v>24635</v>
      </c>
      <c r="AW200" s="46">
        <v>8124</v>
      </c>
      <c r="AX200" s="46">
        <v>13987</v>
      </c>
      <c r="AY200" s="92">
        <v>0</v>
      </c>
      <c r="AZ200" s="47">
        <v>888</v>
      </c>
      <c r="BA200" s="44">
        <v>968</v>
      </c>
      <c r="BB200" s="23">
        <v>-3990</v>
      </c>
      <c r="BC200" s="47">
        <v>-80</v>
      </c>
      <c r="BD200" s="44">
        <v>-8</v>
      </c>
      <c r="BE200" s="47">
        <v>1524</v>
      </c>
      <c r="BF200" s="44">
        <v>8124</v>
      </c>
      <c r="BG200" s="46">
        <v>6514</v>
      </c>
      <c r="BH200" s="130">
        <v>966</v>
      </c>
      <c r="BI200" s="46">
        <v>644</v>
      </c>
      <c r="BJ200" s="129">
        <v>21</v>
      </c>
      <c r="BK200" s="44">
        <v>3331</v>
      </c>
      <c r="BL200" s="116">
        <v>2824</v>
      </c>
      <c r="BM200" s="47">
        <v>4259</v>
      </c>
      <c r="BN200" s="130">
        <v>25579</v>
      </c>
      <c r="BO200" s="46">
        <v>8702</v>
      </c>
      <c r="BP200" s="46">
        <v>14083</v>
      </c>
      <c r="BQ200" s="46">
        <v>0</v>
      </c>
      <c r="BR200" s="130">
        <v>787</v>
      </c>
      <c r="BS200" s="44">
        <v>916</v>
      </c>
      <c r="BT200" s="92">
        <v>-5856</v>
      </c>
      <c r="BU200" s="117">
        <v>-57</v>
      </c>
      <c r="BV200" s="130">
        <v>1467</v>
      </c>
      <c r="BW200" s="48">
        <v>8702</v>
      </c>
      <c r="BX200" s="46">
        <v>6855</v>
      </c>
      <c r="BY200" s="130">
        <v>1134</v>
      </c>
      <c r="BZ200" s="46">
        <v>713</v>
      </c>
      <c r="CA200" s="129">
        <v>21</v>
      </c>
      <c r="CB200" s="44">
        <v>8601</v>
      </c>
      <c r="CC200" s="116">
        <v>2776</v>
      </c>
      <c r="CD200" s="47">
        <v>4560</v>
      </c>
      <c r="CE200" s="130">
        <v>26290</v>
      </c>
      <c r="CF200" s="46">
        <v>9325</v>
      </c>
      <c r="CG200" s="46">
        <v>13855</v>
      </c>
      <c r="CH200" s="46">
        <v>8</v>
      </c>
      <c r="CI200" s="130">
        <v>1387</v>
      </c>
      <c r="CJ200" s="44">
        <v>996</v>
      </c>
      <c r="CK200" s="117">
        <v>-766</v>
      </c>
      <c r="CL200" s="117">
        <v>463</v>
      </c>
      <c r="CM200" s="117">
        <v>1929</v>
      </c>
      <c r="CN200" s="48">
        <v>9325</v>
      </c>
      <c r="CO200" s="46">
        <v>7254</v>
      </c>
      <c r="CP200" s="130">
        <v>1277</v>
      </c>
      <c r="CQ200" s="46">
        <v>794</v>
      </c>
      <c r="CR200" s="129">
        <v>21.5</v>
      </c>
      <c r="CS200" s="44">
        <v>7566</v>
      </c>
      <c r="CT200">
        <v>2735</v>
      </c>
      <c r="CU200">
        <v>8916</v>
      </c>
      <c r="CV200">
        <v>14110</v>
      </c>
      <c r="CW200">
        <v>4559</v>
      </c>
      <c r="CX200">
        <v>3</v>
      </c>
      <c r="CY200">
        <v>6859</v>
      </c>
      <c r="CZ200">
        <v>1244</v>
      </c>
      <c r="DA200">
        <v>813</v>
      </c>
      <c r="DB200">
        <v>1487</v>
      </c>
      <c r="DC200">
        <v>-372</v>
      </c>
      <c r="DD200">
        <v>1150</v>
      </c>
      <c r="DE200">
        <v>6984</v>
      </c>
      <c r="DF200">
        <v>26052</v>
      </c>
      <c r="DG200">
        <v>409</v>
      </c>
      <c r="DH200">
        <v>2338</v>
      </c>
      <c r="DI200">
        <v>21.5</v>
      </c>
      <c r="DJ200" s="174">
        <v>2669</v>
      </c>
      <c r="DK200" s="34">
        <v>8862</v>
      </c>
      <c r="DL200" s="34">
        <v>14220</v>
      </c>
      <c r="DM200">
        <v>3848</v>
      </c>
      <c r="DN200" s="173">
        <v>1340</v>
      </c>
      <c r="DO200" s="34">
        <v>6697</v>
      </c>
      <c r="DP200" s="173">
        <v>1367</v>
      </c>
      <c r="DQ200" s="34">
        <v>798</v>
      </c>
      <c r="DR200" s="173">
        <v>2266</v>
      </c>
      <c r="DS200" s="173">
        <v>-533</v>
      </c>
      <c r="DT200">
        <v>1218</v>
      </c>
      <c r="DU200">
        <v>6402</v>
      </c>
      <c r="DV200" s="173">
        <v>26004</v>
      </c>
      <c r="DW200" s="173">
        <v>102</v>
      </c>
      <c r="DX200" s="173">
        <v>2440</v>
      </c>
      <c r="DY200" s="57">
        <v>21.5</v>
      </c>
      <c r="DZ200" s="184">
        <v>340</v>
      </c>
      <c r="EA200" s="116">
        <v>2597</v>
      </c>
      <c r="EB200" s="48">
        <v>8108</v>
      </c>
      <c r="EC200" s="46">
        <v>13845</v>
      </c>
      <c r="ED200" s="90">
        <v>4695</v>
      </c>
      <c r="EE200" s="186">
        <v>-42</v>
      </c>
      <c r="EF200" s="46">
        <v>6079</v>
      </c>
      <c r="EG200" s="130">
        <v>1233</v>
      </c>
      <c r="EH200" s="46">
        <v>796</v>
      </c>
      <c r="EI200" s="130">
        <v>117</v>
      </c>
      <c r="EJ200" s="48">
        <v>-588</v>
      </c>
      <c r="EK200" s="44">
        <v>1093</v>
      </c>
      <c r="EL200" s="44">
        <v>7013</v>
      </c>
      <c r="EM200" s="130">
        <v>26489</v>
      </c>
      <c r="EN200" s="117">
        <v>-132</v>
      </c>
      <c r="EO200" s="117">
        <v>2161</v>
      </c>
      <c r="EP200" s="129">
        <v>21.5</v>
      </c>
    </row>
    <row r="201" spans="1:146" ht="15" x14ac:dyDescent="0.25">
      <c r="A201" s="27">
        <v>623</v>
      </c>
      <c r="B201" s="27" t="s">
        <v>327</v>
      </c>
      <c r="C201" s="27">
        <v>10</v>
      </c>
      <c r="D201" s="27" t="s">
        <v>107</v>
      </c>
      <c r="E201" s="27">
        <v>2</v>
      </c>
      <c r="F201" s="27" t="s">
        <v>744</v>
      </c>
      <c r="G201" s="29" t="s">
        <v>130</v>
      </c>
      <c r="H201" s="27" t="s">
        <v>98</v>
      </c>
      <c r="I201" s="31" t="s">
        <v>107</v>
      </c>
      <c r="J201" s="118">
        <v>6.7275170584604416</v>
      </c>
      <c r="K201" s="118">
        <v>-493.79975209099638</v>
      </c>
      <c r="L201" s="118">
        <v>-983.22661809399347</v>
      </c>
      <c r="M201" s="118">
        <v>-530.80109591252881</v>
      </c>
      <c r="N201" s="22">
        <v>-1864</v>
      </c>
      <c r="O201" s="119">
        <v>-1806</v>
      </c>
      <c r="P201" s="119">
        <v>-1455</v>
      </c>
      <c r="Q201" s="120">
        <v>-3044</v>
      </c>
      <c r="R201" s="22">
        <v>-2097</v>
      </c>
      <c r="S201" s="22">
        <v>-2096</v>
      </c>
      <c r="T201" s="121">
        <v>-2426</v>
      </c>
      <c r="U201" s="121">
        <v>-2526</v>
      </c>
      <c r="V201" s="121">
        <v>-1490</v>
      </c>
      <c r="W201" s="106">
        <v>-1641</v>
      </c>
      <c r="X201" s="121">
        <v>-1300</v>
      </c>
      <c r="Y201" s="121">
        <v>0</v>
      </c>
      <c r="Z201" s="121">
        <v>1306</v>
      </c>
      <c r="AA201" s="121">
        <v>2714</v>
      </c>
      <c r="AB201" s="122">
        <v>17.5</v>
      </c>
      <c r="AC201" s="123">
        <v>17.5</v>
      </c>
      <c r="AD201" s="124">
        <v>17.5</v>
      </c>
      <c r="AE201" s="125">
        <v>18</v>
      </c>
      <c r="AF201" s="126">
        <v>18</v>
      </c>
      <c r="AG201" s="123">
        <v>18.5</v>
      </c>
      <c r="AH201" s="123">
        <v>18.5</v>
      </c>
      <c r="AI201" s="127">
        <v>18.5</v>
      </c>
      <c r="AJ201" s="127">
        <v>19.5</v>
      </c>
      <c r="AK201" s="22">
        <v>19.5</v>
      </c>
      <c r="AL201" s="128">
        <v>20</v>
      </c>
      <c r="AM201" s="128">
        <v>20</v>
      </c>
      <c r="AN201" s="128">
        <v>21</v>
      </c>
      <c r="AO201" s="77">
        <v>21</v>
      </c>
      <c r="AP201" s="77">
        <v>21</v>
      </c>
      <c r="AQ201" s="129">
        <v>20.5</v>
      </c>
      <c r="AR201" s="129">
        <v>20.5</v>
      </c>
      <c r="AS201" s="129">
        <v>20.5</v>
      </c>
      <c r="AT201" s="116">
        <v>2319</v>
      </c>
      <c r="AU201" s="47">
        <v>2942</v>
      </c>
      <c r="AV201" s="47">
        <v>18596</v>
      </c>
      <c r="AW201" s="46">
        <v>8424</v>
      </c>
      <c r="AX201" s="46">
        <v>9120</v>
      </c>
      <c r="AY201" s="92">
        <v>44</v>
      </c>
      <c r="AZ201" s="47">
        <v>1848</v>
      </c>
      <c r="BA201" s="44">
        <v>548</v>
      </c>
      <c r="BB201" s="23">
        <v>-215</v>
      </c>
      <c r="BC201" s="47">
        <v>1300</v>
      </c>
      <c r="BD201" s="44">
        <v>1300</v>
      </c>
      <c r="BE201" s="47">
        <v>0</v>
      </c>
      <c r="BF201" s="44">
        <v>8424</v>
      </c>
      <c r="BG201" s="46">
        <v>5856</v>
      </c>
      <c r="BH201" s="130">
        <v>1013</v>
      </c>
      <c r="BI201" s="46">
        <v>1555</v>
      </c>
      <c r="BJ201" s="129">
        <v>20.5</v>
      </c>
      <c r="BK201" s="44">
        <v>3385</v>
      </c>
      <c r="BL201" s="116">
        <v>2306</v>
      </c>
      <c r="BM201" s="47">
        <v>2097</v>
      </c>
      <c r="BN201" s="130">
        <v>17304</v>
      </c>
      <c r="BO201" s="46">
        <v>8609</v>
      </c>
      <c r="BP201" s="46">
        <v>8417</v>
      </c>
      <c r="BQ201" s="46">
        <v>33</v>
      </c>
      <c r="BR201" s="130">
        <v>1775</v>
      </c>
      <c r="BS201" s="44">
        <v>469</v>
      </c>
      <c r="BT201" s="92">
        <v>-831</v>
      </c>
      <c r="BU201" s="117">
        <v>1306</v>
      </c>
      <c r="BV201" s="130">
        <v>1306</v>
      </c>
      <c r="BW201" s="48">
        <v>8609</v>
      </c>
      <c r="BX201" s="46">
        <v>5769</v>
      </c>
      <c r="BY201" s="130">
        <v>1145</v>
      </c>
      <c r="BZ201" s="46">
        <v>1695</v>
      </c>
      <c r="CA201" s="129">
        <v>20.5</v>
      </c>
      <c r="CB201" s="44">
        <v>3282</v>
      </c>
      <c r="CC201" s="116">
        <v>2260</v>
      </c>
      <c r="CD201" s="47">
        <v>2503</v>
      </c>
      <c r="CE201" s="130">
        <v>17595</v>
      </c>
      <c r="CF201" s="46">
        <v>9366</v>
      </c>
      <c r="CG201" s="46">
        <v>8094</v>
      </c>
      <c r="CH201" s="46">
        <v>56</v>
      </c>
      <c r="CI201" s="130">
        <v>2329</v>
      </c>
      <c r="CJ201" s="44">
        <v>863</v>
      </c>
      <c r="CK201" s="117">
        <v>-1197</v>
      </c>
      <c r="CL201" s="117">
        <v>1409</v>
      </c>
      <c r="CM201" s="117">
        <v>2714</v>
      </c>
      <c r="CN201" s="48">
        <v>9366</v>
      </c>
      <c r="CO201" s="46">
        <v>6247</v>
      </c>
      <c r="CP201" s="130">
        <v>1400</v>
      </c>
      <c r="CQ201" s="46">
        <v>1719</v>
      </c>
      <c r="CR201" s="129">
        <v>20.5</v>
      </c>
      <c r="CS201" s="44">
        <v>2708</v>
      </c>
      <c r="CT201">
        <v>2234</v>
      </c>
      <c r="CU201">
        <v>8888</v>
      </c>
      <c r="CV201">
        <v>8108</v>
      </c>
      <c r="CW201">
        <v>2767</v>
      </c>
      <c r="CX201">
        <v>51</v>
      </c>
      <c r="CY201">
        <v>5857</v>
      </c>
      <c r="CZ201">
        <v>1301</v>
      </c>
      <c r="DA201">
        <v>1730</v>
      </c>
      <c r="DB201">
        <v>2456</v>
      </c>
      <c r="DC201">
        <v>-629</v>
      </c>
      <c r="DD201">
        <v>842</v>
      </c>
      <c r="DE201">
        <v>2168</v>
      </c>
      <c r="DF201">
        <v>17313</v>
      </c>
      <c r="DG201">
        <v>1614</v>
      </c>
      <c r="DH201">
        <v>4328</v>
      </c>
      <c r="DI201">
        <v>20.5</v>
      </c>
      <c r="DJ201" s="174">
        <v>2208</v>
      </c>
      <c r="DK201" s="34">
        <v>8920</v>
      </c>
      <c r="DL201" s="34">
        <v>8244</v>
      </c>
      <c r="DM201">
        <v>2470</v>
      </c>
      <c r="DN201" s="173">
        <v>90</v>
      </c>
      <c r="DO201" s="34">
        <v>5724</v>
      </c>
      <c r="DP201" s="173">
        <v>1470</v>
      </c>
      <c r="DQ201" s="34">
        <v>1726</v>
      </c>
      <c r="DR201" s="173">
        <v>2338</v>
      </c>
      <c r="DS201" s="173">
        <v>-844</v>
      </c>
      <c r="DT201">
        <v>609</v>
      </c>
      <c r="DU201">
        <v>1628</v>
      </c>
      <c r="DV201" s="173">
        <v>17386</v>
      </c>
      <c r="DW201" s="173">
        <v>1729</v>
      </c>
      <c r="DX201" s="173">
        <v>6057</v>
      </c>
      <c r="DY201" s="57">
        <v>20</v>
      </c>
      <c r="DZ201" s="184">
        <v>330</v>
      </c>
      <c r="EA201" s="116">
        <v>2197</v>
      </c>
      <c r="EB201" s="48">
        <v>9036</v>
      </c>
      <c r="EC201" s="46">
        <v>8256</v>
      </c>
      <c r="ED201" s="90">
        <v>2648</v>
      </c>
      <c r="EE201" s="186">
        <v>-6</v>
      </c>
      <c r="EF201" s="46">
        <v>5888</v>
      </c>
      <c r="EG201" s="130">
        <v>1428</v>
      </c>
      <c r="EH201" s="46">
        <v>1720</v>
      </c>
      <c r="EI201" s="130">
        <v>2334</v>
      </c>
      <c r="EJ201" s="48">
        <v>-613</v>
      </c>
      <c r="EK201" s="44">
        <v>629</v>
      </c>
      <c r="EL201" s="44">
        <v>1088</v>
      </c>
      <c r="EM201" s="130">
        <v>17600</v>
      </c>
      <c r="EN201" s="117">
        <v>1705</v>
      </c>
      <c r="EO201" s="117">
        <v>7763</v>
      </c>
      <c r="EP201" s="129">
        <v>20</v>
      </c>
    </row>
    <row r="202" spans="1:146" ht="15" x14ac:dyDescent="0.25">
      <c r="A202" s="27">
        <v>624</v>
      </c>
      <c r="B202" s="27" t="s">
        <v>328</v>
      </c>
      <c r="C202" s="27">
        <v>8</v>
      </c>
      <c r="D202" s="27" t="s">
        <v>112</v>
      </c>
      <c r="E202" s="27">
        <v>3</v>
      </c>
      <c r="F202" s="27" t="s">
        <v>743</v>
      </c>
      <c r="G202" s="29" t="s">
        <v>130</v>
      </c>
      <c r="H202" s="27" t="s">
        <v>98</v>
      </c>
      <c r="I202" s="31" t="s">
        <v>112</v>
      </c>
      <c r="J202" s="118">
        <v>-1805.8337664172439</v>
      </c>
      <c r="K202" s="118">
        <v>-1424.2153612760753</v>
      </c>
      <c r="L202" s="118">
        <v>-2452.8527195146767</v>
      </c>
      <c r="M202" s="118">
        <v>-1834.2575259892392</v>
      </c>
      <c r="N202" s="177">
        <v>243</v>
      </c>
      <c r="O202" s="119">
        <v>3170</v>
      </c>
      <c r="P202" s="119">
        <v>3035</v>
      </c>
      <c r="Q202" s="120">
        <v>1525</v>
      </c>
      <c r="R202" s="177">
        <v>390</v>
      </c>
      <c r="S202" s="177">
        <v>565</v>
      </c>
      <c r="T202" s="121">
        <v>260</v>
      </c>
      <c r="U202" s="121">
        <v>706</v>
      </c>
      <c r="V202" s="121">
        <v>2262</v>
      </c>
      <c r="W202" s="106">
        <v>2432</v>
      </c>
      <c r="X202" s="121">
        <v>2995</v>
      </c>
      <c r="Y202" s="121">
        <v>3968</v>
      </c>
      <c r="Z202" s="121">
        <v>3604</v>
      </c>
      <c r="AA202" s="121">
        <v>1638</v>
      </c>
      <c r="AB202" s="122">
        <v>17.5</v>
      </c>
      <c r="AC202" s="123">
        <v>18.25</v>
      </c>
      <c r="AD202" s="124">
        <v>18.25</v>
      </c>
      <c r="AE202" s="125">
        <v>18.25</v>
      </c>
      <c r="AF202" s="126">
        <v>18.25</v>
      </c>
      <c r="AG202" s="123">
        <v>18.25</v>
      </c>
      <c r="AH202" s="123">
        <v>18.25</v>
      </c>
      <c r="AI202" s="127">
        <v>18.25</v>
      </c>
      <c r="AJ202" s="127">
        <v>19</v>
      </c>
      <c r="AK202" s="177">
        <v>19</v>
      </c>
      <c r="AL202" s="128">
        <v>19</v>
      </c>
      <c r="AM202" s="128">
        <v>19.5</v>
      </c>
      <c r="AN202" s="128">
        <v>19.75</v>
      </c>
      <c r="AO202" s="77">
        <v>19.75</v>
      </c>
      <c r="AP202" s="77">
        <v>19.75</v>
      </c>
      <c r="AQ202" s="129">
        <v>19.75</v>
      </c>
      <c r="AR202" s="129">
        <v>19.75</v>
      </c>
      <c r="AS202" s="129">
        <v>19.75</v>
      </c>
      <c r="AT202" s="116">
        <v>5384</v>
      </c>
      <c r="AU202" s="47">
        <v>3915</v>
      </c>
      <c r="AV202" s="47">
        <v>30175</v>
      </c>
      <c r="AW202" s="46">
        <v>19591</v>
      </c>
      <c r="AX202" s="46">
        <v>8926</v>
      </c>
      <c r="AY202" s="92">
        <v>9</v>
      </c>
      <c r="AZ202" s="47">
        <v>2177</v>
      </c>
      <c r="BA202" s="44">
        <v>1204</v>
      </c>
      <c r="BB202" s="23">
        <v>-1056</v>
      </c>
      <c r="BC202" s="47">
        <v>973</v>
      </c>
      <c r="BD202" s="44">
        <v>973</v>
      </c>
      <c r="BE202" s="47">
        <v>3968</v>
      </c>
      <c r="BF202" s="44">
        <v>19591</v>
      </c>
      <c r="BG202" s="46">
        <v>17491</v>
      </c>
      <c r="BH202" s="130">
        <v>469</v>
      </c>
      <c r="BI202" s="46">
        <v>1631</v>
      </c>
      <c r="BJ202" s="129">
        <v>19.75</v>
      </c>
      <c r="BK202" s="44">
        <v>11636</v>
      </c>
      <c r="BL202" s="116">
        <v>5354</v>
      </c>
      <c r="BM202" s="47">
        <v>3361</v>
      </c>
      <c r="BN202" s="130">
        <v>30827</v>
      </c>
      <c r="BO202" s="46">
        <v>19855</v>
      </c>
      <c r="BP202" s="46">
        <v>8674</v>
      </c>
      <c r="BQ202" s="46">
        <v>8</v>
      </c>
      <c r="BR202" s="130">
        <v>987</v>
      </c>
      <c r="BS202" s="44">
        <v>1352</v>
      </c>
      <c r="BT202" s="92">
        <v>-1530</v>
      </c>
      <c r="BU202" s="117">
        <v>-365</v>
      </c>
      <c r="BV202" s="130">
        <v>3604</v>
      </c>
      <c r="BW202" s="48">
        <v>19855</v>
      </c>
      <c r="BX202" s="46">
        <v>17481</v>
      </c>
      <c r="BY202" s="130">
        <v>535</v>
      </c>
      <c r="BZ202" s="46">
        <v>1839</v>
      </c>
      <c r="CA202" s="129">
        <v>19.75</v>
      </c>
      <c r="CB202" s="44">
        <v>12460</v>
      </c>
      <c r="CC202" s="116">
        <v>5321</v>
      </c>
      <c r="CD202" s="47">
        <v>3035</v>
      </c>
      <c r="CE202" s="130">
        <v>31235</v>
      </c>
      <c r="CF202" s="46">
        <v>19960</v>
      </c>
      <c r="CG202" s="46">
        <v>8525</v>
      </c>
      <c r="CH202" s="46">
        <v>10</v>
      </c>
      <c r="CI202" s="130">
        <v>240</v>
      </c>
      <c r="CJ202" s="44">
        <v>1327</v>
      </c>
      <c r="CK202" s="117">
        <v>-1287</v>
      </c>
      <c r="CL202" s="117">
        <v>-1087</v>
      </c>
      <c r="CM202" s="117">
        <v>1638</v>
      </c>
      <c r="CN202" s="48">
        <v>19960</v>
      </c>
      <c r="CO202" s="46">
        <v>17440</v>
      </c>
      <c r="CP202" s="130">
        <v>642</v>
      </c>
      <c r="CQ202" s="46">
        <v>1878</v>
      </c>
      <c r="CR202" s="129">
        <v>19.75</v>
      </c>
      <c r="CS202" s="44">
        <v>14287</v>
      </c>
      <c r="CT202">
        <v>5340</v>
      </c>
      <c r="CU202">
        <v>20781</v>
      </c>
      <c r="CV202">
        <v>9380</v>
      </c>
      <c r="CW202">
        <v>3064</v>
      </c>
      <c r="CX202">
        <v>7</v>
      </c>
      <c r="CY202">
        <v>17986</v>
      </c>
      <c r="CZ202">
        <v>659</v>
      </c>
      <c r="DA202">
        <v>2136</v>
      </c>
      <c r="DB202">
        <v>1923</v>
      </c>
      <c r="DC202">
        <v>-630</v>
      </c>
      <c r="DD202">
        <v>1403</v>
      </c>
      <c r="DE202">
        <v>14509</v>
      </c>
      <c r="DF202">
        <v>31304</v>
      </c>
      <c r="DG202">
        <v>520</v>
      </c>
      <c r="DH202">
        <v>2158</v>
      </c>
      <c r="DI202">
        <v>20.25</v>
      </c>
      <c r="DJ202" s="174">
        <v>5264</v>
      </c>
      <c r="DK202" s="34">
        <v>20703</v>
      </c>
      <c r="DL202" s="34">
        <v>9264</v>
      </c>
      <c r="DM202">
        <v>4027</v>
      </c>
      <c r="DN202" s="173">
        <v>7</v>
      </c>
      <c r="DO202" s="34">
        <v>17914</v>
      </c>
      <c r="DP202" s="173">
        <v>784</v>
      </c>
      <c r="DQ202" s="34">
        <v>2005</v>
      </c>
      <c r="DR202" s="173">
        <v>3246</v>
      </c>
      <c r="DS202" s="173">
        <v>-1201</v>
      </c>
      <c r="DT202">
        <v>1405</v>
      </c>
      <c r="DU202">
        <v>13358</v>
      </c>
      <c r="DV202" s="173">
        <v>30755</v>
      </c>
      <c r="DW202" s="173">
        <v>1841</v>
      </c>
      <c r="DX202" s="173">
        <v>3999</v>
      </c>
      <c r="DY202" s="57">
        <v>20.25</v>
      </c>
      <c r="DZ202" s="184">
        <v>340</v>
      </c>
      <c r="EA202" s="116">
        <v>5187</v>
      </c>
      <c r="EB202" s="48">
        <v>20590</v>
      </c>
      <c r="EC202" s="46">
        <v>8886</v>
      </c>
      <c r="ED202" s="90">
        <v>2654</v>
      </c>
      <c r="EE202" s="186">
        <v>18</v>
      </c>
      <c r="EF202" s="46">
        <v>17742</v>
      </c>
      <c r="EG202" s="130">
        <v>788</v>
      </c>
      <c r="EH202" s="46">
        <v>2060</v>
      </c>
      <c r="EI202" s="130">
        <v>358</v>
      </c>
      <c r="EJ202" s="48">
        <v>-1619</v>
      </c>
      <c r="EK202" s="44">
        <v>1454</v>
      </c>
      <c r="EL202" s="44">
        <v>14525</v>
      </c>
      <c r="EM202" s="130">
        <v>31790</v>
      </c>
      <c r="EN202" s="117">
        <v>-1096</v>
      </c>
      <c r="EO202" s="117">
        <v>2903</v>
      </c>
      <c r="EP202" s="129">
        <v>20.25</v>
      </c>
    </row>
    <row r="203" spans="1:146" ht="15" x14ac:dyDescent="0.25">
      <c r="A203" s="27">
        <v>625</v>
      </c>
      <c r="B203" s="27" t="s">
        <v>329</v>
      </c>
      <c r="C203" s="27">
        <v>17</v>
      </c>
      <c r="D203" s="27" t="s">
        <v>117</v>
      </c>
      <c r="E203" s="27">
        <v>2</v>
      </c>
      <c r="F203" s="27" t="s">
        <v>744</v>
      </c>
      <c r="G203" s="29" t="s">
        <v>130</v>
      </c>
      <c r="H203" s="27" t="s">
        <v>98</v>
      </c>
      <c r="I203" s="31" t="s">
        <v>117</v>
      </c>
      <c r="J203" s="118">
        <v>84.262151157217019</v>
      </c>
      <c r="K203" s="118">
        <v>6886.118273113646</v>
      </c>
      <c r="L203" s="118">
        <v>6697.5796075502922</v>
      </c>
      <c r="M203" s="118">
        <v>6841.380284674884</v>
      </c>
      <c r="N203" s="22">
        <v>7131</v>
      </c>
      <c r="O203" s="119">
        <v>6445</v>
      </c>
      <c r="P203" s="119">
        <v>5929</v>
      </c>
      <c r="Q203" s="120">
        <v>5778</v>
      </c>
      <c r="R203" s="22">
        <v>6245</v>
      </c>
      <c r="S203" s="22">
        <v>6596</v>
      </c>
      <c r="T203" s="121">
        <v>6276</v>
      </c>
      <c r="U203" s="121">
        <v>6786</v>
      </c>
      <c r="V203" s="121">
        <v>7473</v>
      </c>
      <c r="W203" s="106">
        <v>7817</v>
      </c>
      <c r="X203" s="121">
        <v>7977</v>
      </c>
      <c r="Y203" s="121">
        <v>8815</v>
      </c>
      <c r="Z203" s="121">
        <v>10318</v>
      </c>
      <c r="AA203" s="121">
        <v>12069</v>
      </c>
      <c r="AB203" s="122">
        <v>18</v>
      </c>
      <c r="AC203" s="123">
        <v>18</v>
      </c>
      <c r="AD203" s="124">
        <v>18</v>
      </c>
      <c r="AE203" s="125">
        <v>18</v>
      </c>
      <c r="AF203" s="126">
        <v>18</v>
      </c>
      <c r="AG203" s="123">
        <v>18</v>
      </c>
      <c r="AH203" s="123">
        <v>18.75</v>
      </c>
      <c r="AI203" s="127">
        <v>19</v>
      </c>
      <c r="AJ203" s="127">
        <v>19</v>
      </c>
      <c r="AK203" s="22">
        <v>19.75</v>
      </c>
      <c r="AL203" s="128">
        <v>19.75</v>
      </c>
      <c r="AM203" s="128">
        <v>19.75</v>
      </c>
      <c r="AN203" s="128">
        <v>19.75</v>
      </c>
      <c r="AO203" s="77">
        <v>19.75</v>
      </c>
      <c r="AP203" s="77">
        <v>19.75</v>
      </c>
      <c r="AQ203" s="129">
        <v>19.75</v>
      </c>
      <c r="AR203" s="129">
        <v>20.25</v>
      </c>
      <c r="AS203" s="129">
        <v>20.25</v>
      </c>
      <c r="AT203" s="116">
        <v>3356</v>
      </c>
      <c r="AU203" s="47">
        <v>2675</v>
      </c>
      <c r="AV203" s="47">
        <v>20492</v>
      </c>
      <c r="AW203" s="46">
        <v>9706</v>
      </c>
      <c r="AX203" s="46">
        <v>8886</v>
      </c>
      <c r="AY203" s="92">
        <v>677</v>
      </c>
      <c r="AZ203" s="47">
        <v>1452</v>
      </c>
      <c r="BA203" s="44">
        <v>615</v>
      </c>
      <c r="BB203" s="23">
        <v>-381</v>
      </c>
      <c r="BC203" s="47">
        <v>837</v>
      </c>
      <c r="BD203" s="44">
        <v>837</v>
      </c>
      <c r="BE203" s="47">
        <v>8815</v>
      </c>
      <c r="BF203" s="44">
        <v>9706</v>
      </c>
      <c r="BG203" s="46">
        <v>8925</v>
      </c>
      <c r="BH203" s="130">
        <v>432</v>
      </c>
      <c r="BI203" s="46">
        <v>349</v>
      </c>
      <c r="BJ203" s="129">
        <v>19.75</v>
      </c>
      <c r="BK203" s="44">
        <v>10348</v>
      </c>
      <c r="BL203" s="116">
        <v>3290</v>
      </c>
      <c r="BM203" s="47">
        <v>4111</v>
      </c>
      <c r="BN203" s="130">
        <v>21203</v>
      </c>
      <c r="BO203" s="46">
        <v>9829</v>
      </c>
      <c r="BP203" s="46">
        <v>8837</v>
      </c>
      <c r="BQ203" s="46">
        <v>593</v>
      </c>
      <c r="BR203" s="130">
        <v>2167</v>
      </c>
      <c r="BS203" s="44">
        <v>664</v>
      </c>
      <c r="BT203" s="92">
        <v>-54</v>
      </c>
      <c r="BU203" s="117">
        <v>1504</v>
      </c>
      <c r="BV203" s="130">
        <v>10318</v>
      </c>
      <c r="BW203" s="48">
        <v>9829</v>
      </c>
      <c r="BX203" s="46">
        <v>8875</v>
      </c>
      <c r="BY203" s="130">
        <v>421</v>
      </c>
      <c r="BZ203" s="46">
        <v>533</v>
      </c>
      <c r="CA203" s="129">
        <v>20.25</v>
      </c>
      <c r="CB203" s="44">
        <v>9846</v>
      </c>
      <c r="CC203" s="116">
        <v>3211</v>
      </c>
      <c r="CD203" s="47">
        <v>4413</v>
      </c>
      <c r="CE203" s="130">
        <v>21762</v>
      </c>
      <c r="CF203" s="46">
        <v>10284</v>
      </c>
      <c r="CG203" s="46">
        <v>9395</v>
      </c>
      <c r="CH203" s="46">
        <v>312</v>
      </c>
      <c r="CI203" s="130">
        <v>2637</v>
      </c>
      <c r="CJ203" s="44">
        <v>887</v>
      </c>
      <c r="CK203" s="117">
        <v>-33</v>
      </c>
      <c r="CL203" s="117">
        <v>1750</v>
      </c>
      <c r="CM203" s="117">
        <v>12069</v>
      </c>
      <c r="CN203" s="48">
        <v>10284</v>
      </c>
      <c r="CO203" s="46">
        <v>9093</v>
      </c>
      <c r="CP203" s="130">
        <v>560</v>
      </c>
      <c r="CQ203" s="46">
        <v>631</v>
      </c>
      <c r="CR203" s="129">
        <v>20.25</v>
      </c>
      <c r="CS203" s="44">
        <v>9345</v>
      </c>
      <c r="CT203">
        <v>3188</v>
      </c>
      <c r="CU203">
        <v>10312</v>
      </c>
      <c r="CV203">
        <v>10182</v>
      </c>
      <c r="CW203">
        <v>2758</v>
      </c>
      <c r="CX203">
        <v>359</v>
      </c>
      <c r="CY203">
        <v>8977</v>
      </c>
      <c r="CZ203">
        <v>521</v>
      </c>
      <c r="DA203">
        <v>814</v>
      </c>
      <c r="DB203">
        <v>1226</v>
      </c>
      <c r="DC203">
        <v>-1716</v>
      </c>
      <c r="DD203">
        <v>740</v>
      </c>
      <c r="DE203">
        <v>9344</v>
      </c>
      <c r="DF203">
        <v>22385</v>
      </c>
      <c r="DG203">
        <v>486</v>
      </c>
      <c r="DH203">
        <v>12554</v>
      </c>
      <c r="DI203">
        <v>20.25</v>
      </c>
      <c r="DJ203" s="174">
        <v>3189</v>
      </c>
      <c r="DK203" s="34">
        <v>10652</v>
      </c>
      <c r="DL203" s="34">
        <v>10431</v>
      </c>
      <c r="DM203">
        <v>2899</v>
      </c>
      <c r="DN203" s="173">
        <v>402</v>
      </c>
      <c r="DO203" s="34">
        <v>9094</v>
      </c>
      <c r="DP203" s="173">
        <v>651</v>
      </c>
      <c r="DQ203" s="34">
        <v>907</v>
      </c>
      <c r="DR203" s="173">
        <v>1822</v>
      </c>
      <c r="DS203" s="173">
        <v>-3237</v>
      </c>
      <c r="DT203">
        <v>864</v>
      </c>
      <c r="DU203">
        <v>10242</v>
      </c>
      <c r="DV203" s="173">
        <v>22562</v>
      </c>
      <c r="DW203" s="173">
        <v>958</v>
      </c>
      <c r="DX203" s="173">
        <v>13512</v>
      </c>
      <c r="DY203" s="57">
        <v>20.25</v>
      </c>
      <c r="DZ203" s="184">
        <v>330</v>
      </c>
      <c r="EA203" s="116">
        <v>3146</v>
      </c>
      <c r="EB203" s="48">
        <v>10945</v>
      </c>
      <c r="EC203" s="46">
        <v>10056</v>
      </c>
      <c r="ED203" s="90">
        <v>2841</v>
      </c>
      <c r="EE203" s="186">
        <v>-80</v>
      </c>
      <c r="EF203" s="46">
        <v>8926</v>
      </c>
      <c r="EG203" s="130">
        <v>589</v>
      </c>
      <c r="EH203" s="46">
        <v>1430</v>
      </c>
      <c r="EI203" s="130">
        <v>678</v>
      </c>
      <c r="EJ203" s="48">
        <v>-2321</v>
      </c>
      <c r="EK203" s="44">
        <v>2683</v>
      </c>
      <c r="EL203" s="44">
        <v>10500</v>
      </c>
      <c r="EM203" s="130">
        <v>23084</v>
      </c>
      <c r="EN203" s="117">
        <v>-2005</v>
      </c>
      <c r="EO203" s="117">
        <v>11508</v>
      </c>
      <c r="EP203" s="129">
        <v>20.25</v>
      </c>
    </row>
    <row r="204" spans="1:146" ht="15" x14ac:dyDescent="0.25">
      <c r="A204" s="27">
        <v>626</v>
      </c>
      <c r="B204" s="27" t="s">
        <v>330</v>
      </c>
      <c r="C204" s="27">
        <v>17</v>
      </c>
      <c r="D204" s="27" t="s">
        <v>117</v>
      </c>
      <c r="E204" s="27">
        <v>3</v>
      </c>
      <c r="F204" s="27" t="s">
        <v>743</v>
      </c>
      <c r="G204" s="29" t="s">
        <v>130</v>
      </c>
      <c r="H204" s="27" t="s">
        <v>98</v>
      </c>
      <c r="I204" s="31" t="s">
        <v>117</v>
      </c>
      <c r="J204" s="118">
        <v>-492.45424867930427</v>
      </c>
      <c r="K204" s="118">
        <v>4797.896978167525</v>
      </c>
      <c r="L204" s="118">
        <v>-1445.5752279366873</v>
      </c>
      <c r="M204" s="118">
        <v>345.28981302548209</v>
      </c>
      <c r="N204" s="22">
        <v>462</v>
      </c>
      <c r="O204" s="119">
        <v>480</v>
      </c>
      <c r="P204" s="119">
        <v>-177</v>
      </c>
      <c r="Q204" s="120">
        <v>-562</v>
      </c>
      <c r="R204" s="22">
        <v>-1712</v>
      </c>
      <c r="S204" s="22">
        <v>-204</v>
      </c>
      <c r="T204" s="121">
        <v>836</v>
      </c>
      <c r="U204" s="121">
        <v>2216</v>
      </c>
      <c r="V204" s="121">
        <v>5369</v>
      </c>
      <c r="W204" s="106">
        <v>5396</v>
      </c>
      <c r="X204" s="121">
        <v>5439</v>
      </c>
      <c r="Y204" s="121">
        <v>6068</v>
      </c>
      <c r="Z204" s="121">
        <v>12313</v>
      </c>
      <c r="AA204" s="121">
        <v>10322</v>
      </c>
      <c r="AB204" s="122">
        <v>18.75</v>
      </c>
      <c r="AC204" s="123">
        <v>18.75</v>
      </c>
      <c r="AD204" s="124">
        <v>18.75</v>
      </c>
      <c r="AE204" s="125">
        <v>18.75</v>
      </c>
      <c r="AF204" s="126">
        <v>19.25</v>
      </c>
      <c r="AG204" s="123">
        <v>19.25</v>
      </c>
      <c r="AH204" s="123">
        <v>19.25</v>
      </c>
      <c r="AI204" s="127">
        <v>19.25</v>
      </c>
      <c r="AJ204" s="127">
        <v>19.25</v>
      </c>
      <c r="AK204" s="22">
        <v>19.75</v>
      </c>
      <c r="AL204" s="128">
        <v>19.75</v>
      </c>
      <c r="AM204" s="128">
        <v>19.75</v>
      </c>
      <c r="AN204" s="128">
        <v>19.75</v>
      </c>
      <c r="AO204" s="77">
        <v>19.75</v>
      </c>
      <c r="AP204" s="77">
        <v>19.75</v>
      </c>
      <c r="AQ204" s="129">
        <v>19.75</v>
      </c>
      <c r="AR204" s="129">
        <v>19.75</v>
      </c>
      <c r="AS204" s="129">
        <v>19.75</v>
      </c>
      <c r="AT204" s="116">
        <v>5731</v>
      </c>
      <c r="AU204" s="47">
        <v>6211</v>
      </c>
      <c r="AV204" s="47">
        <v>43543</v>
      </c>
      <c r="AW204" s="46">
        <v>21487</v>
      </c>
      <c r="AX204" s="46">
        <v>18419</v>
      </c>
      <c r="AY204" s="92">
        <v>324</v>
      </c>
      <c r="AZ204" s="47">
        <v>2898</v>
      </c>
      <c r="BA204" s="44">
        <v>1566</v>
      </c>
      <c r="BB204" s="23">
        <v>-2984</v>
      </c>
      <c r="BC204" s="47">
        <v>1332</v>
      </c>
      <c r="BD204" s="44">
        <v>629</v>
      </c>
      <c r="BE204" s="47">
        <v>6068</v>
      </c>
      <c r="BF204" s="44">
        <v>21487</v>
      </c>
      <c r="BG204" s="46">
        <v>14584</v>
      </c>
      <c r="BH204" s="130">
        <v>6043</v>
      </c>
      <c r="BI204" s="46">
        <v>860</v>
      </c>
      <c r="BJ204" s="129">
        <v>19.75</v>
      </c>
      <c r="BK204" s="44">
        <v>1668</v>
      </c>
      <c r="BL204" s="116">
        <v>5562</v>
      </c>
      <c r="BM204" s="47">
        <v>6263</v>
      </c>
      <c r="BN204" s="130">
        <v>43311</v>
      </c>
      <c r="BO204" s="46">
        <v>21905</v>
      </c>
      <c r="BP204" s="46">
        <v>17604</v>
      </c>
      <c r="BQ204" s="46">
        <v>4713</v>
      </c>
      <c r="BR204" s="130">
        <v>2718</v>
      </c>
      <c r="BS204" s="44">
        <v>1216</v>
      </c>
      <c r="BT204" s="92">
        <v>-2998</v>
      </c>
      <c r="BU204" s="117">
        <v>6245</v>
      </c>
      <c r="BV204" s="130">
        <v>12313</v>
      </c>
      <c r="BW204" s="48">
        <v>21905</v>
      </c>
      <c r="BX204" s="46">
        <v>14370</v>
      </c>
      <c r="BY204" s="130">
        <v>6570</v>
      </c>
      <c r="BZ204" s="46">
        <v>965</v>
      </c>
      <c r="CA204" s="129">
        <v>19.75</v>
      </c>
      <c r="CB204" s="44">
        <v>1199</v>
      </c>
      <c r="CC204" s="116">
        <v>5505</v>
      </c>
      <c r="CD204" s="47">
        <v>3567</v>
      </c>
      <c r="CE204" s="130">
        <v>42239</v>
      </c>
      <c r="CF204" s="46">
        <v>21916</v>
      </c>
      <c r="CG204" s="46">
        <v>15260</v>
      </c>
      <c r="CH204" s="46">
        <v>542</v>
      </c>
      <c r="CI204" s="130">
        <v>-1035</v>
      </c>
      <c r="CJ204" s="44">
        <v>1195</v>
      </c>
      <c r="CK204" s="117">
        <v>-6888</v>
      </c>
      <c r="CL204" s="117">
        <v>-1845</v>
      </c>
      <c r="CM204" s="117">
        <v>10322</v>
      </c>
      <c r="CN204" s="48">
        <v>21916</v>
      </c>
      <c r="CO204" s="46">
        <v>14434</v>
      </c>
      <c r="CP204" s="130">
        <v>6371</v>
      </c>
      <c r="CQ204" s="46">
        <v>1111</v>
      </c>
      <c r="CR204" s="129">
        <v>19.75</v>
      </c>
      <c r="CS204" s="44">
        <v>10385</v>
      </c>
      <c r="CT204">
        <v>5446</v>
      </c>
      <c r="CU204">
        <v>21030</v>
      </c>
      <c r="CV204">
        <v>15219</v>
      </c>
      <c r="CW204">
        <v>3302</v>
      </c>
      <c r="CX204">
        <v>527</v>
      </c>
      <c r="CY204">
        <v>14613</v>
      </c>
      <c r="CZ204">
        <v>5390</v>
      </c>
      <c r="DA204">
        <v>1027</v>
      </c>
      <c r="DB204">
        <v>-2785</v>
      </c>
      <c r="DC204">
        <v>-5347</v>
      </c>
      <c r="DD204">
        <v>1821</v>
      </c>
      <c r="DE204">
        <v>17914</v>
      </c>
      <c r="DF204">
        <v>42786</v>
      </c>
      <c r="DG204">
        <v>-3760</v>
      </c>
      <c r="DH204">
        <v>6562</v>
      </c>
      <c r="DI204">
        <v>19.75</v>
      </c>
      <c r="DJ204" s="174">
        <v>5337</v>
      </c>
      <c r="DK204" s="34">
        <v>21605</v>
      </c>
      <c r="DL204" s="34">
        <v>15761</v>
      </c>
      <c r="DM204">
        <v>4318</v>
      </c>
      <c r="DN204" s="173">
        <v>553</v>
      </c>
      <c r="DO204" s="34">
        <v>14172</v>
      </c>
      <c r="DP204" s="173">
        <v>6239</v>
      </c>
      <c r="DQ204" s="34">
        <v>1194</v>
      </c>
      <c r="DR204" s="173">
        <v>2</v>
      </c>
      <c r="DS204" s="173">
        <v>-3432</v>
      </c>
      <c r="DT204">
        <v>1537</v>
      </c>
      <c r="DU204">
        <v>22631</v>
      </c>
      <c r="DV204" s="173">
        <v>42214</v>
      </c>
      <c r="DW204" s="173">
        <v>-1163</v>
      </c>
      <c r="DX204" s="173">
        <v>5398</v>
      </c>
      <c r="DY204" s="57">
        <v>20.75</v>
      </c>
      <c r="DZ204" s="184">
        <v>340</v>
      </c>
      <c r="EA204" s="116">
        <v>5248</v>
      </c>
      <c r="EB204" s="48">
        <v>20458</v>
      </c>
      <c r="EC204" s="46">
        <v>16169</v>
      </c>
      <c r="ED204" s="90">
        <v>5066</v>
      </c>
      <c r="EE204" s="186">
        <v>413</v>
      </c>
      <c r="EF204" s="46">
        <v>14331</v>
      </c>
      <c r="EG204" s="130">
        <v>4908</v>
      </c>
      <c r="EH204" s="46">
        <v>1219</v>
      </c>
      <c r="EI204" s="130">
        <v>-523</v>
      </c>
      <c r="EJ204" s="48">
        <v>558</v>
      </c>
      <c r="EK204" s="44">
        <v>1814</v>
      </c>
      <c r="EL204" s="44">
        <v>25086</v>
      </c>
      <c r="EM204" s="130">
        <v>42629</v>
      </c>
      <c r="EN204" s="117">
        <v>-1419</v>
      </c>
      <c r="EO204" s="117">
        <v>3976</v>
      </c>
      <c r="EP204" s="129">
        <v>20.75</v>
      </c>
    </row>
    <row r="205" spans="1:146" ht="15" x14ac:dyDescent="0.25">
      <c r="A205" s="32">
        <v>630</v>
      </c>
      <c r="B205" s="32" t="s">
        <v>331</v>
      </c>
      <c r="C205" s="32">
        <v>17</v>
      </c>
      <c r="D205" s="32" t="s">
        <v>117</v>
      </c>
      <c r="E205" s="32">
        <v>1</v>
      </c>
      <c r="F205" s="32" t="s">
        <v>103</v>
      </c>
      <c r="G205" s="43" t="s">
        <v>130</v>
      </c>
      <c r="H205" s="32" t="s">
        <v>98</v>
      </c>
      <c r="I205" s="33" t="s">
        <v>117</v>
      </c>
      <c r="J205" s="118">
        <v>156.07839575628225</v>
      </c>
      <c r="K205" s="118">
        <v>-325.61182562948534</v>
      </c>
      <c r="L205" s="118">
        <v>-415.59236628639377</v>
      </c>
      <c r="M205" s="118">
        <v>-830.34379294047994</v>
      </c>
      <c r="N205" s="22">
        <v>-374</v>
      </c>
      <c r="O205" s="119">
        <v>-940</v>
      </c>
      <c r="P205" s="119">
        <v>-813</v>
      </c>
      <c r="Q205" s="120">
        <v>-955</v>
      </c>
      <c r="R205" s="22">
        <v>-38</v>
      </c>
      <c r="S205" s="22">
        <v>136</v>
      </c>
      <c r="T205" s="121">
        <v>402</v>
      </c>
      <c r="U205" s="121">
        <v>1070</v>
      </c>
      <c r="V205" s="121">
        <v>1610</v>
      </c>
      <c r="W205" s="106">
        <v>1884</v>
      </c>
      <c r="X205" s="121">
        <v>2057</v>
      </c>
      <c r="Y205" s="121">
        <v>2532</v>
      </c>
      <c r="Z205" s="121">
        <v>3004</v>
      </c>
      <c r="AA205" s="121">
        <v>3233</v>
      </c>
      <c r="AB205" s="122">
        <v>18</v>
      </c>
      <c r="AC205" s="123">
        <v>18</v>
      </c>
      <c r="AD205" s="124">
        <v>18.75</v>
      </c>
      <c r="AE205" s="125">
        <v>18.75</v>
      </c>
      <c r="AF205" s="126">
        <v>18.75</v>
      </c>
      <c r="AG205" s="123">
        <v>18.75</v>
      </c>
      <c r="AH205" s="123">
        <v>19</v>
      </c>
      <c r="AI205" s="131">
        <v>19</v>
      </c>
      <c r="AJ205" s="131">
        <v>19</v>
      </c>
      <c r="AK205" s="22">
        <v>19.75</v>
      </c>
      <c r="AL205" s="128">
        <v>19.75</v>
      </c>
      <c r="AM205" s="128">
        <v>19.75</v>
      </c>
      <c r="AN205" s="128">
        <v>19.75</v>
      </c>
      <c r="AO205" s="77">
        <v>19.75</v>
      </c>
      <c r="AP205" s="77">
        <v>19.75</v>
      </c>
      <c r="AQ205" s="129">
        <v>19.75</v>
      </c>
      <c r="AR205" s="129">
        <v>19.75</v>
      </c>
      <c r="AS205" s="129">
        <v>19.75</v>
      </c>
      <c r="AT205" s="116">
        <v>1545</v>
      </c>
      <c r="AU205" s="47">
        <v>1785</v>
      </c>
      <c r="AV205" s="47">
        <v>11318</v>
      </c>
      <c r="AW205" s="46">
        <v>4221</v>
      </c>
      <c r="AX205" s="46">
        <v>6280</v>
      </c>
      <c r="AY205" s="92">
        <v>1</v>
      </c>
      <c r="AZ205" s="47">
        <v>922</v>
      </c>
      <c r="BA205" s="44">
        <v>528</v>
      </c>
      <c r="BB205" s="23">
        <v>-1231</v>
      </c>
      <c r="BC205" s="47">
        <v>394</v>
      </c>
      <c r="BD205" s="44">
        <v>475</v>
      </c>
      <c r="BE205" s="47">
        <v>2532</v>
      </c>
      <c r="BF205" s="44">
        <v>4221</v>
      </c>
      <c r="BG205" s="46">
        <v>3579</v>
      </c>
      <c r="BH205" s="130">
        <v>366</v>
      </c>
      <c r="BI205" s="46">
        <v>276</v>
      </c>
      <c r="BJ205" s="129">
        <v>19.75</v>
      </c>
      <c r="BK205" s="44">
        <v>5800</v>
      </c>
      <c r="BL205" s="116">
        <v>1562</v>
      </c>
      <c r="BM205" s="47">
        <v>2064</v>
      </c>
      <c r="BN205" s="130">
        <v>10890</v>
      </c>
      <c r="BO205" s="46">
        <v>4384</v>
      </c>
      <c r="BP205" s="46">
        <v>5966</v>
      </c>
      <c r="BQ205" s="46">
        <v>1</v>
      </c>
      <c r="BR205" s="130">
        <v>1490</v>
      </c>
      <c r="BS205" s="44">
        <v>728</v>
      </c>
      <c r="BT205" s="92">
        <v>-634</v>
      </c>
      <c r="BU205" s="117">
        <v>472</v>
      </c>
      <c r="BV205" s="130">
        <v>3004</v>
      </c>
      <c r="BW205" s="48">
        <v>4384</v>
      </c>
      <c r="BX205" s="46">
        <v>3663</v>
      </c>
      <c r="BY205" s="130">
        <v>417</v>
      </c>
      <c r="BZ205" s="46">
        <v>304</v>
      </c>
      <c r="CA205" s="129">
        <v>19.75</v>
      </c>
      <c r="CB205" s="44">
        <v>4959</v>
      </c>
      <c r="CC205" s="116">
        <v>1587</v>
      </c>
      <c r="CD205" s="47">
        <v>2036</v>
      </c>
      <c r="CE205" s="130">
        <v>11321</v>
      </c>
      <c r="CF205" s="46">
        <v>4846</v>
      </c>
      <c r="CG205" s="46">
        <v>5608</v>
      </c>
      <c r="CH205" s="46">
        <v>1</v>
      </c>
      <c r="CI205" s="130">
        <v>1153</v>
      </c>
      <c r="CJ205" s="44">
        <v>963</v>
      </c>
      <c r="CK205" s="117">
        <v>-381</v>
      </c>
      <c r="CL205" s="117">
        <v>228</v>
      </c>
      <c r="CM205" s="117">
        <v>3233</v>
      </c>
      <c r="CN205" s="48">
        <v>4846</v>
      </c>
      <c r="CO205" s="46">
        <v>3984</v>
      </c>
      <c r="CP205" s="130">
        <v>496</v>
      </c>
      <c r="CQ205" s="46">
        <v>366</v>
      </c>
      <c r="CR205" s="129">
        <v>19.75</v>
      </c>
      <c r="CS205" s="44">
        <v>3893</v>
      </c>
      <c r="CT205">
        <v>1579</v>
      </c>
      <c r="CU205">
        <v>4528</v>
      </c>
      <c r="CV205">
        <v>5610</v>
      </c>
      <c r="CW205">
        <v>2130</v>
      </c>
      <c r="CX205">
        <v>5</v>
      </c>
      <c r="CY205">
        <v>3677</v>
      </c>
      <c r="CZ205">
        <v>478</v>
      </c>
      <c r="DA205">
        <v>373</v>
      </c>
      <c r="DB205">
        <v>679</v>
      </c>
      <c r="DC205">
        <v>-590</v>
      </c>
      <c r="DD205">
        <v>500</v>
      </c>
      <c r="DE205">
        <v>4297</v>
      </c>
      <c r="DF205">
        <v>11581</v>
      </c>
      <c r="DG205">
        <v>217</v>
      </c>
      <c r="DH205">
        <v>3450</v>
      </c>
      <c r="DI205">
        <v>19.75</v>
      </c>
      <c r="DJ205" s="174">
        <v>1579</v>
      </c>
      <c r="DK205" s="34">
        <v>4793</v>
      </c>
      <c r="DL205" s="34">
        <v>5704</v>
      </c>
      <c r="DM205">
        <v>2105</v>
      </c>
      <c r="DN205" s="173">
        <v>-9</v>
      </c>
      <c r="DO205" s="34">
        <v>3769</v>
      </c>
      <c r="DP205" s="173">
        <v>591</v>
      </c>
      <c r="DQ205" s="34">
        <v>433</v>
      </c>
      <c r="DR205" s="173">
        <v>1308</v>
      </c>
      <c r="DS205" s="173">
        <v>-908</v>
      </c>
      <c r="DT205">
        <v>647</v>
      </c>
      <c r="DU205">
        <v>3099</v>
      </c>
      <c r="DV205" s="173">
        <v>11285</v>
      </c>
      <c r="DW205" s="173">
        <v>295</v>
      </c>
      <c r="DX205" s="173">
        <v>3745</v>
      </c>
      <c r="DY205" s="57">
        <v>19.75</v>
      </c>
      <c r="DZ205" s="184">
        <v>330</v>
      </c>
      <c r="EA205" s="116">
        <v>1557</v>
      </c>
      <c r="EB205" s="48">
        <v>4665</v>
      </c>
      <c r="EC205" s="46">
        <v>5617</v>
      </c>
      <c r="ED205" s="90">
        <v>2226</v>
      </c>
      <c r="EE205" s="186">
        <v>7</v>
      </c>
      <c r="EF205" s="46">
        <v>3562</v>
      </c>
      <c r="EG205" s="130">
        <v>622</v>
      </c>
      <c r="EH205" s="46">
        <v>481</v>
      </c>
      <c r="EI205" s="130">
        <v>856</v>
      </c>
      <c r="EJ205" s="48">
        <v>-1405</v>
      </c>
      <c r="EK205" s="44">
        <v>463</v>
      </c>
      <c r="EL205" s="44">
        <v>3303</v>
      </c>
      <c r="EM205" s="130">
        <v>11659</v>
      </c>
      <c r="EN205" s="117">
        <v>265</v>
      </c>
      <c r="EO205" s="117">
        <v>4009</v>
      </c>
      <c r="EP205" s="129">
        <v>19.75</v>
      </c>
    </row>
    <row r="206" spans="1:146" ht="15" x14ac:dyDescent="0.25">
      <c r="A206" s="27">
        <v>631</v>
      </c>
      <c r="B206" s="27" t="s">
        <v>332</v>
      </c>
      <c r="C206" s="27">
        <v>2</v>
      </c>
      <c r="D206" s="27" t="s">
        <v>122</v>
      </c>
      <c r="E206" s="27">
        <v>2</v>
      </c>
      <c r="F206" s="27" t="s">
        <v>744</v>
      </c>
      <c r="G206" s="29" t="s">
        <v>130</v>
      </c>
      <c r="H206" s="27" t="s">
        <v>98</v>
      </c>
      <c r="I206" s="31" t="s">
        <v>122</v>
      </c>
      <c r="J206" s="118">
        <v>58.36121048214433</v>
      </c>
      <c r="K206" s="118">
        <v>6.55932913199893</v>
      </c>
      <c r="L206" s="118">
        <v>-753.48191054756944</v>
      </c>
      <c r="M206" s="118">
        <v>-883.995741481702</v>
      </c>
      <c r="N206" s="22">
        <v>-400</v>
      </c>
      <c r="O206" s="119">
        <v>-608</v>
      </c>
      <c r="P206" s="119">
        <v>-702</v>
      </c>
      <c r="Q206" s="120">
        <v>-1048</v>
      </c>
      <c r="R206" s="22">
        <v>-1156</v>
      </c>
      <c r="S206" s="22">
        <v>-669</v>
      </c>
      <c r="T206" s="121">
        <v>29</v>
      </c>
      <c r="U206" s="121">
        <v>292</v>
      </c>
      <c r="V206" s="121">
        <v>724</v>
      </c>
      <c r="W206" s="106">
        <v>1003</v>
      </c>
      <c r="X206" s="121">
        <v>1140</v>
      </c>
      <c r="Y206" s="121">
        <v>845</v>
      </c>
      <c r="Z206" s="121">
        <v>664</v>
      </c>
      <c r="AA206" s="121">
        <v>722</v>
      </c>
      <c r="AB206" s="122">
        <v>17</v>
      </c>
      <c r="AC206" s="123">
        <v>17</v>
      </c>
      <c r="AD206" s="124">
        <v>17.5</v>
      </c>
      <c r="AE206" s="125">
        <v>17.5</v>
      </c>
      <c r="AF206" s="126">
        <v>18.5</v>
      </c>
      <c r="AG206" s="123">
        <v>18.5</v>
      </c>
      <c r="AH206" s="123">
        <v>18.5</v>
      </c>
      <c r="AI206" s="127">
        <v>19</v>
      </c>
      <c r="AJ206" s="127">
        <v>19</v>
      </c>
      <c r="AK206" s="22">
        <v>19.5</v>
      </c>
      <c r="AL206" s="128">
        <v>19.5</v>
      </c>
      <c r="AM206" s="128">
        <v>19.5</v>
      </c>
      <c r="AN206" s="128">
        <v>19.5</v>
      </c>
      <c r="AO206" s="77">
        <v>19.5</v>
      </c>
      <c r="AP206" s="77">
        <v>19.5</v>
      </c>
      <c r="AQ206" s="129">
        <v>19.5</v>
      </c>
      <c r="AR206" s="129">
        <v>20.5</v>
      </c>
      <c r="AS206" s="129">
        <v>21</v>
      </c>
      <c r="AT206" s="116">
        <v>2177</v>
      </c>
      <c r="AU206" s="47">
        <v>1095</v>
      </c>
      <c r="AV206" s="47">
        <v>11560</v>
      </c>
      <c r="AW206" s="46">
        <v>7491</v>
      </c>
      <c r="AX206" s="46">
        <v>2976</v>
      </c>
      <c r="AY206" s="92">
        <v>26</v>
      </c>
      <c r="AZ206" s="47">
        <v>28</v>
      </c>
      <c r="BA206" s="44">
        <v>323</v>
      </c>
      <c r="BB206" s="23">
        <v>-622</v>
      </c>
      <c r="BC206" s="47">
        <v>-295</v>
      </c>
      <c r="BD206" s="44">
        <v>-295</v>
      </c>
      <c r="BE206" s="47">
        <v>845</v>
      </c>
      <c r="BF206" s="44">
        <v>7491</v>
      </c>
      <c r="BG206" s="46">
        <v>6936</v>
      </c>
      <c r="BH206" s="130">
        <v>181</v>
      </c>
      <c r="BI206" s="46">
        <v>374</v>
      </c>
      <c r="BJ206" s="129">
        <v>19.5</v>
      </c>
      <c r="BK206" s="44">
        <v>276</v>
      </c>
      <c r="BL206" s="116">
        <v>2136</v>
      </c>
      <c r="BM206" s="47">
        <v>1152</v>
      </c>
      <c r="BN206" s="130">
        <v>11562</v>
      </c>
      <c r="BO206" s="46">
        <v>7528</v>
      </c>
      <c r="BP206" s="46">
        <v>3054</v>
      </c>
      <c r="BQ206" s="46">
        <v>15</v>
      </c>
      <c r="BR206" s="130">
        <v>187</v>
      </c>
      <c r="BS206" s="44">
        <v>368</v>
      </c>
      <c r="BT206" s="92">
        <v>-1833</v>
      </c>
      <c r="BU206" s="117">
        <v>-181</v>
      </c>
      <c r="BV206" s="130">
        <v>664</v>
      </c>
      <c r="BW206" s="48">
        <v>7528</v>
      </c>
      <c r="BX206" s="46">
        <v>6888</v>
      </c>
      <c r="BY206" s="130">
        <v>203</v>
      </c>
      <c r="BZ206" s="46">
        <v>437</v>
      </c>
      <c r="CA206" s="129">
        <v>20.5</v>
      </c>
      <c r="CB206" s="44">
        <v>1220</v>
      </c>
      <c r="CC206" s="116">
        <v>2136</v>
      </c>
      <c r="CD206" s="47">
        <v>1056</v>
      </c>
      <c r="CE206" s="130">
        <v>11954</v>
      </c>
      <c r="CF206" s="46">
        <v>7969</v>
      </c>
      <c r="CG206" s="46">
        <v>3402</v>
      </c>
      <c r="CH206" s="46">
        <v>7</v>
      </c>
      <c r="CI206" s="130">
        <v>468</v>
      </c>
      <c r="CJ206" s="44">
        <v>410</v>
      </c>
      <c r="CK206" s="117">
        <v>-1670</v>
      </c>
      <c r="CL206" s="117">
        <v>58</v>
      </c>
      <c r="CM206" s="117">
        <v>722</v>
      </c>
      <c r="CN206" s="48">
        <v>7969</v>
      </c>
      <c r="CO206" s="46">
        <v>7212</v>
      </c>
      <c r="CP206" s="130">
        <v>244</v>
      </c>
      <c r="CQ206" s="46">
        <v>513</v>
      </c>
      <c r="CR206" s="129">
        <v>21</v>
      </c>
      <c r="CS206" s="44">
        <v>2490</v>
      </c>
      <c r="CT206">
        <v>2075</v>
      </c>
      <c r="CU206">
        <v>7774</v>
      </c>
      <c r="CV206">
        <v>3537</v>
      </c>
      <c r="CW206">
        <v>1177</v>
      </c>
      <c r="CX206">
        <v>3</v>
      </c>
      <c r="CY206">
        <v>6992</v>
      </c>
      <c r="CZ206">
        <v>266</v>
      </c>
      <c r="DA206">
        <v>516</v>
      </c>
      <c r="DB206">
        <v>-273</v>
      </c>
      <c r="DC206">
        <v>-389</v>
      </c>
      <c r="DD206">
        <v>496</v>
      </c>
      <c r="DE206">
        <v>3185</v>
      </c>
      <c r="DF206">
        <v>12752</v>
      </c>
      <c r="DG206">
        <v>-834</v>
      </c>
      <c r="DH206">
        <v>-112</v>
      </c>
      <c r="DI206">
        <v>21</v>
      </c>
      <c r="DJ206" s="174">
        <v>2077</v>
      </c>
      <c r="DK206" s="34">
        <v>8125</v>
      </c>
      <c r="DL206" s="34">
        <v>3726</v>
      </c>
      <c r="DM206">
        <v>1372</v>
      </c>
      <c r="DN206" s="173">
        <v>-3</v>
      </c>
      <c r="DO206" s="34">
        <v>6960</v>
      </c>
      <c r="DP206" s="173">
        <v>312</v>
      </c>
      <c r="DQ206" s="34">
        <v>853</v>
      </c>
      <c r="DR206" s="173">
        <v>985</v>
      </c>
      <c r="DS206" s="173">
        <v>-212</v>
      </c>
      <c r="DT206">
        <v>553</v>
      </c>
      <c r="DU206">
        <v>2955</v>
      </c>
      <c r="DV206" s="173">
        <v>12229</v>
      </c>
      <c r="DW206" s="173">
        <v>445</v>
      </c>
      <c r="DX206" s="173">
        <v>333</v>
      </c>
      <c r="DY206" s="57">
        <v>21.75</v>
      </c>
      <c r="DZ206" s="184">
        <v>340</v>
      </c>
      <c r="EA206" s="116">
        <v>2028</v>
      </c>
      <c r="EB206" s="48">
        <v>8372</v>
      </c>
      <c r="EC206" s="46">
        <v>3632</v>
      </c>
      <c r="ED206" s="90">
        <v>1194</v>
      </c>
      <c r="EE206" s="186">
        <v>-8</v>
      </c>
      <c r="EF206" s="46">
        <v>7202</v>
      </c>
      <c r="EG206" s="130">
        <v>308</v>
      </c>
      <c r="EH206" s="46">
        <v>862</v>
      </c>
      <c r="EI206" s="130">
        <v>1232</v>
      </c>
      <c r="EJ206" s="48">
        <v>-498</v>
      </c>
      <c r="EK206" s="44">
        <v>619</v>
      </c>
      <c r="EL206" s="44">
        <v>2575</v>
      </c>
      <c r="EM206" s="130">
        <v>11958</v>
      </c>
      <c r="EN206" s="117">
        <v>636</v>
      </c>
      <c r="EO206" s="117">
        <v>991</v>
      </c>
      <c r="EP206" s="129">
        <v>21.75</v>
      </c>
    </row>
    <row r="207" spans="1:146" ht="15" x14ac:dyDescent="0.25">
      <c r="A207" s="27">
        <v>635</v>
      </c>
      <c r="B207" s="27" t="s">
        <v>333</v>
      </c>
      <c r="C207" s="27">
        <v>6</v>
      </c>
      <c r="D207" s="27" t="s">
        <v>114</v>
      </c>
      <c r="E207" s="27">
        <v>3</v>
      </c>
      <c r="F207" s="27" t="s">
        <v>743</v>
      </c>
      <c r="G207" s="29" t="s">
        <v>130</v>
      </c>
      <c r="H207" s="27" t="s">
        <v>98</v>
      </c>
      <c r="I207" s="31" t="s">
        <v>114</v>
      </c>
      <c r="J207" s="118">
        <v>12.445906558151815</v>
      </c>
      <c r="K207" s="118">
        <v>184.3339674018161</v>
      </c>
      <c r="L207" s="118">
        <v>-63.743224128912679</v>
      </c>
      <c r="M207" s="118">
        <v>542.40606283837315</v>
      </c>
      <c r="N207" s="22">
        <v>1421</v>
      </c>
      <c r="O207" s="119">
        <v>1670</v>
      </c>
      <c r="P207" s="119">
        <v>1875</v>
      </c>
      <c r="Q207" s="120">
        <v>2411</v>
      </c>
      <c r="R207" s="22">
        <v>2168</v>
      </c>
      <c r="S207" s="22">
        <v>2607</v>
      </c>
      <c r="T207" s="121">
        <v>2953</v>
      </c>
      <c r="U207" s="121">
        <v>6064</v>
      </c>
      <c r="V207" s="121">
        <v>8270</v>
      </c>
      <c r="W207" s="106">
        <v>8626</v>
      </c>
      <c r="X207" s="121">
        <v>9167</v>
      </c>
      <c r="Y207" s="121">
        <v>9833</v>
      </c>
      <c r="Z207" s="121">
        <v>10159</v>
      </c>
      <c r="AA207" s="121">
        <v>10441</v>
      </c>
      <c r="AB207" s="122">
        <v>16.25</v>
      </c>
      <c r="AC207" s="123">
        <v>16.75</v>
      </c>
      <c r="AD207" s="124">
        <v>16.75</v>
      </c>
      <c r="AE207" s="125">
        <v>17.5</v>
      </c>
      <c r="AF207" s="126">
        <v>17.5</v>
      </c>
      <c r="AG207" s="123">
        <v>17.5</v>
      </c>
      <c r="AH207" s="123">
        <v>17.5</v>
      </c>
      <c r="AI207" s="127">
        <v>17.5</v>
      </c>
      <c r="AJ207" s="127">
        <v>18.5</v>
      </c>
      <c r="AK207" s="22">
        <v>18.5</v>
      </c>
      <c r="AL207" s="128">
        <v>19</v>
      </c>
      <c r="AM207" s="128">
        <v>19</v>
      </c>
      <c r="AN207" s="128">
        <v>19.5</v>
      </c>
      <c r="AO207" s="77">
        <v>20</v>
      </c>
      <c r="AP207" s="77">
        <v>20</v>
      </c>
      <c r="AQ207" s="129">
        <v>20</v>
      </c>
      <c r="AR207" s="129">
        <v>20.5</v>
      </c>
      <c r="AS207" s="129">
        <v>21</v>
      </c>
      <c r="AT207" s="116">
        <v>6795</v>
      </c>
      <c r="AU207" s="47">
        <v>5414</v>
      </c>
      <c r="AV207" s="47">
        <v>41571</v>
      </c>
      <c r="AW207" s="46">
        <v>21030</v>
      </c>
      <c r="AX207" s="46">
        <v>16540</v>
      </c>
      <c r="AY207" s="92">
        <v>454</v>
      </c>
      <c r="AZ207" s="47">
        <v>1471</v>
      </c>
      <c r="BA207" s="44">
        <v>1451</v>
      </c>
      <c r="BB207" s="23">
        <v>-2435</v>
      </c>
      <c r="BC207" s="47">
        <v>394</v>
      </c>
      <c r="BD207" s="44">
        <v>667</v>
      </c>
      <c r="BE207" s="47">
        <v>9833</v>
      </c>
      <c r="BF207" s="44">
        <v>21030</v>
      </c>
      <c r="BG207" s="46">
        <v>18393</v>
      </c>
      <c r="BH207" s="130">
        <v>949</v>
      </c>
      <c r="BI207" s="46">
        <v>1688</v>
      </c>
      <c r="BJ207" s="129">
        <v>20</v>
      </c>
      <c r="BK207" s="44">
        <v>3269</v>
      </c>
      <c r="BL207" s="116">
        <v>6722</v>
      </c>
      <c r="BM207" s="47">
        <v>5606</v>
      </c>
      <c r="BN207" s="130">
        <v>41371</v>
      </c>
      <c r="BO207" s="46">
        <v>21636</v>
      </c>
      <c r="BP207" s="46">
        <v>16413</v>
      </c>
      <c r="BQ207" s="46">
        <v>131</v>
      </c>
      <c r="BR207" s="130">
        <v>2376</v>
      </c>
      <c r="BS207" s="44">
        <v>1305</v>
      </c>
      <c r="BT207" s="92">
        <v>-3789</v>
      </c>
      <c r="BU207" s="117">
        <v>327</v>
      </c>
      <c r="BV207" s="130">
        <v>10159</v>
      </c>
      <c r="BW207" s="48">
        <v>21636</v>
      </c>
      <c r="BX207" s="46">
        <v>18714</v>
      </c>
      <c r="BY207" s="130">
        <v>1030</v>
      </c>
      <c r="BZ207" s="46">
        <v>1892</v>
      </c>
      <c r="CA207" s="129">
        <v>20.5</v>
      </c>
      <c r="CB207" s="44">
        <v>5858</v>
      </c>
      <c r="CC207" s="116">
        <v>6676</v>
      </c>
      <c r="CD207" s="47">
        <v>4939</v>
      </c>
      <c r="CE207" s="130">
        <v>41417</v>
      </c>
      <c r="CF207" s="46">
        <v>22274</v>
      </c>
      <c r="CG207" s="46">
        <v>16207</v>
      </c>
      <c r="CH207" s="46">
        <v>93</v>
      </c>
      <c r="CI207" s="130">
        <v>2053</v>
      </c>
      <c r="CJ207" s="44">
        <v>2158</v>
      </c>
      <c r="CK207" s="117">
        <v>-3079</v>
      </c>
      <c r="CL207" s="117">
        <v>282</v>
      </c>
      <c r="CM207" s="117">
        <v>10441</v>
      </c>
      <c r="CN207" s="48">
        <v>22274</v>
      </c>
      <c r="CO207" s="46">
        <v>18891</v>
      </c>
      <c r="CP207" s="130">
        <v>1201</v>
      </c>
      <c r="CQ207" s="46">
        <v>2182</v>
      </c>
      <c r="CR207" s="129">
        <v>21</v>
      </c>
      <c r="CS207" s="44">
        <v>5146</v>
      </c>
      <c r="CT207">
        <v>6627</v>
      </c>
      <c r="CU207">
        <v>22994</v>
      </c>
      <c r="CV207">
        <v>17066</v>
      </c>
      <c r="CW207">
        <v>5095</v>
      </c>
      <c r="CX207">
        <v>86</v>
      </c>
      <c r="CY207">
        <v>19630</v>
      </c>
      <c r="CZ207">
        <v>1169</v>
      </c>
      <c r="DA207">
        <v>2195</v>
      </c>
      <c r="DB207">
        <v>2246</v>
      </c>
      <c r="DC207">
        <v>-2481</v>
      </c>
      <c r="DD207">
        <v>2341</v>
      </c>
      <c r="DE207">
        <v>4482</v>
      </c>
      <c r="DF207">
        <v>42959</v>
      </c>
      <c r="DG207">
        <v>292</v>
      </c>
      <c r="DH207">
        <v>10733</v>
      </c>
      <c r="DI207">
        <v>21</v>
      </c>
      <c r="DJ207" s="174">
        <v>6567</v>
      </c>
      <c r="DK207" s="34">
        <v>23080</v>
      </c>
      <c r="DL207" s="34">
        <v>16501</v>
      </c>
      <c r="DM207">
        <v>4966</v>
      </c>
      <c r="DN207" s="173">
        <v>345</v>
      </c>
      <c r="DO207" s="34">
        <v>19571</v>
      </c>
      <c r="DP207" s="173">
        <v>1341</v>
      </c>
      <c r="DQ207" s="34">
        <v>2168</v>
      </c>
      <c r="DR207" s="173">
        <v>1836</v>
      </c>
      <c r="DS207" s="173">
        <v>-3912</v>
      </c>
      <c r="DT207">
        <v>2368</v>
      </c>
      <c r="DU207">
        <v>7861</v>
      </c>
      <c r="DV207" s="173">
        <v>43056</v>
      </c>
      <c r="DW207" s="173">
        <v>64</v>
      </c>
      <c r="DX207" s="173">
        <v>10797</v>
      </c>
      <c r="DY207" s="57">
        <v>21</v>
      </c>
      <c r="DZ207" s="184">
        <v>330</v>
      </c>
      <c r="EA207" s="116">
        <v>6499</v>
      </c>
      <c r="EB207" s="48">
        <v>22205</v>
      </c>
      <c r="EC207" s="46">
        <v>16539</v>
      </c>
      <c r="ED207" s="90">
        <v>4836</v>
      </c>
      <c r="EE207" s="186">
        <v>315</v>
      </c>
      <c r="EF207" s="46">
        <v>18847</v>
      </c>
      <c r="EG207" s="130">
        <v>1192</v>
      </c>
      <c r="EH207" s="46">
        <v>2166</v>
      </c>
      <c r="EI207" s="130">
        <v>247</v>
      </c>
      <c r="EJ207" s="48">
        <v>-4352</v>
      </c>
      <c r="EK207" s="44">
        <v>2398</v>
      </c>
      <c r="EL207" s="44">
        <v>11473</v>
      </c>
      <c r="EM207" s="130">
        <v>43648</v>
      </c>
      <c r="EN207" s="117">
        <v>-1491</v>
      </c>
      <c r="EO207" s="117">
        <v>9306</v>
      </c>
      <c r="EP207" s="129">
        <v>21</v>
      </c>
    </row>
    <row r="208" spans="1:146" ht="15" x14ac:dyDescent="0.25">
      <c r="A208" s="27">
        <v>636</v>
      </c>
      <c r="B208" s="27" t="s">
        <v>334</v>
      </c>
      <c r="C208" s="27">
        <v>2</v>
      </c>
      <c r="D208" s="27" t="s">
        <v>122</v>
      </c>
      <c r="E208" s="27">
        <v>3</v>
      </c>
      <c r="F208" s="27" t="s">
        <v>743</v>
      </c>
      <c r="G208" s="29" t="s">
        <v>130</v>
      </c>
      <c r="H208" s="27" t="s">
        <v>98</v>
      </c>
      <c r="I208" s="31" t="s">
        <v>122</v>
      </c>
      <c r="J208" s="118">
        <v>2627.7681630346483</v>
      </c>
      <c r="K208" s="118">
        <v>2551.0744685681993</v>
      </c>
      <c r="L208" s="118">
        <v>2559.4838648912751</v>
      </c>
      <c r="M208" s="118">
        <v>2885.9366301530681</v>
      </c>
      <c r="N208" s="22">
        <v>3779</v>
      </c>
      <c r="O208" s="119">
        <v>3447</v>
      </c>
      <c r="P208" s="119">
        <v>3792</v>
      </c>
      <c r="Q208" s="120">
        <v>5243</v>
      </c>
      <c r="R208" s="22">
        <v>4918</v>
      </c>
      <c r="S208" s="22">
        <v>5073</v>
      </c>
      <c r="T208" s="121">
        <v>4233</v>
      </c>
      <c r="U208" s="121">
        <v>3040</v>
      </c>
      <c r="V208" s="121">
        <v>3495</v>
      </c>
      <c r="W208" s="106">
        <v>3996</v>
      </c>
      <c r="X208" s="121">
        <v>2167</v>
      </c>
      <c r="Y208" s="121">
        <v>1374</v>
      </c>
      <c r="Z208" s="121">
        <v>-140</v>
      </c>
      <c r="AA208" s="121">
        <v>-819</v>
      </c>
      <c r="AB208" s="122">
        <v>16.5</v>
      </c>
      <c r="AC208" s="123">
        <v>16.5</v>
      </c>
      <c r="AD208" s="124">
        <v>17</v>
      </c>
      <c r="AE208" s="125">
        <v>17</v>
      </c>
      <c r="AF208" s="126">
        <v>17</v>
      </c>
      <c r="AG208" s="123">
        <v>17</v>
      </c>
      <c r="AH208" s="123">
        <v>17.5</v>
      </c>
      <c r="AI208" s="131">
        <v>17.5</v>
      </c>
      <c r="AJ208" s="131">
        <v>17.75</v>
      </c>
      <c r="AK208" s="22">
        <v>17.75</v>
      </c>
      <c r="AL208" s="128">
        <v>18.5</v>
      </c>
      <c r="AM208" s="128">
        <v>18.5</v>
      </c>
      <c r="AN208" s="128">
        <v>19.5</v>
      </c>
      <c r="AO208" s="77">
        <v>19.5</v>
      </c>
      <c r="AP208" s="77">
        <v>20</v>
      </c>
      <c r="AQ208" s="129">
        <v>20</v>
      </c>
      <c r="AR208" s="129">
        <v>20.75</v>
      </c>
      <c r="AS208" s="129">
        <v>20.75</v>
      </c>
      <c r="AT208" s="116">
        <v>8590</v>
      </c>
      <c r="AU208" s="47">
        <v>10305</v>
      </c>
      <c r="AV208" s="47">
        <v>55558</v>
      </c>
      <c r="AW208" s="46">
        <v>25081</v>
      </c>
      <c r="AX208" s="46">
        <v>21350</v>
      </c>
      <c r="AY208" s="92">
        <v>35</v>
      </c>
      <c r="AZ208" s="47">
        <v>1115</v>
      </c>
      <c r="BA208" s="44">
        <v>2020</v>
      </c>
      <c r="BB208" s="23">
        <v>-2335</v>
      </c>
      <c r="BC208" s="47">
        <v>-905</v>
      </c>
      <c r="BD208" s="44">
        <v>-793</v>
      </c>
      <c r="BE208" s="47">
        <v>1374</v>
      </c>
      <c r="BF208" s="44">
        <v>25081</v>
      </c>
      <c r="BG208" s="46">
        <v>22818</v>
      </c>
      <c r="BH208" s="130">
        <v>1001</v>
      </c>
      <c r="BI208" s="46">
        <v>1262</v>
      </c>
      <c r="BJ208" s="129">
        <v>20</v>
      </c>
      <c r="BK208" s="44">
        <v>7273</v>
      </c>
      <c r="BL208" s="116">
        <v>8619</v>
      </c>
      <c r="BM208" s="47">
        <v>9629</v>
      </c>
      <c r="BN208" s="130">
        <v>55997</v>
      </c>
      <c r="BO208" s="46">
        <v>25554</v>
      </c>
      <c r="BP208" s="46">
        <v>21313</v>
      </c>
      <c r="BQ208" s="46">
        <v>28</v>
      </c>
      <c r="BR208" s="130">
        <v>406</v>
      </c>
      <c r="BS208" s="44">
        <v>2029</v>
      </c>
      <c r="BT208" s="92">
        <v>-2926</v>
      </c>
      <c r="BU208" s="117">
        <v>-1514</v>
      </c>
      <c r="BV208" s="130">
        <v>-140</v>
      </c>
      <c r="BW208" s="48">
        <v>25554</v>
      </c>
      <c r="BX208" s="46">
        <v>22954</v>
      </c>
      <c r="BY208" s="130">
        <v>1198</v>
      </c>
      <c r="BZ208" s="46">
        <v>1402</v>
      </c>
      <c r="CA208" s="129">
        <v>20.75</v>
      </c>
      <c r="CB208" s="44">
        <v>9956</v>
      </c>
      <c r="CC208" s="116">
        <v>8562</v>
      </c>
      <c r="CD208" s="47">
        <v>9609</v>
      </c>
      <c r="CE208" s="130">
        <v>56081</v>
      </c>
      <c r="CF208" s="46">
        <v>26438</v>
      </c>
      <c r="CG208" s="46">
        <v>21366</v>
      </c>
      <c r="CH208" s="46">
        <v>26</v>
      </c>
      <c r="CI208" s="130">
        <v>1196</v>
      </c>
      <c r="CJ208" s="44">
        <v>1956</v>
      </c>
      <c r="CK208" s="117">
        <v>-1385</v>
      </c>
      <c r="CL208" s="117">
        <v>-678</v>
      </c>
      <c r="CM208" s="117">
        <v>-819</v>
      </c>
      <c r="CN208" s="48">
        <v>26438</v>
      </c>
      <c r="CO208" s="46">
        <v>23555</v>
      </c>
      <c r="CP208" s="130">
        <v>1449</v>
      </c>
      <c r="CQ208" s="46">
        <v>1434</v>
      </c>
      <c r="CR208" s="129">
        <v>20.75</v>
      </c>
      <c r="CS208" s="44">
        <v>11198</v>
      </c>
      <c r="CT208">
        <v>8503</v>
      </c>
      <c r="CU208">
        <v>26989</v>
      </c>
      <c r="CV208">
        <v>22382</v>
      </c>
      <c r="CW208">
        <v>9125</v>
      </c>
      <c r="CX208">
        <v>21</v>
      </c>
      <c r="CY208">
        <v>23968</v>
      </c>
      <c r="CZ208">
        <v>1457</v>
      </c>
      <c r="DA208">
        <v>1564</v>
      </c>
      <c r="DB208">
        <v>2679</v>
      </c>
      <c r="DC208">
        <v>-888</v>
      </c>
      <c r="DD208">
        <v>2071</v>
      </c>
      <c r="DE208">
        <v>9900</v>
      </c>
      <c r="DF208">
        <v>55746</v>
      </c>
      <c r="DG208">
        <v>664</v>
      </c>
      <c r="DH208">
        <v>-155</v>
      </c>
      <c r="DI208">
        <v>21.25</v>
      </c>
      <c r="DJ208" s="174">
        <v>8422</v>
      </c>
      <c r="DK208" s="34">
        <v>27700</v>
      </c>
      <c r="DL208" s="34">
        <v>22404</v>
      </c>
      <c r="DM208">
        <v>9220</v>
      </c>
      <c r="DN208" s="173">
        <v>-91</v>
      </c>
      <c r="DO208" s="34">
        <v>24228</v>
      </c>
      <c r="DP208" s="173">
        <v>1764</v>
      </c>
      <c r="DQ208" s="34">
        <v>1708</v>
      </c>
      <c r="DR208" s="173">
        <v>4116</v>
      </c>
      <c r="DS208" s="173">
        <v>-2100</v>
      </c>
      <c r="DT208">
        <v>2304</v>
      </c>
      <c r="DU208">
        <v>7896</v>
      </c>
      <c r="DV208" s="173">
        <v>55117</v>
      </c>
      <c r="DW208" s="173">
        <v>1868</v>
      </c>
      <c r="DX208" s="173">
        <v>2474</v>
      </c>
      <c r="DY208" s="57">
        <v>21.25</v>
      </c>
      <c r="DZ208" s="184">
        <v>330</v>
      </c>
      <c r="EA208" s="116">
        <v>8333</v>
      </c>
      <c r="EB208" s="48">
        <v>27222</v>
      </c>
      <c r="EC208" s="46">
        <v>21952</v>
      </c>
      <c r="ED208" s="90">
        <v>8848</v>
      </c>
      <c r="EE208" s="186">
        <v>-73</v>
      </c>
      <c r="EF208" s="46">
        <v>23669</v>
      </c>
      <c r="EG208" s="130">
        <v>1677</v>
      </c>
      <c r="EH208" s="46">
        <v>1876</v>
      </c>
      <c r="EI208" s="130">
        <v>2542</v>
      </c>
      <c r="EJ208" s="48">
        <v>-7312</v>
      </c>
      <c r="EK208" s="44">
        <v>2091</v>
      </c>
      <c r="EL208" s="44">
        <v>12112</v>
      </c>
      <c r="EM208" s="130">
        <v>55407</v>
      </c>
      <c r="EN208" s="117">
        <v>506</v>
      </c>
      <c r="EO208" s="117">
        <v>2980</v>
      </c>
      <c r="EP208" s="129">
        <v>21.25</v>
      </c>
    </row>
    <row r="209" spans="1:146" ht="15" x14ac:dyDescent="0.25">
      <c r="A209" s="27">
        <v>678</v>
      </c>
      <c r="B209" s="27" t="s">
        <v>335</v>
      </c>
      <c r="C209" s="27">
        <v>17</v>
      </c>
      <c r="D209" s="27" t="s">
        <v>117</v>
      </c>
      <c r="E209" s="27">
        <v>5</v>
      </c>
      <c r="F209" s="27" t="s">
        <v>101</v>
      </c>
      <c r="G209" s="29" t="s">
        <v>141</v>
      </c>
      <c r="H209" s="27" t="s">
        <v>97</v>
      </c>
      <c r="I209" s="31" t="s">
        <v>117</v>
      </c>
      <c r="J209" s="118">
        <v>-3817.361366896916</v>
      </c>
      <c r="K209" s="118">
        <v>-1508.8138882862154</v>
      </c>
      <c r="L209" s="118">
        <v>8441.0156532503152</v>
      </c>
      <c r="M209" s="118">
        <v>4959.3573875705752</v>
      </c>
      <c r="N209" s="22">
        <v>1598</v>
      </c>
      <c r="O209" s="119">
        <v>3744</v>
      </c>
      <c r="P209" s="119">
        <v>-1622</v>
      </c>
      <c r="Q209" s="120">
        <v>-9530</v>
      </c>
      <c r="R209" s="22">
        <v>654</v>
      </c>
      <c r="S209" s="22">
        <v>9237</v>
      </c>
      <c r="T209" s="121">
        <v>11781</v>
      </c>
      <c r="U209" s="121">
        <v>4352</v>
      </c>
      <c r="V209" s="121">
        <v>7342</v>
      </c>
      <c r="W209" s="106">
        <v>5826</v>
      </c>
      <c r="X209" s="121">
        <v>-6201</v>
      </c>
      <c r="Y209" s="121">
        <v>-9483</v>
      </c>
      <c r="Z209" s="121">
        <v>-2151</v>
      </c>
      <c r="AA209" s="121">
        <v>1187</v>
      </c>
      <c r="AB209" s="122">
        <v>18</v>
      </c>
      <c r="AC209" s="123">
        <v>18</v>
      </c>
      <c r="AD209" s="124">
        <v>18</v>
      </c>
      <c r="AE209" s="125">
        <v>18</v>
      </c>
      <c r="AF209" s="126">
        <v>18</v>
      </c>
      <c r="AG209" s="123">
        <v>18.5</v>
      </c>
      <c r="AH209" s="123">
        <v>18.5</v>
      </c>
      <c r="AI209" s="127">
        <v>19</v>
      </c>
      <c r="AJ209" s="127">
        <v>19</v>
      </c>
      <c r="AK209" s="22">
        <v>19.75</v>
      </c>
      <c r="AL209" s="128">
        <v>19.75</v>
      </c>
      <c r="AM209" s="128">
        <v>19.75</v>
      </c>
      <c r="AN209" s="128">
        <v>20</v>
      </c>
      <c r="AO209" s="77">
        <v>20</v>
      </c>
      <c r="AP209" s="77">
        <v>20</v>
      </c>
      <c r="AQ209" s="129">
        <v>21</v>
      </c>
      <c r="AR209" s="129">
        <v>21</v>
      </c>
      <c r="AS209" s="129">
        <v>21</v>
      </c>
      <c r="AT209" s="116">
        <v>25507</v>
      </c>
      <c r="AU209" s="47">
        <v>25339</v>
      </c>
      <c r="AV209" s="47">
        <v>152056</v>
      </c>
      <c r="AW209" s="46">
        <v>89607</v>
      </c>
      <c r="AX209" s="46">
        <v>39636</v>
      </c>
      <c r="AY209" s="92">
        <v>946</v>
      </c>
      <c r="AZ209" s="47">
        <v>2799</v>
      </c>
      <c r="BA209" s="44">
        <v>6175</v>
      </c>
      <c r="BB209" s="23">
        <v>-4787</v>
      </c>
      <c r="BC209" s="47">
        <v>-3376</v>
      </c>
      <c r="BD209" s="44">
        <v>-3282</v>
      </c>
      <c r="BE209" s="47">
        <v>-9483</v>
      </c>
      <c r="BF209" s="44">
        <v>89607</v>
      </c>
      <c r="BG209" s="46">
        <v>83462</v>
      </c>
      <c r="BH209" s="130">
        <v>2212</v>
      </c>
      <c r="BI209" s="46">
        <v>3933</v>
      </c>
      <c r="BJ209" s="129">
        <v>21</v>
      </c>
      <c r="BK209" s="44">
        <v>141411</v>
      </c>
      <c r="BL209" s="116">
        <v>25383</v>
      </c>
      <c r="BM209" s="47">
        <v>24688</v>
      </c>
      <c r="BN209" s="130">
        <v>153555</v>
      </c>
      <c r="BO209" s="46">
        <v>90592</v>
      </c>
      <c r="BP209" s="46">
        <v>45782</v>
      </c>
      <c r="BQ209" s="46">
        <v>6510</v>
      </c>
      <c r="BR209" s="130">
        <v>8465</v>
      </c>
      <c r="BS209" s="44">
        <v>6175</v>
      </c>
      <c r="BT209" s="92">
        <v>-512</v>
      </c>
      <c r="BU209" s="117">
        <v>7332</v>
      </c>
      <c r="BV209" s="130">
        <v>-2151</v>
      </c>
      <c r="BW209" s="48">
        <v>90592</v>
      </c>
      <c r="BX209" s="46">
        <v>81802</v>
      </c>
      <c r="BY209" s="130">
        <v>3185</v>
      </c>
      <c r="BZ209" s="46">
        <v>5605</v>
      </c>
      <c r="CA209" s="129">
        <v>21</v>
      </c>
      <c r="CB209" s="44">
        <v>141700</v>
      </c>
      <c r="CC209" s="116">
        <v>25165</v>
      </c>
      <c r="CD209" s="47">
        <v>21851</v>
      </c>
      <c r="CE209" s="130">
        <v>154887</v>
      </c>
      <c r="CF209" s="46">
        <v>93385</v>
      </c>
      <c r="CG209" s="46">
        <v>48538</v>
      </c>
      <c r="CH209" s="46">
        <v>1444</v>
      </c>
      <c r="CI209" s="130">
        <v>9975</v>
      </c>
      <c r="CJ209" s="44">
        <v>6720</v>
      </c>
      <c r="CK209" s="117">
        <v>-5335</v>
      </c>
      <c r="CL209" s="117">
        <v>3337</v>
      </c>
      <c r="CM209" s="117">
        <v>1187</v>
      </c>
      <c r="CN209" s="48">
        <v>93385</v>
      </c>
      <c r="CO209" s="46">
        <v>84087</v>
      </c>
      <c r="CP209" s="130">
        <v>3507</v>
      </c>
      <c r="CQ209" s="46">
        <v>5791</v>
      </c>
      <c r="CR209" s="129">
        <v>21</v>
      </c>
      <c r="CS209" s="44">
        <v>140891</v>
      </c>
      <c r="CT209">
        <v>25010</v>
      </c>
      <c r="CU209">
        <v>92077</v>
      </c>
      <c r="CV209">
        <v>53368</v>
      </c>
      <c r="CW209">
        <v>20688</v>
      </c>
      <c r="CX209">
        <v>1148</v>
      </c>
      <c r="CY209">
        <v>82720</v>
      </c>
      <c r="CZ209">
        <v>3086</v>
      </c>
      <c r="DA209">
        <v>6271</v>
      </c>
      <c r="DB209">
        <v>10944</v>
      </c>
      <c r="DC209">
        <v>-10888</v>
      </c>
      <c r="DD209">
        <v>7248</v>
      </c>
      <c r="DE209">
        <v>144269</v>
      </c>
      <c r="DF209">
        <v>156337</v>
      </c>
      <c r="DG209">
        <v>6092</v>
      </c>
      <c r="DH209">
        <v>7279</v>
      </c>
      <c r="DI209">
        <v>21</v>
      </c>
      <c r="DJ209" s="174">
        <v>25001</v>
      </c>
      <c r="DK209" s="34">
        <v>90892</v>
      </c>
      <c r="DL209" s="34">
        <v>54537</v>
      </c>
      <c r="DM209">
        <v>20293</v>
      </c>
      <c r="DN209" s="173">
        <v>1441</v>
      </c>
      <c r="DO209" s="34">
        <v>81210</v>
      </c>
      <c r="DP209" s="173">
        <v>3473</v>
      </c>
      <c r="DQ209" s="34">
        <v>6209</v>
      </c>
      <c r="DR209" s="173">
        <v>11926</v>
      </c>
      <c r="DS209" s="173">
        <v>-12776</v>
      </c>
      <c r="DT209">
        <v>6647</v>
      </c>
      <c r="DU209">
        <v>144609</v>
      </c>
      <c r="DV209" s="173">
        <v>155237</v>
      </c>
      <c r="DW209" s="173">
        <v>5279</v>
      </c>
      <c r="DX209" s="173">
        <v>12558</v>
      </c>
      <c r="DY209" s="57">
        <v>21</v>
      </c>
      <c r="DZ209" s="184">
        <v>130</v>
      </c>
      <c r="EA209" s="116">
        <v>24811</v>
      </c>
      <c r="EB209" s="48">
        <v>92255</v>
      </c>
      <c r="EC209" s="46">
        <v>57714</v>
      </c>
      <c r="ED209" s="90">
        <v>18682</v>
      </c>
      <c r="EE209" s="186">
        <v>-174</v>
      </c>
      <c r="EF209" s="46">
        <v>81914</v>
      </c>
      <c r="EG209" s="130">
        <v>3264</v>
      </c>
      <c r="EH209" s="46">
        <v>7077</v>
      </c>
      <c r="EI209" s="130">
        <v>5449</v>
      </c>
      <c r="EJ209" s="48">
        <v>-16376</v>
      </c>
      <c r="EK209" s="44">
        <v>6933</v>
      </c>
      <c r="EL209" s="44">
        <v>148522</v>
      </c>
      <c r="EM209" s="130">
        <v>163028</v>
      </c>
      <c r="EN209" s="117">
        <v>-1484</v>
      </c>
      <c r="EO209" s="117">
        <v>10935</v>
      </c>
      <c r="EP209" s="129">
        <v>21</v>
      </c>
    </row>
    <row r="210" spans="1:146" ht="15" x14ac:dyDescent="0.25">
      <c r="A210" s="27">
        <v>710</v>
      </c>
      <c r="B210" s="27" t="s">
        <v>524</v>
      </c>
      <c r="C210" s="27">
        <v>1</v>
      </c>
      <c r="D210" s="27" t="s">
        <v>121</v>
      </c>
      <c r="E210" s="27">
        <v>5</v>
      </c>
      <c r="F210" s="27" t="s">
        <v>101</v>
      </c>
      <c r="G210" s="29" t="s">
        <v>132</v>
      </c>
      <c r="H210" s="27" t="s">
        <v>99</v>
      </c>
      <c r="I210" s="31" t="s">
        <v>121</v>
      </c>
      <c r="J210" s="118">
        <v>-5247.6314935256059</v>
      </c>
      <c r="K210" s="118">
        <v>-4933.6246348219647</v>
      </c>
      <c r="L210" s="118">
        <v>-2843.8896485376899</v>
      </c>
      <c r="M210" s="118">
        <v>-6541.6693997204711</v>
      </c>
      <c r="N210" s="22">
        <v>-1987</v>
      </c>
      <c r="O210" s="119">
        <v>876</v>
      </c>
      <c r="P210" s="119">
        <v>-369</v>
      </c>
      <c r="Q210" s="120">
        <v>-3210</v>
      </c>
      <c r="R210" s="22">
        <v>-3287</v>
      </c>
      <c r="S210" s="22">
        <v>-3853</v>
      </c>
      <c r="T210" s="121">
        <v>-6895</v>
      </c>
      <c r="U210" s="121">
        <v>-25814</v>
      </c>
      <c r="V210" s="121">
        <v>-17853</v>
      </c>
      <c r="W210" s="106">
        <v>-17839</v>
      </c>
      <c r="X210" s="121">
        <v>-25154</v>
      </c>
      <c r="Y210" s="121">
        <v>-8539</v>
      </c>
      <c r="Z210" s="121">
        <v>-12524</v>
      </c>
      <c r="AA210" s="121">
        <v>-14182</v>
      </c>
      <c r="AB210" s="122">
        <v>18</v>
      </c>
      <c r="AC210" s="123">
        <v>18.5</v>
      </c>
      <c r="AD210" s="124">
        <v>18.5</v>
      </c>
      <c r="AE210" s="125">
        <v>18.5</v>
      </c>
      <c r="AF210" s="126">
        <v>18.5</v>
      </c>
      <c r="AG210" s="123">
        <v>19</v>
      </c>
      <c r="AH210" s="123">
        <v>19</v>
      </c>
      <c r="AI210" s="127">
        <v>19</v>
      </c>
      <c r="AJ210" s="127">
        <v>19</v>
      </c>
      <c r="AK210" s="22">
        <v>19.75</v>
      </c>
      <c r="AL210" s="128">
        <v>19.75</v>
      </c>
      <c r="AM210" s="128">
        <v>20</v>
      </c>
      <c r="AN210" s="128">
        <v>21</v>
      </c>
      <c r="AO210" s="77">
        <v>21</v>
      </c>
      <c r="AP210" s="77">
        <v>21</v>
      </c>
      <c r="AQ210" s="129">
        <v>21</v>
      </c>
      <c r="AR210" s="129">
        <v>22</v>
      </c>
      <c r="AS210" s="129">
        <v>22</v>
      </c>
      <c r="AT210" s="116">
        <v>28695</v>
      </c>
      <c r="AU210" s="47">
        <v>42517</v>
      </c>
      <c r="AV210" s="47">
        <v>198080</v>
      </c>
      <c r="AW210" s="46">
        <v>108635</v>
      </c>
      <c r="AX210" s="46">
        <v>54377</v>
      </c>
      <c r="AY210" s="92">
        <v>19490</v>
      </c>
      <c r="AZ210" s="47">
        <v>5546</v>
      </c>
      <c r="BA210" s="44">
        <v>7486</v>
      </c>
      <c r="BB210" s="23">
        <v>20223</v>
      </c>
      <c r="BC210" s="47">
        <v>16615</v>
      </c>
      <c r="BD210" s="44">
        <v>16615</v>
      </c>
      <c r="BE210" s="47">
        <v>-8539</v>
      </c>
      <c r="BF210" s="44">
        <v>108635</v>
      </c>
      <c r="BG210" s="46">
        <v>96634</v>
      </c>
      <c r="BH210" s="130">
        <v>2948</v>
      </c>
      <c r="BI210" s="46">
        <v>9053</v>
      </c>
      <c r="BJ210" s="129">
        <v>21</v>
      </c>
      <c r="BK210" s="44">
        <v>114152</v>
      </c>
      <c r="BL210" s="116">
        <v>28674</v>
      </c>
      <c r="BM210" s="47">
        <v>30914</v>
      </c>
      <c r="BN210" s="130">
        <v>191728</v>
      </c>
      <c r="BO210" s="46">
        <v>110957</v>
      </c>
      <c r="BP210" s="46">
        <v>52461</v>
      </c>
      <c r="BQ210" s="46">
        <v>306</v>
      </c>
      <c r="BR210" s="130">
        <v>2425</v>
      </c>
      <c r="BS210" s="44">
        <v>6410</v>
      </c>
      <c r="BT210" s="92">
        <v>-9839</v>
      </c>
      <c r="BU210" s="117">
        <v>-3985</v>
      </c>
      <c r="BV210" s="130">
        <v>-12524</v>
      </c>
      <c r="BW210" s="48">
        <v>110957</v>
      </c>
      <c r="BX210" s="46">
        <v>97659</v>
      </c>
      <c r="BY210" s="130">
        <v>3446</v>
      </c>
      <c r="BZ210" s="46">
        <v>9852</v>
      </c>
      <c r="CA210" s="129">
        <v>22</v>
      </c>
      <c r="CB210" s="44">
        <v>120249</v>
      </c>
      <c r="CC210" s="116">
        <v>28405</v>
      </c>
      <c r="CD210" s="47">
        <v>33002</v>
      </c>
      <c r="CE210" s="130">
        <v>196425</v>
      </c>
      <c r="CF210" s="46">
        <v>114413</v>
      </c>
      <c r="CG210" s="46">
        <v>52252</v>
      </c>
      <c r="CH210" s="46">
        <v>367</v>
      </c>
      <c r="CI210" s="130">
        <v>3325</v>
      </c>
      <c r="CJ210" s="44">
        <v>5919</v>
      </c>
      <c r="CK210" s="117">
        <v>-7998</v>
      </c>
      <c r="CL210" s="117">
        <v>-2594</v>
      </c>
      <c r="CM210" s="117">
        <v>-14182</v>
      </c>
      <c r="CN210" s="48">
        <v>114413</v>
      </c>
      <c r="CO210" s="46">
        <v>100375</v>
      </c>
      <c r="CP210" s="130">
        <v>3811</v>
      </c>
      <c r="CQ210" s="46">
        <v>10227</v>
      </c>
      <c r="CR210" s="129">
        <v>22</v>
      </c>
      <c r="CS210" s="44">
        <v>120225</v>
      </c>
      <c r="CT210">
        <v>28077</v>
      </c>
      <c r="CU210">
        <v>113028</v>
      </c>
      <c r="CV210">
        <v>54454</v>
      </c>
      <c r="CW210">
        <v>30573</v>
      </c>
      <c r="CX210">
        <v>1163</v>
      </c>
      <c r="CY210">
        <v>99483</v>
      </c>
      <c r="CZ210">
        <v>3244</v>
      </c>
      <c r="DA210">
        <v>10301</v>
      </c>
      <c r="DB210">
        <v>8506</v>
      </c>
      <c r="DC210">
        <v>-6623</v>
      </c>
      <c r="DD210">
        <v>6197</v>
      </c>
      <c r="DE210">
        <v>118991</v>
      </c>
      <c r="DF210">
        <v>190563</v>
      </c>
      <c r="DG210">
        <v>2309</v>
      </c>
      <c r="DH210">
        <v>-11757</v>
      </c>
      <c r="DI210">
        <v>22</v>
      </c>
      <c r="DJ210" s="174">
        <v>27851</v>
      </c>
      <c r="DK210" s="34">
        <v>115802</v>
      </c>
      <c r="DL210" s="34">
        <v>55259</v>
      </c>
      <c r="DM210">
        <v>29493</v>
      </c>
      <c r="DN210" s="173">
        <v>425</v>
      </c>
      <c r="DO210" s="34">
        <v>100336</v>
      </c>
      <c r="DP210" s="173">
        <v>4321</v>
      </c>
      <c r="DQ210" s="34">
        <v>11145</v>
      </c>
      <c r="DR210" s="173">
        <v>15722</v>
      </c>
      <c r="DS210" s="173">
        <v>-1514</v>
      </c>
      <c r="DT210">
        <v>6308</v>
      </c>
      <c r="DU210">
        <v>108867</v>
      </c>
      <c r="DV210" s="173">
        <v>185257</v>
      </c>
      <c r="DW210" s="173">
        <v>9414</v>
      </c>
      <c r="DX210" s="173">
        <v>-2342</v>
      </c>
      <c r="DY210" s="57">
        <v>22</v>
      </c>
      <c r="DZ210" s="184">
        <v>230</v>
      </c>
      <c r="EA210" s="116">
        <v>27592</v>
      </c>
      <c r="EB210" s="48">
        <v>112870</v>
      </c>
      <c r="EC210" s="46">
        <v>53893</v>
      </c>
      <c r="ED210" s="90">
        <v>29011</v>
      </c>
      <c r="EE210" s="186">
        <v>642</v>
      </c>
      <c r="EF210" s="46">
        <v>97092</v>
      </c>
      <c r="EG210" s="130">
        <v>4435</v>
      </c>
      <c r="EH210" s="46">
        <v>11343</v>
      </c>
      <c r="EI210" s="130">
        <v>3738</v>
      </c>
      <c r="EJ210" s="48">
        <v>-8445</v>
      </c>
      <c r="EK210" s="44">
        <v>6429</v>
      </c>
      <c r="EL210" s="44">
        <v>107297</v>
      </c>
      <c r="EM210" s="130">
        <v>192678</v>
      </c>
      <c r="EN210" s="117">
        <v>-2691</v>
      </c>
      <c r="EO210" s="117">
        <v>-5033</v>
      </c>
      <c r="EP210" s="129">
        <v>22</v>
      </c>
    </row>
    <row r="211" spans="1:146" ht="15" x14ac:dyDescent="0.25">
      <c r="A211" s="27">
        <v>680</v>
      </c>
      <c r="B211" s="27" t="s">
        <v>336</v>
      </c>
      <c r="C211" s="27">
        <v>2</v>
      </c>
      <c r="D211" s="27" t="s">
        <v>122</v>
      </c>
      <c r="E211" s="27">
        <v>5</v>
      </c>
      <c r="F211" s="27" t="s">
        <v>101</v>
      </c>
      <c r="G211" s="29" t="s">
        <v>141</v>
      </c>
      <c r="H211" s="27" t="s">
        <v>97</v>
      </c>
      <c r="I211" s="31" t="s">
        <v>122</v>
      </c>
      <c r="J211" s="132">
        <v>5.8865774261528863</v>
      </c>
      <c r="K211" s="132">
        <v>666.52875256696825</v>
      </c>
      <c r="L211" s="132">
        <v>-3994.2950655344252</v>
      </c>
      <c r="M211" s="132">
        <v>234.28578156088486</v>
      </c>
      <c r="N211" s="132">
        <v>7757</v>
      </c>
      <c r="O211" s="132">
        <v>8681</v>
      </c>
      <c r="P211" s="132">
        <v>13063</v>
      </c>
      <c r="Q211" s="132">
        <v>11581</v>
      </c>
      <c r="R211" s="132">
        <v>13448</v>
      </c>
      <c r="S211" s="132">
        <v>14779</v>
      </c>
      <c r="T211" s="132">
        <v>13825</v>
      </c>
      <c r="U211" s="132">
        <v>11646</v>
      </c>
      <c r="V211" s="132">
        <v>10755</v>
      </c>
      <c r="W211" s="106">
        <v>11063</v>
      </c>
      <c r="X211" s="132">
        <v>-1505</v>
      </c>
      <c r="Y211" s="132">
        <v>-3109</v>
      </c>
      <c r="Z211" s="132">
        <v>1010</v>
      </c>
      <c r="AA211" s="132">
        <v>512</v>
      </c>
      <c r="AB211" s="133">
        <v>16.5</v>
      </c>
      <c r="AC211" s="134">
        <v>17</v>
      </c>
      <c r="AD211" s="135">
        <v>17</v>
      </c>
      <c r="AE211" s="136">
        <v>17</v>
      </c>
      <c r="AF211" s="137">
        <v>17.5</v>
      </c>
      <c r="AG211" s="134">
        <v>17.5</v>
      </c>
      <c r="AH211" s="134">
        <v>17.5</v>
      </c>
      <c r="AI211" s="138">
        <v>17.5</v>
      </c>
      <c r="AJ211" s="138">
        <v>17.5</v>
      </c>
      <c r="AK211" s="139">
        <v>17.5</v>
      </c>
      <c r="AL211" s="140">
        <v>17.5</v>
      </c>
      <c r="AM211" s="140">
        <v>17.5</v>
      </c>
      <c r="AN211" s="140">
        <v>17.5</v>
      </c>
      <c r="AO211" s="83">
        <v>17.5</v>
      </c>
      <c r="AP211" s="83">
        <v>18</v>
      </c>
      <c r="AQ211" s="129">
        <v>18.5</v>
      </c>
      <c r="AR211" s="129">
        <v>19.75</v>
      </c>
      <c r="AS211" s="129">
        <v>19.75</v>
      </c>
      <c r="AT211" s="116">
        <v>24565</v>
      </c>
      <c r="AU211" s="47">
        <v>47602</v>
      </c>
      <c r="AV211" s="47">
        <v>158424</v>
      </c>
      <c r="AW211" s="46">
        <v>91265</v>
      </c>
      <c r="AX211" s="46">
        <v>27527</v>
      </c>
      <c r="AY211" s="92">
        <v>0</v>
      </c>
      <c r="AZ211" s="47">
        <v>7450</v>
      </c>
      <c r="BA211" s="44">
        <v>9068</v>
      </c>
      <c r="BB211" s="23">
        <v>-7108</v>
      </c>
      <c r="BC211" s="47">
        <v>-1618</v>
      </c>
      <c r="BD211" s="44">
        <v>-1604</v>
      </c>
      <c r="BE211" s="47">
        <v>-3109</v>
      </c>
      <c r="BF211" s="44">
        <v>91265</v>
      </c>
      <c r="BG211" s="46">
        <v>80964</v>
      </c>
      <c r="BH211" s="130">
        <v>4400</v>
      </c>
      <c r="BI211" s="46">
        <v>5901</v>
      </c>
      <c r="BJ211" s="129">
        <v>18.5</v>
      </c>
      <c r="BK211" s="44">
        <v>62225</v>
      </c>
      <c r="BL211" s="116">
        <v>24371</v>
      </c>
      <c r="BM211" s="47">
        <v>49730</v>
      </c>
      <c r="BN211" s="130">
        <v>161410</v>
      </c>
      <c r="BO211" s="46">
        <v>96744</v>
      </c>
      <c r="BP211" s="46">
        <v>28108</v>
      </c>
      <c r="BQ211" s="46">
        <v>473</v>
      </c>
      <c r="BR211" s="130">
        <v>12640</v>
      </c>
      <c r="BS211" s="44">
        <v>8934</v>
      </c>
      <c r="BT211" s="92">
        <v>-6316</v>
      </c>
      <c r="BU211" s="117">
        <v>4119</v>
      </c>
      <c r="BV211" s="130">
        <v>1010</v>
      </c>
      <c r="BW211" s="48">
        <v>96744</v>
      </c>
      <c r="BX211" s="46">
        <v>84172</v>
      </c>
      <c r="BY211" s="130">
        <v>5193</v>
      </c>
      <c r="BZ211" s="46">
        <v>7379</v>
      </c>
      <c r="CA211" s="129">
        <v>19.75</v>
      </c>
      <c r="CB211" s="44">
        <v>55497</v>
      </c>
      <c r="CC211" s="116">
        <v>24290</v>
      </c>
      <c r="CD211" s="47">
        <v>48816</v>
      </c>
      <c r="CE211" s="130">
        <v>166876</v>
      </c>
      <c r="CF211" s="46">
        <v>98295</v>
      </c>
      <c r="CG211" s="46">
        <v>28388</v>
      </c>
      <c r="CH211" s="46">
        <v>1099</v>
      </c>
      <c r="CI211" s="130">
        <v>8409</v>
      </c>
      <c r="CJ211" s="44">
        <v>8921</v>
      </c>
      <c r="CK211" s="117">
        <v>-11033</v>
      </c>
      <c r="CL211" s="117">
        <v>-498</v>
      </c>
      <c r="CM211" s="117">
        <v>512</v>
      </c>
      <c r="CN211" s="48">
        <v>98295</v>
      </c>
      <c r="CO211" s="46">
        <v>84900</v>
      </c>
      <c r="CP211" s="130">
        <v>5899</v>
      </c>
      <c r="CQ211" s="46">
        <v>7496</v>
      </c>
      <c r="CR211" s="129">
        <v>19.75</v>
      </c>
      <c r="CS211" s="44">
        <v>55265</v>
      </c>
      <c r="CT211">
        <v>24283</v>
      </c>
      <c r="CU211">
        <v>98130</v>
      </c>
      <c r="CV211">
        <v>30425</v>
      </c>
      <c r="CW211">
        <v>48267</v>
      </c>
      <c r="CX211">
        <v>17370</v>
      </c>
      <c r="CY211">
        <v>85391</v>
      </c>
      <c r="CZ211">
        <v>5042</v>
      </c>
      <c r="DA211">
        <v>7697</v>
      </c>
      <c r="DB211">
        <v>8582</v>
      </c>
      <c r="DC211">
        <v>34306</v>
      </c>
      <c r="DD211">
        <v>8649</v>
      </c>
      <c r="DE211">
        <v>51182</v>
      </c>
      <c r="DF211">
        <v>168211</v>
      </c>
      <c r="DG211">
        <v>16525</v>
      </c>
      <c r="DH211">
        <v>17037</v>
      </c>
      <c r="DI211">
        <v>19.75</v>
      </c>
      <c r="DJ211" s="174">
        <v>24234</v>
      </c>
      <c r="DK211" s="34">
        <v>99576</v>
      </c>
      <c r="DL211" s="34">
        <v>28077</v>
      </c>
      <c r="DM211">
        <v>39713</v>
      </c>
      <c r="DN211" s="173">
        <v>689</v>
      </c>
      <c r="DO211" s="34">
        <v>85963</v>
      </c>
      <c r="DP211" s="173">
        <v>5903</v>
      </c>
      <c r="DQ211" s="34">
        <v>7710</v>
      </c>
      <c r="DR211" s="173">
        <v>9334</v>
      </c>
      <c r="DS211" s="173">
        <v>-12589</v>
      </c>
      <c r="DT211">
        <v>7176</v>
      </c>
      <c r="DU211">
        <v>58980</v>
      </c>
      <c r="DV211" s="173">
        <v>158721</v>
      </c>
      <c r="DW211" s="173">
        <v>2158</v>
      </c>
      <c r="DX211" s="173">
        <v>19195</v>
      </c>
      <c r="DY211" s="57">
        <v>19.75</v>
      </c>
      <c r="DZ211" s="184">
        <v>130</v>
      </c>
      <c r="EA211" s="116">
        <v>24178</v>
      </c>
      <c r="EB211" s="48">
        <v>99208</v>
      </c>
      <c r="EC211" s="46">
        <v>27097</v>
      </c>
      <c r="ED211" s="90">
        <v>42763</v>
      </c>
      <c r="EE211" s="186">
        <v>1153</v>
      </c>
      <c r="EF211" s="46">
        <v>85873</v>
      </c>
      <c r="EG211" s="130">
        <v>5642</v>
      </c>
      <c r="EH211" s="46">
        <v>7693</v>
      </c>
      <c r="EI211" s="130">
        <v>3946</v>
      </c>
      <c r="EJ211" s="48">
        <v>-6454</v>
      </c>
      <c r="EK211" s="44">
        <v>7630</v>
      </c>
      <c r="EL211" s="44">
        <v>61430</v>
      </c>
      <c r="EM211" s="130">
        <v>166275</v>
      </c>
      <c r="EN211" s="117">
        <v>-3684</v>
      </c>
      <c r="EO211" s="117">
        <v>15511</v>
      </c>
      <c r="EP211" s="129">
        <v>19.75</v>
      </c>
    </row>
    <row r="212" spans="1:146" ht="15" x14ac:dyDescent="0.25">
      <c r="A212" s="27">
        <v>681</v>
      </c>
      <c r="B212" s="27" t="s">
        <v>337</v>
      </c>
      <c r="C212" s="27">
        <v>10</v>
      </c>
      <c r="D212" s="27" t="s">
        <v>107</v>
      </c>
      <c r="E212" s="27">
        <v>2</v>
      </c>
      <c r="F212" s="27" t="s">
        <v>744</v>
      </c>
      <c r="G212" s="29" t="s">
        <v>130</v>
      </c>
      <c r="H212" s="27" t="s">
        <v>98</v>
      </c>
      <c r="I212" s="27" t="s">
        <v>107</v>
      </c>
      <c r="J212" s="118">
        <v>-597.90807857067171</v>
      </c>
      <c r="K212" s="118">
        <v>-813.02043651494432</v>
      </c>
      <c r="L212" s="118">
        <v>-2100.8353894307343</v>
      </c>
      <c r="M212" s="118">
        <v>-3135.3593250954887</v>
      </c>
      <c r="N212" s="177">
        <v>-2453</v>
      </c>
      <c r="O212" s="119">
        <v>-1980</v>
      </c>
      <c r="P212" s="119">
        <v>-1576</v>
      </c>
      <c r="Q212" s="120">
        <v>-2538</v>
      </c>
      <c r="R212" s="177">
        <v>-2867</v>
      </c>
      <c r="S212" s="177">
        <v>-2094</v>
      </c>
      <c r="T212" s="121">
        <v>-1875</v>
      </c>
      <c r="U212" s="121">
        <v>-85</v>
      </c>
      <c r="V212" s="121">
        <v>890</v>
      </c>
      <c r="W212" s="106">
        <v>27</v>
      </c>
      <c r="X212" s="121">
        <v>-1057</v>
      </c>
      <c r="Y212" s="121">
        <v>-2340</v>
      </c>
      <c r="Z212" s="121">
        <v>-3000</v>
      </c>
      <c r="AA212" s="121">
        <v>-2253</v>
      </c>
      <c r="AB212" s="122">
        <v>18.25</v>
      </c>
      <c r="AC212" s="123">
        <v>18.25</v>
      </c>
      <c r="AD212" s="124">
        <v>18.25</v>
      </c>
      <c r="AE212" s="125">
        <v>18.25</v>
      </c>
      <c r="AF212" s="126">
        <v>18.75</v>
      </c>
      <c r="AG212" s="123">
        <v>18.75</v>
      </c>
      <c r="AH212" s="123">
        <v>18.75</v>
      </c>
      <c r="AI212" s="127">
        <v>19.5</v>
      </c>
      <c r="AJ212" s="127">
        <v>19.5</v>
      </c>
      <c r="AK212" s="177">
        <v>19.5</v>
      </c>
      <c r="AL212" s="128">
        <v>19.5</v>
      </c>
      <c r="AM212" s="128">
        <v>19.5</v>
      </c>
      <c r="AN212" s="128">
        <v>19.5</v>
      </c>
      <c r="AO212" s="77">
        <v>19.5</v>
      </c>
      <c r="AP212" s="77">
        <v>20</v>
      </c>
      <c r="AQ212" s="129">
        <v>20.5</v>
      </c>
      <c r="AR212" s="129">
        <v>20.5</v>
      </c>
      <c r="AS212" s="129">
        <v>20.5</v>
      </c>
      <c r="AT212" s="116">
        <v>3872</v>
      </c>
      <c r="AU212" s="47">
        <v>12764</v>
      </c>
      <c r="AV212" s="47">
        <v>37110</v>
      </c>
      <c r="AW212" s="46">
        <v>10783</v>
      </c>
      <c r="AX212" s="46">
        <v>13093</v>
      </c>
      <c r="AY212" s="92">
        <v>270</v>
      </c>
      <c r="AZ212" s="47">
        <v>-347</v>
      </c>
      <c r="BA212" s="44">
        <v>936</v>
      </c>
      <c r="BB212" s="23">
        <v>-2025</v>
      </c>
      <c r="BC212" s="47">
        <v>-1283</v>
      </c>
      <c r="BD212" s="44">
        <v>-1283</v>
      </c>
      <c r="BE212" s="47">
        <v>-2340</v>
      </c>
      <c r="BF212" s="44">
        <v>10783</v>
      </c>
      <c r="BG212" s="46">
        <v>9039</v>
      </c>
      <c r="BH212" s="130">
        <v>808</v>
      </c>
      <c r="BI212" s="46">
        <v>936</v>
      </c>
      <c r="BJ212" s="129">
        <v>20.5</v>
      </c>
      <c r="BK212" s="44">
        <v>9866</v>
      </c>
      <c r="BL212" s="116">
        <v>3815</v>
      </c>
      <c r="BM212" s="47">
        <v>9007</v>
      </c>
      <c r="BN212" s="130">
        <v>33972</v>
      </c>
      <c r="BO212" s="46">
        <v>11065</v>
      </c>
      <c r="BP212" s="46">
        <v>14148</v>
      </c>
      <c r="BQ212" s="46">
        <v>224</v>
      </c>
      <c r="BR212" s="130">
        <v>337</v>
      </c>
      <c r="BS212" s="44">
        <v>997</v>
      </c>
      <c r="BT212" s="92">
        <v>-250</v>
      </c>
      <c r="BU212" s="117">
        <v>-660</v>
      </c>
      <c r="BV212" s="130">
        <v>-3000</v>
      </c>
      <c r="BW212" s="48">
        <v>11065</v>
      </c>
      <c r="BX212" s="46">
        <v>9128</v>
      </c>
      <c r="BY212" s="130">
        <v>893</v>
      </c>
      <c r="BZ212" s="46">
        <v>1044</v>
      </c>
      <c r="CA212" s="129">
        <v>20.5</v>
      </c>
      <c r="CB212" s="44">
        <v>9560</v>
      </c>
      <c r="CC212" s="116">
        <v>3733</v>
      </c>
      <c r="CD212" s="47">
        <v>8074</v>
      </c>
      <c r="CE212" s="130">
        <v>31430</v>
      </c>
      <c r="CF212" s="46">
        <v>11412</v>
      </c>
      <c r="CG212" s="46">
        <v>13626</v>
      </c>
      <c r="CH212" s="46">
        <v>353</v>
      </c>
      <c r="CI212" s="130">
        <v>1739</v>
      </c>
      <c r="CJ212" s="44">
        <v>991</v>
      </c>
      <c r="CK212" s="117">
        <v>-3300</v>
      </c>
      <c r="CL212" s="117">
        <v>748</v>
      </c>
      <c r="CM212" s="117">
        <v>-2253</v>
      </c>
      <c r="CN212" s="48">
        <v>11412</v>
      </c>
      <c r="CO212" s="46">
        <v>9343</v>
      </c>
      <c r="CP212" s="130">
        <v>1075</v>
      </c>
      <c r="CQ212" s="46">
        <v>994</v>
      </c>
      <c r="CR212" s="129">
        <v>20.5</v>
      </c>
      <c r="CS212" s="44">
        <v>12258</v>
      </c>
      <c r="CT212">
        <v>3649</v>
      </c>
      <c r="CU212">
        <v>10704</v>
      </c>
      <c r="CV212">
        <v>13838</v>
      </c>
      <c r="CW212">
        <v>7929</v>
      </c>
      <c r="CX212">
        <v>187</v>
      </c>
      <c r="CY212">
        <v>8682</v>
      </c>
      <c r="CZ212">
        <v>996</v>
      </c>
      <c r="DA212">
        <v>1026</v>
      </c>
      <c r="DB212">
        <v>2330</v>
      </c>
      <c r="DC212">
        <v>-900</v>
      </c>
      <c r="DD212">
        <v>1085</v>
      </c>
      <c r="DE212">
        <v>10912</v>
      </c>
      <c r="DF212">
        <v>30182</v>
      </c>
      <c r="DG212">
        <v>1245</v>
      </c>
      <c r="DH212">
        <v>-1008</v>
      </c>
      <c r="DI212">
        <v>20.5</v>
      </c>
      <c r="DJ212" s="174">
        <v>3553</v>
      </c>
      <c r="DK212" s="34">
        <v>11239</v>
      </c>
      <c r="DL212" s="34">
        <v>13065</v>
      </c>
      <c r="DM212">
        <v>8680</v>
      </c>
      <c r="DN212" s="173">
        <v>118</v>
      </c>
      <c r="DO212" s="34">
        <v>9065</v>
      </c>
      <c r="DP212" s="173">
        <v>1119</v>
      </c>
      <c r="DQ212" s="34">
        <v>1055</v>
      </c>
      <c r="DR212" s="173">
        <v>2805</v>
      </c>
      <c r="DS212" s="173">
        <v>-1624</v>
      </c>
      <c r="DT212">
        <v>1118</v>
      </c>
      <c r="DU212">
        <v>10539</v>
      </c>
      <c r="DV212" s="173">
        <v>30297</v>
      </c>
      <c r="DW212" s="173">
        <v>1687</v>
      </c>
      <c r="DX212" s="173">
        <v>680</v>
      </c>
      <c r="DY212" s="57">
        <v>20.5</v>
      </c>
      <c r="DZ212" s="184">
        <v>340</v>
      </c>
      <c r="EA212" s="116">
        <v>3514</v>
      </c>
      <c r="EB212" s="48">
        <v>10673</v>
      </c>
      <c r="EC212" s="46">
        <v>12428</v>
      </c>
      <c r="ED212" s="90">
        <v>7593</v>
      </c>
      <c r="EE212" s="186">
        <v>160</v>
      </c>
      <c r="EF212" s="46">
        <v>8548</v>
      </c>
      <c r="EG212" s="130">
        <v>1052</v>
      </c>
      <c r="EH212" s="46">
        <v>1073</v>
      </c>
      <c r="EI212" s="130">
        <v>283</v>
      </c>
      <c r="EJ212" s="48">
        <v>-1406</v>
      </c>
      <c r="EK212" s="44">
        <v>1639</v>
      </c>
      <c r="EL212" s="44">
        <v>11073</v>
      </c>
      <c r="EM212" s="130">
        <v>30571</v>
      </c>
      <c r="EN212" s="117">
        <v>-1356</v>
      </c>
      <c r="EO212" s="117">
        <v>-676</v>
      </c>
      <c r="EP212" s="129">
        <v>21</v>
      </c>
    </row>
    <row r="213" spans="1:146" ht="15" x14ac:dyDescent="0.25">
      <c r="A213" s="32">
        <v>683</v>
      </c>
      <c r="B213" s="32" t="s">
        <v>338</v>
      </c>
      <c r="C213" s="32">
        <v>19</v>
      </c>
      <c r="D213" s="32" t="s">
        <v>113</v>
      </c>
      <c r="E213" s="27">
        <v>2</v>
      </c>
      <c r="F213" s="27" t="s">
        <v>744</v>
      </c>
      <c r="G213" s="43" t="s">
        <v>130</v>
      </c>
      <c r="H213" s="32" t="s">
        <v>98</v>
      </c>
      <c r="I213" s="33" t="s">
        <v>113</v>
      </c>
      <c r="J213" s="118">
        <v>1212.8031377139559</v>
      </c>
      <c r="K213" s="118">
        <v>1705.2573863932603</v>
      </c>
      <c r="L213" s="118">
        <v>615.06324706974578</v>
      </c>
      <c r="M213" s="118">
        <v>365.13598834794038</v>
      </c>
      <c r="N213" s="22">
        <v>1341</v>
      </c>
      <c r="O213" s="119">
        <v>2105</v>
      </c>
      <c r="P213" s="119">
        <v>1253</v>
      </c>
      <c r="Q213" s="120">
        <v>3526</v>
      </c>
      <c r="R213" s="22">
        <v>2878</v>
      </c>
      <c r="S213" s="22">
        <v>3183</v>
      </c>
      <c r="T213" s="121">
        <v>3696</v>
      </c>
      <c r="U213" s="121">
        <v>4887</v>
      </c>
      <c r="V213" s="121">
        <v>7195</v>
      </c>
      <c r="W213" s="106">
        <v>9160</v>
      </c>
      <c r="X213" s="121">
        <v>10860</v>
      </c>
      <c r="Y213" s="121">
        <v>11049</v>
      </c>
      <c r="Z213" s="121">
        <v>11191</v>
      </c>
      <c r="AA213" s="121">
        <v>11305</v>
      </c>
      <c r="AB213" s="122">
        <v>18.5</v>
      </c>
      <c r="AC213" s="123">
        <v>18.5</v>
      </c>
      <c r="AD213" s="124">
        <v>18.5</v>
      </c>
      <c r="AE213" s="125">
        <v>18.5</v>
      </c>
      <c r="AF213" s="126">
        <v>18.5</v>
      </c>
      <c r="AG213" s="123">
        <v>18.5</v>
      </c>
      <c r="AH213" s="123">
        <v>18.5</v>
      </c>
      <c r="AI213" s="127">
        <v>18.5</v>
      </c>
      <c r="AJ213" s="127">
        <v>18.75</v>
      </c>
      <c r="AK213" s="22">
        <v>18.75</v>
      </c>
      <c r="AL213" s="128">
        <v>19.25</v>
      </c>
      <c r="AM213" s="128">
        <v>19.25</v>
      </c>
      <c r="AN213" s="128">
        <v>19.25</v>
      </c>
      <c r="AO213" s="77">
        <v>19.25</v>
      </c>
      <c r="AP213" s="77">
        <v>19.25</v>
      </c>
      <c r="AQ213" s="129">
        <v>19.25</v>
      </c>
      <c r="AR213" s="129">
        <v>19.25</v>
      </c>
      <c r="AS213" s="129">
        <v>19.75</v>
      </c>
      <c r="AT213" s="116">
        <v>4154</v>
      </c>
      <c r="AU213" s="47">
        <v>4686</v>
      </c>
      <c r="AV213" s="47">
        <v>34019</v>
      </c>
      <c r="AW213" s="46">
        <v>9678</v>
      </c>
      <c r="AX213" s="46">
        <v>22253</v>
      </c>
      <c r="AY213" s="92">
        <v>198</v>
      </c>
      <c r="AZ213" s="47">
        <v>2795</v>
      </c>
      <c r="BA213" s="44">
        <v>1302</v>
      </c>
      <c r="BB213" s="23">
        <v>-1764</v>
      </c>
      <c r="BC213" s="47">
        <v>1493</v>
      </c>
      <c r="BD213" s="44">
        <v>189</v>
      </c>
      <c r="BE213" s="47">
        <v>11049</v>
      </c>
      <c r="BF213" s="44">
        <v>9678</v>
      </c>
      <c r="BG213" s="46">
        <v>8569</v>
      </c>
      <c r="BH213" s="130">
        <v>479</v>
      </c>
      <c r="BI213" s="46">
        <v>630</v>
      </c>
      <c r="BJ213" s="129">
        <v>19.25</v>
      </c>
      <c r="BK213" s="44">
        <v>2953</v>
      </c>
      <c r="BL213" s="116">
        <v>4093</v>
      </c>
      <c r="BM213" s="47">
        <v>4841</v>
      </c>
      <c r="BN213" s="130">
        <v>34213</v>
      </c>
      <c r="BO213" s="46">
        <v>9814</v>
      </c>
      <c r="BP213" s="46">
        <v>22168</v>
      </c>
      <c r="BQ213" s="46">
        <v>49</v>
      </c>
      <c r="BR213" s="130">
        <v>2653</v>
      </c>
      <c r="BS213" s="44">
        <v>1307</v>
      </c>
      <c r="BT213" s="92">
        <v>-3912</v>
      </c>
      <c r="BU213" s="117">
        <v>142</v>
      </c>
      <c r="BV213" s="130">
        <v>11191</v>
      </c>
      <c r="BW213" s="48">
        <v>9814</v>
      </c>
      <c r="BX213" s="46">
        <v>8520</v>
      </c>
      <c r="BY213" s="130">
        <v>563</v>
      </c>
      <c r="BZ213" s="46">
        <v>731</v>
      </c>
      <c r="CA213" s="129">
        <v>19.25</v>
      </c>
      <c r="CB213" s="44">
        <v>2493</v>
      </c>
      <c r="CC213" s="116">
        <v>4020</v>
      </c>
      <c r="CD213" s="47">
        <v>4804</v>
      </c>
      <c r="CE213" s="130">
        <v>33575</v>
      </c>
      <c r="CF213" s="46">
        <v>10186</v>
      </c>
      <c r="CG213" s="46">
        <v>21598</v>
      </c>
      <c r="CH213" s="46">
        <v>255</v>
      </c>
      <c r="CI213" s="130">
        <v>3220</v>
      </c>
      <c r="CJ213" s="44">
        <v>1302</v>
      </c>
      <c r="CK213" s="117">
        <v>-4533</v>
      </c>
      <c r="CL213" s="117">
        <v>114</v>
      </c>
      <c r="CM213" s="117">
        <v>11305</v>
      </c>
      <c r="CN213" s="48">
        <v>10186</v>
      </c>
      <c r="CO213" s="46">
        <v>8836</v>
      </c>
      <c r="CP213" s="130">
        <v>612</v>
      </c>
      <c r="CQ213" s="46">
        <v>738</v>
      </c>
      <c r="CR213" s="129">
        <v>19.75</v>
      </c>
      <c r="CS213" s="44">
        <v>5132</v>
      </c>
      <c r="CT213">
        <v>4023</v>
      </c>
      <c r="CU213">
        <v>9627</v>
      </c>
      <c r="CV213">
        <v>21529</v>
      </c>
      <c r="CW213">
        <v>4950</v>
      </c>
      <c r="CX213">
        <v>122</v>
      </c>
      <c r="CY213">
        <v>8354</v>
      </c>
      <c r="CZ213">
        <v>523</v>
      </c>
      <c r="DA213">
        <v>750</v>
      </c>
      <c r="DB213">
        <v>4018</v>
      </c>
      <c r="DC213">
        <v>-2185</v>
      </c>
      <c r="DD213">
        <v>3617</v>
      </c>
      <c r="DE213">
        <v>4651</v>
      </c>
      <c r="DF213">
        <v>32188</v>
      </c>
      <c r="DG213">
        <v>139</v>
      </c>
      <c r="DH213">
        <v>11389</v>
      </c>
      <c r="DI213">
        <v>19.75</v>
      </c>
      <c r="DJ213" s="174">
        <v>3972</v>
      </c>
      <c r="DK213" s="34">
        <v>10072</v>
      </c>
      <c r="DL213" s="34">
        <v>21192</v>
      </c>
      <c r="DM213">
        <v>4775</v>
      </c>
      <c r="DN213" s="173">
        <v>401</v>
      </c>
      <c r="DO213" s="34">
        <v>8659</v>
      </c>
      <c r="DP213" s="173">
        <v>623</v>
      </c>
      <c r="DQ213" s="34">
        <v>790</v>
      </c>
      <c r="DR213" s="173">
        <v>3911</v>
      </c>
      <c r="DS213" s="173">
        <v>-1821</v>
      </c>
      <c r="DT213">
        <v>2091</v>
      </c>
      <c r="DU213">
        <v>4160</v>
      </c>
      <c r="DV213" s="173">
        <v>32529</v>
      </c>
      <c r="DW213" s="173">
        <v>1893</v>
      </c>
      <c r="DX213" s="173">
        <v>13282</v>
      </c>
      <c r="DY213" s="57">
        <v>19.75</v>
      </c>
      <c r="DZ213" s="184">
        <v>340</v>
      </c>
      <c r="EA213" s="116">
        <v>3896</v>
      </c>
      <c r="EB213" s="48">
        <v>9297</v>
      </c>
      <c r="EC213" s="46">
        <v>20519</v>
      </c>
      <c r="ED213" s="90">
        <v>3821</v>
      </c>
      <c r="EE213" s="186">
        <v>10</v>
      </c>
      <c r="EF213" s="46">
        <v>7829</v>
      </c>
      <c r="EG213" s="130">
        <v>589</v>
      </c>
      <c r="EH213" s="46">
        <v>879</v>
      </c>
      <c r="EI213" s="130">
        <v>1645</v>
      </c>
      <c r="EJ213" s="48">
        <v>-882</v>
      </c>
      <c r="EK213" s="44">
        <v>7650</v>
      </c>
      <c r="EL213" s="44">
        <v>3741</v>
      </c>
      <c r="EM213" s="130">
        <v>32002</v>
      </c>
      <c r="EN213" s="117">
        <v>-1040</v>
      </c>
      <c r="EO213" s="117">
        <v>12326</v>
      </c>
      <c r="EP213" s="129">
        <v>19.75</v>
      </c>
    </row>
    <row r="214" spans="1:146" ht="15" x14ac:dyDescent="0.25">
      <c r="A214" s="27">
        <v>684</v>
      </c>
      <c r="B214" s="27" t="s">
        <v>339</v>
      </c>
      <c r="C214" s="27">
        <v>4</v>
      </c>
      <c r="D214" s="27" t="s">
        <v>120</v>
      </c>
      <c r="E214" s="27">
        <v>5</v>
      </c>
      <c r="F214" s="27" t="s">
        <v>101</v>
      </c>
      <c r="G214" s="29" t="s">
        <v>141</v>
      </c>
      <c r="H214" s="27" t="s">
        <v>97</v>
      </c>
      <c r="I214" s="31" t="s">
        <v>120</v>
      </c>
      <c r="J214" s="118">
        <v>9487.1445558409141</v>
      </c>
      <c r="K214" s="118">
        <v>14082.206894695857</v>
      </c>
      <c r="L214" s="118">
        <v>23001.38082287625</v>
      </c>
      <c r="M214" s="118">
        <v>35057.932331269665</v>
      </c>
      <c r="N214" s="22">
        <v>44593</v>
      </c>
      <c r="O214" s="119">
        <v>44914</v>
      </c>
      <c r="P214" s="119">
        <v>48681</v>
      </c>
      <c r="Q214" s="120">
        <v>50635</v>
      </c>
      <c r="R214" s="22">
        <v>57781</v>
      </c>
      <c r="S214" s="22">
        <v>73758</v>
      </c>
      <c r="T214" s="121">
        <v>88333</v>
      </c>
      <c r="U214" s="121">
        <v>95255</v>
      </c>
      <c r="V214" s="121">
        <v>100345</v>
      </c>
      <c r="W214" s="106">
        <v>106255</v>
      </c>
      <c r="X214" s="121">
        <v>104352</v>
      </c>
      <c r="Y214" s="121">
        <v>102425</v>
      </c>
      <c r="Z214" s="121">
        <v>117670</v>
      </c>
      <c r="AA214" s="121">
        <v>104482</v>
      </c>
      <c r="AB214" s="122">
        <v>17</v>
      </c>
      <c r="AC214" s="123">
        <v>17</v>
      </c>
      <c r="AD214" s="124">
        <v>17</v>
      </c>
      <c r="AE214" s="125">
        <v>16.5</v>
      </c>
      <c r="AF214" s="126">
        <v>16.5</v>
      </c>
      <c r="AG214" s="123">
        <v>17</v>
      </c>
      <c r="AH214" s="123">
        <v>17</v>
      </c>
      <c r="AI214" s="131">
        <v>18</v>
      </c>
      <c r="AJ214" s="131">
        <v>18</v>
      </c>
      <c r="AK214" s="22">
        <v>18</v>
      </c>
      <c r="AL214" s="128">
        <v>18</v>
      </c>
      <c r="AM214" s="128">
        <v>18</v>
      </c>
      <c r="AN214" s="128">
        <v>18</v>
      </c>
      <c r="AO214" s="77">
        <v>18</v>
      </c>
      <c r="AP214" s="77">
        <v>18</v>
      </c>
      <c r="AQ214" s="129">
        <v>18</v>
      </c>
      <c r="AR214" s="129">
        <v>19</v>
      </c>
      <c r="AS214" s="129">
        <v>19</v>
      </c>
      <c r="AT214" s="116">
        <v>39979</v>
      </c>
      <c r="AU214" s="47">
        <v>73161</v>
      </c>
      <c r="AV214" s="47">
        <v>265887</v>
      </c>
      <c r="AW214" s="46">
        <v>164020</v>
      </c>
      <c r="AX214" s="46">
        <v>51373</v>
      </c>
      <c r="AY214" s="92">
        <v>1969</v>
      </c>
      <c r="AZ214" s="47">
        <v>24636</v>
      </c>
      <c r="BA214" s="44">
        <v>21645</v>
      </c>
      <c r="BB214" s="23">
        <v>-26360</v>
      </c>
      <c r="BC214" s="47">
        <v>2991</v>
      </c>
      <c r="BD214" s="44">
        <v>3054</v>
      </c>
      <c r="BE214" s="47">
        <v>102425</v>
      </c>
      <c r="BF214" s="44">
        <v>164020</v>
      </c>
      <c r="BG214" s="46">
        <v>136233</v>
      </c>
      <c r="BH214" s="130">
        <v>22523</v>
      </c>
      <c r="BI214" s="46">
        <v>5264</v>
      </c>
      <c r="BJ214" s="129">
        <v>18</v>
      </c>
      <c r="BK214" s="44">
        <v>558</v>
      </c>
      <c r="BL214" s="116">
        <v>39970</v>
      </c>
      <c r="BM214" s="47">
        <v>86567</v>
      </c>
      <c r="BN214" s="130">
        <v>284326</v>
      </c>
      <c r="BO214" s="46">
        <v>164176</v>
      </c>
      <c r="BP214" s="46">
        <v>49034</v>
      </c>
      <c r="BQ214" s="46">
        <v>22762</v>
      </c>
      <c r="BR214" s="130">
        <v>17244</v>
      </c>
      <c r="BS214" s="44">
        <v>22984</v>
      </c>
      <c r="BT214" s="92">
        <v>-42807</v>
      </c>
      <c r="BU214" s="117">
        <v>15293</v>
      </c>
      <c r="BV214" s="130">
        <v>117670</v>
      </c>
      <c r="BW214" s="48">
        <v>164176</v>
      </c>
      <c r="BX214" s="46">
        <v>136257</v>
      </c>
      <c r="BY214" s="130">
        <v>21874</v>
      </c>
      <c r="BZ214" s="46">
        <v>6045</v>
      </c>
      <c r="CA214" s="129">
        <v>19</v>
      </c>
      <c r="CB214" s="44">
        <v>392</v>
      </c>
      <c r="CC214" s="116">
        <v>39809</v>
      </c>
      <c r="CD214" s="47">
        <v>79803</v>
      </c>
      <c r="CE214" s="130">
        <v>281149</v>
      </c>
      <c r="CF214" s="46">
        <v>161447</v>
      </c>
      <c r="CG214" s="46">
        <v>46282</v>
      </c>
      <c r="CH214" s="46">
        <v>2107</v>
      </c>
      <c r="CI214" s="130">
        <v>8412</v>
      </c>
      <c r="CJ214" s="44">
        <v>20594</v>
      </c>
      <c r="CK214" s="117">
        <v>-27755</v>
      </c>
      <c r="CL214" s="117">
        <v>-13158</v>
      </c>
      <c r="CM214" s="117">
        <v>104482</v>
      </c>
      <c r="CN214" s="48">
        <v>161447</v>
      </c>
      <c r="CO214" s="46">
        <v>132909</v>
      </c>
      <c r="CP214" s="130">
        <v>21578</v>
      </c>
      <c r="CQ214" s="46">
        <v>6960</v>
      </c>
      <c r="CR214" s="129">
        <v>19</v>
      </c>
      <c r="CS214" s="44">
        <v>1796</v>
      </c>
      <c r="CT214">
        <v>39614</v>
      </c>
      <c r="CU214">
        <v>172243</v>
      </c>
      <c r="CV214">
        <v>49147</v>
      </c>
      <c r="CW214">
        <v>78408</v>
      </c>
      <c r="CX214">
        <v>1797</v>
      </c>
      <c r="CY214">
        <v>145324</v>
      </c>
      <c r="CZ214">
        <v>19891</v>
      </c>
      <c r="DA214">
        <v>7028</v>
      </c>
      <c r="DB214">
        <v>28392</v>
      </c>
      <c r="DC214">
        <v>-26014</v>
      </c>
      <c r="DD214">
        <v>19742</v>
      </c>
      <c r="DE214">
        <v>14726</v>
      </c>
      <c r="DF214">
        <v>273203</v>
      </c>
      <c r="DG214">
        <v>8714</v>
      </c>
      <c r="DH214">
        <v>112832</v>
      </c>
      <c r="DI214">
        <v>20</v>
      </c>
      <c r="DJ214" s="174">
        <v>39620</v>
      </c>
      <c r="DK214" s="34">
        <v>181798</v>
      </c>
      <c r="DL214" s="34">
        <v>46336</v>
      </c>
      <c r="DM214">
        <v>67218</v>
      </c>
      <c r="DN214" s="173">
        <v>2967</v>
      </c>
      <c r="DO214" s="34">
        <v>150687</v>
      </c>
      <c r="DP214" s="173">
        <v>23054</v>
      </c>
      <c r="DQ214" s="34">
        <v>8057</v>
      </c>
      <c r="DR214" s="173">
        <v>30922</v>
      </c>
      <c r="DS214" s="173">
        <v>-17796</v>
      </c>
      <c r="DT214">
        <v>18475</v>
      </c>
      <c r="DU214">
        <v>11490</v>
      </c>
      <c r="DV214" s="173">
        <v>267397</v>
      </c>
      <c r="DW214" s="173">
        <v>12511</v>
      </c>
      <c r="DX214" s="173">
        <v>123384</v>
      </c>
      <c r="DY214" s="57">
        <v>20</v>
      </c>
      <c r="DZ214" s="184">
        <v>130</v>
      </c>
      <c r="EA214" s="116">
        <v>39360</v>
      </c>
      <c r="EB214" s="48">
        <v>173749</v>
      </c>
      <c r="EC214" s="46">
        <v>42553</v>
      </c>
      <c r="ED214" s="90">
        <v>51348</v>
      </c>
      <c r="EE214" s="186">
        <v>2640</v>
      </c>
      <c r="EF214" s="46">
        <v>148518</v>
      </c>
      <c r="EG214" s="130">
        <v>17086</v>
      </c>
      <c r="EH214" s="46">
        <v>8145</v>
      </c>
      <c r="EI214" s="130">
        <v>6179</v>
      </c>
      <c r="EJ214" s="48">
        <v>-26191</v>
      </c>
      <c r="EK214" s="44">
        <v>21782</v>
      </c>
      <c r="EL214" s="44">
        <v>21254</v>
      </c>
      <c r="EM214" s="130">
        <v>264111</v>
      </c>
      <c r="EN214" s="117">
        <v>-15539</v>
      </c>
      <c r="EO214" s="117">
        <v>107844</v>
      </c>
      <c r="EP214" s="129">
        <v>20</v>
      </c>
    </row>
    <row r="215" spans="1:146" ht="15" x14ac:dyDescent="0.25">
      <c r="A215" s="27">
        <v>686</v>
      </c>
      <c r="B215" s="27" t="s">
        <v>340</v>
      </c>
      <c r="C215" s="27">
        <v>11</v>
      </c>
      <c r="D215" s="27" t="s">
        <v>118</v>
      </c>
      <c r="E215" s="27">
        <v>2</v>
      </c>
      <c r="F215" s="27" t="s">
        <v>744</v>
      </c>
      <c r="G215" s="29" t="s">
        <v>130</v>
      </c>
      <c r="H215" s="27" t="s">
        <v>98</v>
      </c>
      <c r="I215" s="27" t="s">
        <v>118</v>
      </c>
      <c r="J215" s="118">
        <v>589.66687017405764</v>
      </c>
      <c r="K215" s="118">
        <v>1563.3067764597449</v>
      </c>
      <c r="L215" s="118">
        <v>228.735579987655</v>
      </c>
      <c r="M215" s="118">
        <v>-477.48552322422984</v>
      </c>
      <c r="N215" s="22">
        <v>-107</v>
      </c>
      <c r="O215" s="119">
        <v>-337</v>
      </c>
      <c r="P215" s="119">
        <v>-507</v>
      </c>
      <c r="Q215" s="120">
        <v>-569</v>
      </c>
      <c r="R215" s="22">
        <v>-625</v>
      </c>
      <c r="S215" s="22">
        <v>-849</v>
      </c>
      <c r="T215" s="121">
        <v>-813</v>
      </c>
      <c r="U215" s="121">
        <v>-503</v>
      </c>
      <c r="V215" s="121">
        <v>107</v>
      </c>
      <c r="W215" s="106">
        <v>276</v>
      </c>
      <c r="X215" s="121">
        <v>-156</v>
      </c>
      <c r="Y215" s="121">
        <v>-301</v>
      </c>
      <c r="Z215" s="121">
        <v>871</v>
      </c>
      <c r="AA215" s="121">
        <v>3041</v>
      </c>
      <c r="AB215" s="122">
        <v>19</v>
      </c>
      <c r="AC215" s="123">
        <v>19</v>
      </c>
      <c r="AD215" s="124">
        <v>19</v>
      </c>
      <c r="AE215" s="125">
        <v>19</v>
      </c>
      <c r="AF215" s="126">
        <v>19</v>
      </c>
      <c r="AG215" s="123">
        <v>19</v>
      </c>
      <c r="AH215" s="123">
        <v>19</v>
      </c>
      <c r="AI215" s="127">
        <v>19.5</v>
      </c>
      <c r="AJ215" s="127">
        <v>19.5</v>
      </c>
      <c r="AK215" s="22">
        <v>19.5</v>
      </c>
      <c r="AL215" s="128">
        <v>19.5</v>
      </c>
      <c r="AM215" s="128">
        <v>19.5</v>
      </c>
      <c r="AN215" s="128">
        <v>20.5</v>
      </c>
      <c r="AO215" s="77">
        <v>20.5</v>
      </c>
      <c r="AP215" s="77">
        <v>20.5</v>
      </c>
      <c r="AQ215" s="129">
        <v>20.5</v>
      </c>
      <c r="AR215" s="129">
        <v>21.5</v>
      </c>
      <c r="AS215" s="129">
        <v>22</v>
      </c>
      <c r="AT215" s="116">
        <v>3426</v>
      </c>
      <c r="AU215" s="47">
        <v>2666</v>
      </c>
      <c r="AV215" s="47">
        <v>24083</v>
      </c>
      <c r="AW215" s="46">
        <v>9380</v>
      </c>
      <c r="AX215" s="46">
        <v>12354</v>
      </c>
      <c r="AY215" s="92">
        <v>337</v>
      </c>
      <c r="AZ215" s="47">
        <v>491</v>
      </c>
      <c r="BA215" s="44">
        <v>636</v>
      </c>
      <c r="BB215" s="23">
        <v>-3026</v>
      </c>
      <c r="BC215" s="47">
        <v>-145</v>
      </c>
      <c r="BD215" s="44">
        <v>-145</v>
      </c>
      <c r="BE215" s="47">
        <v>-301</v>
      </c>
      <c r="BF215" s="44">
        <v>9380</v>
      </c>
      <c r="BG215" s="46">
        <v>7982</v>
      </c>
      <c r="BH215" s="130">
        <v>547</v>
      </c>
      <c r="BI215" s="46">
        <v>851</v>
      </c>
      <c r="BJ215" s="129">
        <v>20.5</v>
      </c>
      <c r="BK215" s="44">
        <v>10008</v>
      </c>
      <c r="BL215" s="116">
        <v>3374</v>
      </c>
      <c r="BM215" s="47">
        <v>2842</v>
      </c>
      <c r="BN215" s="130">
        <v>24008</v>
      </c>
      <c r="BO215" s="46">
        <v>10313</v>
      </c>
      <c r="BP215" s="46">
        <v>12600</v>
      </c>
      <c r="BQ215" s="46">
        <v>307</v>
      </c>
      <c r="BR215" s="130">
        <v>1863</v>
      </c>
      <c r="BS215" s="44">
        <v>691</v>
      </c>
      <c r="BT215" s="92">
        <v>-2579</v>
      </c>
      <c r="BU215" s="117">
        <v>1172</v>
      </c>
      <c r="BV215" s="130">
        <v>871</v>
      </c>
      <c r="BW215" s="48">
        <v>10313</v>
      </c>
      <c r="BX215" s="46">
        <v>8601</v>
      </c>
      <c r="BY215" s="130">
        <v>632</v>
      </c>
      <c r="BZ215" s="46">
        <v>1080</v>
      </c>
      <c r="CA215" s="129">
        <v>21.5</v>
      </c>
      <c r="CB215" s="44">
        <v>10914</v>
      </c>
      <c r="CC215" s="116">
        <v>3303</v>
      </c>
      <c r="CD215" s="47">
        <v>2875</v>
      </c>
      <c r="CE215" s="130">
        <v>23846</v>
      </c>
      <c r="CF215" s="46">
        <v>10846</v>
      </c>
      <c r="CG215" s="46">
        <v>12913</v>
      </c>
      <c r="CH215" s="46">
        <v>671</v>
      </c>
      <c r="CI215" s="130">
        <v>2825</v>
      </c>
      <c r="CJ215" s="44">
        <v>782</v>
      </c>
      <c r="CK215" s="117">
        <v>-1955</v>
      </c>
      <c r="CL215" s="117">
        <v>2169</v>
      </c>
      <c r="CM215" s="117">
        <v>3041</v>
      </c>
      <c r="CN215" s="48">
        <v>10846</v>
      </c>
      <c r="CO215" s="46">
        <v>9054</v>
      </c>
      <c r="CP215" s="130">
        <v>699</v>
      </c>
      <c r="CQ215" s="46">
        <v>1093</v>
      </c>
      <c r="CR215" s="129">
        <v>22</v>
      </c>
      <c r="CS215" s="44">
        <v>10184</v>
      </c>
      <c r="CT215">
        <v>3288</v>
      </c>
      <c r="CU215">
        <v>10526</v>
      </c>
      <c r="CV215">
        <v>12980</v>
      </c>
      <c r="CW215">
        <v>3320</v>
      </c>
      <c r="CX215">
        <v>80</v>
      </c>
      <c r="CY215">
        <v>8760</v>
      </c>
      <c r="CZ215">
        <v>655</v>
      </c>
      <c r="DA215">
        <v>1111</v>
      </c>
      <c r="DB215">
        <v>2266</v>
      </c>
      <c r="DC215">
        <v>-1040</v>
      </c>
      <c r="DD215">
        <v>816</v>
      </c>
      <c r="DE215">
        <v>8880</v>
      </c>
      <c r="DF215">
        <v>24462</v>
      </c>
      <c r="DG215">
        <v>1450</v>
      </c>
      <c r="DH215">
        <v>4491</v>
      </c>
      <c r="DI215">
        <v>22</v>
      </c>
      <c r="DJ215" s="174">
        <v>3255</v>
      </c>
      <c r="DK215" s="34">
        <v>10683</v>
      </c>
      <c r="DL215" s="34">
        <v>12663</v>
      </c>
      <c r="DM215">
        <v>3514</v>
      </c>
      <c r="DN215" s="173">
        <v>129</v>
      </c>
      <c r="DO215" s="34">
        <v>8805</v>
      </c>
      <c r="DP215" s="173">
        <v>773</v>
      </c>
      <c r="DQ215" s="34">
        <v>1105</v>
      </c>
      <c r="DR215" s="173">
        <v>1823</v>
      </c>
      <c r="DS215" s="173">
        <v>-2283</v>
      </c>
      <c r="DT215">
        <v>832</v>
      </c>
      <c r="DU215">
        <v>10126</v>
      </c>
      <c r="DV215" s="173">
        <v>25166</v>
      </c>
      <c r="DW215" s="173">
        <v>991</v>
      </c>
      <c r="DX215" s="173">
        <v>5482</v>
      </c>
      <c r="DY215" s="57">
        <v>22</v>
      </c>
      <c r="DZ215" s="184">
        <v>340</v>
      </c>
      <c r="EA215" s="116">
        <v>3196</v>
      </c>
      <c r="EB215" s="48">
        <v>10337</v>
      </c>
      <c r="EC215" s="46">
        <v>12132</v>
      </c>
      <c r="ED215" s="90">
        <v>3336</v>
      </c>
      <c r="EE215" s="186">
        <v>306</v>
      </c>
      <c r="EF215" s="46">
        <v>8488</v>
      </c>
      <c r="EG215" s="130">
        <v>727</v>
      </c>
      <c r="EH215" s="46">
        <v>1122</v>
      </c>
      <c r="EI215" s="130">
        <v>676</v>
      </c>
      <c r="EJ215" s="48">
        <v>-2360</v>
      </c>
      <c r="EK215" s="44">
        <v>985</v>
      </c>
      <c r="EL215" s="44">
        <v>11702</v>
      </c>
      <c r="EM215" s="130">
        <v>25340</v>
      </c>
      <c r="EN215" s="117">
        <v>-214</v>
      </c>
      <c r="EO215" s="117">
        <v>5268</v>
      </c>
      <c r="EP215" s="129">
        <v>22</v>
      </c>
    </row>
    <row r="216" spans="1:146" ht="15" x14ac:dyDescent="0.25">
      <c r="A216" s="27">
        <v>687</v>
      </c>
      <c r="B216" s="27" t="s">
        <v>341</v>
      </c>
      <c r="C216" s="27">
        <v>11</v>
      </c>
      <c r="D216" s="27" t="s">
        <v>118</v>
      </c>
      <c r="E216" s="27">
        <v>1</v>
      </c>
      <c r="F216" s="27" t="s">
        <v>103</v>
      </c>
      <c r="G216" s="29" t="s">
        <v>130</v>
      </c>
      <c r="H216" s="27" t="s">
        <v>98</v>
      </c>
      <c r="I216" s="31" t="s">
        <v>118</v>
      </c>
      <c r="J216" s="118">
        <v>1406.2192531446938</v>
      </c>
      <c r="K216" s="118">
        <v>3268.3959749265437</v>
      </c>
      <c r="L216" s="118">
        <v>2732.8856170730928</v>
      </c>
      <c r="M216" s="118">
        <v>814.36593992663643</v>
      </c>
      <c r="N216" s="22">
        <v>51</v>
      </c>
      <c r="O216" s="119">
        <v>392</v>
      </c>
      <c r="P216" s="119">
        <v>232</v>
      </c>
      <c r="Q216" s="120">
        <v>-377</v>
      </c>
      <c r="R216" s="22">
        <v>-894</v>
      </c>
      <c r="S216" s="22">
        <v>-1118</v>
      </c>
      <c r="T216" s="121">
        <v>602</v>
      </c>
      <c r="U216" s="121">
        <v>1572</v>
      </c>
      <c r="V216" s="121">
        <v>3087</v>
      </c>
      <c r="W216" s="106">
        <v>3725</v>
      </c>
      <c r="X216" s="121">
        <v>4102</v>
      </c>
      <c r="Y216" s="121">
        <v>4528</v>
      </c>
      <c r="Z216" s="121">
        <v>5082</v>
      </c>
      <c r="AA216" s="121">
        <v>4973</v>
      </c>
      <c r="AB216" s="122">
        <v>19</v>
      </c>
      <c r="AC216" s="123">
        <v>19</v>
      </c>
      <c r="AD216" s="124">
        <v>19</v>
      </c>
      <c r="AE216" s="125">
        <v>19</v>
      </c>
      <c r="AF216" s="126">
        <v>19</v>
      </c>
      <c r="AG216" s="123">
        <v>19</v>
      </c>
      <c r="AH216" s="123">
        <v>19</v>
      </c>
      <c r="AI216" s="131">
        <v>19</v>
      </c>
      <c r="AJ216" s="131">
        <v>19.5</v>
      </c>
      <c r="AK216" s="22">
        <v>19.5</v>
      </c>
      <c r="AL216" s="128">
        <v>20</v>
      </c>
      <c r="AM216" s="128">
        <v>20</v>
      </c>
      <c r="AN216" s="128">
        <v>20</v>
      </c>
      <c r="AO216" s="77">
        <v>20</v>
      </c>
      <c r="AP216" s="77">
        <v>20</v>
      </c>
      <c r="AQ216" s="129">
        <v>20</v>
      </c>
      <c r="AR216" s="129">
        <v>20</v>
      </c>
      <c r="AS216" s="129">
        <v>21</v>
      </c>
      <c r="AT216" s="116">
        <v>1784</v>
      </c>
      <c r="AU216" s="47">
        <v>2717</v>
      </c>
      <c r="AV216" s="47">
        <v>14727</v>
      </c>
      <c r="AW216" s="46">
        <v>4811</v>
      </c>
      <c r="AX216" s="46">
        <v>8278</v>
      </c>
      <c r="AY216" s="92">
        <v>348</v>
      </c>
      <c r="AZ216" s="47">
        <v>1280</v>
      </c>
      <c r="BA216" s="44">
        <v>900</v>
      </c>
      <c r="BB216" s="23">
        <v>-1766</v>
      </c>
      <c r="BC216" s="47">
        <v>431</v>
      </c>
      <c r="BD216" s="44">
        <v>431</v>
      </c>
      <c r="BE216" s="47">
        <v>4528</v>
      </c>
      <c r="BF216" s="44">
        <v>4811</v>
      </c>
      <c r="BG216" s="46">
        <v>3641</v>
      </c>
      <c r="BH216" s="130">
        <v>931</v>
      </c>
      <c r="BI216" s="46">
        <v>239</v>
      </c>
      <c r="BJ216" s="129">
        <v>20</v>
      </c>
      <c r="BK216" s="44">
        <v>5476</v>
      </c>
      <c r="BL216" s="116">
        <v>1768</v>
      </c>
      <c r="BM216" s="47">
        <v>2775</v>
      </c>
      <c r="BN216" s="130">
        <v>15473</v>
      </c>
      <c r="BO216" s="46">
        <v>5215</v>
      </c>
      <c r="BP216" s="46">
        <v>8654</v>
      </c>
      <c r="BQ216" s="46">
        <v>264</v>
      </c>
      <c r="BR216" s="130">
        <v>1350</v>
      </c>
      <c r="BS216" s="44">
        <v>804</v>
      </c>
      <c r="BT216" s="92">
        <v>-2140</v>
      </c>
      <c r="BU216" s="117">
        <v>561</v>
      </c>
      <c r="BV216" s="130">
        <v>5082</v>
      </c>
      <c r="BW216" s="48">
        <v>5215</v>
      </c>
      <c r="BX216" s="46">
        <v>3839</v>
      </c>
      <c r="BY216" s="130">
        <v>1118</v>
      </c>
      <c r="BZ216" s="46">
        <v>258</v>
      </c>
      <c r="CA216" s="129">
        <v>20</v>
      </c>
      <c r="CB216" s="44">
        <v>8303</v>
      </c>
      <c r="CC216" s="116">
        <v>1735</v>
      </c>
      <c r="CD216" s="47">
        <v>2917</v>
      </c>
      <c r="CE216" s="130">
        <v>15765</v>
      </c>
      <c r="CF216" s="46">
        <v>5513</v>
      </c>
      <c r="CG216" s="46">
        <v>8358</v>
      </c>
      <c r="CH216" s="46">
        <v>24</v>
      </c>
      <c r="CI216" s="130">
        <v>798</v>
      </c>
      <c r="CJ216" s="44">
        <v>907</v>
      </c>
      <c r="CK216" s="117">
        <v>-3122</v>
      </c>
      <c r="CL216" s="117">
        <v>-109</v>
      </c>
      <c r="CM216" s="117">
        <v>4973</v>
      </c>
      <c r="CN216" s="48">
        <v>5513</v>
      </c>
      <c r="CO216" s="46">
        <v>3878</v>
      </c>
      <c r="CP216" s="130">
        <v>1306</v>
      </c>
      <c r="CQ216" s="46">
        <v>329</v>
      </c>
      <c r="CR216" s="129">
        <v>21</v>
      </c>
      <c r="CS216" s="44">
        <v>10930</v>
      </c>
      <c r="CT216">
        <v>1723</v>
      </c>
      <c r="CU216">
        <v>5356</v>
      </c>
      <c r="CV216">
        <v>8548</v>
      </c>
      <c r="CW216">
        <v>2678</v>
      </c>
      <c r="CX216">
        <v>486</v>
      </c>
      <c r="CY216">
        <v>3819</v>
      </c>
      <c r="CZ216">
        <v>1202</v>
      </c>
      <c r="DA216">
        <v>335</v>
      </c>
      <c r="DB216">
        <v>918</v>
      </c>
      <c r="DC216">
        <v>-1822</v>
      </c>
      <c r="DD216">
        <v>1007</v>
      </c>
      <c r="DE216">
        <v>13744</v>
      </c>
      <c r="DF216">
        <v>16086</v>
      </c>
      <c r="DG216">
        <v>-288</v>
      </c>
      <c r="DH216">
        <v>4685</v>
      </c>
      <c r="DI216">
        <v>21</v>
      </c>
      <c r="DJ216" s="174">
        <v>1698</v>
      </c>
      <c r="DK216" s="34">
        <v>5463</v>
      </c>
      <c r="DL216" s="34">
        <v>8267</v>
      </c>
      <c r="DM216">
        <v>3277</v>
      </c>
      <c r="DN216" s="173">
        <v>203</v>
      </c>
      <c r="DO216" s="34">
        <v>3700</v>
      </c>
      <c r="DP216" s="173">
        <v>1401</v>
      </c>
      <c r="DQ216" s="34">
        <v>362</v>
      </c>
      <c r="DR216" s="173">
        <v>1748</v>
      </c>
      <c r="DS216" s="173">
        <v>-1096</v>
      </c>
      <c r="DT216">
        <v>963</v>
      </c>
      <c r="DU216">
        <v>12643</v>
      </c>
      <c r="DV216" s="173">
        <v>15462</v>
      </c>
      <c r="DW216" s="173">
        <v>785</v>
      </c>
      <c r="DX216" s="173">
        <v>5470</v>
      </c>
      <c r="DY216" s="57">
        <v>21</v>
      </c>
      <c r="DZ216" s="184">
        <v>340</v>
      </c>
      <c r="EA216" s="116">
        <v>1651</v>
      </c>
      <c r="EB216" s="48">
        <v>5549</v>
      </c>
      <c r="EC216" s="46">
        <v>8333</v>
      </c>
      <c r="ED216" s="90">
        <v>2688</v>
      </c>
      <c r="EE216" s="186">
        <v>249</v>
      </c>
      <c r="EF216" s="46">
        <v>3760</v>
      </c>
      <c r="EG216" s="130">
        <v>1359</v>
      </c>
      <c r="EH216" s="46">
        <v>430</v>
      </c>
      <c r="EI216" s="130">
        <v>1411</v>
      </c>
      <c r="EJ216" s="48">
        <v>-798</v>
      </c>
      <c r="EK216" s="44">
        <v>933</v>
      </c>
      <c r="EL216" s="44">
        <v>11114</v>
      </c>
      <c r="EM216" s="130">
        <v>15408</v>
      </c>
      <c r="EN216" s="117">
        <v>478</v>
      </c>
      <c r="EO216" s="117">
        <v>5948</v>
      </c>
      <c r="EP216" s="129">
        <v>22</v>
      </c>
    </row>
    <row r="217" spans="1:146" ht="15" x14ac:dyDescent="0.25">
      <c r="A217" s="27">
        <v>689</v>
      </c>
      <c r="B217" s="27" t="s">
        <v>342</v>
      </c>
      <c r="C217" s="27">
        <v>9</v>
      </c>
      <c r="D217" s="27" t="s">
        <v>105</v>
      </c>
      <c r="E217" s="27">
        <v>2</v>
      </c>
      <c r="F217" s="27" t="s">
        <v>744</v>
      </c>
      <c r="G217" s="29" t="s">
        <v>130</v>
      </c>
      <c r="H217" s="27" t="s">
        <v>98</v>
      </c>
      <c r="I217" s="31" t="s">
        <v>105</v>
      </c>
      <c r="J217" s="118">
        <v>3761.3547873852326</v>
      </c>
      <c r="K217" s="118">
        <v>4175.6016502599341</v>
      </c>
      <c r="L217" s="118">
        <v>3321.0387959089967</v>
      </c>
      <c r="M217" s="118">
        <v>3447.852492460976</v>
      </c>
      <c r="N217" s="22">
        <v>3128</v>
      </c>
      <c r="O217" s="119">
        <v>4034</v>
      </c>
      <c r="P217" s="119">
        <v>3779</v>
      </c>
      <c r="Q217" s="120">
        <v>3202</v>
      </c>
      <c r="R217" s="22">
        <v>3236</v>
      </c>
      <c r="S217" s="22">
        <v>5014</v>
      </c>
      <c r="T217" s="121">
        <v>5568</v>
      </c>
      <c r="U217" s="121">
        <v>5667</v>
      </c>
      <c r="V217" s="121">
        <v>5954</v>
      </c>
      <c r="W217" s="106">
        <v>6311</v>
      </c>
      <c r="X217" s="121">
        <v>6561</v>
      </c>
      <c r="Y217" s="121">
        <v>6660</v>
      </c>
      <c r="Z217" s="121">
        <v>5811</v>
      </c>
      <c r="AA217" s="121">
        <v>6836</v>
      </c>
      <c r="AB217" s="122">
        <v>17.5</v>
      </c>
      <c r="AC217" s="123">
        <v>17.5</v>
      </c>
      <c r="AD217" s="124">
        <v>17.5</v>
      </c>
      <c r="AE217" s="125">
        <v>17.5</v>
      </c>
      <c r="AF217" s="126">
        <v>18</v>
      </c>
      <c r="AG217" s="123">
        <v>18</v>
      </c>
      <c r="AH217" s="123">
        <v>18</v>
      </c>
      <c r="AI217" s="131">
        <v>18</v>
      </c>
      <c r="AJ217" s="131">
        <v>18</v>
      </c>
      <c r="AK217" s="22">
        <v>18</v>
      </c>
      <c r="AL217" s="128">
        <v>18</v>
      </c>
      <c r="AM217" s="128">
        <v>18</v>
      </c>
      <c r="AN217" s="128">
        <v>19</v>
      </c>
      <c r="AO217" s="77">
        <v>19</v>
      </c>
      <c r="AP217" s="77">
        <v>19</v>
      </c>
      <c r="AQ217" s="129">
        <v>19</v>
      </c>
      <c r="AR217" s="129">
        <v>19.75</v>
      </c>
      <c r="AS217" s="129">
        <v>20.5</v>
      </c>
      <c r="AT217" s="116">
        <v>3682</v>
      </c>
      <c r="AU217" s="47">
        <v>3568</v>
      </c>
      <c r="AV217" s="47">
        <v>24723</v>
      </c>
      <c r="AW217" s="46">
        <v>11081</v>
      </c>
      <c r="AX217" s="46">
        <v>11800</v>
      </c>
      <c r="AY217" s="92">
        <v>50</v>
      </c>
      <c r="AZ217" s="47">
        <v>1712</v>
      </c>
      <c r="BA217" s="44">
        <v>1677</v>
      </c>
      <c r="BB217" s="23">
        <v>-1894</v>
      </c>
      <c r="BC217" s="47">
        <v>35</v>
      </c>
      <c r="BD217" s="44">
        <v>99</v>
      </c>
      <c r="BE217" s="47">
        <v>6660</v>
      </c>
      <c r="BF217" s="44">
        <v>11081</v>
      </c>
      <c r="BG217" s="46">
        <v>10046</v>
      </c>
      <c r="BH217" s="130">
        <v>529</v>
      </c>
      <c r="BI217" s="46">
        <v>506</v>
      </c>
      <c r="BJ217" s="129">
        <v>19</v>
      </c>
      <c r="BK217" s="44">
        <v>3600</v>
      </c>
      <c r="BL217" s="116">
        <v>3626</v>
      </c>
      <c r="BM217" s="47">
        <v>2924</v>
      </c>
      <c r="BN217" s="130">
        <v>26503</v>
      </c>
      <c r="BO217" s="46">
        <v>11716</v>
      </c>
      <c r="BP217" s="46">
        <v>12677</v>
      </c>
      <c r="BQ217" s="46">
        <v>19</v>
      </c>
      <c r="BR217" s="130">
        <v>785</v>
      </c>
      <c r="BS217" s="44">
        <v>1699</v>
      </c>
      <c r="BT217" s="92">
        <v>-1356</v>
      </c>
      <c r="BU217" s="117">
        <v>-850</v>
      </c>
      <c r="BV217" s="130">
        <v>5811</v>
      </c>
      <c r="BW217" s="48">
        <v>11716</v>
      </c>
      <c r="BX217" s="46">
        <v>10547</v>
      </c>
      <c r="BY217" s="130">
        <v>613</v>
      </c>
      <c r="BZ217" s="46">
        <v>556</v>
      </c>
      <c r="CA217" s="129">
        <v>19.75</v>
      </c>
      <c r="CB217" s="44">
        <v>3100</v>
      </c>
      <c r="CC217" s="116">
        <v>3537</v>
      </c>
      <c r="CD217" s="47">
        <v>3231</v>
      </c>
      <c r="CE217" s="130">
        <v>25036</v>
      </c>
      <c r="CF217" s="46">
        <v>12249</v>
      </c>
      <c r="CG217" s="46">
        <v>12212</v>
      </c>
      <c r="CH217" s="46">
        <v>34</v>
      </c>
      <c r="CI217" s="130">
        <v>2639</v>
      </c>
      <c r="CJ217" s="44">
        <v>1470</v>
      </c>
      <c r="CK217" s="117">
        <v>-5982</v>
      </c>
      <c r="CL217" s="117">
        <v>1024</v>
      </c>
      <c r="CM217" s="117">
        <v>6836</v>
      </c>
      <c r="CN217" s="48">
        <v>12249</v>
      </c>
      <c r="CO217" s="46">
        <v>10798</v>
      </c>
      <c r="CP217" s="130">
        <v>738</v>
      </c>
      <c r="CQ217" s="46">
        <v>713</v>
      </c>
      <c r="CR217" s="129">
        <v>20.5</v>
      </c>
      <c r="CS217" s="44">
        <v>5300</v>
      </c>
      <c r="CT217">
        <v>3473</v>
      </c>
      <c r="CU217">
        <v>12336</v>
      </c>
      <c r="CV217">
        <v>12327</v>
      </c>
      <c r="CW217">
        <v>3412</v>
      </c>
      <c r="CX217">
        <v>18</v>
      </c>
      <c r="CY217">
        <v>10545</v>
      </c>
      <c r="CZ217">
        <v>1060</v>
      </c>
      <c r="DA217">
        <v>731</v>
      </c>
      <c r="DB217">
        <v>3436</v>
      </c>
      <c r="DC217">
        <v>-3566</v>
      </c>
      <c r="DD217">
        <v>1666</v>
      </c>
      <c r="DE217">
        <v>7776</v>
      </c>
      <c r="DF217">
        <v>24624</v>
      </c>
      <c r="DG217">
        <v>2059</v>
      </c>
      <c r="DH217">
        <v>8894</v>
      </c>
      <c r="DI217">
        <v>20.5</v>
      </c>
      <c r="DJ217" s="174">
        <v>3436</v>
      </c>
      <c r="DK217" s="34">
        <v>12775</v>
      </c>
      <c r="DL217" s="34">
        <v>11539</v>
      </c>
      <c r="DM217">
        <v>3163</v>
      </c>
      <c r="DN217" s="173">
        <v>-3</v>
      </c>
      <c r="DO217" s="34">
        <v>10559</v>
      </c>
      <c r="DP217" s="173">
        <v>1456</v>
      </c>
      <c r="DQ217" s="34">
        <v>760</v>
      </c>
      <c r="DR217" s="173">
        <v>2347</v>
      </c>
      <c r="DS217" s="173">
        <v>-888</v>
      </c>
      <c r="DT217">
        <v>1733</v>
      </c>
      <c r="DU217">
        <v>6120</v>
      </c>
      <c r="DV217" s="173">
        <v>25127</v>
      </c>
      <c r="DW217" s="173">
        <v>718</v>
      </c>
      <c r="DX217" s="173">
        <v>9562</v>
      </c>
      <c r="DY217" s="57">
        <v>20.25</v>
      </c>
      <c r="DZ217" s="184">
        <v>340</v>
      </c>
      <c r="EA217" s="116">
        <v>3335</v>
      </c>
      <c r="EB217" s="48">
        <v>11993</v>
      </c>
      <c r="EC217" s="46">
        <v>10645</v>
      </c>
      <c r="ED217" s="90">
        <v>3138</v>
      </c>
      <c r="EE217" s="186">
        <v>23</v>
      </c>
      <c r="EF217" s="46">
        <v>9850</v>
      </c>
      <c r="EG217" s="130">
        <v>1392</v>
      </c>
      <c r="EH217" s="46">
        <v>751</v>
      </c>
      <c r="EI217" s="130">
        <v>1639</v>
      </c>
      <c r="EJ217" s="48">
        <v>-805</v>
      </c>
      <c r="EK217" s="44">
        <v>1840</v>
      </c>
      <c r="EL217" s="44">
        <v>5864</v>
      </c>
      <c r="EM217" s="130">
        <v>24160</v>
      </c>
      <c r="EN217" s="117">
        <v>-97</v>
      </c>
      <c r="EO217" s="117">
        <v>9571</v>
      </c>
      <c r="EP217" s="129">
        <v>20.25</v>
      </c>
    </row>
    <row r="218" spans="1:146" ht="15" x14ac:dyDescent="0.25">
      <c r="A218" s="27">
        <v>691</v>
      </c>
      <c r="B218" s="27" t="s">
        <v>343</v>
      </c>
      <c r="C218" s="27">
        <v>17</v>
      </c>
      <c r="D218" s="27" t="s">
        <v>117</v>
      </c>
      <c r="E218" s="27">
        <v>2</v>
      </c>
      <c r="F218" s="27" t="s">
        <v>744</v>
      </c>
      <c r="G218" s="29" t="s">
        <v>130</v>
      </c>
      <c r="H218" s="27" t="s">
        <v>98</v>
      </c>
      <c r="I218" s="31" t="s">
        <v>117</v>
      </c>
      <c r="J218" s="118">
        <v>56.006579511683171</v>
      </c>
      <c r="K218" s="118">
        <v>5426.078883501269</v>
      </c>
      <c r="L218" s="118">
        <v>4446.0478360100442</v>
      </c>
      <c r="M218" s="118">
        <v>4618.2722727066312</v>
      </c>
      <c r="N218" s="22">
        <v>5129</v>
      </c>
      <c r="O218" s="119">
        <v>4799</v>
      </c>
      <c r="P218" s="119">
        <v>3556</v>
      </c>
      <c r="Q218" s="120">
        <v>2621</v>
      </c>
      <c r="R218" s="22">
        <v>1878</v>
      </c>
      <c r="S218" s="22">
        <v>2225</v>
      </c>
      <c r="T218" s="121">
        <v>1242</v>
      </c>
      <c r="U218" s="121">
        <v>567</v>
      </c>
      <c r="V218" s="121">
        <v>1346</v>
      </c>
      <c r="W218" s="106">
        <v>1298</v>
      </c>
      <c r="X218" s="121">
        <v>287</v>
      </c>
      <c r="Y218" s="121">
        <v>-602</v>
      </c>
      <c r="Z218" s="121">
        <v>2478</v>
      </c>
      <c r="AA218" s="121">
        <v>2651</v>
      </c>
      <c r="AB218" s="122">
        <v>19</v>
      </c>
      <c r="AC218" s="123">
        <v>19</v>
      </c>
      <c r="AD218" s="124">
        <v>19</v>
      </c>
      <c r="AE218" s="125">
        <v>19</v>
      </c>
      <c r="AF218" s="126">
        <v>19</v>
      </c>
      <c r="AG218" s="123">
        <v>19</v>
      </c>
      <c r="AH218" s="123">
        <v>19</v>
      </c>
      <c r="AI218" s="127">
        <v>19</v>
      </c>
      <c r="AJ218" s="127">
        <v>20</v>
      </c>
      <c r="AK218" s="22">
        <v>20</v>
      </c>
      <c r="AL218" s="128">
        <v>20</v>
      </c>
      <c r="AM218" s="128">
        <v>20</v>
      </c>
      <c r="AN218" s="128">
        <v>21</v>
      </c>
      <c r="AO218" s="77">
        <v>21</v>
      </c>
      <c r="AP218" s="77">
        <v>21</v>
      </c>
      <c r="AQ218" s="129">
        <v>21</v>
      </c>
      <c r="AR218" s="129">
        <v>22</v>
      </c>
      <c r="AS218" s="129">
        <v>22</v>
      </c>
      <c r="AT218" s="116">
        <v>2925</v>
      </c>
      <c r="AU218" s="47">
        <v>8701</v>
      </c>
      <c r="AV218" s="47">
        <v>26612</v>
      </c>
      <c r="AW218" s="46">
        <v>7977</v>
      </c>
      <c r="AX218" s="46">
        <v>9209</v>
      </c>
      <c r="AY218" s="92">
        <v>585</v>
      </c>
      <c r="AZ218" s="47">
        <v>-343</v>
      </c>
      <c r="BA218" s="44">
        <v>587</v>
      </c>
      <c r="BB218" s="23">
        <v>-162</v>
      </c>
      <c r="BC218" s="47">
        <v>-889</v>
      </c>
      <c r="BD218" s="44">
        <v>-889</v>
      </c>
      <c r="BE218" s="47">
        <v>-602</v>
      </c>
      <c r="BF218" s="44">
        <v>7977</v>
      </c>
      <c r="BG218" s="46">
        <v>7219</v>
      </c>
      <c r="BH218" s="130">
        <v>262</v>
      </c>
      <c r="BI218" s="46">
        <v>496</v>
      </c>
      <c r="BJ218" s="129">
        <v>21</v>
      </c>
      <c r="BK218" s="44">
        <v>16975</v>
      </c>
      <c r="BL218" s="116">
        <v>2901</v>
      </c>
      <c r="BM218" s="47">
        <v>8005</v>
      </c>
      <c r="BN218" s="130">
        <v>25402</v>
      </c>
      <c r="BO218" s="46">
        <v>8345</v>
      </c>
      <c r="BP218" s="46">
        <v>12395</v>
      </c>
      <c r="BQ218" s="46">
        <v>630</v>
      </c>
      <c r="BR218" s="130">
        <v>3837</v>
      </c>
      <c r="BS218" s="44">
        <v>758</v>
      </c>
      <c r="BT218" s="92">
        <v>552</v>
      </c>
      <c r="BU218" s="117">
        <v>3080</v>
      </c>
      <c r="BV218" s="130">
        <v>2478</v>
      </c>
      <c r="BW218" s="48">
        <v>8345</v>
      </c>
      <c r="BX218" s="46">
        <v>7408</v>
      </c>
      <c r="BY218" s="130">
        <v>304</v>
      </c>
      <c r="BZ218" s="46">
        <v>633</v>
      </c>
      <c r="CA218" s="129">
        <v>22</v>
      </c>
      <c r="CB218" s="44">
        <v>18694</v>
      </c>
      <c r="CC218" s="116">
        <v>2894</v>
      </c>
      <c r="CD218" s="47">
        <v>7759</v>
      </c>
      <c r="CE218" s="130">
        <v>25880</v>
      </c>
      <c r="CF218" s="46">
        <v>8760</v>
      </c>
      <c r="CG218" s="46">
        <v>10335</v>
      </c>
      <c r="CH218" s="46">
        <v>541</v>
      </c>
      <c r="CI218" s="130">
        <v>1369</v>
      </c>
      <c r="CJ218" s="44">
        <v>1197</v>
      </c>
      <c r="CK218" s="117">
        <v>-1292</v>
      </c>
      <c r="CL218" s="117">
        <v>172</v>
      </c>
      <c r="CM218" s="117">
        <v>2651</v>
      </c>
      <c r="CN218" s="48">
        <v>8760</v>
      </c>
      <c r="CO218" s="46">
        <v>7748</v>
      </c>
      <c r="CP218" s="130">
        <v>355</v>
      </c>
      <c r="CQ218" s="46">
        <v>657</v>
      </c>
      <c r="CR218" s="129">
        <v>22</v>
      </c>
      <c r="CS218" s="44">
        <v>19710</v>
      </c>
      <c r="CT218">
        <v>2854</v>
      </c>
      <c r="CU218">
        <v>7858</v>
      </c>
      <c r="CV218">
        <v>10551</v>
      </c>
      <c r="CW218">
        <v>7079</v>
      </c>
      <c r="CX218">
        <v>182</v>
      </c>
      <c r="CY218">
        <v>6830</v>
      </c>
      <c r="CZ218">
        <v>344</v>
      </c>
      <c r="DA218">
        <v>684</v>
      </c>
      <c r="DB218">
        <v>53</v>
      </c>
      <c r="DC218">
        <v>-4863</v>
      </c>
      <c r="DD218">
        <v>1463</v>
      </c>
      <c r="DE218">
        <v>26569</v>
      </c>
      <c r="DF218">
        <v>25496</v>
      </c>
      <c r="DG218">
        <v>-1393</v>
      </c>
      <c r="DH218">
        <v>1257</v>
      </c>
      <c r="DI218">
        <v>22</v>
      </c>
      <c r="DJ218" s="174">
        <v>2813</v>
      </c>
      <c r="DK218" s="34">
        <v>8242</v>
      </c>
      <c r="DL218" s="34">
        <v>10982</v>
      </c>
      <c r="DM218">
        <v>7133</v>
      </c>
      <c r="DN218" s="173">
        <v>574</v>
      </c>
      <c r="DO218" s="34">
        <v>7136</v>
      </c>
      <c r="DP218" s="173">
        <v>415</v>
      </c>
      <c r="DQ218" s="34">
        <v>691</v>
      </c>
      <c r="DR218" s="173">
        <v>809</v>
      </c>
      <c r="DS218" s="173">
        <v>-6139</v>
      </c>
      <c r="DT218">
        <v>931</v>
      </c>
      <c r="DU218">
        <v>29560</v>
      </c>
      <c r="DV218" s="173">
        <v>25497</v>
      </c>
      <c r="DW218" s="173">
        <v>-539</v>
      </c>
      <c r="DX218" s="173">
        <v>718</v>
      </c>
      <c r="DY218" s="57">
        <v>22</v>
      </c>
      <c r="DZ218" s="184">
        <v>340</v>
      </c>
      <c r="EA218" s="116">
        <v>2743</v>
      </c>
      <c r="EB218" s="48">
        <v>8030</v>
      </c>
      <c r="EC218" s="46">
        <v>10731</v>
      </c>
      <c r="ED218" s="90">
        <v>6991</v>
      </c>
      <c r="EE218" s="186">
        <v>-683</v>
      </c>
      <c r="EF218" s="46">
        <v>6965</v>
      </c>
      <c r="EG218" s="130">
        <v>373</v>
      </c>
      <c r="EH218" s="46">
        <v>692</v>
      </c>
      <c r="EI218" s="130">
        <v>-906</v>
      </c>
      <c r="EJ218" s="48">
        <v>-650</v>
      </c>
      <c r="EK218" s="44">
        <v>941</v>
      </c>
      <c r="EL218" s="44">
        <v>30188</v>
      </c>
      <c r="EM218" s="130">
        <v>25975</v>
      </c>
      <c r="EN218" s="117">
        <v>-1847</v>
      </c>
      <c r="EO218" s="117">
        <v>-1129</v>
      </c>
      <c r="EP218" s="129">
        <v>22.5</v>
      </c>
    </row>
    <row r="219" spans="1:146" ht="15" x14ac:dyDescent="0.25">
      <c r="A219" s="27">
        <v>694</v>
      </c>
      <c r="B219" s="27" t="s">
        <v>344</v>
      </c>
      <c r="C219" s="27">
        <v>5</v>
      </c>
      <c r="D219" s="27" t="s">
        <v>109</v>
      </c>
      <c r="E219" s="27">
        <v>5</v>
      </c>
      <c r="F219" s="27" t="s">
        <v>101</v>
      </c>
      <c r="G219" s="29" t="s">
        <v>141</v>
      </c>
      <c r="H219" s="27" t="s">
        <v>97</v>
      </c>
      <c r="I219" s="31" t="s">
        <v>109</v>
      </c>
      <c r="J219" s="118">
        <v>-435.27035368239052</v>
      </c>
      <c r="K219" s="118">
        <v>2428.8018460306807</v>
      </c>
      <c r="L219" s="118">
        <v>774.33721342879676</v>
      </c>
      <c r="M219" s="118">
        <v>2842.8805209789207</v>
      </c>
      <c r="N219" s="22">
        <v>10797</v>
      </c>
      <c r="O219" s="119">
        <v>12669</v>
      </c>
      <c r="P219" s="119">
        <v>12016</v>
      </c>
      <c r="Q219" s="120">
        <v>11589</v>
      </c>
      <c r="R219" s="22">
        <v>12025</v>
      </c>
      <c r="S219" s="22">
        <v>12455</v>
      </c>
      <c r="T219" s="121">
        <v>6347</v>
      </c>
      <c r="U219" s="121">
        <v>2860</v>
      </c>
      <c r="V219" s="121">
        <v>10884</v>
      </c>
      <c r="W219" s="106">
        <v>5925</v>
      </c>
      <c r="X219" s="121">
        <v>7014</v>
      </c>
      <c r="Y219" s="121">
        <v>10555</v>
      </c>
      <c r="Z219" s="121">
        <v>19639</v>
      </c>
      <c r="AA219" s="121">
        <v>16869</v>
      </c>
      <c r="AB219" s="122">
        <v>18</v>
      </c>
      <c r="AC219" s="123">
        <v>18</v>
      </c>
      <c r="AD219" s="124">
        <v>18</v>
      </c>
      <c r="AE219" s="125">
        <v>18</v>
      </c>
      <c r="AF219" s="126">
        <v>18</v>
      </c>
      <c r="AG219" s="123">
        <v>18</v>
      </c>
      <c r="AH219" s="123">
        <v>18</v>
      </c>
      <c r="AI219" s="127">
        <v>18</v>
      </c>
      <c r="AJ219" s="127">
        <v>18.5</v>
      </c>
      <c r="AK219" s="22">
        <v>18.5</v>
      </c>
      <c r="AL219" s="128">
        <v>19</v>
      </c>
      <c r="AM219" s="128">
        <v>19</v>
      </c>
      <c r="AN219" s="128">
        <v>19.75</v>
      </c>
      <c r="AO219" s="77">
        <v>19.75</v>
      </c>
      <c r="AP219" s="77">
        <v>19.75</v>
      </c>
      <c r="AQ219" s="129">
        <v>19.75</v>
      </c>
      <c r="AR219" s="129">
        <v>20.5</v>
      </c>
      <c r="AS219" s="129">
        <v>20.5</v>
      </c>
      <c r="AT219" s="116">
        <v>29318</v>
      </c>
      <c r="AU219" s="47">
        <v>29891</v>
      </c>
      <c r="AV219" s="47">
        <v>171112</v>
      </c>
      <c r="AW219" s="46">
        <v>115068</v>
      </c>
      <c r="AX219" s="46">
        <v>37677</v>
      </c>
      <c r="AY219" s="92">
        <v>572</v>
      </c>
      <c r="AZ219" s="47">
        <v>10406</v>
      </c>
      <c r="BA219" s="44">
        <v>6354</v>
      </c>
      <c r="BB219" s="23">
        <v>-23841</v>
      </c>
      <c r="BC219" s="47">
        <v>4052</v>
      </c>
      <c r="BD219" s="44">
        <v>3679</v>
      </c>
      <c r="BE219" s="47">
        <v>10555</v>
      </c>
      <c r="BF219" s="44">
        <v>115068</v>
      </c>
      <c r="BG219" s="46">
        <v>100717</v>
      </c>
      <c r="BH219" s="130">
        <v>6484</v>
      </c>
      <c r="BI219" s="46">
        <v>7867</v>
      </c>
      <c r="BJ219" s="129">
        <v>19.75</v>
      </c>
      <c r="BK219" s="44">
        <v>115684</v>
      </c>
      <c r="BL219" s="116">
        <v>29350</v>
      </c>
      <c r="BM219" s="47">
        <v>28212</v>
      </c>
      <c r="BN219" s="130">
        <v>174269</v>
      </c>
      <c r="BO219" s="46">
        <v>117900</v>
      </c>
      <c r="BP219" s="46">
        <v>37247</v>
      </c>
      <c r="BQ219" s="46">
        <v>8650</v>
      </c>
      <c r="BR219" s="130">
        <v>7981</v>
      </c>
      <c r="BS219" s="44">
        <v>6937</v>
      </c>
      <c r="BT219" s="92">
        <v>-12109</v>
      </c>
      <c r="BU219" s="117">
        <v>9084</v>
      </c>
      <c r="BV219" s="130">
        <v>19639</v>
      </c>
      <c r="BW219" s="48">
        <v>117900</v>
      </c>
      <c r="BX219" s="46">
        <v>102799</v>
      </c>
      <c r="BY219" s="130">
        <v>6937</v>
      </c>
      <c r="BZ219" s="46">
        <v>8164</v>
      </c>
      <c r="CA219" s="129">
        <v>20.5</v>
      </c>
      <c r="CB219" s="44">
        <v>118733</v>
      </c>
      <c r="CC219" s="116">
        <v>29269</v>
      </c>
      <c r="CD219" s="47">
        <v>30238</v>
      </c>
      <c r="CE219" s="130">
        <v>177004</v>
      </c>
      <c r="CF219" s="46">
        <v>122881</v>
      </c>
      <c r="CG219" s="46">
        <v>35025</v>
      </c>
      <c r="CH219" s="46">
        <v>3132</v>
      </c>
      <c r="CI219" s="130">
        <v>11373</v>
      </c>
      <c r="CJ219" s="44">
        <v>8528</v>
      </c>
      <c r="CK219" s="117">
        <v>-8780</v>
      </c>
      <c r="CL219" s="117">
        <v>2466</v>
      </c>
      <c r="CM219" s="117">
        <v>16869</v>
      </c>
      <c r="CN219" s="48">
        <v>122881</v>
      </c>
      <c r="CO219" s="46">
        <v>106161</v>
      </c>
      <c r="CP219" s="130">
        <v>9324</v>
      </c>
      <c r="CQ219" s="46">
        <v>7396</v>
      </c>
      <c r="CR219" s="129">
        <v>20.5</v>
      </c>
      <c r="CS219" s="44">
        <v>118305</v>
      </c>
      <c r="CT219">
        <v>29160</v>
      </c>
      <c r="CU219">
        <v>120165</v>
      </c>
      <c r="CV219">
        <v>35755</v>
      </c>
      <c r="CW219">
        <v>30526</v>
      </c>
      <c r="CX219">
        <v>1745</v>
      </c>
      <c r="CY219">
        <v>103431</v>
      </c>
      <c r="CZ219">
        <v>6983</v>
      </c>
      <c r="DA219">
        <v>9751</v>
      </c>
      <c r="DB219">
        <v>8694</v>
      </c>
      <c r="DC219">
        <v>-7928</v>
      </c>
      <c r="DD219">
        <v>9682</v>
      </c>
      <c r="DE219">
        <v>120524</v>
      </c>
      <c r="DF219">
        <v>178317</v>
      </c>
      <c r="DG219">
        <v>-941</v>
      </c>
      <c r="DH219">
        <v>15928</v>
      </c>
      <c r="DI219">
        <v>20.5</v>
      </c>
      <c r="DJ219" s="174">
        <v>29021</v>
      </c>
      <c r="DK219" s="34">
        <v>121704</v>
      </c>
      <c r="DL219" s="34">
        <v>35720</v>
      </c>
      <c r="DM219">
        <v>30207</v>
      </c>
      <c r="DN219" s="173">
        <v>878</v>
      </c>
      <c r="DO219" s="34">
        <v>103379</v>
      </c>
      <c r="DP219" s="173">
        <v>8703</v>
      </c>
      <c r="DQ219" s="34">
        <v>9622</v>
      </c>
      <c r="DR219" s="173">
        <v>19143</v>
      </c>
      <c r="DS219" s="173">
        <v>-8672</v>
      </c>
      <c r="DT219">
        <v>14104</v>
      </c>
      <c r="DU219">
        <v>118829</v>
      </c>
      <c r="DV219" s="173">
        <v>169366</v>
      </c>
      <c r="DW219" s="173">
        <v>5036</v>
      </c>
      <c r="DX219" s="173">
        <v>20964</v>
      </c>
      <c r="DY219" s="57">
        <v>20.5</v>
      </c>
      <c r="DZ219" s="184">
        <v>130</v>
      </c>
      <c r="EA219" s="116">
        <v>28736</v>
      </c>
      <c r="EB219" s="48">
        <v>119998</v>
      </c>
      <c r="EC219" s="46">
        <v>35272</v>
      </c>
      <c r="ED219" s="90">
        <v>27450</v>
      </c>
      <c r="EE219" s="186">
        <v>1564</v>
      </c>
      <c r="EF219" s="46">
        <v>102234</v>
      </c>
      <c r="EG219" s="130">
        <v>8036</v>
      </c>
      <c r="EH219" s="46">
        <v>9728</v>
      </c>
      <c r="EI219" s="130">
        <v>15230</v>
      </c>
      <c r="EJ219" s="48">
        <v>-15605</v>
      </c>
      <c r="EK219" s="44">
        <v>17868</v>
      </c>
      <c r="EL219" s="44">
        <v>115437</v>
      </c>
      <c r="EM219" s="130">
        <v>169054</v>
      </c>
      <c r="EN219" s="117">
        <v>-2591</v>
      </c>
      <c r="EO219" s="117">
        <v>20339</v>
      </c>
      <c r="EP219" s="129">
        <v>20.5</v>
      </c>
    </row>
    <row r="220" spans="1:146" ht="15" x14ac:dyDescent="0.25">
      <c r="A220" s="27">
        <v>697</v>
      </c>
      <c r="B220" s="27" t="s">
        <v>345</v>
      </c>
      <c r="C220" s="27">
        <v>18</v>
      </c>
      <c r="D220" s="27" t="s">
        <v>108</v>
      </c>
      <c r="E220" s="27">
        <v>1</v>
      </c>
      <c r="F220" s="27" t="s">
        <v>103</v>
      </c>
      <c r="G220" s="29" t="s">
        <v>130</v>
      </c>
      <c r="H220" s="27" t="s">
        <v>98</v>
      </c>
      <c r="I220" s="31" t="s">
        <v>108</v>
      </c>
      <c r="J220" s="118">
        <v>172.89718840243333</v>
      </c>
      <c r="K220" s="118">
        <v>234.11759363442334</v>
      </c>
      <c r="L220" s="118">
        <v>872.05439870293469</v>
      </c>
      <c r="M220" s="118">
        <v>302.73826763071986</v>
      </c>
      <c r="N220" s="22">
        <v>139</v>
      </c>
      <c r="O220" s="119">
        <v>-182</v>
      </c>
      <c r="P220" s="119">
        <v>-419</v>
      </c>
      <c r="Q220" s="120">
        <v>-675</v>
      </c>
      <c r="R220" s="22">
        <v>412</v>
      </c>
      <c r="S220" s="22">
        <v>757</v>
      </c>
      <c r="T220" s="121">
        <v>747</v>
      </c>
      <c r="U220" s="121">
        <v>859</v>
      </c>
      <c r="V220" s="121">
        <v>1569</v>
      </c>
      <c r="W220" s="106">
        <v>2141</v>
      </c>
      <c r="X220" s="121">
        <v>2084</v>
      </c>
      <c r="Y220" s="121">
        <v>1712</v>
      </c>
      <c r="Z220" s="121">
        <v>1821</v>
      </c>
      <c r="AA220" s="121">
        <v>1939</v>
      </c>
      <c r="AB220" s="122">
        <v>19.25</v>
      </c>
      <c r="AC220" s="123">
        <v>19</v>
      </c>
      <c r="AD220" s="124">
        <v>19</v>
      </c>
      <c r="AE220" s="125">
        <v>19</v>
      </c>
      <c r="AF220" s="126">
        <v>19</v>
      </c>
      <c r="AG220" s="123">
        <v>19</v>
      </c>
      <c r="AH220" s="123">
        <v>19</v>
      </c>
      <c r="AI220" s="127">
        <v>19</v>
      </c>
      <c r="AJ220" s="127">
        <v>19</v>
      </c>
      <c r="AK220" s="22">
        <v>19.25</v>
      </c>
      <c r="AL220" s="128">
        <v>19.5</v>
      </c>
      <c r="AM220" s="128">
        <v>19.5</v>
      </c>
      <c r="AN220" s="128">
        <v>19.5</v>
      </c>
      <c r="AO220" s="77">
        <v>19.75</v>
      </c>
      <c r="AP220" s="77">
        <v>19.75</v>
      </c>
      <c r="AQ220" s="129">
        <v>21</v>
      </c>
      <c r="AR220" s="129">
        <v>21</v>
      </c>
      <c r="AS220" s="129">
        <v>21.5</v>
      </c>
      <c r="AT220" s="116">
        <v>1427</v>
      </c>
      <c r="AU220" s="47">
        <v>4161</v>
      </c>
      <c r="AV220" s="47">
        <v>14692</v>
      </c>
      <c r="AW220" s="46">
        <v>4547</v>
      </c>
      <c r="AX220" s="46">
        <v>6003</v>
      </c>
      <c r="AY220" s="92">
        <v>10</v>
      </c>
      <c r="AZ220" s="47">
        <v>4</v>
      </c>
      <c r="BA220" s="44">
        <v>502</v>
      </c>
      <c r="BB220" s="23">
        <v>-1723</v>
      </c>
      <c r="BC220" s="47">
        <v>-498</v>
      </c>
      <c r="BD220" s="44">
        <v>-372</v>
      </c>
      <c r="BE220" s="47">
        <v>1712</v>
      </c>
      <c r="BF220" s="44">
        <v>4547</v>
      </c>
      <c r="BG220" s="46">
        <v>3495</v>
      </c>
      <c r="BH220" s="130">
        <v>362</v>
      </c>
      <c r="BI220" s="46">
        <v>690</v>
      </c>
      <c r="BJ220" s="129">
        <v>21</v>
      </c>
      <c r="BK220" s="44">
        <v>5333</v>
      </c>
      <c r="BL220" s="116">
        <v>1416</v>
      </c>
      <c r="BM220" s="47">
        <v>4265</v>
      </c>
      <c r="BN220" s="130">
        <v>14287</v>
      </c>
      <c r="BO220" s="46">
        <v>4768</v>
      </c>
      <c r="BP220" s="46">
        <v>5837</v>
      </c>
      <c r="BQ220" s="46">
        <v>9</v>
      </c>
      <c r="BR220" s="130">
        <v>569</v>
      </c>
      <c r="BS220" s="44">
        <v>578</v>
      </c>
      <c r="BT220" s="92">
        <v>-343</v>
      </c>
      <c r="BU220" s="117">
        <v>110</v>
      </c>
      <c r="BV220" s="130">
        <v>1821</v>
      </c>
      <c r="BW220" s="48">
        <v>4768</v>
      </c>
      <c r="BX220" s="46">
        <v>3607</v>
      </c>
      <c r="BY220" s="130">
        <v>390</v>
      </c>
      <c r="BZ220" s="46">
        <v>771</v>
      </c>
      <c r="CA220" s="129">
        <v>21</v>
      </c>
      <c r="CB220" s="44">
        <v>4979</v>
      </c>
      <c r="CC220" s="116">
        <v>1351</v>
      </c>
      <c r="CD220" s="47">
        <v>4356</v>
      </c>
      <c r="CE220" s="130">
        <v>14699</v>
      </c>
      <c r="CF220" s="46">
        <v>5134</v>
      </c>
      <c r="CG220" s="46">
        <v>5791</v>
      </c>
      <c r="CH220" s="46">
        <v>1</v>
      </c>
      <c r="CI220" s="130">
        <v>548</v>
      </c>
      <c r="CJ220" s="44">
        <v>559</v>
      </c>
      <c r="CK220" s="117">
        <v>-3</v>
      </c>
      <c r="CL220" s="117">
        <v>118</v>
      </c>
      <c r="CM220" s="117">
        <v>1939</v>
      </c>
      <c r="CN220" s="48">
        <v>5134</v>
      </c>
      <c r="CO220" s="46">
        <v>3895</v>
      </c>
      <c r="CP220" s="130">
        <v>468</v>
      </c>
      <c r="CQ220" s="46">
        <v>771</v>
      </c>
      <c r="CR220" s="129">
        <v>21.5</v>
      </c>
      <c r="CS220" s="44">
        <v>5260</v>
      </c>
      <c r="CT220">
        <v>1345</v>
      </c>
      <c r="CU220">
        <v>4818</v>
      </c>
      <c r="CV220">
        <v>6087</v>
      </c>
      <c r="CW220">
        <v>3784</v>
      </c>
      <c r="CX220">
        <v>97</v>
      </c>
      <c r="CY220">
        <v>3537</v>
      </c>
      <c r="CZ220">
        <v>435</v>
      </c>
      <c r="DA220">
        <v>846</v>
      </c>
      <c r="DB220">
        <v>382</v>
      </c>
      <c r="DC220">
        <v>-166</v>
      </c>
      <c r="DD220">
        <v>519</v>
      </c>
      <c r="DE220">
        <v>5048</v>
      </c>
      <c r="DF220">
        <v>14380</v>
      </c>
      <c r="DG220">
        <v>-28</v>
      </c>
      <c r="DH220">
        <v>1911</v>
      </c>
      <c r="DI220">
        <v>21.5</v>
      </c>
      <c r="DJ220" s="174">
        <v>1317</v>
      </c>
      <c r="DK220" s="34">
        <v>5081</v>
      </c>
      <c r="DL220" s="34">
        <v>6081</v>
      </c>
      <c r="DM220">
        <v>3791</v>
      </c>
      <c r="DN220" s="173">
        <v>-207</v>
      </c>
      <c r="DO220" s="34">
        <v>3761</v>
      </c>
      <c r="DP220" s="173">
        <v>494</v>
      </c>
      <c r="DQ220" s="34">
        <v>826</v>
      </c>
      <c r="DR220" s="173">
        <v>464</v>
      </c>
      <c r="DS220" s="173">
        <v>-301</v>
      </c>
      <c r="DT220">
        <v>593</v>
      </c>
      <c r="DU220">
        <v>5037</v>
      </c>
      <c r="DV220" s="173">
        <v>14282</v>
      </c>
      <c r="DW220" s="173">
        <v>-49</v>
      </c>
      <c r="DX220" s="173">
        <v>1862</v>
      </c>
      <c r="DY220" s="57">
        <v>21.5</v>
      </c>
      <c r="DZ220" s="184">
        <v>340</v>
      </c>
      <c r="EA220" s="116">
        <v>1288</v>
      </c>
      <c r="EB220" s="48">
        <v>4816</v>
      </c>
      <c r="EC220" s="46">
        <v>5777</v>
      </c>
      <c r="ED220" s="90">
        <v>3946</v>
      </c>
      <c r="EE220" s="186">
        <v>-26</v>
      </c>
      <c r="EF220" s="46">
        <v>3555</v>
      </c>
      <c r="EG220" s="130">
        <v>443</v>
      </c>
      <c r="EH220" s="46">
        <v>818</v>
      </c>
      <c r="EI220" s="130">
        <v>-55</v>
      </c>
      <c r="EJ220" s="48">
        <v>-111</v>
      </c>
      <c r="EK220" s="44">
        <v>566</v>
      </c>
      <c r="EL220" s="44">
        <v>4606</v>
      </c>
      <c r="EM220" s="130">
        <v>14568</v>
      </c>
      <c r="EN220" s="117">
        <v>-547</v>
      </c>
      <c r="EO220" s="117">
        <v>1315</v>
      </c>
      <c r="EP220" s="129">
        <v>21.5</v>
      </c>
    </row>
    <row r="221" spans="1:146" ht="15" x14ac:dyDescent="0.25">
      <c r="A221" s="27">
        <v>698</v>
      </c>
      <c r="B221" s="27" t="s">
        <v>346</v>
      </c>
      <c r="C221" s="27">
        <v>19</v>
      </c>
      <c r="D221" s="27" t="s">
        <v>113</v>
      </c>
      <c r="E221" s="27">
        <v>6</v>
      </c>
      <c r="F221" s="27" t="s">
        <v>102</v>
      </c>
      <c r="G221" s="29" t="s">
        <v>141</v>
      </c>
      <c r="H221" s="27" t="s">
        <v>97</v>
      </c>
      <c r="I221" s="31" t="s">
        <v>113</v>
      </c>
      <c r="J221" s="118">
        <v>-2041.4650513898209</v>
      </c>
      <c r="K221" s="118">
        <v>-6521.4868485450897</v>
      </c>
      <c r="L221" s="118">
        <v>-8435.8018275300092</v>
      </c>
      <c r="M221" s="118">
        <v>-9587.0481841590517</v>
      </c>
      <c r="N221" s="22">
        <v>4013</v>
      </c>
      <c r="O221" s="119">
        <v>9884</v>
      </c>
      <c r="P221" s="119">
        <v>10487</v>
      </c>
      <c r="Q221" s="120">
        <v>11769</v>
      </c>
      <c r="R221" s="22">
        <v>11356</v>
      </c>
      <c r="S221" s="22">
        <v>6936</v>
      </c>
      <c r="T221" s="121">
        <v>9417</v>
      </c>
      <c r="U221" s="121">
        <v>11569</v>
      </c>
      <c r="V221" s="121">
        <v>18487</v>
      </c>
      <c r="W221" s="106">
        <v>16319</v>
      </c>
      <c r="X221" s="121">
        <v>37477</v>
      </c>
      <c r="Y221" s="121">
        <v>42066</v>
      </c>
      <c r="Z221" s="121">
        <v>37688</v>
      </c>
      <c r="AA221" s="121">
        <v>65529</v>
      </c>
      <c r="AB221" s="122">
        <v>18.5</v>
      </c>
      <c r="AC221" s="123">
        <v>18.5</v>
      </c>
      <c r="AD221" s="124">
        <v>19</v>
      </c>
      <c r="AE221" s="125">
        <v>19</v>
      </c>
      <c r="AF221" s="126">
        <v>19</v>
      </c>
      <c r="AG221" s="123">
        <v>19.25</v>
      </c>
      <c r="AH221" s="123">
        <v>19.25</v>
      </c>
      <c r="AI221" s="127">
        <v>19.5</v>
      </c>
      <c r="AJ221" s="127">
        <v>19</v>
      </c>
      <c r="AK221" s="22">
        <v>19</v>
      </c>
      <c r="AL221" s="128">
        <v>19.5</v>
      </c>
      <c r="AM221" s="128">
        <v>19.5</v>
      </c>
      <c r="AN221" s="128">
        <v>20</v>
      </c>
      <c r="AO221" s="77">
        <v>20</v>
      </c>
      <c r="AP221" s="77">
        <v>20</v>
      </c>
      <c r="AQ221" s="129">
        <v>20.5</v>
      </c>
      <c r="AR221" s="129">
        <v>21</v>
      </c>
      <c r="AS221" s="129">
        <v>21</v>
      </c>
      <c r="AT221" s="116">
        <v>61215</v>
      </c>
      <c r="AU221" s="47">
        <v>71975</v>
      </c>
      <c r="AV221" s="47">
        <v>380627</v>
      </c>
      <c r="AW221" s="46">
        <v>226514</v>
      </c>
      <c r="AX221" s="46">
        <v>92404</v>
      </c>
      <c r="AY221" s="92">
        <v>13899</v>
      </c>
      <c r="AZ221" s="47">
        <v>14017</v>
      </c>
      <c r="BA221" s="44">
        <v>14237</v>
      </c>
      <c r="BB221" s="23">
        <v>-15639</v>
      </c>
      <c r="BC221" s="47">
        <v>9928</v>
      </c>
      <c r="BD221" s="44">
        <v>4589</v>
      </c>
      <c r="BE221" s="47">
        <v>42066</v>
      </c>
      <c r="BF221" s="44">
        <v>226514</v>
      </c>
      <c r="BG221" s="46">
        <v>194897</v>
      </c>
      <c r="BH221" s="130">
        <v>7994</v>
      </c>
      <c r="BI221" s="46">
        <v>23623</v>
      </c>
      <c r="BJ221" s="129">
        <v>20.5</v>
      </c>
      <c r="BK221" s="44">
        <v>95349</v>
      </c>
      <c r="BL221" s="116">
        <v>61551</v>
      </c>
      <c r="BM221" s="47">
        <v>76477</v>
      </c>
      <c r="BN221" s="130">
        <v>399454</v>
      </c>
      <c r="BO221" s="46">
        <v>235669</v>
      </c>
      <c r="BP221" s="46">
        <v>92039</v>
      </c>
      <c r="BQ221" s="46">
        <v>4910</v>
      </c>
      <c r="BR221" s="130">
        <v>9641</v>
      </c>
      <c r="BS221" s="44">
        <v>13926</v>
      </c>
      <c r="BT221" s="92">
        <v>-30266</v>
      </c>
      <c r="BU221" s="117">
        <v>-4378</v>
      </c>
      <c r="BV221" s="130">
        <v>37688</v>
      </c>
      <c r="BW221" s="48">
        <v>235669</v>
      </c>
      <c r="BX221" s="46">
        <v>201251</v>
      </c>
      <c r="BY221" s="130">
        <v>9679</v>
      </c>
      <c r="BZ221" s="46">
        <v>24739</v>
      </c>
      <c r="CA221" s="129">
        <v>21</v>
      </c>
      <c r="CB221" s="44">
        <v>102382</v>
      </c>
      <c r="CC221" s="116">
        <v>61838</v>
      </c>
      <c r="CD221" s="47">
        <v>68566</v>
      </c>
      <c r="CE221" s="130">
        <v>406350</v>
      </c>
      <c r="CF221" s="46">
        <v>241383</v>
      </c>
      <c r="CG221" s="46">
        <v>91108</v>
      </c>
      <c r="CH221" s="46">
        <v>62548</v>
      </c>
      <c r="CI221" s="130">
        <v>2809</v>
      </c>
      <c r="CJ221" s="44">
        <v>20152</v>
      </c>
      <c r="CK221" s="117">
        <v>56017</v>
      </c>
      <c r="CL221" s="117">
        <v>27841</v>
      </c>
      <c r="CM221" s="117">
        <v>65529</v>
      </c>
      <c r="CN221" s="48">
        <v>241383</v>
      </c>
      <c r="CO221" s="46">
        <v>205699</v>
      </c>
      <c r="CP221" s="130">
        <v>10765</v>
      </c>
      <c r="CQ221" s="46">
        <v>24919</v>
      </c>
      <c r="CR221" s="129">
        <v>21</v>
      </c>
      <c r="CS221" s="44">
        <v>118372</v>
      </c>
      <c r="CT221">
        <v>62231</v>
      </c>
      <c r="CU221">
        <v>248746</v>
      </c>
      <c r="CV221">
        <v>98290</v>
      </c>
      <c r="CW221">
        <v>56884</v>
      </c>
      <c r="CX221">
        <v>9158</v>
      </c>
      <c r="CY221">
        <v>208386</v>
      </c>
      <c r="CZ221">
        <v>10062</v>
      </c>
      <c r="DA221">
        <v>30298</v>
      </c>
      <c r="DB221">
        <v>19296</v>
      </c>
      <c r="DC221">
        <v>-12801</v>
      </c>
      <c r="DD221">
        <v>14929</v>
      </c>
      <c r="DE221">
        <v>142534</v>
      </c>
      <c r="DF221">
        <v>393492</v>
      </c>
      <c r="DG221">
        <v>124</v>
      </c>
      <c r="DH221">
        <v>65653</v>
      </c>
      <c r="DI221">
        <v>21</v>
      </c>
      <c r="DJ221" s="174">
        <v>62420</v>
      </c>
      <c r="DK221" s="34">
        <v>249585</v>
      </c>
      <c r="DL221" s="34">
        <v>94107</v>
      </c>
      <c r="DM221">
        <v>51430</v>
      </c>
      <c r="DN221" s="173">
        <v>11460</v>
      </c>
      <c r="DO221" s="34">
        <v>207241</v>
      </c>
      <c r="DP221" s="173">
        <v>11870</v>
      </c>
      <c r="DQ221" s="34">
        <v>30474</v>
      </c>
      <c r="DR221" s="173">
        <v>16706</v>
      </c>
      <c r="DS221" s="173">
        <v>-13637</v>
      </c>
      <c r="DT221">
        <v>16334</v>
      </c>
      <c r="DU221">
        <v>154210</v>
      </c>
      <c r="DV221" s="173">
        <v>389192</v>
      </c>
      <c r="DW221" s="173">
        <v>1656</v>
      </c>
      <c r="DX221" s="173">
        <v>67308</v>
      </c>
      <c r="DY221" s="57">
        <v>21</v>
      </c>
      <c r="DZ221" s="184">
        <v>120</v>
      </c>
      <c r="EA221" s="116">
        <v>62922</v>
      </c>
      <c r="EB221" s="48">
        <v>246048</v>
      </c>
      <c r="EC221" s="46">
        <v>94926</v>
      </c>
      <c r="ED221" s="90">
        <v>52459</v>
      </c>
      <c r="EE221" s="186">
        <v>9733</v>
      </c>
      <c r="EF221" s="46">
        <v>204832</v>
      </c>
      <c r="EG221" s="130">
        <v>10486</v>
      </c>
      <c r="EH221" s="46">
        <v>30730</v>
      </c>
      <c r="EI221" s="130">
        <v>-6549</v>
      </c>
      <c r="EJ221" s="48">
        <v>-18778</v>
      </c>
      <c r="EK221" s="44">
        <v>13979</v>
      </c>
      <c r="EL221" s="44">
        <v>200024</v>
      </c>
      <c r="EM221" s="130">
        <v>409334</v>
      </c>
      <c r="EN221" s="117">
        <v>-22140</v>
      </c>
      <c r="EO221" s="117">
        <v>45168</v>
      </c>
      <c r="EP221" s="129">
        <v>21</v>
      </c>
    </row>
    <row r="222" spans="1:146" ht="15" x14ac:dyDescent="0.25">
      <c r="A222" s="27">
        <v>700</v>
      </c>
      <c r="B222" s="27" t="s">
        <v>347</v>
      </c>
      <c r="C222" s="27">
        <v>9</v>
      </c>
      <c r="D222" s="27" t="s">
        <v>105</v>
      </c>
      <c r="E222" s="27">
        <v>3</v>
      </c>
      <c r="F222" s="27" t="s">
        <v>743</v>
      </c>
      <c r="G222" s="29" t="s">
        <v>130</v>
      </c>
      <c r="H222" s="27" t="s">
        <v>98</v>
      </c>
      <c r="I222" s="31" t="s">
        <v>105</v>
      </c>
      <c r="J222" s="118">
        <v>5095.9259838573225</v>
      </c>
      <c r="K222" s="118">
        <v>5110.3901455330124</v>
      </c>
      <c r="L222" s="118">
        <v>4621.1314674564774</v>
      </c>
      <c r="M222" s="118">
        <v>4457.9891787888118</v>
      </c>
      <c r="N222" s="22">
        <v>4493</v>
      </c>
      <c r="O222" s="119">
        <v>4274</v>
      </c>
      <c r="P222" s="119">
        <v>4945</v>
      </c>
      <c r="Q222" s="120">
        <v>3993</v>
      </c>
      <c r="R222" s="22">
        <v>3663</v>
      </c>
      <c r="S222" s="22">
        <v>4869</v>
      </c>
      <c r="T222" s="121">
        <v>5437</v>
      </c>
      <c r="U222" s="121">
        <v>6194</v>
      </c>
      <c r="V222" s="121">
        <v>6470</v>
      </c>
      <c r="W222" s="106">
        <v>6606</v>
      </c>
      <c r="X222" s="121">
        <v>6035</v>
      </c>
      <c r="Y222" s="121">
        <v>6326</v>
      </c>
      <c r="Z222" s="121">
        <v>6703</v>
      </c>
      <c r="AA222" s="121">
        <v>5117</v>
      </c>
      <c r="AB222" s="122">
        <v>16</v>
      </c>
      <c r="AC222" s="123">
        <v>16</v>
      </c>
      <c r="AD222" s="124">
        <v>16</v>
      </c>
      <c r="AE222" s="125">
        <v>16</v>
      </c>
      <c r="AF222" s="126">
        <v>16</v>
      </c>
      <c r="AG222" s="123">
        <v>17</v>
      </c>
      <c r="AH222" s="123">
        <v>17</v>
      </c>
      <c r="AI222" s="127">
        <v>17</v>
      </c>
      <c r="AJ222" s="127">
        <v>17</v>
      </c>
      <c r="AK222" s="22">
        <v>17</v>
      </c>
      <c r="AL222" s="128">
        <v>17</v>
      </c>
      <c r="AM222" s="128">
        <v>18</v>
      </c>
      <c r="AN222" s="128">
        <v>18.5</v>
      </c>
      <c r="AO222" s="77">
        <v>18.5</v>
      </c>
      <c r="AP222" s="77">
        <v>18.5</v>
      </c>
      <c r="AQ222" s="129">
        <v>19.5</v>
      </c>
      <c r="AR222" s="129">
        <v>19.5</v>
      </c>
      <c r="AS222" s="129">
        <v>20.5</v>
      </c>
      <c r="AT222" s="116">
        <v>5507</v>
      </c>
      <c r="AU222" s="47">
        <v>5845</v>
      </c>
      <c r="AV222" s="47">
        <v>33210</v>
      </c>
      <c r="AW222" s="46">
        <v>19102</v>
      </c>
      <c r="AX222" s="46">
        <v>11096</v>
      </c>
      <c r="AY222" s="92">
        <v>59</v>
      </c>
      <c r="AZ222" s="47">
        <v>2811</v>
      </c>
      <c r="BA222" s="44">
        <v>1922</v>
      </c>
      <c r="BB222" s="23">
        <v>-1198</v>
      </c>
      <c r="BC222" s="47">
        <v>889</v>
      </c>
      <c r="BD222" s="44">
        <v>291</v>
      </c>
      <c r="BE222" s="47">
        <v>6326</v>
      </c>
      <c r="BF222" s="44">
        <v>19102</v>
      </c>
      <c r="BG222" s="46">
        <v>16348</v>
      </c>
      <c r="BH222" s="130">
        <v>1425</v>
      </c>
      <c r="BI222" s="46">
        <v>1329</v>
      </c>
      <c r="BJ222" s="129">
        <v>19.5</v>
      </c>
      <c r="BK222" s="44">
        <v>7216</v>
      </c>
      <c r="BL222" s="116">
        <v>5404</v>
      </c>
      <c r="BM222" s="47">
        <v>5413</v>
      </c>
      <c r="BN222" s="130">
        <v>34703</v>
      </c>
      <c r="BO222" s="46">
        <v>19915</v>
      </c>
      <c r="BP222" s="46">
        <v>11716</v>
      </c>
      <c r="BQ222" s="46">
        <v>14</v>
      </c>
      <c r="BR222" s="130">
        <v>2261</v>
      </c>
      <c r="BS222" s="44">
        <v>1955</v>
      </c>
      <c r="BT222" s="92">
        <v>-3168</v>
      </c>
      <c r="BU222" s="117">
        <v>407</v>
      </c>
      <c r="BV222" s="130">
        <v>6703</v>
      </c>
      <c r="BW222" s="48">
        <v>19915</v>
      </c>
      <c r="BX222" s="46">
        <v>16682</v>
      </c>
      <c r="BY222" s="130">
        <v>1495</v>
      </c>
      <c r="BZ222" s="46">
        <v>1738</v>
      </c>
      <c r="CA222" s="129">
        <v>19.5</v>
      </c>
      <c r="CB222" s="44">
        <v>6688</v>
      </c>
      <c r="CC222" s="116">
        <v>5312</v>
      </c>
      <c r="CD222" s="47">
        <v>4995</v>
      </c>
      <c r="CE222" s="130">
        <v>36297</v>
      </c>
      <c r="CF222" s="46">
        <v>21115</v>
      </c>
      <c r="CG222" s="46">
        <v>11410</v>
      </c>
      <c r="CH222" s="46">
        <v>6</v>
      </c>
      <c r="CI222" s="130">
        <v>1148</v>
      </c>
      <c r="CJ222" s="44">
        <v>2842</v>
      </c>
      <c r="CK222" s="117">
        <v>-2012</v>
      </c>
      <c r="CL222" s="117">
        <v>-1585</v>
      </c>
      <c r="CM222" s="117">
        <v>5117</v>
      </c>
      <c r="CN222" s="48">
        <v>21115</v>
      </c>
      <c r="CO222" s="46">
        <v>17558</v>
      </c>
      <c r="CP222" s="130">
        <v>1799</v>
      </c>
      <c r="CQ222" s="46">
        <v>1758</v>
      </c>
      <c r="CR222" s="129">
        <v>20.5</v>
      </c>
      <c r="CS222" s="44">
        <v>6160</v>
      </c>
      <c r="CT222">
        <v>5245</v>
      </c>
      <c r="CU222">
        <v>21169</v>
      </c>
      <c r="CV222">
        <v>12046</v>
      </c>
      <c r="CW222">
        <v>4932</v>
      </c>
      <c r="CX222">
        <v>8</v>
      </c>
      <c r="CY222">
        <v>17630</v>
      </c>
      <c r="CZ222">
        <v>1751</v>
      </c>
      <c r="DA222">
        <v>1788</v>
      </c>
      <c r="DB222">
        <v>2388</v>
      </c>
      <c r="DC222">
        <v>-788</v>
      </c>
      <c r="DD222">
        <v>1385</v>
      </c>
      <c r="DE222">
        <v>5632</v>
      </c>
      <c r="DF222">
        <v>35717</v>
      </c>
      <c r="DG222">
        <v>1119</v>
      </c>
      <c r="DH222">
        <v>6236</v>
      </c>
      <c r="DI222">
        <v>20.5</v>
      </c>
      <c r="DJ222" s="174">
        <v>5218</v>
      </c>
      <c r="DK222" s="34">
        <v>20859</v>
      </c>
      <c r="DL222" s="34">
        <v>11431</v>
      </c>
      <c r="DM222">
        <v>4881</v>
      </c>
      <c r="DN222" s="173">
        <v>-39</v>
      </c>
      <c r="DO222" s="34">
        <v>17010</v>
      </c>
      <c r="DP222" s="173">
        <v>2056</v>
      </c>
      <c r="DQ222" s="34">
        <v>1793</v>
      </c>
      <c r="DR222" s="173">
        <v>2306</v>
      </c>
      <c r="DS222" s="173">
        <v>-7045</v>
      </c>
      <c r="DT222">
        <v>1332</v>
      </c>
      <c r="DU222">
        <v>12102</v>
      </c>
      <c r="DV222" s="173">
        <v>34826</v>
      </c>
      <c r="DW222" s="173">
        <v>1089</v>
      </c>
      <c r="DX222" s="173">
        <v>7325</v>
      </c>
      <c r="DY222" s="57">
        <v>20.5</v>
      </c>
      <c r="DZ222" s="184">
        <v>340</v>
      </c>
      <c r="EA222" s="116">
        <v>5099</v>
      </c>
      <c r="EB222" s="48">
        <v>20835</v>
      </c>
      <c r="EC222" s="46">
        <v>11191</v>
      </c>
      <c r="ED222" s="90">
        <v>5005</v>
      </c>
      <c r="EE222" s="186">
        <v>-127</v>
      </c>
      <c r="EF222" s="46">
        <v>17041</v>
      </c>
      <c r="EG222" s="130">
        <v>1995</v>
      </c>
      <c r="EH222" s="46">
        <v>1799</v>
      </c>
      <c r="EI222" s="130">
        <v>2080</v>
      </c>
      <c r="EJ222" s="48">
        <v>-8477</v>
      </c>
      <c r="EK222" s="44">
        <v>1899</v>
      </c>
      <c r="EL222" s="44">
        <v>17975</v>
      </c>
      <c r="EM222" s="130">
        <v>34824</v>
      </c>
      <c r="EN222" s="117">
        <v>295</v>
      </c>
      <c r="EO222" s="117">
        <v>7620</v>
      </c>
      <c r="EP222" s="129">
        <v>20.5</v>
      </c>
    </row>
    <row r="223" spans="1:146" ht="15" x14ac:dyDescent="0.25">
      <c r="A223" s="27">
        <v>702</v>
      </c>
      <c r="B223" s="27" t="s">
        <v>348</v>
      </c>
      <c r="C223" s="27">
        <v>6</v>
      </c>
      <c r="D223" s="27" t="s">
        <v>114</v>
      </c>
      <c r="E223" s="27">
        <v>2</v>
      </c>
      <c r="F223" s="27" t="s">
        <v>744</v>
      </c>
      <c r="G223" s="29" t="s">
        <v>130</v>
      </c>
      <c r="H223" s="27" t="s">
        <v>98</v>
      </c>
      <c r="I223" s="31" t="s">
        <v>114</v>
      </c>
      <c r="J223" s="118">
        <v>296.51531435164395</v>
      </c>
      <c r="K223" s="118">
        <v>386.49585500855233</v>
      </c>
      <c r="L223" s="118">
        <v>-136.90497213966998</v>
      </c>
      <c r="M223" s="118">
        <v>-441.66149488792792</v>
      </c>
      <c r="N223" s="177">
        <v>-598</v>
      </c>
      <c r="O223" s="119">
        <v>-876</v>
      </c>
      <c r="P223" s="119">
        <v>-355</v>
      </c>
      <c r="Q223" s="120">
        <v>638</v>
      </c>
      <c r="R223" s="177">
        <v>-8</v>
      </c>
      <c r="S223" s="177">
        <v>1072</v>
      </c>
      <c r="T223" s="121">
        <v>1528</v>
      </c>
      <c r="U223" s="121">
        <v>536</v>
      </c>
      <c r="V223" s="121">
        <v>-136</v>
      </c>
      <c r="W223" s="106">
        <v>-1022</v>
      </c>
      <c r="X223" s="121">
        <v>-2124</v>
      </c>
      <c r="Y223" s="121">
        <v>-2994</v>
      </c>
      <c r="Z223" s="121">
        <v>-2156</v>
      </c>
      <c r="AA223" s="121">
        <v>-733</v>
      </c>
      <c r="AB223" s="122">
        <v>17</v>
      </c>
      <c r="AC223" s="123">
        <v>17.75</v>
      </c>
      <c r="AD223" s="124">
        <v>17.75</v>
      </c>
      <c r="AE223" s="125">
        <v>17.75</v>
      </c>
      <c r="AF223" s="126">
        <v>17.75</v>
      </c>
      <c r="AG223" s="123">
        <v>18.25</v>
      </c>
      <c r="AH223" s="123">
        <v>18.75</v>
      </c>
      <c r="AI223" s="131">
        <v>18.75</v>
      </c>
      <c r="AJ223" s="131">
        <v>18.75</v>
      </c>
      <c r="AK223" s="177">
        <v>19.5</v>
      </c>
      <c r="AL223" s="128">
        <v>19.5</v>
      </c>
      <c r="AM223" s="128">
        <v>19.5</v>
      </c>
      <c r="AN223" s="128">
        <v>20</v>
      </c>
      <c r="AO223" s="77">
        <v>20.5</v>
      </c>
      <c r="AP223" s="77">
        <v>20.5</v>
      </c>
      <c r="AQ223" s="129">
        <v>21</v>
      </c>
      <c r="AR223" s="129">
        <v>21.5</v>
      </c>
      <c r="AS223" s="129">
        <v>22.25</v>
      </c>
      <c r="AT223" s="116">
        <v>4771</v>
      </c>
      <c r="AU223" s="47">
        <v>3947</v>
      </c>
      <c r="AV223" s="47">
        <v>33573</v>
      </c>
      <c r="AW223" s="46">
        <v>15935</v>
      </c>
      <c r="AX223" s="46">
        <v>13860</v>
      </c>
      <c r="AY223" s="92">
        <v>293</v>
      </c>
      <c r="AZ223" s="47">
        <v>66</v>
      </c>
      <c r="BA223" s="44">
        <v>1068</v>
      </c>
      <c r="BB223" s="23">
        <v>-1569</v>
      </c>
      <c r="BC223" s="47">
        <v>-902</v>
      </c>
      <c r="BD223" s="44">
        <v>-870</v>
      </c>
      <c r="BE223" s="47">
        <v>-2994</v>
      </c>
      <c r="BF223" s="44">
        <v>15935</v>
      </c>
      <c r="BG223" s="46">
        <v>13353</v>
      </c>
      <c r="BH223" s="130">
        <v>1177</v>
      </c>
      <c r="BI223" s="46">
        <v>1405</v>
      </c>
      <c r="BJ223" s="129">
        <v>21</v>
      </c>
      <c r="BK223" s="44">
        <v>12619</v>
      </c>
      <c r="BL223" s="116">
        <v>4689</v>
      </c>
      <c r="BM223" s="47">
        <v>3919</v>
      </c>
      <c r="BN223" s="130">
        <v>32882</v>
      </c>
      <c r="BO223" s="46">
        <v>16296</v>
      </c>
      <c r="BP223" s="46">
        <v>14738</v>
      </c>
      <c r="BQ223" s="46">
        <v>56</v>
      </c>
      <c r="BR223" s="130">
        <v>1970</v>
      </c>
      <c r="BS223" s="44">
        <v>1164</v>
      </c>
      <c r="BT223" s="92">
        <v>-975</v>
      </c>
      <c r="BU223" s="117">
        <v>838</v>
      </c>
      <c r="BV223" s="130">
        <v>-2156</v>
      </c>
      <c r="BW223" s="48">
        <v>16296</v>
      </c>
      <c r="BX223" s="46">
        <v>13422</v>
      </c>
      <c r="BY223" s="130">
        <v>1282</v>
      </c>
      <c r="BZ223" s="46">
        <v>1592</v>
      </c>
      <c r="CA223" s="129">
        <v>21.5</v>
      </c>
      <c r="CB223" s="44">
        <v>10895</v>
      </c>
      <c r="CC223" s="116">
        <v>4623</v>
      </c>
      <c r="CD223" s="47">
        <v>3806</v>
      </c>
      <c r="CE223" s="130">
        <v>32441</v>
      </c>
      <c r="CF223" s="46">
        <v>16700</v>
      </c>
      <c r="CG223" s="46">
        <v>14576</v>
      </c>
      <c r="CH223" s="46">
        <v>116</v>
      </c>
      <c r="CI223" s="130">
        <v>2647</v>
      </c>
      <c r="CJ223" s="44">
        <v>1257</v>
      </c>
      <c r="CK223" s="117">
        <v>-1246</v>
      </c>
      <c r="CL223" s="117">
        <v>1423</v>
      </c>
      <c r="CM223" s="117">
        <v>-733</v>
      </c>
      <c r="CN223" s="48">
        <v>16700</v>
      </c>
      <c r="CO223" s="46">
        <v>13686</v>
      </c>
      <c r="CP223" s="130">
        <v>1413</v>
      </c>
      <c r="CQ223" s="46">
        <v>1601</v>
      </c>
      <c r="CR223" s="129">
        <v>22.25</v>
      </c>
      <c r="CS223" s="44">
        <v>9007</v>
      </c>
      <c r="CT223">
        <v>4565</v>
      </c>
      <c r="CU223">
        <v>16137</v>
      </c>
      <c r="CV223">
        <v>15463</v>
      </c>
      <c r="CW223">
        <v>3945</v>
      </c>
      <c r="CX223">
        <v>95</v>
      </c>
      <c r="CY223">
        <v>13066</v>
      </c>
      <c r="CZ223">
        <v>1433</v>
      </c>
      <c r="DA223">
        <v>1638</v>
      </c>
      <c r="DB223">
        <v>3061</v>
      </c>
      <c r="DC223">
        <v>-478</v>
      </c>
      <c r="DD223">
        <v>1171</v>
      </c>
      <c r="DE223">
        <v>6799</v>
      </c>
      <c r="DF223">
        <v>32489</v>
      </c>
      <c r="DG223">
        <v>1923</v>
      </c>
      <c r="DH223">
        <v>1190</v>
      </c>
      <c r="DI223">
        <v>22.25</v>
      </c>
      <c r="DJ223" s="174">
        <v>4459</v>
      </c>
      <c r="DK223" s="34">
        <v>16574</v>
      </c>
      <c r="DL223" s="34">
        <v>14171</v>
      </c>
      <c r="DM223">
        <v>4274</v>
      </c>
      <c r="DN223" s="173">
        <v>199</v>
      </c>
      <c r="DO223" s="34">
        <v>13312</v>
      </c>
      <c r="DP223" s="173">
        <v>1658</v>
      </c>
      <c r="DQ223" s="34">
        <v>1604</v>
      </c>
      <c r="DR223" s="173">
        <v>2842</v>
      </c>
      <c r="DS223" s="173">
        <v>-751</v>
      </c>
      <c r="DT223">
        <v>1140</v>
      </c>
      <c r="DU223">
        <v>6072</v>
      </c>
      <c r="DV223" s="173">
        <v>32376</v>
      </c>
      <c r="DW223" s="173">
        <v>1735</v>
      </c>
      <c r="DX223" s="173">
        <v>2925</v>
      </c>
      <c r="DY223" s="57">
        <v>22</v>
      </c>
      <c r="DZ223" s="184">
        <v>340</v>
      </c>
      <c r="EA223" s="116">
        <v>4398</v>
      </c>
      <c r="EB223" s="48">
        <v>16236</v>
      </c>
      <c r="EC223" s="46">
        <v>13606</v>
      </c>
      <c r="ED223" s="90">
        <v>4024</v>
      </c>
      <c r="EE223" s="186">
        <v>200</v>
      </c>
      <c r="EF223" s="46">
        <v>12734</v>
      </c>
      <c r="EG223" s="130">
        <v>1950</v>
      </c>
      <c r="EH223" s="46">
        <v>1552</v>
      </c>
      <c r="EI223" s="130">
        <v>1393</v>
      </c>
      <c r="EJ223" s="48">
        <v>-1097</v>
      </c>
      <c r="EK223" s="44">
        <v>1205</v>
      </c>
      <c r="EL223" s="44">
        <v>5614</v>
      </c>
      <c r="EM223" s="130">
        <v>32673</v>
      </c>
      <c r="EN223" s="117">
        <v>220</v>
      </c>
      <c r="EO223" s="117">
        <v>3145</v>
      </c>
      <c r="EP223" s="129">
        <v>22</v>
      </c>
    </row>
    <row r="224" spans="1:146" ht="15" x14ac:dyDescent="0.25">
      <c r="A224" s="27">
        <v>704</v>
      </c>
      <c r="B224" s="27" t="s">
        <v>349</v>
      </c>
      <c r="C224" s="27">
        <v>2</v>
      </c>
      <c r="D224" s="27" t="s">
        <v>122</v>
      </c>
      <c r="E224" s="27">
        <v>3</v>
      </c>
      <c r="F224" s="27" t="s">
        <v>743</v>
      </c>
      <c r="G224" s="29" t="s">
        <v>130</v>
      </c>
      <c r="H224" s="27" t="s">
        <v>98</v>
      </c>
      <c r="I224" s="31" t="s">
        <v>122</v>
      </c>
      <c r="J224" s="118">
        <v>961.86675143338152</v>
      </c>
      <c r="K224" s="118">
        <v>1615.7814095157364</v>
      </c>
      <c r="L224" s="118">
        <v>2729.5218585438624</v>
      </c>
      <c r="M224" s="118">
        <v>4072.166075486105</v>
      </c>
      <c r="N224" s="22">
        <v>5135</v>
      </c>
      <c r="O224" s="119">
        <v>6001</v>
      </c>
      <c r="P224" s="119">
        <v>7928</v>
      </c>
      <c r="Q224" s="120">
        <v>7912</v>
      </c>
      <c r="R224" s="22">
        <v>7603</v>
      </c>
      <c r="S224" s="22">
        <v>8266</v>
      </c>
      <c r="T224" s="121">
        <v>8865</v>
      </c>
      <c r="U224" s="121">
        <v>8751</v>
      </c>
      <c r="V224" s="121">
        <v>10088</v>
      </c>
      <c r="W224" s="106">
        <v>11598</v>
      </c>
      <c r="X224" s="121">
        <v>11214</v>
      </c>
      <c r="Y224" s="121">
        <v>10518</v>
      </c>
      <c r="Z224" s="121">
        <v>9844</v>
      </c>
      <c r="AA224" s="121">
        <v>9159</v>
      </c>
      <c r="AB224" s="122">
        <v>17</v>
      </c>
      <c r="AC224" s="123">
        <v>17</v>
      </c>
      <c r="AD224" s="124">
        <v>17</v>
      </c>
      <c r="AE224" s="125">
        <v>17</v>
      </c>
      <c r="AF224" s="126">
        <v>17</v>
      </c>
      <c r="AG224" s="123">
        <v>17</v>
      </c>
      <c r="AH224" s="123">
        <v>17</v>
      </c>
      <c r="AI224" s="127">
        <v>17</v>
      </c>
      <c r="AJ224" s="127">
        <v>17</v>
      </c>
      <c r="AK224" s="22">
        <v>17</v>
      </c>
      <c r="AL224" s="128">
        <v>17.5</v>
      </c>
      <c r="AM224" s="128">
        <v>17.75</v>
      </c>
      <c r="AN224" s="128">
        <v>18.25</v>
      </c>
      <c r="AO224" s="77">
        <v>18.25</v>
      </c>
      <c r="AP224" s="77">
        <v>18.25</v>
      </c>
      <c r="AQ224" s="129">
        <v>18.25</v>
      </c>
      <c r="AR224" s="129">
        <v>19</v>
      </c>
      <c r="AS224" s="129">
        <v>19.5</v>
      </c>
      <c r="AT224" s="116">
        <v>5995</v>
      </c>
      <c r="AU224" s="47">
        <v>4377</v>
      </c>
      <c r="AV224" s="47">
        <v>29147</v>
      </c>
      <c r="AW224" s="46">
        <v>19603</v>
      </c>
      <c r="AX224" s="46">
        <v>5856</v>
      </c>
      <c r="AY224" s="92">
        <v>34</v>
      </c>
      <c r="AZ224" s="47">
        <v>694</v>
      </c>
      <c r="BA224" s="44">
        <v>1409</v>
      </c>
      <c r="BB224" s="23">
        <v>-3113</v>
      </c>
      <c r="BC224" s="47">
        <v>-715</v>
      </c>
      <c r="BD224" s="44">
        <v>-695</v>
      </c>
      <c r="BE224" s="47">
        <v>10518</v>
      </c>
      <c r="BF224" s="44">
        <v>19603</v>
      </c>
      <c r="BG224" s="46">
        <v>17929</v>
      </c>
      <c r="BH224" s="130">
        <v>793</v>
      </c>
      <c r="BI224" s="46">
        <v>881</v>
      </c>
      <c r="BJ224" s="129">
        <v>18.25</v>
      </c>
      <c r="BK224" s="44">
        <v>7220</v>
      </c>
      <c r="BL224" s="116">
        <v>6045</v>
      </c>
      <c r="BM224" s="47">
        <v>3988</v>
      </c>
      <c r="BN224" s="130">
        <v>29539</v>
      </c>
      <c r="BO224" s="46">
        <v>20912</v>
      </c>
      <c r="BP224" s="46">
        <v>5506</v>
      </c>
      <c r="BQ224" s="46">
        <v>30</v>
      </c>
      <c r="BR224" s="130">
        <v>844</v>
      </c>
      <c r="BS224" s="44">
        <v>1536</v>
      </c>
      <c r="BT224" s="92">
        <v>-1551</v>
      </c>
      <c r="BU224" s="117">
        <v>-674</v>
      </c>
      <c r="BV224" s="130">
        <v>9844</v>
      </c>
      <c r="BW224" s="48">
        <v>20912</v>
      </c>
      <c r="BX224" s="46">
        <v>19210</v>
      </c>
      <c r="BY224" s="130">
        <v>736</v>
      </c>
      <c r="BZ224" s="46">
        <v>966</v>
      </c>
      <c r="CA224" s="129">
        <v>19</v>
      </c>
      <c r="CB224" s="44">
        <v>10095</v>
      </c>
      <c r="CC224" s="116">
        <v>6110</v>
      </c>
      <c r="CD224" s="47">
        <v>4200</v>
      </c>
      <c r="CE224" s="130">
        <v>30506</v>
      </c>
      <c r="CF224" s="46">
        <v>22045</v>
      </c>
      <c r="CG224" s="46">
        <v>5139</v>
      </c>
      <c r="CH224" s="46">
        <v>32</v>
      </c>
      <c r="CI224" s="130">
        <v>853</v>
      </c>
      <c r="CJ224" s="44">
        <v>1557</v>
      </c>
      <c r="CK224" s="117">
        <v>-637</v>
      </c>
      <c r="CL224" s="117">
        <v>-685</v>
      </c>
      <c r="CM224" s="117">
        <v>9159</v>
      </c>
      <c r="CN224" s="48">
        <v>22045</v>
      </c>
      <c r="CO224" s="46">
        <v>20120</v>
      </c>
      <c r="CP224" s="130">
        <v>873</v>
      </c>
      <c r="CQ224" s="46">
        <v>1052</v>
      </c>
      <c r="CR224" s="129">
        <v>19.5</v>
      </c>
      <c r="CS224" s="44">
        <v>10001</v>
      </c>
      <c r="CT224">
        <v>6137</v>
      </c>
      <c r="CU224">
        <v>23561</v>
      </c>
      <c r="CV224">
        <v>5544</v>
      </c>
      <c r="CW224">
        <v>5389</v>
      </c>
      <c r="CX224">
        <v>28</v>
      </c>
      <c r="CY224">
        <v>21449</v>
      </c>
      <c r="CZ224">
        <v>960</v>
      </c>
      <c r="DA224">
        <v>1152</v>
      </c>
      <c r="DB224">
        <v>3781</v>
      </c>
      <c r="DC224">
        <v>454</v>
      </c>
      <c r="DD224">
        <v>1586</v>
      </c>
      <c r="DE224">
        <v>8383</v>
      </c>
      <c r="DF224">
        <v>30700</v>
      </c>
      <c r="DG224">
        <v>2214</v>
      </c>
      <c r="DH224">
        <v>11374</v>
      </c>
      <c r="DI224">
        <v>19.75</v>
      </c>
      <c r="DJ224" s="174">
        <v>6263</v>
      </c>
      <c r="DK224" s="34">
        <v>24307</v>
      </c>
      <c r="DL224" s="34">
        <v>5432</v>
      </c>
      <c r="DM224">
        <v>5037</v>
      </c>
      <c r="DN224" s="173">
        <v>10</v>
      </c>
      <c r="DO224" s="34">
        <v>21837</v>
      </c>
      <c r="DP224" s="173">
        <v>1298</v>
      </c>
      <c r="DQ224" s="34">
        <v>1172</v>
      </c>
      <c r="DR224" s="173">
        <v>4286</v>
      </c>
      <c r="DS224" s="173">
        <v>189</v>
      </c>
      <c r="DT224">
        <v>1613</v>
      </c>
      <c r="DU224">
        <v>7834</v>
      </c>
      <c r="DV224" s="173">
        <v>30500</v>
      </c>
      <c r="DW224" s="173">
        <v>2692</v>
      </c>
      <c r="DX224" s="173">
        <v>14065</v>
      </c>
      <c r="DY224" s="57">
        <v>19.75</v>
      </c>
      <c r="DZ224" s="184">
        <v>320</v>
      </c>
      <c r="EA224" s="116">
        <v>6251</v>
      </c>
      <c r="EB224" s="48">
        <v>24756</v>
      </c>
      <c r="EC224" s="46">
        <v>4781</v>
      </c>
      <c r="ED224" s="90">
        <v>4529</v>
      </c>
      <c r="EE224" s="186">
        <v>3</v>
      </c>
      <c r="EF224" s="46">
        <v>22412</v>
      </c>
      <c r="EG224" s="130">
        <v>1163</v>
      </c>
      <c r="EH224" s="46">
        <v>1181</v>
      </c>
      <c r="EI224" s="130">
        <v>2536</v>
      </c>
      <c r="EJ224" s="48">
        <v>-772</v>
      </c>
      <c r="EK224" s="44">
        <v>1653</v>
      </c>
      <c r="EL224" s="44">
        <v>7285</v>
      </c>
      <c r="EM224" s="130">
        <v>31533</v>
      </c>
      <c r="EN224" s="117">
        <v>902</v>
      </c>
      <c r="EO224" s="117">
        <v>14968</v>
      </c>
      <c r="EP224" s="129">
        <v>19.75</v>
      </c>
    </row>
    <row r="225" spans="1:146" ht="15" x14ac:dyDescent="0.25">
      <c r="A225" s="27">
        <v>707</v>
      </c>
      <c r="B225" s="27" t="s">
        <v>350</v>
      </c>
      <c r="C225" s="27">
        <v>12</v>
      </c>
      <c r="D225" s="27" t="s">
        <v>116</v>
      </c>
      <c r="E225" s="27">
        <v>2</v>
      </c>
      <c r="F225" s="27" t="s">
        <v>744</v>
      </c>
      <c r="G225" s="29" t="s">
        <v>130</v>
      </c>
      <c r="H225" s="27" t="s">
        <v>98</v>
      </c>
      <c r="I225" s="31" t="s">
        <v>116</v>
      </c>
      <c r="J225" s="118">
        <v>-68.284298143373476</v>
      </c>
      <c r="K225" s="118">
        <v>-1079.9346758093623</v>
      </c>
      <c r="L225" s="118">
        <v>-2016.7414261999788</v>
      </c>
      <c r="M225" s="118">
        <v>-2826.7344800386159</v>
      </c>
      <c r="N225" s="22">
        <v>-2826</v>
      </c>
      <c r="O225" s="119">
        <v>-3043</v>
      </c>
      <c r="P225" s="119">
        <v>-2859</v>
      </c>
      <c r="Q225" s="120">
        <v>-2875</v>
      </c>
      <c r="R225" s="22">
        <v>-4140</v>
      </c>
      <c r="S225" s="22">
        <v>-4316</v>
      </c>
      <c r="T225" s="121">
        <v>-1363</v>
      </c>
      <c r="U225" s="121">
        <v>-1925</v>
      </c>
      <c r="V225" s="121">
        <v>-1483</v>
      </c>
      <c r="W225" s="106">
        <v>-1289</v>
      </c>
      <c r="X225" s="121">
        <v>-1268</v>
      </c>
      <c r="Y225" s="121">
        <v>-2163</v>
      </c>
      <c r="Z225" s="121">
        <v>-2632</v>
      </c>
      <c r="AA225" s="121">
        <v>619</v>
      </c>
      <c r="AB225" s="122">
        <v>18</v>
      </c>
      <c r="AC225" s="123">
        <v>18</v>
      </c>
      <c r="AD225" s="124">
        <v>18.5</v>
      </c>
      <c r="AE225" s="125">
        <v>18.5</v>
      </c>
      <c r="AF225" s="126">
        <v>19</v>
      </c>
      <c r="AG225" s="123">
        <v>19</v>
      </c>
      <c r="AH225" s="123">
        <v>19.5</v>
      </c>
      <c r="AI225" s="127">
        <v>19.5</v>
      </c>
      <c r="AJ225" s="127">
        <v>19.5</v>
      </c>
      <c r="AK225" s="22">
        <v>19.5</v>
      </c>
      <c r="AL225" s="128">
        <v>19.5</v>
      </c>
      <c r="AM225" s="128">
        <v>20.5</v>
      </c>
      <c r="AN225" s="128">
        <v>21</v>
      </c>
      <c r="AO225" s="77">
        <v>21</v>
      </c>
      <c r="AP225" s="77">
        <v>21</v>
      </c>
      <c r="AQ225" s="129">
        <v>21</v>
      </c>
      <c r="AR225" s="129">
        <v>21</v>
      </c>
      <c r="AS225" s="129">
        <v>21</v>
      </c>
      <c r="AT225" s="116">
        <v>2467</v>
      </c>
      <c r="AU225" s="47">
        <v>2935</v>
      </c>
      <c r="AV225" s="47">
        <v>18051</v>
      </c>
      <c r="AW225" s="46">
        <v>5909</v>
      </c>
      <c r="AX225" s="46">
        <v>9025</v>
      </c>
      <c r="AY225" s="92">
        <v>196</v>
      </c>
      <c r="AZ225" s="47">
        <v>-17</v>
      </c>
      <c r="BA225" s="44">
        <v>451</v>
      </c>
      <c r="BB225" s="23">
        <v>-823</v>
      </c>
      <c r="BC225" s="47">
        <v>-468</v>
      </c>
      <c r="BD225" s="44">
        <v>-468</v>
      </c>
      <c r="BE225" s="47">
        <v>-2163</v>
      </c>
      <c r="BF225" s="44">
        <v>5909</v>
      </c>
      <c r="BG225" s="46">
        <v>5033</v>
      </c>
      <c r="BH225" s="130">
        <v>323</v>
      </c>
      <c r="BI225" s="46">
        <v>553</v>
      </c>
      <c r="BJ225" s="129">
        <v>21</v>
      </c>
      <c r="BK225" s="44">
        <v>1416</v>
      </c>
      <c r="BL225" s="116">
        <v>2435</v>
      </c>
      <c r="BM225" s="47">
        <v>2857</v>
      </c>
      <c r="BN225" s="130">
        <v>18222</v>
      </c>
      <c r="BO225" s="46">
        <v>5992</v>
      </c>
      <c r="BP225" s="46">
        <v>9229</v>
      </c>
      <c r="BQ225" s="46">
        <v>200</v>
      </c>
      <c r="BR225" s="130">
        <v>22</v>
      </c>
      <c r="BS225" s="44">
        <v>491</v>
      </c>
      <c r="BT225" s="92">
        <v>-555</v>
      </c>
      <c r="BU225" s="117">
        <v>-469</v>
      </c>
      <c r="BV225" s="130">
        <v>-2632</v>
      </c>
      <c r="BW225" s="48">
        <v>5992</v>
      </c>
      <c r="BX225" s="46">
        <v>4982</v>
      </c>
      <c r="BY225" s="130">
        <v>393</v>
      </c>
      <c r="BZ225" s="46">
        <v>617</v>
      </c>
      <c r="CA225" s="129">
        <v>21</v>
      </c>
      <c r="CB225" s="44">
        <v>1508</v>
      </c>
      <c r="CC225" s="116">
        <v>2349</v>
      </c>
      <c r="CD225" s="47">
        <v>2844</v>
      </c>
      <c r="CE225" s="130">
        <v>18511</v>
      </c>
      <c r="CF225" s="46">
        <v>6513</v>
      </c>
      <c r="CG225" s="46">
        <v>9264</v>
      </c>
      <c r="CH225" s="46">
        <v>3861</v>
      </c>
      <c r="CI225" s="130">
        <v>278</v>
      </c>
      <c r="CJ225" s="44">
        <v>517</v>
      </c>
      <c r="CK225" s="117">
        <v>3190</v>
      </c>
      <c r="CL225" s="117">
        <v>3251</v>
      </c>
      <c r="CM225" s="117">
        <v>619</v>
      </c>
      <c r="CN225" s="48">
        <v>6513</v>
      </c>
      <c r="CO225" s="46">
        <v>5418</v>
      </c>
      <c r="CP225" s="130">
        <v>475</v>
      </c>
      <c r="CQ225" s="46">
        <v>620</v>
      </c>
      <c r="CR225" s="129">
        <v>21</v>
      </c>
      <c r="CS225" s="44">
        <v>5048</v>
      </c>
      <c r="CT225">
        <v>2268</v>
      </c>
      <c r="CU225">
        <v>6140</v>
      </c>
      <c r="CV225">
        <v>9492</v>
      </c>
      <c r="CW225">
        <v>2960</v>
      </c>
      <c r="CX225">
        <v>125</v>
      </c>
      <c r="CY225">
        <v>5001</v>
      </c>
      <c r="CZ225">
        <v>484</v>
      </c>
      <c r="DA225">
        <v>655</v>
      </c>
      <c r="DB225">
        <v>1101</v>
      </c>
      <c r="DC225">
        <v>-125</v>
      </c>
      <c r="DD225">
        <v>536</v>
      </c>
      <c r="DE225">
        <v>4599</v>
      </c>
      <c r="DF225">
        <v>17616</v>
      </c>
      <c r="DG225">
        <v>565</v>
      </c>
      <c r="DH225">
        <v>1185</v>
      </c>
      <c r="DI225">
        <v>21.5</v>
      </c>
      <c r="DJ225" s="174">
        <v>2240</v>
      </c>
      <c r="DK225" s="34">
        <v>6064</v>
      </c>
      <c r="DL225" s="34">
        <v>9747</v>
      </c>
      <c r="DM225">
        <v>1947</v>
      </c>
      <c r="DN225" s="173">
        <v>308</v>
      </c>
      <c r="DO225" s="34">
        <v>4878</v>
      </c>
      <c r="DP225" s="173">
        <v>542</v>
      </c>
      <c r="DQ225" s="34">
        <v>644</v>
      </c>
      <c r="DR225" s="173">
        <v>1505</v>
      </c>
      <c r="DS225" s="173">
        <v>-56</v>
      </c>
      <c r="DT225">
        <v>684</v>
      </c>
      <c r="DU225">
        <v>4171</v>
      </c>
      <c r="DV225" s="173">
        <v>16395</v>
      </c>
      <c r="DW225" s="173">
        <v>987</v>
      </c>
      <c r="DX225" s="173">
        <v>2066</v>
      </c>
      <c r="DY225" s="57">
        <v>21.5</v>
      </c>
      <c r="DZ225" s="184">
        <v>340</v>
      </c>
      <c r="EA225" s="116">
        <v>2181</v>
      </c>
      <c r="EB225" s="48">
        <v>5969</v>
      </c>
      <c r="EC225" s="46">
        <v>9260</v>
      </c>
      <c r="ED225" s="90">
        <v>1817</v>
      </c>
      <c r="EE225" s="186">
        <v>149</v>
      </c>
      <c r="EF225" s="46">
        <v>4838</v>
      </c>
      <c r="EG225" s="130">
        <v>485</v>
      </c>
      <c r="EH225" s="46">
        <v>646</v>
      </c>
      <c r="EI225" s="130">
        <v>480</v>
      </c>
      <c r="EJ225" s="48">
        <v>-110</v>
      </c>
      <c r="EK225" s="44">
        <v>438</v>
      </c>
      <c r="EL225" s="44">
        <v>4125</v>
      </c>
      <c r="EM225" s="130">
        <v>16715</v>
      </c>
      <c r="EN225" s="117">
        <v>42</v>
      </c>
      <c r="EO225" s="117">
        <v>2108</v>
      </c>
      <c r="EP225" s="129">
        <v>21.5</v>
      </c>
    </row>
    <row r="226" spans="1:146" ht="15" x14ac:dyDescent="0.25">
      <c r="A226" s="27">
        <v>729</v>
      </c>
      <c r="B226" s="27" t="s">
        <v>351</v>
      </c>
      <c r="C226" s="27">
        <v>13</v>
      </c>
      <c r="D226" s="27" t="s">
        <v>111</v>
      </c>
      <c r="E226" s="27">
        <v>3</v>
      </c>
      <c r="F226" s="27" t="s">
        <v>743</v>
      </c>
      <c r="G226" s="29" t="s">
        <v>130</v>
      </c>
      <c r="H226" s="27" t="s">
        <v>98</v>
      </c>
      <c r="I226" s="31" t="s">
        <v>111</v>
      </c>
      <c r="J226" s="118">
        <v>13.623222043382393</v>
      </c>
      <c r="K226" s="118">
        <v>320.06162405625548</v>
      </c>
      <c r="L226" s="118">
        <v>5885.9046744470397</v>
      </c>
      <c r="M226" s="118">
        <v>5818.9658797153579</v>
      </c>
      <c r="N226" s="22">
        <v>6008</v>
      </c>
      <c r="O226" s="119">
        <v>5546</v>
      </c>
      <c r="P226" s="119">
        <v>3999</v>
      </c>
      <c r="Q226" s="120">
        <v>3706</v>
      </c>
      <c r="R226" s="22">
        <v>2453</v>
      </c>
      <c r="S226" s="22">
        <v>1001</v>
      </c>
      <c r="T226" s="121">
        <v>5466</v>
      </c>
      <c r="U226" s="121">
        <v>6888</v>
      </c>
      <c r="V226" s="121">
        <v>9174</v>
      </c>
      <c r="W226" s="106">
        <v>9810</v>
      </c>
      <c r="X226" s="121">
        <v>7709</v>
      </c>
      <c r="Y226" s="121">
        <v>6461</v>
      </c>
      <c r="Z226" s="121">
        <v>5887</v>
      </c>
      <c r="AA226" s="121">
        <v>4365</v>
      </c>
      <c r="AB226" s="122">
        <v>18.5</v>
      </c>
      <c r="AC226" s="123">
        <v>18.5</v>
      </c>
      <c r="AD226" s="124">
        <v>18.5</v>
      </c>
      <c r="AE226" s="125">
        <v>18.5</v>
      </c>
      <c r="AF226" s="126">
        <v>18.5</v>
      </c>
      <c r="AG226" s="123">
        <v>18.5</v>
      </c>
      <c r="AH226" s="123">
        <v>18.5</v>
      </c>
      <c r="AI226" s="127">
        <v>18.5</v>
      </c>
      <c r="AJ226" s="127">
        <v>19</v>
      </c>
      <c r="AK226" s="22">
        <v>19</v>
      </c>
      <c r="AL226" s="128">
        <v>19.75</v>
      </c>
      <c r="AM226" s="128">
        <v>19.75</v>
      </c>
      <c r="AN226" s="128">
        <v>19.75</v>
      </c>
      <c r="AO226" s="77">
        <v>20</v>
      </c>
      <c r="AP226" s="77">
        <v>20</v>
      </c>
      <c r="AQ226" s="129">
        <v>21</v>
      </c>
      <c r="AR226" s="129">
        <v>21</v>
      </c>
      <c r="AS226" s="129">
        <v>21.5</v>
      </c>
      <c r="AT226" s="116">
        <v>10165</v>
      </c>
      <c r="AU226" s="47">
        <v>12103</v>
      </c>
      <c r="AV226" s="47">
        <v>67464</v>
      </c>
      <c r="AW226" s="46">
        <v>29134</v>
      </c>
      <c r="AX226" s="46">
        <v>30069</v>
      </c>
      <c r="AY226" s="92">
        <v>16</v>
      </c>
      <c r="AZ226" s="47">
        <v>3272</v>
      </c>
      <c r="BA226" s="44">
        <v>4860</v>
      </c>
      <c r="BB226" s="23">
        <v>-2346</v>
      </c>
      <c r="BC226" s="47">
        <v>-1588</v>
      </c>
      <c r="BD226" s="44">
        <v>-1583</v>
      </c>
      <c r="BE226" s="47">
        <v>6461</v>
      </c>
      <c r="BF226" s="44">
        <v>29134</v>
      </c>
      <c r="BG226" s="46">
        <v>25714</v>
      </c>
      <c r="BH226" s="130">
        <v>1705</v>
      </c>
      <c r="BI226" s="46">
        <v>1715</v>
      </c>
      <c r="BJ226" s="129">
        <v>21</v>
      </c>
      <c r="BK226" s="44">
        <v>27958</v>
      </c>
      <c r="BL226" s="116">
        <v>10084</v>
      </c>
      <c r="BM226" s="47">
        <v>12145</v>
      </c>
      <c r="BN226" s="130">
        <v>67903</v>
      </c>
      <c r="BO226" s="46">
        <v>29520</v>
      </c>
      <c r="BP226" s="46">
        <v>30495</v>
      </c>
      <c r="BQ226" s="46">
        <v>8</v>
      </c>
      <c r="BR226" s="130">
        <v>3756</v>
      </c>
      <c r="BS226" s="44">
        <v>4331</v>
      </c>
      <c r="BT226" s="92">
        <v>-3021</v>
      </c>
      <c r="BU226" s="117">
        <v>-574</v>
      </c>
      <c r="BV226" s="130">
        <v>5887</v>
      </c>
      <c r="BW226" s="48">
        <v>29520</v>
      </c>
      <c r="BX226" s="46">
        <v>25632</v>
      </c>
      <c r="BY226" s="130">
        <v>1806</v>
      </c>
      <c r="BZ226" s="46">
        <v>2082</v>
      </c>
      <c r="CA226" s="129">
        <v>21</v>
      </c>
      <c r="CB226" s="44">
        <v>27957</v>
      </c>
      <c r="CC226" s="116">
        <v>9915</v>
      </c>
      <c r="CD226" s="47">
        <v>12563</v>
      </c>
      <c r="CE226" s="130">
        <v>69492</v>
      </c>
      <c r="CF226" s="46">
        <v>31103</v>
      </c>
      <c r="CG226" s="46">
        <v>29924</v>
      </c>
      <c r="CH226" s="46">
        <v>206</v>
      </c>
      <c r="CI226" s="130">
        <v>3877</v>
      </c>
      <c r="CJ226" s="44">
        <v>4306</v>
      </c>
      <c r="CK226" s="117">
        <v>-2083</v>
      </c>
      <c r="CL226" s="117">
        <v>-399</v>
      </c>
      <c r="CM226" s="117">
        <v>4365</v>
      </c>
      <c r="CN226" s="48">
        <v>31103</v>
      </c>
      <c r="CO226" s="46">
        <v>26870</v>
      </c>
      <c r="CP226" s="130">
        <v>2141</v>
      </c>
      <c r="CQ226" s="46">
        <v>2092</v>
      </c>
      <c r="CR226" s="129">
        <v>21.5</v>
      </c>
      <c r="CS226" s="44">
        <v>28351</v>
      </c>
      <c r="CT226">
        <v>9690</v>
      </c>
      <c r="CU226">
        <v>29950</v>
      </c>
      <c r="CV226">
        <v>30824</v>
      </c>
      <c r="CW226">
        <v>11457</v>
      </c>
      <c r="CX226">
        <v>22</v>
      </c>
      <c r="CY226">
        <v>25876</v>
      </c>
      <c r="CZ226">
        <v>2131</v>
      </c>
      <c r="DA226">
        <v>1943</v>
      </c>
      <c r="DB226">
        <v>3820</v>
      </c>
      <c r="DC226">
        <v>-2046</v>
      </c>
      <c r="DD226">
        <v>4557</v>
      </c>
      <c r="DE226">
        <v>27282</v>
      </c>
      <c r="DF226">
        <v>68134</v>
      </c>
      <c r="DG226">
        <v>-632</v>
      </c>
      <c r="DH226">
        <v>3731</v>
      </c>
      <c r="DI226">
        <v>21.5</v>
      </c>
      <c r="DJ226" s="174">
        <v>9589</v>
      </c>
      <c r="DK226" s="34">
        <v>30469</v>
      </c>
      <c r="DL226" s="34">
        <v>30579</v>
      </c>
      <c r="DM226">
        <v>11198</v>
      </c>
      <c r="DN226" s="173">
        <v>-254</v>
      </c>
      <c r="DO226" s="34">
        <v>26050</v>
      </c>
      <c r="DP226" s="173">
        <v>2329</v>
      </c>
      <c r="DQ226" s="34">
        <v>2090</v>
      </c>
      <c r="DR226" s="173">
        <v>4761</v>
      </c>
      <c r="DS226" s="173">
        <v>5546</v>
      </c>
      <c r="DT226">
        <v>4029</v>
      </c>
      <c r="DU226">
        <v>16864</v>
      </c>
      <c r="DV226" s="173">
        <v>67231</v>
      </c>
      <c r="DW226" s="173">
        <v>790</v>
      </c>
      <c r="DX226" s="173">
        <v>4521</v>
      </c>
      <c r="DY226" s="57">
        <v>21.5</v>
      </c>
      <c r="DZ226" s="184">
        <v>340</v>
      </c>
      <c r="EA226" s="116">
        <v>9415</v>
      </c>
      <c r="EB226" s="48">
        <v>29143</v>
      </c>
      <c r="EC226" s="46">
        <v>30009</v>
      </c>
      <c r="ED226" s="90">
        <v>10875</v>
      </c>
      <c r="EE226" s="186">
        <v>-68</v>
      </c>
      <c r="EF226" s="46">
        <v>24661</v>
      </c>
      <c r="EG226" s="130">
        <v>2164</v>
      </c>
      <c r="EH226" s="46">
        <v>2318</v>
      </c>
      <c r="EI226" s="130">
        <v>2605</v>
      </c>
      <c r="EJ226" s="48">
        <v>-1561</v>
      </c>
      <c r="EK226" s="44">
        <v>3395</v>
      </c>
      <c r="EL226" s="44">
        <v>14396</v>
      </c>
      <c r="EM226" s="130">
        <v>67354</v>
      </c>
      <c r="EN226" s="117">
        <v>-790</v>
      </c>
      <c r="EO226" s="117">
        <v>3731</v>
      </c>
      <c r="EP226" s="129">
        <v>21.5</v>
      </c>
    </row>
    <row r="227" spans="1:146" ht="15" x14ac:dyDescent="0.25">
      <c r="A227" s="27">
        <v>732</v>
      </c>
      <c r="B227" s="27" t="s">
        <v>352</v>
      </c>
      <c r="C227" s="27">
        <v>19</v>
      </c>
      <c r="D227" s="27" t="s">
        <v>113</v>
      </c>
      <c r="E227" s="27">
        <v>2</v>
      </c>
      <c r="F227" s="27" t="s">
        <v>744</v>
      </c>
      <c r="G227" s="29" t="s">
        <v>130</v>
      </c>
      <c r="H227" s="27" t="s">
        <v>98</v>
      </c>
      <c r="I227" s="31" t="s">
        <v>113</v>
      </c>
      <c r="J227" s="118">
        <v>-1521.7643586237518</v>
      </c>
      <c r="K227" s="118">
        <v>-3036.1284484831972</v>
      </c>
      <c r="L227" s="118">
        <v>-4402.15078720359</v>
      </c>
      <c r="M227" s="118">
        <v>-3906.8373437744399</v>
      </c>
      <c r="N227" s="177">
        <v>-2469</v>
      </c>
      <c r="O227" s="119">
        <v>-1306</v>
      </c>
      <c r="P227" s="119">
        <v>-1334</v>
      </c>
      <c r="Q227" s="120">
        <v>-2334</v>
      </c>
      <c r="R227" s="177">
        <v>-1425</v>
      </c>
      <c r="S227" s="177">
        <v>-1766</v>
      </c>
      <c r="T227" s="121">
        <v>-537</v>
      </c>
      <c r="U227" s="121">
        <v>2771</v>
      </c>
      <c r="V227" s="121">
        <v>4596</v>
      </c>
      <c r="W227" s="106">
        <v>5048</v>
      </c>
      <c r="X227" s="121">
        <v>4610</v>
      </c>
      <c r="Y227" s="121">
        <v>4884</v>
      </c>
      <c r="Z227" s="121">
        <v>4884</v>
      </c>
      <c r="AA227" s="121">
        <v>5492</v>
      </c>
      <c r="AB227" s="122">
        <v>18.5</v>
      </c>
      <c r="AC227" s="123">
        <v>18.5</v>
      </c>
      <c r="AD227" s="124">
        <v>18.75</v>
      </c>
      <c r="AE227" s="125">
        <v>18.75</v>
      </c>
      <c r="AF227" s="126">
        <v>18.75</v>
      </c>
      <c r="AG227" s="123">
        <v>18.75</v>
      </c>
      <c r="AH227" s="123">
        <v>18.75</v>
      </c>
      <c r="AI227" s="127">
        <v>18.75</v>
      </c>
      <c r="AJ227" s="127">
        <v>19</v>
      </c>
      <c r="AK227" s="177">
        <v>19.5</v>
      </c>
      <c r="AL227" s="128">
        <v>19.5</v>
      </c>
      <c r="AM227" s="128">
        <v>19.5</v>
      </c>
      <c r="AN227" s="128">
        <v>19.5</v>
      </c>
      <c r="AO227" s="77">
        <v>19.5</v>
      </c>
      <c r="AP227" s="77">
        <v>19.5</v>
      </c>
      <c r="AQ227" s="129">
        <v>20</v>
      </c>
      <c r="AR227" s="129">
        <v>20.5</v>
      </c>
      <c r="AS227" s="129">
        <v>20.5</v>
      </c>
      <c r="AT227" s="116">
        <v>3890</v>
      </c>
      <c r="AU227" s="47">
        <v>6709</v>
      </c>
      <c r="AV227" s="47">
        <v>35913</v>
      </c>
      <c r="AW227" s="46">
        <v>11060</v>
      </c>
      <c r="AX227" s="46">
        <v>19612</v>
      </c>
      <c r="AY227" s="92">
        <v>6</v>
      </c>
      <c r="AZ227" s="47">
        <v>1278</v>
      </c>
      <c r="BA227" s="44">
        <v>1005</v>
      </c>
      <c r="BB227" s="23">
        <v>-2160</v>
      </c>
      <c r="BC227" s="47">
        <v>273</v>
      </c>
      <c r="BD227" s="44">
        <v>274</v>
      </c>
      <c r="BE227" s="47">
        <v>4884</v>
      </c>
      <c r="BF227" s="44">
        <v>11060</v>
      </c>
      <c r="BG227" s="46">
        <v>9291</v>
      </c>
      <c r="BH227" s="130">
        <v>865</v>
      </c>
      <c r="BI227" s="46">
        <v>904</v>
      </c>
      <c r="BJ227" s="129">
        <v>20</v>
      </c>
      <c r="BK227" s="44">
        <v>9943</v>
      </c>
      <c r="BL227" s="116">
        <v>3781</v>
      </c>
      <c r="BM227" s="47">
        <v>6563</v>
      </c>
      <c r="BN227" s="130">
        <v>36330</v>
      </c>
      <c r="BO227" s="46">
        <v>11643</v>
      </c>
      <c r="BP227" s="46">
        <v>19335</v>
      </c>
      <c r="BQ227" s="46">
        <v>29</v>
      </c>
      <c r="BR227" s="130">
        <v>1016</v>
      </c>
      <c r="BS227" s="44">
        <v>1015</v>
      </c>
      <c r="BT227" s="92">
        <v>-3398</v>
      </c>
      <c r="BU227" s="117">
        <v>1</v>
      </c>
      <c r="BV227" s="130">
        <v>4884</v>
      </c>
      <c r="BW227" s="48">
        <v>11643</v>
      </c>
      <c r="BX227" s="46">
        <v>9425</v>
      </c>
      <c r="BY227" s="130">
        <v>1012</v>
      </c>
      <c r="BZ227" s="46">
        <v>1206</v>
      </c>
      <c r="CA227" s="129">
        <v>20.5</v>
      </c>
      <c r="CB227" s="44">
        <v>11723</v>
      </c>
      <c r="CC227" s="116">
        <v>3727</v>
      </c>
      <c r="CD227" s="47">
        <v>6794</v>
      </c>
      <c r="CE227" s="130">
        <v>36496</v>
      </c>
      <c r="CF227" s="46">
        <v>12206</v>
      </c>
      <c r="CG227" s="46">
        <v>19581</v>
      </c>
      <c r="CH227" s="46">
        <v>26</v>
      </c>
      <c r="CI227" s="130">
        <v>1904</v>
      </c>
      <c r="CJ227" s="44">
        <v>1296</v>
      </c>
      <c r="CK227" s="117">
        <v>-3334</v>
      </c>
      <c r="CL227" s="117">
        <v>608</v>
      </c>
      <c r="CM227" s="117">
        <v>5492</v>
      </c>
      <c r="CN227" s="48">
        <v>12206</v>
      </c>
      <c r="CO227" s="46">
        <v>9795</v>
      </c>
      <c r="CP227" s="130">
        <v>1177</v>
      </c>
      <c r="CQ227" s="46">
        <v>1234</v>
      </c>
      <c r="CR227" s="129">
        <v>20.5</v>
      </c>
      <c r="CS227" s="44">
        <v>13801</v>
      </c>
      <c r="CT227">
        <v>3653</v>
      </c>
      <c r="CU227">
        <v>11587</v>
      </c>
      <c r="CV227">
        <v>19969</v>
      </c>
      <c r="CW227">
        <v>6761</v>
      </c>
      <c r="CX227">
        <v>21</v>
      </c>
      <c r="CY227">
        <v>9210</v>
      </c>
      <c r="CZ227">
        <v>1122</v>
      </c>
      <c r="DA227">
        <v>1255</v>
      </c>
      <c r="DB227">
        <v>1551</v>
      </c>
      <c r="DC227">
        <v>-726</v>
      </c>
      <c r="DD227">
        <v>1248</v>
      </c>
      <c r="DE227">
        <v>12351</v>
      </c>
      <c r="DF227">
        <v>36623</v>
      </c>
      <c r="DG227">
        <v>303</v>
      </c>
      <c r="DH227">
        <v>5795</v>
      </c>
      <c r="DI227">
        <v>20.5</v>
      </c>
      <c r="DJ227" s="174">
        <v>3575</v>
      </c>
      <c r="DK227" s="34">
        <v>11590</v>
      </c>
      <c r="DL227" s="34">
        <v>20395</v>
      </c>
      <c r="DM227">
        <v>6480</v>
      </c>
      <c r="DN227" s="173">
        <v>-125</v>
      </c>
      <c r="DO227" s="34">
        <v>9000</v>
      </c>
      <c r="DP227" s="173">
        <v>1301</v>
      </c>
      <c r="DQ227" s="34">
        <v>1289</v>
      </c>
      <c r="DR227" s="173">
        <v>1589</v>
      </c>
      <c r="DS227" s="173">
        <v>-1406</v>
      </c>
      <c r="DT227">
        <v>1117</v>
      </c>
      <c r="DU227">
        <v>13203</v>
      </c>
      <c r="DV227" s="173">
        <v>36751</v>
      </c>
      <c r="DW227" s="173">
        <v>472</v>
      </c>
      <c r="DX227" s="173">
        <v>6267</v>
      </c>
      <c r="DY227" s="57">
        <v>20.5</v>
      </c>
      <c r="DZ227" s="184">
        <v>340</v>
      </c>
      <c r="EA227" s="116">
        <v>3491</v>
      </c>
      <c r="EB227" s="48">
        <v>11011</v>
      </c>
      <c r="EC227" s="46">
        <v>20301</v>
      </c>
      <c r="ED227" s="90">
        <v>7735</v>
      </c>
      <c r="EE227" s="186">
        <v>-118</v>
      </c>
      <c r="EF227" s="46">
        <v>8616</v>
      </c>
      <c r="EG227" s="130">
        <v>1095</v>
      </c>
      <c r="EH227" s="46">
        <v>1300</v>
      </c>
      <c r="EI227" s="130">
        <v>2815</v>
      </c>
      <c r="EJ227" s="48">
        <v>-671</v>
      </c>
      <c r="EK227" s="44">
        <v>1057</v>
      </c>
      <c r="EL227" s="44">
        <v>13073</v>
      </c>
      <c r="EM227" s="130">
        <v>36114</v>
      </c>
      <c r="EN227" s="117">
        <v>1758</v>
      </c>
      <c r="EO227" s="117">
        <v>8025</v>
      </c>
      <c r="EP227" s="129">
        <v>20.5</v>
      </c>
    </row>
    <row r="228" spans="1:146" ht="15" x14ac:dyDescent="0.25">
      <c r="A228" s="27">
        <v>734</v>
      </c>
      <c r="B228" s="27" t="s">
        <v>353</v>
      </c>
      <c r="C228" s="27">
        <v>2</v>
      </c>
      <c r="D228" s="27" t="s">
        <v>122</v>
      </c>
      <c r="E228" s="27">
        <v>6</v>
      </c>
      <c r="F228" s="27" t="s">
        <v>102</v>
      </c>
      <c r="G228" s="29" t="s">
        <v>141</v>
      </c>
      <c r="H228" s="27" t="s">
        <v>97</v>
      </c>
      <c r="I228" s="31" t="s">
        <v>122</v>
      </c>
      <c r="J228" s="118">
        <v>2034.9057222578219</v>
      </c>
      <c r="K228" s="118">
        <v>9555.0924781313643</v>
      </c>
      <c r="L228" s="118">
        <v>28072.078617764346</v>
      </c>
      <c r="M228" s="118">
        <v>57455.182122296173</v>
      </c>
      <c r="N228" s="22">
        <v>75281</v>
      </c>
      <c r="O228" s="119">
        <v>67442</v>
      </c>
      <c r="P228" s="119">
        <v>65130</v>
      </c>
      <c r="Q228" s="120">
        <v>73616</v>
      </c>
      <c r="R228" s="22">
        <v>81778</v>
      </c>
      <c r="S228" s="22">
        <v>79453</v>
      </c>
      <c r="T228" s="121">
        <v>79157</v>
      </c>
      <c r="U228" s="121">
        <v>76143</v>
      </c>
      <c r="V228" s="121">
        <v>85638</v>
      </c>
      <c r="W228" s="106">
        <v>65203</v>
      </c>
      <c r="X228" s="121">
        <v>25110</v>
      </c>
      <c r="Y228" s="121">
        <v>22530</v>
      </c>
      <c r="Z228" s="121">
        <v>7154</v>
      </c>
      <c r="AA228" s="121">
        <v>15201</v>
      </c>
      <c r="AB228" s="122">
        <v>16.5</v>
      </c>
      <c r="AC228" s="123">
        <v>17</v>
      </c>
      <c r="AD228" s="124">
        <v>17</v>
      </c>
      <c r="AE228" s="125">
        <v>17</v>
      </c>
      <c r="AF228" s="126">
        <v>17</v>
      </c>
      <c r="AG228" s="123">
        <v>17</v>
      </c>
      <c r="AH228" s="123">
        <v>17</v>
      </c>
      <c r="AI228" s="127">
        <v>17</v>
      </c>
      <c r="AJ228" s="127">
        <v>17</v>
      </c>
      <c r="AK228" s="22">
        <v>17</v>
      </c>
      <c r="AL228" s="128">
        <v>17.5</v>
      </c>
      <c r="AM228" s="128">
        <v>18</v>
      </c>
      <c r="AN228" s="128">
        <v>18</v>
      </c>
      <c r="AO228" s="77">
        <v>18.75</v>
      </c>
      <c r="AP228" s="77">
        <v>19.5</v>
      </c>
      <c r="AQ228" s="129">
        <v>19.75</v>
      </c>
      <c r="AR228" s="129">
        <v>20.75</v>
      </c>
      <c r="AS228" s="129">
        <v>20.75</v>
      </c>
      <c r="AT228" s="116">
        <v>54478</v>
      </c>
      <c r="AU228" s="47">
        <v>66463</v>
      </c>
      <c r="AV228" s="47">
        <v>330499</v>
      </c>
      <c r="AW228" s="46">
        <v>192588</v>
      </c>
      <c r="AX228" s="46">
        <v>85925</v>
      </c>
      <c r="AY228" s="92">
        <v>414</v>
      </c>
      <c r="AZ228" s="47">
        <v>12616</v>
      </c>
      <c r="BA228" s="44">
        <v>16020</v>
      </c>
      <c r="BB228" s="23">
        <v>-8454</v>
      </c>
      <c r="BC228" s="47">
        <v>-3404</v>
      </c>
      <c r="BD228" s="44">
        <v>-2580</v>
      </c>
      <c r="BE228" s="47">
        <v>22530</v>
      </c>
      <c r="BF228" s="44">
        <v>192588</v>
      </c>
      <c r="BG228" s="46">
        <v>174388</v>
      </c>
      <c r="BH228" s="130">
        <v>7476</v>
      </c>
      <c r="BI228" s="46">
        <v>10724</v>
      </c>
      <c r="BJ228" s="129">
        <v>19.75</v>
      </c>
      <c r="BK228" s="44">
        <v>109590</v>
      </c>
      <c r="BL228" s="116">
        <v>54238</v>
      </c>
      <c r="BM228" s="47">
        <v>63718</v>
      </c>
      <c r="BN228" s="130">
        <v>334592</v>
      </c>
      <c r="BO228" s="46">
        <v>181053</v>
      </c>
      <c r="BP228" s="46">
        <v>91064</v>
      </c>
      <c r="BQ228" s="46">
        <v>462</v>
      </c>
      <c r="BR228" s="130">
        <v>-287</v>
      </c>
      <c r="BS228" s="44">
        <v>15812</v>
      </c>
      <c r="BT228" s="92">
        <v>-8206</v>
      </c>
      <c r="BU228" s="117">
        <v>-15275</v>
      </c>
      <c r="BV228" s="130">
        <v>7154</v>
      </c>
      <c r="BW228" s="48">
        <v>181053</v>
      </c>
      <c r="BX228" s="46">
        <v>157543</v>
      </c>
      <c r="BY228" s="130">
        <v>9571</v>
      </c>
      <c r="BZ228" s="46">
        <v>13939</v>
      </c>
      <c r="CA228" s="129">
        <v>20.75</v>
      </c>
      <c r="CB228" s="44">
        <v>113970</v>
      </c>
      <c r="CC228" s="116">
        <v>53890</v>
      </c>
      <c r="CD228" s="47">
        <v>53032</v>
      </c>
      <c r="CE228" s="130">
        <v>332932</v>
      </c>
      <c r="CF228" s="46">
        <v>194485</v>
      </c>
      <c r="CG228" s="46">
        <v>103235</v>
      </c>
      <c r="CH228" s="46">
        <v>6503</v>
      </c>
      <c r="CI228" s="130">
        <v>16782</v>
      </c>
      <c r="CJ228" s="44">
        <v>15319</v>
      </c>
      <c r="CK228" s="117">
        <v>2611</v>
      </c>
      <c r="CL228" s="117">
        <v>8047</v>
      </c>
      <c r="CM228" s="117">
        <v>15201</v>
      </c>
      <c r="CN228" s="48">
        <v>194485</v>
      </c>
      <c r="CO228" s="46">
        <v>169873</v>
      </c>
      <c r="CP228" s="130">
        <v>10665</v>
      </c>
      <c r="CQ228" s="46">
        <v>13947</v>
      </c>
      <c r="CR228" s="129">
        <v>20.75</v>
      </c>
      <c r="CS228" s="44">
        <v>110576</v>
      </c>
      <c r="CT228">
        <v>53546</v>
      </c>
      <c r="CU228">
        <v>196898</v>
      </c>
      <c r="CV228">
        <v>108936</v>
      </c>
      <c r="CW228">
        <v>53141</v>
      </c>
      <c r="CX228">
        <v>342</v>
      </c>
      <c r="CY228">
        <v>172697</v>
      </c>
      <c r="CZ228">
        <v>10142</v>
      </c>
      <c r="DA228">
        <v>14059</v>
      </c>
      <c r="DB228">
        <v>23243</v>
      </c>
      <c r="DC228">
        <v>-14400</v>
      </c>
      <c r="DD228">
        <v>16806</v>
      </c>
      <c r="DE228">
        <v>97138</v>
      </c>
      <c r="DF228">
        <v>334842</v>
      </c>
      <c r="DG228">
        <v>6971</v>
      </c>
      <c r="DH228">
        <v>21486</v>
      </c>
      <c r="DI228">
        <v>20.75</v>
      </c>
      <c r="DJ228" s="174">
        <v>52984</v>
      </c>
      <c r="DK228" s="34">
        <v>196124</v>
      </c>
      <c r="DL228" s="34">
        <v>107647</v>
      </c>
      <c r="DM228">
        <v>53381</v>
      </c>
      <c r="DN228" s="173">
        <v>-657</v>
      </c>
      <c r="DO228" s="34">
        <v>169253</v>
      </c>
      <c r="DP228" s="173">
        <v>12321</v>
      </c>
      <c r="DQ228" s="34">
        <v>14550</v>
      </c>
      <c r="DR228" s="173">
        <v>22345</v>
      </c>
      <c r="DS228" s="173">
        <v>-15064</v>
      </c>
      <c r="DT228">
        <v>15398</v>
      </c>
      <c r="DU228">
        <v>87529</v>
      </c>
      <c r="DV228" s="173">
        <v>334150</v>
      </c>
      <c r="DW228" s="173">
        <v>7481</v>
      </c>
      <c r="DX228" s="173">
        <v>28967</v>
      </c>
      <c r="DY228" s="57">
        <v>20.75</v>
      </c>
      <c r="DZ228" s="184">
        <v>140</v>
      </c>
      <c r="EA228" s="116">
        <v>52321</v>
      </c>
      <c r="EB228" s="48">
        <v>181080</v>
      </c>
      <c r="EC228" s="46">
        <v>106529</v>
      </c>
      <c r="ED228" s="90">
        <v>53532</v>
      </c>
      <c r="EE228" s="186">
        <v>-474</v>
      </c>
      <c r="EF228" s="46">
        <v>155081</v>
      </c>
      <c r="EG228" s="130">
        <v>11571</v>
      </c>
      <c r="EH228" s="46">
        <v>14428</v>
      </c>
      <c r="EI228" s="130">
        <v>2013</v>
      </c>
      <c r="EJ228" s="48">
        <v>-12400</v>
      </c>
      <c r="EK228" s="44">
        <v>17388</v>
      </c>
      <c r="EL228" s="44">
        <v>98185</v>
      </c>
      <c r="EM228" s="130">
        <v>338654</v>
      </c>
      <c r="EN228" s="117">
        <v>-14841</v>
      </c>
      <c r="EO228" s="117">
        <v>14127</v>
      </c>
      <c r="EP228" s="129">
        <v>20.75</v>
      </c>
    </row>
    <row r="229" spans="1:146" ht="15" x14ac:dyDescent="0.25">
      <c r="A229" s="27">
        <v>790</v>
      </c>
      <c r="B229" s="27" t="s">
        <v>525</v>
      </c>
      <c r="C229" s="27">
        <v>6</v>
      </c>
      <c r="D229" s="27" t="s">
        <v>114</v>
      </c>
      <c r="E229" s="27">
        <v>5</v>
      </c>
      <c r="F229" s="27" t="s">
        <v>101</v>
      </c>
      <c r="G229" s="29" t="s">
        <v>132</v>
      </c>
      <c r="H229" s="27" t="s">
        <v>99</v>
      </c>
      <c r="I229" s="31" t="s">
        <v>114</v>
      </c>
      <c r="J229" s="118">
        <v>2479.2582239691342</v>
      </c>
      <c r="K229" s="118">
        <v>4211.7620544491592</v>
      </c>
      <c r="L229" s="118">
        <v>3717.1213627258553</v>
      </c>
      <c r="M229" s="118">
        <v>4432.4246139666611</v>
      </c>
      <c r="N229" s="22">
        <v>6464</v>
      </c>
      <c r="O229" s="119">
        <v>7936</v>
      </c>
      <c r="P229" s="119">
        <v>7756</v>
      </c>
      <c r="Q229" s="120">
        <v>7492</v>
      </c>
      <c r="R229" s="22">
        <v>8482</v>
      </c>
      <c r="S229" s="22">
        <v>8377</v>
      </c>
      <c r="T229" s="121">
        <v>10579</v>
      </c>
      <c r="U229" s="121">
        <v>13527</v>
      </c>
      <c r="V229" s="121">
        <v>15480</v>
      </c>
      <c r="W229" s="106">
        <v>16851</v>
      </c>
      <c r="X229" s="121">
        <v>19300</v>
      </c>
      <c r="Y229" s="121">
        <v>17134</v>
      </c>
      <c r="Z229" s="121">
        <v>16481</v>
      </c>
      <c r="AA229" s="121">
        <v>18949</v>
      </c>
      <c r="AB229" s="122">
        <v>18</v>
      </c>
      <c r="AC229" s="123">
        <v>18</v>
      </c>
      <c r="AD229" s="124">
        <v>18</v>
      </c>
      <c r="AE229" s="125">
        <v>18</v>
      </c>
      <c r="AF229" s="126">
        <v>18</v>
      </c>
      <c r="AG229" s="123">
        <v>18</v>
      </c>
      <c r="AH229" s="123">
        <v>18</v>
      </c>
      <c r="AI229" s="127">
        <v>18</v>
      </c>
      <c r="AJ229" s="127">
        <v>19</v>
      </c>
      <c r="AK229" s="22">
        <v>19</v>
      </c>
      <c r="AL229" s="128">
        <v>19</v>
      </c>
      <c r="AM229" s="128">
        <v>19.5</v>
      </c>
      <c r="AN229" s="128">
        <v>20</v>
      </c>
      <c r="AO229" s="77">
        <v>20</v>
      </c>
      <c r="AP229" s="77">
        <v>20</v>
      </c>
      <c r="AQ229" s="129">
        <v>20</v>
      </c>
      <c r="AR229" s="129">
        <v>20</v>
      </c>
      <c r="AS229" s="129">
        <v>20.75</v>
      </c>
      <c r="AT229" s="116">
        <v>25511</v>
      </c>
      <c r="AU229" s="47">
        <v>44819</v>
      </c>
      <c r="AV229" s="47">
        <v>179800</v>
      </c>
      <c r="AW229" s="46">
        <v>79352</v>
      </c>
      <c r="AX229" s="46">
        <v>61332</v>
      </c>
      <c r="AY229" s="92">
        <v>389</v>
      </c>
      <c r="AZ229" s="47">
        <v>5178</v>
      </c>
      <c r="BA229" s="44">
        <v>6930</v>
      </c>
      <c r="BB229" s="23">
        <v>-13210</v>
      </c>
      <c r="BC229" s="47">
        <v>-1752</v>
      </c>
      <c r="BD229" s="44">
        <v>-2041</v>
      </c>
      <c r="BE229" s="47">
        <v>17134</v>
      </c>
      <c r="BF229" s="44">
        <v>79352</v>
      </c>
      <c r="BG229" s="46">
        <v>71274</v>
      </c>
      <c r="BH229" s="130">
        <v>3469</v>
      </c>
      <c r="BI229" s="46">
        <v>4609</v>
      </c>
      <c r="BJ229" s="129">
        <v>20</v>
      </c>
      <c r="BK229" s="44">
        <v>47672</v>
      </c>
      <c r="BL229" s="116">
        <v>25372</v>
      </c>
      <c r="BM229" s="47">
        <v>45889</v>
      </c>
      <c r="BN229" s="130">
        <v>180126</v>
      </c>
      <c r="BO229" s="46">
        <v>77470</v>
      </c>
      <c r="BP229" s="46">
        <v>62299</v>
      </c>
      <c r="BQ229" s="46">
        <v>411</v>
      </c>
      <c r="BR229" s="130">
        <v>5251</v>
      </c>
      <c r="BS229" s="44">
        <v>7022</v>
      </c>
      <c r="BT229" s="92">
        <v>-7933</v>
      </c>
      <c r="BU229" s="117">
        <v>-1039</v>
      </c>
      <c r="BV229" s="130">
        <v>16481</v>
      </c>
      <c r="BW229" s="48">
        <v>77470</v>
      </c>
      <c r="BX229" s="46">
        <v>68432</v>
      </c>
      <c r="BY229" s="130">
        <v>3988</v>
      </c>
      <c r="BZ229" s="46">
        <v>5050</v>
      </c>
      <c r="CA229" s="129">
        <v>20</v>
      </c>
      <c r="CB229" s="44">
        <v>51058</v>
      </c>
      <c r="CC229" s="116">
        <v>25220</v>
      </c>
      <c r="CD229" s="47">
        <v>45039</v>
      </c>
      <c r="CE229" s="130">
        <v>178804</v>
      </c>
      <c r="CF229" s="46">
        <v>82365</v>
      </c>
      <c r="CG229" s="46">
        <v>62667</v>
      </c>
      <c r="CH229" s="46">
        <v>762</v>
      </c>
      <c r="CI229" s="130">
        <v>10992</v>
      </c>
      <c r="CJ229" s="44">
        <v>7231</v>
      </c>
      <c r="CK229" s="117">
        <v>-6917</v>
      </c>
      <c r="CL229" s="117">
        <v>2468</v>
      </c>
      <c r="CM229" s="117">
        <v>18949</v>
      </c>
      <c r="CN229" s="48">
        <v>82365</v>
      </c>
      <c r="CO229" s="46">
        <v>72541</v>
      </c>
      <c r="CP229" s="130">
        <v>4588</v>
      </c>
      <c r="CQ229" s="46">
        <v>5236</v>
      </c>
      <c r="CR229" s="129">
        <v>20.75</v>
      </c>
      <c r="CS229" s="44">
        <v>52339</v>
      </c>
      <c r="CT229">
        <v>25062</v>
      </c>
      <c r="CU229">
        <v>80344</v>
      </c>
      <c r="CV229">
        <v>65045</v>
      </c>
      <c r="CW229">
        <v>43169</v>
      </c>
      <c r="CX229">
        <v>559</v>
      </c>
      <c r="CY229">
        <v>70867</v>
      </c>
      <c r="CZ229">
        <v>4124</v>
      </c>
      <c r="DA229">
        <v>5353</v>
      </c>
      <c r="DB229">
        <v>7751</v>
      </c>
      <c r="DC229">
        <v>-7778</v>
      </c>
      <c r="DD229">
        <v>7566</v>
      </c>
      <c r="DE229">
        <v>53573</v>
      </c>
      <c r="DF229">
        <v>180836</v>
      </c>
      <c r="DG229">
        <v>394</v>
      </c>
      <c r="DH229">
        <v>19343</v>
      </c>
      <c r="DI229">
        <v>20.75</v>
      </c>
      <c r="DJ229" s="174">
        <v>24820</v>
      </c>
      <c r="DK229" s="34">
        <v>82539</v>
      </c>
      <c r="DL229" s="34">
        <v>63752</v>
      </c>
      <c r="DM229">
        <v>39505</v>
      </c>
      <c r="DN229" s="173">
        <v>1191</v>
      </c>
      <c r="DO229" s="34">
        <v>72033</v>
      </c>
      <c r="DP229" s="173">
        <v>4788</v>
      </c>
      <c r="DQ229" s="34">
        <v>5718</v>
      </c>
      <c r="DR229" s="173">
        <v>13988</v>
      </c>
      <c r="DS229" s="173">
        <v>-6711</v>
      </c>
      <c r="DT229">
        <v>8252</v>
      </c>
      <c r="DU229">
        <v>53033</v>
      </c>
      <c r="DV229" s="173">
        <v>172999</v>
      </c>
      <c r="DW229" s="173">
        <v>4953</v>
      </c>
      <c r="DX229" s="173">
        <v>24296</v>
      </c>
      <c r="DY229" s="57">
        <v>20.75</v>
      </c>
      <c r="DZ229" s="184">
        <v>230</v>
      </c>
      <c r="EA229" s="116">
        <v>24651</v>
      </c>
      <c r="EB229" s="48">
        <v>80936</v>
      </c>
      <c r="EC229" s="46">
        <v>63346</v>
      </c>
      <c r="ED229" s="90">
        <v>38160</v>
      </c>
      <c r="EE229" s="186">
        <v>1195</v>
      </c>
      <c r="EF229" s="46">
        <v>70545</v>
      </c>
      <c r="EG229" s="130">
        <v>4654</v>
      </c>
      <c r="EH229" s="46">
        <v>5737</v>
      </c>
      <c r="EI229" s="130">
        <v>7772</v>
      </c>
      <c r="EJ229" s="48">
        <v>-9733</v>
      </c>
      <c r="EK229" s="44">
        <v>8034</v>
      </c>
      <c r="EL229" s="44">
        <v>53387</v>
      </c>
      <c r="EM229" s="130">
        <v>175865</v>
      </c>
      <c r="EN229" s="117">
        <v>-34</v>
      </c>
      <c r="EO229" s="117">
        <v>24630</v>
      </c>
      <c r="EP229" s="129">
        <v>20.75</v>
      </c>
    </row>
    <row r="230" spans="1:146" ht="15" x14ac:dyDescent="0.25">
      <c r="A230" s="27">
        <v>738</v>
      </c>
      <c r="B230" s="27" t="s">
        <v>354</v>
      </c>
      <c r="C230" s="27">
        <v>2</v>
      </c>
      <c r="D230" s="27" t="s">
        <v>122</v>
      </c>
      <c r="E230" s="27">
        <v>2</v>
      </c>
      <c r="F230" s="27" t="s">
        <v>744</v>
      </c>
      <c r="G230" s="29" t="s">
        <v>130</v>
      </c>
      <c r="H230" s="27" t="s">
        <v>98</v>
      </c>
      <c r="I230" s="31" t="s">
        <v>122</v>
      </c>
      <c r="J230" s="118">
        <v>136.23222043382393</v>
      </c>
      <c r="K230" s="118">
        <v>-309.46578468918028</v>
      </c>
      <c r="L230" s="118">
        <v>-619.77250901066816</v>
      </c>
      <c r="M230" s="118">
        <v>-130.6820188605941</v>
      </c>
      <c r="N230" s="177">
        <v>626</v>
      </c>
      <c r="O230" s="119">
        <v>402</v>
      </c>
      <c r="P230" s="119">
        <v>-287</v>
      </c>
      <c r="Q230" s="120">
        <v>-481</v>
      </c>
      <c r="R230" s="177">
        <v>-705</v>
      </c>
      <c r="S230" s="177">
        <v>-485</v>
      </c>
      <c r="T230" s="121">
        <v>-746</v>
      </c>
      <c r="U230" s="121">
        <v>-470</v>
      </c>
      <c r="V230" s="121">
        <v>-561</v>
      </c>
      <c r="W230" s="106">
        <v>-188</v>
      </c>
      <c r="X230" s="121">
        <v>-1341</v>
      </c>
      <c r="Y230" s="121">
        <v>-1089</v>
      </c>
      <c r="Z230" s="121">
        <v>2606</v>
      </c>
      <c r="AA230" s="121">
        <v>2078</v>
      </c>
      <c r="AB230" s="122">
        <v>17.5</v>
      </c>
      <c r="AC230" s="123">
        <v>18</v>
      </c>
      <c r="AD230" s="124">
        <v>18</v>
      </c>
      <c r="AE230" s="125">
        <v>18</v>
      </c>
      <c r="AF230" s="126">
        <v>18</v>
      </c>
      <c r="AG230" s="123">
        <v>18</v>
      </c>
      <c r="AH230" s="123">
        <v>18</v>
      </c>
      <c r="AI230" s="127">
        <v>18.5</v>
      </c>
      <c r="AJ230" s="127">
        <v>19</v>
      </c>
      <c r="AK230" s="177">
        <v>19.5</v>
      </c>
      <c r="AL230" s="128">
        <v>19.5</v>
      </c>
      <c r="AM230" s="128">
        <v>19.5</v>
      </c>
      <c r="AN230" s="128">
        <v>19.5</v>
      </c>
      <c r="AO230" s="77">
        <v>19.5</v>
      </c>
      <c r="AP230" s="77">
        <v>19.5</v>
      </c>
      <c r="AQ230" s="129">
        <v>20</v>
      </c>
      <c r="AR230" s="129">
        <v>20.75</v>
      </c>
      <c r="AS230" s="129">
        <v>21</v>
      </c>
      <c r="AT230" s="116">
        <v>3032</v>
      </c>
      <c r="AU230" s="47">
        <v>1765</v>
      </c>
      <c r="AV230" s="47">
        <v>16481</v>
      </c>
      <c r="AW230" s="46">
        <v>9844</v>
      </c>
      <c r="AX230" s="46">
        <v>5554</v>
      </c>
      <c r="AY230" s="92">
        <v>1</v>
      </c>
      <c r="AZ230" s="47">
        <v>656</v>
      </c>
      <c r="BA230" s="44">
        <v>403</v>
      </c>
      <c r="BB230" s="23">
        <v>-132</v>
      </c>
      <c r="BC230" s="47">
        <v>253</v>
      </c>
      <c r="BD230" s="44">
        <v>253</v>
      </c>
      <c r="BE230" s="47">
        <v>-1089</v>
      </c>
      <c r="BF230" s="44">
        <v>9844</v>
      </c>
      <c r="BG230" s="46">
        <v>8929</v>
      </c>
      <c r="BH230" s="130">
        <v>212</v>
      </c>
      <c r="BI230" s="46">
        <v>703</v>
      </c>
      <c r="BJ230" s="129">
        <v>20</v>
      </c>
      <c r="BK230" s="44">
        <v>5785</v>
      </c>
      <c r="BL230" s="116">
        <v>2999</v>
      </c>
      <c r="BM230" s="47">
        <v>1915</v>
      </c>
      <c r="BN230" s="130">
        <v>17116</v>
      </c>
      <c r="BO230" s="46">
        <v>10046</v>
      </c>
      <c r="BP230" s="46">
        <v>4820</v>
      </c>
      <c r="BQ230" s="46">
        <v>4467</v>
      </c>
      <c r="BR230" s="130">
        <v>-355</v>
      </c>
      <c r="BS230" s="44">
        <v>415</v>
      </c>
      <c r="BT230" s="92">
        <v>1709</v>
      </c>
      <c r="BU230" s="117">
        <v>3695</v>
      </c>
      <c r="BV230" s="130">
        <v>2606</v>
      </c>
      <c r="BW230" s="48">
        <v>10046</v>
      </c>
      <c r="BX230" s="46">
        <v>8950</v>
      </c>
      <c r="BY230" s="130">
        <v>295</v>
      </c>
      <c r="BZ230" s="46">
        <v>801</v>
      </c>
      <c r="CA230" s="129">
        <v>20.75</v>
      </c>
      <c r="CB230" s="44">
        <v>7091</v>
      </c>
      <c r="CC230" s="116">
        <v>3019</v>
      </c>
      <c r="CD230" s="47">
        <v>1807</v>
      </c>
      <c r="CE230" s="130">
        <v>17406</v>
      </c>
      <c r="CF230" s="46">
        <v>10534</v>
      </c>
      <c r="CG230" s="46">
        <v>4869</v>
      </c>
      <c r="CH230" s="46">
        <v>28</v>
      </c>
      <c r="CI230" s="130">
        <v>-168</v>
      </c>
      <c r="CJ230" s="44">
        <v>360</v>
      </c>
      <c r="CK230" s="117">
        <v>-549</v>
      </c>
      <c r="CL230" s="117">
        <v>-528</v>
      </c>
      <c r="CM230" s="117">
        <v>2078</v>
      </c>
      <c r="CN230" s="48">
        <v>10534</v>
      </c>
      <c r="CO230" s="46">
        <v>9200</v>
      </c>
      <c r="CP230" s="130">
        <v>381</v>
      </c>
      <c r="CQ230" s="46">
        <v>953</v>
      </c>
      <c r="CR230" s="129">
        <v>21</v>
      </c>
      <c r="CS230" s="44">
        <v>7898</v>
      </c>
      <c r="CT230">
        <v>3047</v>
      </c>
      <c r="CU230">
        <v>11273</v>
      </c>
      <c r="CV230">
        <v>4900</v>
      </c>
      <c r="CW230">
        <v>1721</v>
      </c>
      <c r="CX230">
        <v>42</v>
      </c>
      <c r="CY230">
        <v>9824</v>
      </c>
      <c r="CZ230">
        <v>351</v>
      </c>
      <c r="DA230">
        <v>1098</v>
      </c>
      <c r="DB230">
        <v>599</v>
      </c>
      <c r="DC230">
        <v>-149</v>
      </c>
      <c r="DD230">
        <v>385</v>
      </c>
      <c r="DE230">
        <v>7699</v>
      </c>
      <c r="DF230">
        <v>17337</v>
      </c>
      <c r="DG230">
        <v>214</v>
      </c>
      <c r="DH230">
        <v>2292</v>
      </c>
      <c r="DI230">
        <v>21</v>
      </c>
      <c r="DJ230" s="174">
        <v>3007</v>
      </c>
      <c r="DK230" s="34">
        <v>11600</v>
      </c>
      <c r="DL230" s="34">
        <v>4641</v>
      </c>
      <c r="DM230">
        <v>1751</v>
      </c>
      <c r="DN230" s="173">
        <v>60</v>
      </c>
      <c r="DO230" s="34">
        <v>10060</v>
      </c>
      <c r="DP230" s="173">
        <v>451</v>
      </c>
      <c r="DQ230" s="34">
        <v>1089</v>
      </c>
      <c r="DR230" s="173">
        <v>708</v>
      </c>
      <c r="DS230" s="173">
        <v>-492</v>
      </c>
      <c r="DT230">
        <v>361</v>
      </c>
      <c r="DU230">
        <v>7957</v>
      </c>
      <c r="DV230" s="173">
        <v>17344</v>
      </c>
      <c r="DW230" s="173">
        <v>347</v>
      </c>
      <c r="DX230" s="173">
        <v>2638</v>
      </c>
      <c r="DY230" s="57">
        <v>21.5</v>
      </c>
      <c r="DZ230" s="184">
        <v>330</v>
      </c>
      <c r="EA230" s="116">
        <v>2994</v>
      </c>
      <c r="EB230" s="48">
        <v>11461</v>
      </c>
      <c r="EC230" s="46">
        <v>4498</v>
      </c>
      <c r="ED230" s="90">
        <v>1580</v>
      </c>
      <c r="EE230" s="186">
        <v>55</v>
      </c>
      <c r="EF230" s="46">
        <v>9819</v>
      </c>
      <c r="EG230" s="130">
        <v>468</v>
      </c>
      <c r="EH230" s="46">
        <v>1174</v>
      </c>
      <c r="EI230" s="130">
        <v>229</v>
      </c>
      <c r="EJ230" s="48">
        <v>-191</v>
      </c>
      <c r="EK230" s="44">
        <v>388</v>
      </c>
      <c r="EL230" s="44">
        <v>7635</v>
      </c>
      <c r="EM230" s="130">
        <v>17365</v>
      </c>
      <c r="EN230" s="117">
        <v>-159</v>
      </c>
      <c r="EO230" s="117">
        <v>2481</v>
      </c>
      <c r="EP230" s="129">
        <v>21.5</v>
      </c>
    </row>
    <row r="231" spans="1:146" ht="15" x14ac:dyDescent="0.25">
      <c r="A231" s="27">
        <v>739</v>
      </c>
      <c r="B231" s="27" t="s">
        <v>355</v>
      </c>
      <c r="C231" s="27">
        <v>9</v>
      </c>
      <c r="D231" s="27" t="s">
        <v>105</v>
      </c>
      <c r="E231" s="27">
        <v>2</v>
      </c>
      <c r="F231" s="27" t="s">
        <v>744</v>
      </c>
      <c r="G231" s="29" t="s">
        <v>130</v>
      </c>
      <c r="H231" s="27" t="s">
        <v>98</v>
      </c>
      <c r="I231" s="31" t="s">
        <v>105</v>
      </c>
      <c r="J231" s="132">
        <v>4581.9436805909454</v>
      </c>
      <c r="K231" s="132">
        <v>4410.0556197472806</v>
      </c>
      <c r="L231" s="132">
        <v>4075.5298340153354</v>
      </c>
      <c r="M231" s="132">
        <v>2433.1747321186804</v>
      </c>
      <c r="N231" s="132">
        <v>3098</v>
      </c>
      <c r="O231" s="132">
        <v>2811</v>
      </c>
      <c r="P231" s="132">
        <v>2824</v>
      </c>
      <c r="Q231" s="132">
        <v>2751</v>
      </c>
      <c r="R231" s="132">
        <v>3103</v>
      </c>
      <c r="S231" s="132">
        <v>3098</v>
      </c>
      <c r="T231" s="132">
        <v>2951</v>
      </c>
      <c r="U231" s="132">
        <v>2446</v>
      </c>
      <c r="V231" s="132">
        <v>2170</v>
      </c>
      <c r="W231" s="106">
        <v>2231</v>
      </c>
      <c r="X231" s="132">
        <v>3109</v>
      </c>
      <c r="Y231" s="132">
        <v>4266</v>
      </c>
      <c r="Z231" s="132">
        <v>4712</v>
      </c>
      <c r="AA231" s="132">
        <v>4707</v>
      </c>
      <c r="AB231" s="133">
        <v>17.5</v>
      </c>
      <c r="AC231" s="134">
        <v>17.5</v>
      </c>
      <c r="AD231" s="135">
        <v>18.5</v>
      </c>
      <c r="AE231" s="136">
        <v>18.5</v>
      </c>
      <c r="AF231" s="137">
        <v>18.5</v>
      </c>
      <c r="AG231" s="134">
        <v>18.5</v>
      </c>
      <c r="AH231" s="134">
        <v>18.5</v>
      </c>
      <c r="AI231" s="138">
        <v>18.5</v>
      </c>
      <c r="AJ231" s="138">
        <v>18.5</v>
      </c>
      <c r="AK231" s="139">
        <v>18.5</v>
      </c>
      <c r="AL231" s="140">
        <v>18.5</v>
      </c>
      <c r="AM231" s="140">
        <v>19.5</v>
      </c>
      <c r="AN231" s="140">
        <v>20</v>
      </c>
      <c r="AO231" s="83">
        <v>20</v>
      </c>
      <c r="AP231" s="83">
        <v>20</v>
      </c>
      <c r="AQ231" s="129">
        <v>20</v>
      </c>
      <c r="AR231" s="129">
        <v>21</v>
      </c>
      <c r="AS231" s="129">
        <v>21</v>
      </c>
      <c r="AT231" s="116">
        <v>3729</v>
      </c>
      <c r="AU231" s="47">
        <v>7756</v>
      </c>
      <c r="AV231" s="47">
        <v>28625</v>
      </c>
      <c r="AW231" s="46">
        <v>11772</v>
      </c>
      <c r="AX231" s="46">
        <v>11494</v>
      </c>
      <c r="AY231" s="92">
        <v>17</v>
      </c>
      <c r="AZ231" s="47">
        <v>2270</v>
      </c>
      <c r="BA231" s="44">
        <v>1112</v>
      </c>
      <c r="BB231" s="23">
        <v>-325</v>
      </c>
      <c r="BC231" s="47">
        <v>1158</v>
      </c>
      <c r="BD231" s="44">
        <v>1158</v>
      </c>
      <c r="BE231" s="47">
        <v>4266</v>
      </c>
      <c r="BF231" s="44">
        <v>11772</v>
      </c>
      <c r="BG231" s="46">
        <v>9909</v>
      </c>
      <c r="BH231" s="130">
        <v>771</v>
      </c>
      <c r="BI231" s="46">
        <v>1092</v>
      </c>
      <c r="BJ231" s="129">
        <v>20</v>
      </c>
      <c r="BK231" s="44">
        <v>8866</v>
      </c>
      <c r="BL231" s="116">
        <v>3667</v>
      </c>
      <c r="BM231" s="47">
        <v>7055</v>
      </c>
      <c r="BN231" s="130">
        <v>29514</v>
      </c>
      <c r="BO231" s="46">
        <v>12356</v>
      </c>
      <c r="BP231" s="46">
        <v>11756</v>
      </c>
      <c r="BQ231" s="46">
        <v>5</v>
      </c>
      <c r="BR231" s="130">
        <v>1511</v>
      </c>
      <c r="BS231" s="44">
        <v>1065</v>
      </c>
      <c r="BT231" s="92">
        <v>-955</v>
      </c>
      <c r="BU231" s="117">
        <v>446</v>
      </c>
      <c r="BV231" s="130">
        <v>4712</v>
      </c>
      <c r="BW231" s="48">
        <v>12356</v>
      </c>
      <c r="BX231" s="46">
        <v>10137</v>
      </c>
      <c r="BY231" s="130">
        <v>898</v>
      </c>
      <c r="BZ231" s="46">
        <v>1321</v>
      </c>
      <c r="CA231" s="129">
        <v>21</v>
      </c>
      <c r="CB231" s="44">
        <v>8204</v>
      </c>
      <c r="CC231" s="116">
        <v>3613</v>
      </c>
      <c r="CD231" s="47">
        <v>6887</v>
      </c>
      <c r="CE231" s="130">
        <v>29623</v>
      </c>
      <c r="CF231" s="46">
        <v>12495</v>
      </c>
      <c r="CG231" s="46">
        <v>11410</v>
      </c>
      <c r="CH231" s="46">
        <v>8</v>
      </c>
      <c r="CI231" s="130">
        <v>1093</v>
      </c>
      <c r="CJ231" s="44">
        <v>1099</v>
      </c>
      <c r="CK231" s="117">
        <v>-2241</v>
      </c>
      <c r="CL231" s="117">
        <v>-6</v>
      </c>
      <c r="CM231" s="117">
        <v>4707</v>
      </c>
      <c r="CN231" s="48">
        <v>12495</v>
      </c>
      <c r="CO231" s="46">
        <v>10113</v>
      </c>
      <c r="CP231" s="130">
        <v>1082</v>
      </c>
      <c r="CQ231" s="46">
        <v>1300</v>
      </c>
      <c r="CR231" s="129">
        <v>21</v>
      </c>
      <c r="CS231" s="44">
        <v>7549</v>
      </c>
      <c r="CT231">
        <v>3534</v>
      </c>
      <c r="CU231">
        <v>12153</v>
      </c>
      <c r="CV231">
        <v>11646</v>
      </c>
      <c r="CW231">
        <v>6591</v>
      </c>
      <c r="CX231">
        <v>4</v>
      </c>
      <c r="CY231">
        <v>9685</v>
      </c>
      <c r="CZ231">
        <v>1151</v>
      </c>
      <c r="DA231">
        <v>1317</v>
      </c>
      <c r="DB231">
        <v>-29</v>
      </c>
      <c r="DC231">
        <v>-1970</v>
      </c>
      <c r="DD231">
        <v>1099</v>
      </c>
      <c r="DE231">
        <v>6901</v>
      </c>
      <c r="DF231">
        <v>30365</v>
      </c>
      <c r="DG231">
        <v>-1128</v>
      </c>
      <c r="DH231">
        <v>3578</v>
      </c>
      <c r="DI231">
        <v>21</v>
      </c>
      <c r="DJ231" s="174">
        <v>3480</v>
      </c>
      <c r="DK231" s="34">
        <v>12314</v>
      </c>
      <c r="DL231" s="34">
        <v>11861</v>
      </c>
      <c r="DM231">
        <v>6246</v>
      </c>
      <c r="DN231" s="173">
        <v>-46</v>
      </c>
      <c r="DO231" s="34">
        <v>9602</v>
      </c>
      <c r="DP231" s="173">
        <v>1364</v>
      </c>
      <c r="DQ231" s="34">
        <v>1348</v>
      </c>
      <c r="DR231" s="173">
        <v>1614</v>
      </c>
      <c r="DS231" s="173">
        <v>-2787</v>
      </c>
      <c r="DT231">
        <v>1325</v>
      </c>
      <c r="DU231">
        <v>7450</v>
      </c>
      <c r="DV231" s="173">
        <v>28761</v>
      </c>
      <c r="DW231" s="173">
        <v>289</v>
      </c>
      <c r="DX231" s="173">
        <v>3868</v>
      </c>
      <c r="DY231" s="57">
        <v>21</v>
      </c>
      <c r="DZ231" s="184">
        <v>340</v>
      </c>
      <c r="EA231" s="116">
        <v>3429</v>
      </c>
      <c r="EB231" s="48">
        <v>12130</v>
      </c>
      <c r="EC231" s="46">
        <v>11653</v>
      </c>
      <c r="ED231" s="90">
        <v>6092</v>
      </c>
      <c r="EE231" s="186">
        <v>-56</v>
      </c>
      <c r="EF231" s="46">
        <v>9612</v>
      </c>
      <c r="EG231" s="130">
        <v>1180</v>
      </c>
      <c r="EH231" s="46">
        <v>1338</v>
      </c>
      <c r="EI231" s="130">
        <v>1149</v>
      </c>
      <c r="EJ231" s="48">
        <v>-1330</v>
      </c>
      <c r="EK231" s="44">
        <v>1307</v>
      </c>
      <c r="EL231" s="44">
        <v>7599</v>
      </c>
      <c r="EM231" s="130">
        <v>28670</v>
      </c>
      <c r="EN231" s="117">
        <v>-158</v>
      </c>
      <c r="EO231" s="117">
        <v>3710</v>
      </c>
      <c r="EP231" s="129">
        <v>21.5</v>
      </c>
    </row>
    <row r="232" spans="1:146" ht="15" x14ac:dyDescent="0.25">
      <c r="A232" s="27">
        <v>740</v>
      </c>
      <c r="B232" s="27" t="s">
        <v>356</v>
      </c>
      <c r="C232" s="27">
        <v>10</v>
      </c>
      <c r="D232" s="27" t="s">
        <v>107</v>
      </c>
      <c r="E232" s="27">
        <v>5</v>
      </c>
      <c r="F232" s="27" t="s">
        <v>101</v>
      </c>
      <c r="G232" s="29" t="s">
        <v>141</v>
      </c>
      <c r="H232" s="27" t="s">
        <v>97</v>
      </c>
      <c r="I232" s="31" t="s">
        <v>107</v>
      </c>
      <c r="J232" s="118">
        <v>-11705.879681721168</v>
      </c>
      <c r="K232" s="118">
        <v>-14547.414699288396</v>
      </c>
      <c r="L232" s="118">
        <v>-19999.058147611817</v>
      </c>
      <c r="M232" s="118">
        <v>-23764.617633158585</v>
      </c>
      <c r="N232" s="22">
        <v>-21397</v>
      </c>
      <c r="O232" s="119">
        <v>-22189</v>
      </c>
      <c r="P232" s="119">
        <v>-28405</v>
      </c>
      <c r="Q232" s="120">
        <v>-30415</v>
      </c>
      <c r="R232" s="22">
        <v>-20519</v>
      </c>
      <c r="S232" s="22">
        <v>-15520</v>
      </c>
      <c r="T232" s="121">
        <v>-13561</v>
      </c>
      <c r="U232" s="121">
        <v>-7318</v>
      </c>
      <c r="V232" s="121">
        <v>-3733</v>
      </c>
      <c r="W232" s="106">
        <v>-3354</v>
      </c>
      <c r="X232" s="121">
        <v>-11363</v>
      </c>
      <c r="Y232" s="121">
        <v>-14871</v>
      </c>
      <c r="Z232" s="121">
        <v>-9684</v>
      </c>
      <c r="AA232" s="121">
        <v>-8665</v>
      </c>
      <c r="AB232" s="122">
        <v>18</v>
      </c>
      <c r="AC232" s="123">
        <v>18</v>
      </c>
      <c r="AD232" s="124">
        <v>18</v>
      </c>
      <c r="AE232" s="125">
        <v>18</v>
      </c>
      <c r="AF232" s="126">
        <v>18.75</v>
      </c>
      <c r="AG232" s="123">
        <v>18.75</v>
      </c>
      <c r="AH232" s="123">
        <v>18.75</v>
      </c>
      <c r="AI232" s="131">
        <v>19.5</v>
      </c>
      <c r="AJ232" s="131">
        <v>20.25</v>
      </c>
      <c r="AK232" s="22">
        <v>20.25</v>
      </c>
      <c r="AL232" s="128">
        <v>20.25</v>
      </c>
      <c r="AM232" s="128">
        <v>20.25</v>
      </c>
      <c r="AN232" s="128">
        <v>20.5</v>
      </c>
      <c r="AO232" s="77">
        <v>20.5</v>
      </c>
      <c r="AP232" s="77">
        <v>20.5</v>
      </c>
      <c r="AQ232" s="129">
        <v>21</v>
      </c>
      <c r="AR232" s="129">
        <v>22</v>
      </c>
      <c r="AS232" s="129">
        <v>22</v>
      </c>
      <c r="AT232" s="116">
        <v>36256</v>
      </c>
      <c r="AU232" s="47">
        <v>31573</v>
      </c>
      <c r="AV232" s="47">
        <v>231104</v>
      </c>
      <c r="AW232" s="46">
        <v>125749</v>
      </c>
      <c r="AX232" s="46">
        <v>79796</v>
      </c>
      <c r="AY232" s="92">
        <v>620</v>
      </c>
      <c r="AZ232" s="47">
        <v>4846</v>
      </c>
      <c r="BA232" s="44">
        <v>7737</v>
      </c>
      <c r="BB232" s="23">
        <v>-21493</v>
      </c>
      <c r="BC232" s="47">
        <v>-2906</v>
      </c>
      <c r="BD232" s="44">
        <v>-2883</v>
      </c>
      <c r="BE232" s="47">
        <v>-14871</v>
      </c>
      <c r="BF232" s="44">
        <v>125749</v>
      </c>
      <c r="BG232" s="46">
        <v>109095</v>
      </c>
      <c r="BH232" s="130">
        <v>7239</v>
      </c>
      <c r="BI232" s="46">
        <v>9415</v>
      </c>
      <c r="BJ232" s="129">
        <v>21</v>
      </c>
      <c r="BK232" s="44">
        <v>98980</v>
      </c>
      <c r="BL232" s="116">
        <v>35944</v>
      </c>
      <c r="BM232" s="47">
        <v>33665</v>
      </c>
      <c r="BN232" s="130">
        <v>234158</v>
      </c>
      <c r="BO232" s="46">
        <v>132408</v>
      </c>
      <c r="BP232" s="46">
        <v>81444</v>
      </c>
      <c r="BQ232" s="46">
        <v>2434</v>
      </c>
      <c r="BR232" s="130">
        <v>12052</v>
      </c>
      <c r="BS232" s="44">
        <v>8827</v>
      </c>
      <c r="BT232" s="92">
        <v>-12308</v>
      </c>
      <c r="BU232" s="117">
        <v>5187</v>
      </c>
      <c r="BV232" s="130">
        <v>-9684</v>
      </c>
      <c r="BW232" s="48">
        <v>132408</v>
      </c>
      <c r="BX232" s="46">
        <v>113920</v>
      </c>
      <c r="BY232" s="130">
        <v>8357</v>
      </c>
      <c r="BZ232" s="46">
        <v>10131</v>
      </c>
      <c r="CA232" s="129">
        <v>22</v>
      </c>
      <c r="CB232" s="44">
        <v>107325</v>
      </c>
      <c r="CC232" s="116">
        <v>35523</v>
      </c>
      <c r="CD232" s="47">
        <v>30866</v>
      </c>
      <c r="CE232" s="130">
        <v>232703</v>
      </c>
      <c r="CF232" s="46">
        <v>136047</v>
      </c>
      <c r="CG232" s="46">
        <v>75539</v>
      </c>
      <c r="CH232" s="46">
        <v>1589</v>
      </c>
      <c r="CI232" s="130">
        <v>9121</v>
      </c>
      <c r="CJ232" s="44">
        <v>8926</v>
      </c>
      <c r="CK232" s="117">
        <v>-7570</v>
      </c>
      <c r="CL232" s="117">
        <v>1019</v>
      </c>
      <c r="CM232" s="117">
        <v>-8665</v>
      </c>
      <c r="CN232" s="48">
        <v>136047</v>
      </c>
      <c r="CO232" s="46">
        <v>114616</v>
      </c>
      <c r="CP232" s="130">
        <v>9193</v>
      </c>
      <c r="CQ232" s="46">
        <v>12238</v>
      </c>
      <c r="CR232" s="129">
        <v>22</v>
      </c>
      <c r="CS232" s="44">
        <v>103151</v>
      </c>
      <c r="CT232">
        <v>35242</v>
      </c>
      <c r="CU232">
        <v>137854</v>
      </c>
      <c r="CV232">
        <v>80177</v>
      </c>
      <c r="CW232">
        <v>30092</v>
      </c>
      <c r="CX232">
        <v>108</v>
      </c>
      <c r="CY232">
        <v>116031</v>
      </c>
      <c r="CZ232">
        <v>7835</v>
      </c>
      <c r="DA232">
        <v>13988</v>
      </c>
      <c r="DB232">
        <v>14763</v>
      </c>
      <c r="DC232">
        <v>-14280</v>
      </c>
      <c r="DD232">
        <v>8685</v>
      </c>
      <c r="DE232">
        <v>107297</v>
      </c>
      <c r="DF232">
        <v>232305</v>
      </c>
      <c r="DG232">
        <v>6104</v>
      </c>
      <c r="DH232">
        <v>-2561</v>
      </c>
      <c r="DI232">
        <v>22.5</v>
      </c>
      <c r="DJ232" s="174">
        <v>34664</v>
      </c>
      <c r="DK232" s="34">
        <v>137220</v>
      </c>
      <c r="DL232" s="34">
        <v>81719</v>
      </c>
      <c r="DM232">
        <v>32972</v>
      </c>
      <c r="DN232" s="173">
        <v>-321</v>
      </c>
      <c r="DO232" s="34">
        <v>114318</v>
      </c>
      <c r="DP232" s="173">
        <v>9054</v>
      </c>
      <c r="DQ232" s="34">
        <v>13848</v>
      </c>
      <c r="DR232" s="173">
        <v>12484</v>
      </c>
      <c r="DS232" s="173">
        <v>-6885</v>
      </c>
      <c r="DT232">
        <v>8723</v>
      </c>
      <c r="DU232">
        <v>104790</v>
      </c>
      <c r="DV232" s="173">
        <v>239106</v>
      </c>
      <c r="DW232" s="173">
        <v>3787</v>
      </c>
      <c r="DX232" s="173">
        <v>1226</v>
      </c>
      <c r="DY232" s="57">
        <v>22.5</v>
      </c>
      <c r="DZ232" s="184">
        <v>140</v>
      </c>
      <c r="EA232" s="116">
        <v>33611</v>
      </c>
      <c r="EB232" s="48">
        <v>129830</v>
      </c>
      <c r="EC232" s="46">
        <v>83774</v>
      </c>
      <c r="ED232" s="90">
        <v>29209</v>
      </c>
      <c r="EE232" s="186">
        <v>116</v>
      </c>
      <c r="EF232" s="46">
        <v>107504</v>
      </c>
      <c r="EG232" s="130">
        <v>9435</v>
      </c>
      <c r="EH232" s="46">
        <v>12891</v>
      </c>
      <c r="EI232" s="130">
        <v>3883</v>
      </c>
      <c r="EJ232" s="48">
        <v>-13849</v>
      </c>
      <c r="EK232" s="44">
        <v>8795</v>
      </c>
      <c r="EL232" s="44">
        <v>110348</v>
      </c>
      <c r="EM232" s="130">
        <v>239046</v>
      </c>
      <c r="EN232" s="117">
        <v>-4886</v>
      </c>
      <c r="EO232" s="117">
        <v>-3660</v>
      </c>
      <c r="EP232" s="129">
        <v>22</v>
      </c>
    </row>
    <row r="233" spans="1:146" ht="15" x14ac:dyDescent="0.25">
      <c r="A233" s="27">
        <v>742</v>
      </c>
      <c r="B233" s="27" t="s">
        <v>357</v>
      </c>
      <c r="C233" s="27">
        <v>19</v>
      </c>
      <c r="D233" s="27" t="s">
        <v>113</v>
      </c>
      <c r="E233" s="27">
        <v>1</v>
      </c>
      <c r="F233" s="27" t="s">
        <v>103</v>
      </c>
      <c r="G233" s="29" t="s">
        <v>130</v>
      </c>
      <c r="H233" s="27" t="s">
        <v>98</v>
      </c>
      <c r="I233" s="31" t="s">
        <v>113</v>
      </c>
      <c r="J233" s="118">
        <v>57.015707070452237</v>
      </c>
      <c r="K233" s="118">
        <v>-352.85826971625016</v>
      </c>
      <c r="L233" s="118">
        <v>-488.92230222361258</v>
      </c>
      <c r="M233" s="118">
        <v>-1323.6389812520918</v>
      </c>
      <c r="N233" s="22">
        <v>-1881</v>
      </c>
      <c r="O233" s="119">
        <v>-1356</v>
      </c>
      <c r="P233" s="119">
        <v>-1035</v>
      </c>
      <c r="Q233" s="120">
        <v>-1026</v>
      </c>
      <c r="R233" s="22">
        <v>-85</v>
      </c>
      <c r="S233" s="22">
        <v>-75</v>
      </c>
      <c r="T233" s="121">
        <v>-230</v>
      </c>
      <c r="U233" s="121">
        <v>168</v>
      </c>
      <c r="V233" s="121">
        <v>693</v>
      </c>
      <c r="W233" s="106">
        <v>338</v>
      </c>
      <c r="X233" s="121">
        <v>-728</v>
      </c>
      <c r="Y233" s="121">
        <v>-993</v>
      </c>
      <c r="Z233" s="121">
        <v>-361</v>
      </c>
      <c r="AA233" s="121">
        <v>321</v>
      </c>
      <c r="AB233" s="122">
        <v>19</v>
      </c>
      <c r="AC233" s="123">
        <v>19</v>
      </c>
      <c r="AD233" s="124">
        <v>19.25</v>
      </c>
      <c r="AE233" s="125">
        <v>19.25</v>
      </c>
      <c r="AF233" s="126">
        <v>19.25</v>
      </c>
      <c r="AG233" s="123">
        <v>20</v>
      </c>
      <c r="AH233" s="123">
        <v>20</v>
      </c>
      <c r="AI233" s="127">
        <v>19.75</v>
      </c>
      <c r="AJ233" s="127">
        <v>19.75</v>
      </c>
      <c r="AK233" s="22">
        <v>20</v>
      </c>
      <c r="AL233" s="128">
        <v>20</v>
      </c>
      <c r="AM233" s="128">
        <v>20.25</v>
      </c>
      <c r="AN233" s="128">
        <v>20.25</v>
      </c>
      <c r="AO233" s="77">
        <v>20.25</v>
      </c>
      <c r="AP233" s="77">
        <v>20.25</v>
      </c>
      <c r="AQ233" s="129">
        <v>20.75</v>
      </c>
      <c r="AR233" s="129">
        <v>21.75</v>
      </c>
      <c r="AS233" s="129">
        <v>21.75</v>
      </c>
      <c r="AT233" s="116">
        <v>1126</v>
      </c>
      <c r="AU233" s="47">
        <v>1481</v>
      </c>
      <c r="AV233" s="47">
        <v>9536</v>
      </c>
      <c r="AW233" s="46">
        <v>3624</v>
      </c>
      <c r="AX233" s="46">
        <v>4489</v>
      </c>
      <c r="AY233" s="92">
        <v>13</v>
      </c>
      <c r="AZ233" s="47">
        <v>-9</v>
      </c>
      <c r="BA233" s="44">
        <v>264</v>
      </c>
      <c r="BB233" s="23">
        <v>-103</v>
      </c>
      <c r="BC233" s="47">
        <v>-273</v>
      </c>
      <c r="BD233" s="44">
        <v>-265</v>
      </c>
      <c r="BE233" s="47">
        <v>-993</v>
      </c>
      <c r="BF233" s="44">
        <v>3624</v>
      </c>
      <c r="BG233" s="46">
        <v>2633</v>
      </c>
      <c r="BH233" s="130">
        <v>719</v>
      </c>
      <c r="BI233" s="46">
        <v>272</v>
      </c>
      <c r="BJ233" s="129">
        <v>20.75</v>
      </c>
      <c r="BK233" s="44">
        <v>3404</v>
      </c>
      <c r="BL233" s="116">
        <v>1103</v>
      </c>
      <c r="BM233" s="47">
        <v>1506</v>
      </c>
      <c r="BN233" s="130">
        <v>9620</v>
      </c>
      <c r="BO233" s="46">
        <v>4231</v>
      </c>
      <c r="BP233" s="46">
        <v>4966</v>
      </c>
      <c r="BQ233" s="46">
        <v>15</v>
      </c>
      <c r="BR233" s="130">
        <v>1033</v>
      </c>
      <c r="BS233" s="44">
        <v>261</v>
      </c>
      <c r="BT233" s="92">
        <v>-113</v>
      </c>
      <c r="BU233" s="117">
        <v>632</v>
      </c>
      <c r="BV233" s="130">
        <v>-361</v>
      </c>
      <c r="BW233" s="48">
        <v>4231</v>
      </c>
      <c r="BX233" s="46">
        <v>2977</v>
      </c>
      <c r="BY233" s="130">
        <v>866</v>
      </c>
      <c r="BZ233" s="46">
        <v>388</v>
      </c>
      <c r="CA233" s="129">
        <v>21.75</v>
      </c>
      <c r="CB233" s="44">
        <v>3099</v>
      </c>
      <c r="CC233" s="116">
        <v>1061</v>
      </c>
      <c r="CD233" s="47">
        <v>1356</v>
      </c>
      <c r="CE233" s="130">
        <v>9250</v>
      </c>
      <c r="CF233" s="46">
        <v>4260</v>
      </c>
      <c r="CG233" s="46">
        <v>4599</v>
      </c>
      <c r="CH233" s="46">
        <v>8</v>
      </c>
      <c r="CI233" s="130">
        <v>922</v>
      </c>
      <c r="CJ233" s="44">
        <v>248</v>
      </c>
      <c r="CK233" s="117">
        <v>116</v>
      </c>
      <c r="CL233" s="117">
        <v>682</v>
      </c>
      <c r="CM233" s="117">
        <v>321</v>
      </c>
      <c r="CN233" s="48">
        <v>4260</v>
      </c>
      <c r="CO233" s="46">
        <v>2883</v>
      </c>
      <c r="CP233" s="130">
        <v>990</v>
      </c>
      <c r="CQ233" s="46">
        <v>387</v>
      </c>
      <c r="CR233" s="129">
        <v>21.75</v>
      </c>
      <c r="CS233" s="44">
        <v>2794</v>
      </c>
      <c r="CT233">
        <v>1044</v>
      </c>
      <c r="CU233">
        <v>4123</v>
      </c>
      <c r="CV233">
        <v>4619</v>
      </c>
      <c r="CW233">
        <v>1450</v>
      </c>
      <c r="CX233">
        <v>469</v>
      </c>
      <c r="CY233">
        <v>2870</v>
      </c>
      <c r="CZ233">
        <v>853</v>
      </c>
      <c r="DA233">
        <v>400</v>
      </c>
      <c r="DB233">
        <v>1000</v>
      </c>
      <c r="DC233">
        <v>-50</v>
      </c>
      <c r="DD233">
        <v>230</v>
      </c>
      <c r="DE233">
        <v>2496</v>
      </c>
      <c r="DF233">
        <v>9175</v>
      </c>
      <c r="DG233">
        <v>1238</v>
      </c>
      <c r="DH233">
        <v>1559</v>
      </c>
      <c r="DI233">
        <v>21.75</v>
      </c>
      <c r="DJ233" s="174">
        <v>1012</v>
      </c>
      <c r="DK233" s="34">
        <v>4212</v>
      </c>
      <c r="DL233" s="34">
        <v>4425</v>
      </c>
      <c r="DM233">
        <v>1250</v>
      </c>
      <c r="DN233" s="173">
        <v>-12</v>
      </c>
      <c r="DO233" s="34">
        <v>2836</v>
      </c>
      <c r="DP233" s="173">
        <v>978</v>
      </c>
      <c r="DQ233" s="34">
        <v>398</v>
      </c>
      <c r="DR233" s="173">
        <v>614</v>
      </c>
      <c r="DS233" s="173">
        <v>-872</v>
      </c>
      <c r="DT233">
        <v>189</v>
      </c>
      <c r="DU233">
        <v>1972</v>
      </c>
      <c r="DV233" s="173">
        <v>9261</v>
      </c>
      <c r="DW233" s="173">
        <v>433</v>
      </c>
      <c r="DX233" s="173">
        <v>1992</v>
      </c>
      <c r="DY233" s="57">
        <v>21.75</v>
      </c>
      <c r="DZ233" s="184">
        <v>340</v>
      </c>
      <c r="EA233" s="116">
        <v>1015</v>
      </c>
      <c r="EB233" s="48">
        <v>3967</v>
      </c>
      <c r="EC233" s="46">
        <v>4517</v>
      </c>
      <c r="ED233" s="90">
        <v>1311</v>
      </c>
      <c r="EE233" s="186">
        <v>-9</v>
      </c>
      <c r="EF233" s="46">
        <v>2619</v>
      </c>
      <c r="EG233" s="130">
        <v>956</v>
      </c>
      <c r="EH233" s="46">
        <v>392</v>
      </c>
      <c r="EI233" s="130">
        <v>-14</v>
      </c>
      <c r="EJ233" s="48">
        <v>-211</v>
      </c>
      <c r="EK233" s="44">
        <v>351</v>
      </c>
      <c r="EL233" s="44">
        <v>1728</v>
      </c>
      <c r="EM233" s="130">
        <v>9800</v>
      </c>
      <c r="EN233" s="117">
        <v>-357</v>
      </c>
      <c r="EO233" s="117">
        <v>1635</v>
      </c>
      <c r="EP233" s="129">
        <v>21.75</v>
      </c>
    </row>
    <row r="234" spans="1:146" ht="15" x14ac:dyDescent="0.25">
      <c r="A234" s="27">
        <v>743</v>
      </c>
      <c r="B234" s="27" t="s">
        <v>358</v>
      </c>
      <c r="C234" s="27">
        <v>14</v>
      </c>
      <c r="D234" s="27" t="s">
        <v>106</v>
      </c>
      <c r="E234" s="27">
        <v>6</v>
      </c>
      <c r="F234" s="27" t="s">
        <v>102</v>
      </c>
      <c r="G234" s="29" t="s">
        <v>141</v>
      </c>
      <c r="H234" s="27" t="s">
        <v>97</v>
      </c>
      <c r="I234" s="31" t="s">
        <v>106</v>
      </c>
      <c r="J234" s="132">
        <v>-4049.460705413801</v>
      </c>
      <c r="K234" s="132">
        <v>-3791.6286141483047</v>
      </c>
      <c r="L234" s="132">
        <v>-1524.9599292265204</v>
      </c>
      <c r="M234" s="132">
        <v>-7810.3109290196489</v>
      </c>
      <c r="N234" s="132">
        <v>823</v>
      </c>
      <c r="O234" s="132">
        <v>3505</v>
      </c>
      <c r="P234" s="132">
        <v>3833</v>
      </c>
      <c r="Q234" s="132">
        <v>4106</v>
      </c>
      <c r="R234" s="132">
        <v>4584</v>
      </c>
      <c r="S234" s="132">
        <v>7642</v>
      </c>
      <c r="T234" s="132">
        <v>9220</v>
      </c>
      <c r="U234" s="132">
        <v>20884</v>
      </c>
      <c r="V234" s="132">
        <v>29285</v>
      </c>
      <c r="W234" s="106">
        <v>63413</v>
      </c>
      <c r="X234" s="132">
        <v>49750</v>
      </c>
      <c r="Y234" s="132">
        <v>36172</v>
      </c>
      <c r="Z234" s="132">
        <v>30747</v>
      </c>
      <c r="AA234" s="132">
        <v>25039</v>
      </c>
      <c r="AB234" s="133">
        <v>18</v>
      </c>
      <c r="AC234" s="134">
        <v>18.5</v>
      </c>
      <c r="AD234" s="135">
        <v>18.5</v>
      </c>
      <c r="AE234" s="136">
        <v>18.5</v>
      </c>
      <c r="AF234" s="137">
        <v>18.5</v>
      </c>
      <c r="AG234" s="134">
        <v>19</v>
      </c>
      <c r="AH234" s="134">
        <v>19</v>
      </c>
      <c r="AI234" s="138">
        <v>19</v>
      </c>
      <c r="AJ234" s="138">
        <v>19</v>
      </c>
      <c r="AK234" s="139">
        <v>19</v>
      </c>
      <c r="AL234" s="140">
        <v>19</v>
      </c>
      <c r="AM234" s="140">
        <v>19</v>
      </c>
      <c r="AN234" s="140">
        <v>19.25</v>
      </c>
      <c r="AO234" s="77">
        <v>19.25</v>
      </c>
      <c r="AP234" s="77">
        <v>19.75</v>
      </c>
      <c r="AQ234" s="129">
        <v>19.75</v>
      </c>
      <c r="AR234" s="129">
        <v>21</v>
      </c>
      <c r="AS234" s="129">
        <v>21</v>
      </c>
      <c r="AT234" s="116">
        <v>60354</v>
      </c>
      <c r="AU234" s="47">
        <v>66796</v>
      </c>
      <c r="AV234" s="47">
        <v>366618</v>
      </c>
      <c r="AW234" s="46">
        <v>219626</v>
      </c>
      <c r="AX234" s="46">
        <v>77413</v>
      </c>
      <c r="AY234" s="92">
        <v>3491</v>
      </c>
      <c r="AZ234" s="47">
        <v>708</v>
      </c>
      <c r="BA234" s="44">
        <v>15793</v>
      </c>
      <c r="BB234" s="23">
        <v>-23701</v>
      </c>
      <c r="BC234" s="47">
        <v>-15085</v>
      </c>
      <c r="BD234" s="44">
        <v>-13113</v>
      </c>
      <c r="BE234" s="47">
        <v>36172</v>
      </c>
      <c r="BF234" s="44">
        <v>219626</v>
      </c>
      <c r="BG234" s="46">
        <v>189663</v>
      </c>
      <c r="BH234" s="130">
        <v>12041</v>
      </c>
      <c r="BI234" s="46">
        <v>17922</v>
      </c>
      <c r="BJ234" s="129">
        <v>19.75</v>
      </c>
      <c r="BK234" s="44">
        <v>181143</v>
      </c>
      <c r="BL234" s="116">
        <v>60880</v>
      </c>
      <c r="BM234" s="47">
        <v>67776</v>
      </c>
      <c r="BN234" s="130">
        <v>376800</v>
      </c>
      <c r="BO234" s="46">
        <v>237224</v>
      </c>
      <c r="BP234" s="46">
        <v>77734</v>
      </c>
      <c r="BQ234" s="46">
        <v>5282</v>
      </c>
      <c r="BR234" s="130">
        <v>11216</v>
      </c>
      <c r="BS234" s="44">
        <v>16416</v>
      </c>
      <c r="BT234" s="92">
        <v>-19670</v>
      </c>
      <c r="BU234" s="117">
        <v>-5425</v>
      </c>
      <c r="BV234" s="130">
        <v>30747</v>
      </c>
      <c r="BW234" s="48">
        <v>237224</v>
      </c>
      <c r="BX234" s="46">
        <v>203926</v>
      </c>
      <c r="BY234" s="130">
        <v>14106</v>
      </c>
      <c r="BZ234" s="46">
        <v>19192</v>
      </c>
      <c r="CA234" s="129">
        <v>21</v>
      </c>
      <c r="CB234" s="44">
        <v>191627</v>
      </c>
      <c r="CC234" s="116">
        <v>61530</v>
      </c>
      <c r="CD234" s="47">
        <v>65047</v>
      </c>
      <c r="CE234" s="130">
        <v>384449</v>
      </c>
      <c r="CF234" s="46">
        <v>243781</v>
      </c>
      <c r="CG234" s="46">
        <v>83041</v>
      </c>
      <c r="CH234" s="46">
        <v>6078</v>
      </c>
      <c r="CI234" s="130">
        <v>11841</v>
      </c>
      <c r="CJ234" s="44">
        <v>17151</v>
      </c>
      <c r="CK234" s="117">
        <v>-35883</v>
      </c>
      <c r="CL234" s="117">
        <v>-5708</v>
      </c>
      <c r="CM234" s="117">
        <v>25039</v>
      </c>
      <c r="CN234" s="48">
        <v>243781</v>
      </c>
      <c r="CO234" s="46">
        <v>206513</v>
      </c>
      <c r="CP234" s="130">
        <v>22017</v>
      </c>
      <c r="CQ234" s="46">
        <v>15251</v>
      </c>
      <c r="CR234" s="129">
        <v>21</v>
      </c>
      <c r="CS234" s="44">
        <v>225355</v>
      </c>
      <c r="CT234">
        <v>62052</v>
      </c>
      <c r="CU234">
        <v>243802</v>
      </c>
      <c r="CV234">
        <v>93849</v>
      </c>
      <c r="CW234">
        <v>71264</v>
      </c>
      <c r="CX234">
        <v>5439</v>
      </c>
      <c r="CY234">
        <v>208038</v>
      </c>
      <c r="CZ234">
        <v>22736</v>
      </c>
      <c r="DA234">
        <v>13028</v>
      </c>
      <c r="DB234">
        <v>26696</v>
      </c>
      <c r="DC234">
        <v>-24936</v>
      </c>
      <c r="DD234">
        <v>18210</v>
      </c>
      <c r="DE234">
        <v>236847</v>
      </c>
      <c r="DF234">
        <v>387658</v>
      </c>
      <c r="DG234">
        <v>8544</v>
      </c>
      <c r="DH234">
        <v>33584</v>
      </c>
      <c r="DI234">
        <v>21</v>
      </c>
      <c r="DJ234" s="174">
        <v>62676</v>
      </c>
      <c r="DK234" s="34">
        <v>247500</v>
      </c>
      <c r="DL234" s="34">
        <v>94591</v>
      </c>
      <c r="DM234">
        <v>71874</v>
      </c>
      <c r="DN234" s="173">
        <v>6755</v>
      </c>
      <c r="DO234" s="34">
        <v>207970</v>
      </c>
      <c r="DP234" s="173">
        <v>23970</v>
      </c>
      <c r="DQ234" s="34">
        <v>15560</v>
      </c>
      <c r="DR234" s="173">
        <v>29177</v>
      </c>
      <c r="DS234" s="173">
        <v>-38700</v>
      </c>
      <c r="DT234">
        <v>19362</v>
      </c>
      <c r="DU234">
        <v>266508</v>
      </c>
      <c r="DV234" s="173">
        <v>391543</v>
      </c>
      <c r="DW234" s="173">
        <v>9895</v>
      </c>
      <c r="DX234" s="173">
        <v>43477</v>
      </c>
      <c r="DY234" s="57">
        <v>21</v>
      </c>
      <c r="DZ234" s="184">
        <v>120</v>
      </c>
      <c r="EA234" s="116">
        <v>63288</v>
      </c>
      <c r="EB234" s="48">
        <v>247554</v>
      </c>
      <c r="EC234" s="46">
        <v>95527</v>
      </c>
      <c r="ED234" s="90">
        <v>71360</v>
      </c>
      <c r="EE234" s="186">
        <v>7421</v>
      </c>
      <c r="EF234" s="46">
        <v>208304</v>
      </c>
      <c r="EG234" s="130">
        <v>24713</v>
      </c>
      <c r="EH234" s="46">
        <v>14537</v>
      </c>
      <c r="EI234" s="130">
        <v>14474</v>
      </c>
      <c r="EJ234" s="48">
        <v>-31083</v>
      </c>
      <c r="EK234" s="44">
        <v>22055</v>
      </c>
      <c r="EL234" s="44">
        <v>293349</v>
      </c>
      <c r="EM234" s="130">
        <v>407388</v>
      </c>
      <c r="EN234" s="117">
        <v>-7539</v>
      </c>
      <c r="EO234" s="117">
        <v>35939</v>
      </c>
      <c r="EP234" s="129">
        <v>21</v>
      </c>
    </row>
    <row r="235" spans="1:146" ht="15" x14ac:dyDescent="0.25">
      <c r="A235" s="27">
        <v>746</v>
      </c>
      <c r="B235" s="27" t="s">
        <v>359</v>
      </c>
      <c r="C235" s="27">
        <v>17</v>
      </c>
      <c r="D235" s="27" t="s">
        <v>117</v>
      </c>
      <c r="E235" s="27">
        <v>2</v>
      </c>
      <c r="F235" s="27" t="s">
        <v>744</v>
      </c>
      <c r="G235" s="29" t="s">
        <v>130</v>
      </c>
      <c r="H235" s="27" t="s">
        <v>98</v>
      </c>
      <c r="I235" s="31" t="s">
        <v>117</v>
      </c>
      <c r="J235" s="118">
        <v>-216.4578613559647</v>
      </c>
      <c r="K235" s="118">
        <v>-696.46620347711712</v>
      </c>
      <c r="L235" s="118">
        <v>-988.10406796137727</v>
      </c>
      <c r="M235" s="118">
        <v>-1291.5150872979432</v>
      </c>
      <c r="N235" s="22">
        <v>-830</v>
      </c>
      <c r="O235" s="119">
        <v>-2635</v>
      </c>
      <c r="P235" s="119">
        <v>-3334</v>
      </c>
      <c r="Q235" s="120">
        <v>-3235</v>
      </c>
      <c r="R235" s="22">
        <v>-3640</v>
      </c>
      <c r="S235" s="22">
        <v>-3707</v>
      </c>
      <c r="T235" s="121">
        <v>-3294</v>
      </c>
      <c r="U235" s="121">
        <v>-1979</v>
      </c>
      <c r="V235" s="121">
        <v>-1005</v>
      </c>
      <c r="W235" s="106">
        <v>110</v>
      </c>
      <c r="X235" s="121">
        <v>-857</v>
      </c>
      <c r="Y235" s="121">
        <v>-183</v>
      </c>
      <c r="Z235" s="121">
        <v>-54</v>
      </c>
      <c r="AA235" s="121">
        <v>109</v>
      </c>
      <c r="AB235" s="122">
        <v>17.75</v>
      </c>
      <c r="AC235" s="123">
        <v>17.75</v>
      </c>
      <c r="AD235" s="124">
        <v>17.75</v>
      </c>
      <c r="AE235" s="125">
        <v>17.75</v>
      </c>
      <c r="AF235" s="126">
        <v>17.75</v>
      </c>
      <c r="AG235" s="123">
        <v>18.5</v>
      </c>
      <c r="AH235" s="123">
        <v>18.5</v>
      </c>
      <c r="AI235" s="131">
        <v>19</v>
      </c>
      <c r="AJ235" s="131">
        <v>19.75</v>
      </c>
      <c r="AK235" s="22">
        <v>19.75</v>
      </c>
      <c r="AL235" s="128">
        <v>20.5</v>
      </c>
      <c r="AM235" s="128">
        <v>20.5</v>
      </c>
      <c r="AN235" s="128">
        <v>21</v>
      </c>
      <c r="AO235" s="77">
        <v>21</v>
      </c>
      <c r="AP235" s="77">
        <v>21.25</v>
      </c>
      <c r="AQ235" s="129">
        <v>21.75</v>
      </c>
      <c r="AR235" s="129">
        <v>21.75</v>
      </c>
      <c r="AS235" s="129">
        <v>21.75</v>
      </c>
      <c r="AT235" s="116">
        <v>5198</v>
      </c>
      <c r="AU235" s="47">
        <v>2969</v>
      </c>
      <c r="AV235" s="47">
        <v>33708</v>
      </c>
      <c r="AW235" s="46">
        <v>14905</v>
      </c>
      <c r="AX235" s="46">
        <v>17477</v>
      </c>
      <c r="AY235" s="92">
        <v>9</v>
      </c>
      <c r="AZ235" s="47">
        <v>1426</v>
      </c>
      <c r="BA235" s="44">
        <v>759</v>
      </c>
      <c r="BB235" s="23">
        <v>-616</v>
      </c>
      <c r="BC235" s="47">
        <v>667</v>
      </c>
      <c r="BD235" s="44">
        <v>674</v>
      </c>
      <c r="BE235" s="47">
        <v>-183</v>
      </c>
      <c r="BF235" s="44">
        <v>14905</v>
      </c>
      <c r="BG235" s="46">
        <v>12429</v>
      </c>
      <c r="BH235" s="130">
        <v>1635</v>
      </c>
      <c r="BI235" s="46">
        <v>841</v>
      </c>
      <c r="BJ235" s="129">
        <v>21.75</v>
      </c>
      <c r="BK235" s="44">
        <v>20929</v>
      </c>
      <c r="BL235" s="116">
        <v>5154</v>
      </c>
      <c r="BM235" s="47">
        <v>2988</v>
      </c>
      <c r="BN235" s="130">
        <v>34412</v>
      </c>
      <c r="BO235" s="46">
        <v>15270</v>
      </c>
      <c r="BP235" s="46">
        <v>17111</v>
      </c>
      <c r="BQ235" s="46">
        <v>28</v>
      </c>
      <c r="BR235" s="130">
        <v>854</v>
      </c>
      <c r="BS235" s="44">
        <v>739</v>
      </c>
      <c r="BT235" s="92">
        <v>-325</v>
      </c>
      <c r="BU235" s="117">
        <v>129</v>
      </c>
      <c r="BV235" s="130">
        <v>-54</v>
      </c>
      <c r="BW235" s="48">
        <v>15270</v>
      </c>
      <c r="BX235" s="46">
        <v>12607</v>
      </c>
      <c r="BY235" s="130">
        <v>1605</v>
      </c>
      <c r="BZ235" s="46">
        <v>1058</v>
      </c>
      <c r="CA235" s="129">
        <v>21.75</v>
      </c>
      <c r="CB235" s="44">
        <v>19999</v>
      </c>
      <c r="CC235" s="116">
        <v>5124</v>
      </c>
      <c r="CD235" s="47">
        <v>2914</v>
      </c>
      <c r="CE235" s="130">
        <v>35143</v>
      </c>
      <c r="CF235" s="46">
        <v>15728</v>
      </c>
      <c r="CG235" s="46">
        <v>17476</v>
      </c>
      <c r="CH235" s="46">
        <v>23</v>
      </c>
      <c r="CI235" s="130">
        <v>840</v>
      </c>
      <c r="CJ235" s="44">
        <v>665</v>
      </c>
      <c r="CK235" s="117">
        <v>-974</v>
      </c>
      <c r="CL235" s="117">
        <v>175</v>
      </c>
      <c r="CM235" s="117">
        <v>109</v>
      </c>
      <c r="CN235" s="48">
        <v>15728</v>
      </c>
      <c r="CO235" s="46">
        <v>12838</v>
      </c>
      <c r="CP235" s="130">
        <v>1854</v>
      </c>
      <c r="CQ235" s="46">
        <v>1036</v>
      </c>
      <c r="CR235" s="129">
        <v>21.75</v>
      </c>
      <c r="CS235" s="44">
        <v>18685</v>
      </c>
      <c r="CT235">
        <v>5069</v>
      </c>
      <c r="CU235">
        <v>14909</v>
      </c>
      <c r="CV235">
        <v>18781</v>
      </c>
      <c r="CW235">
        <v>2545</v>
      </c>
      <c r="CX235">
        <v>1242</v>
      </c>
      <c r="CY235">
        <v>12039</v>
      </c>
      <c r="CZ235">
        <v>1830</v>
      </c>
      <c r="DA235">
        <v>1040</v>
      </c>
      <c r="DB235">
        <v>867</v>
      </c>
      <c r="DC235">
        <v>-102</v>
      </c>
      <c r="DD235">
        <v>694</v>
      </c>
      <c r="DE235">
        <v>16998</v>
      </c>
      <c r="DF235">
        <v>35202</v>
      </c>
      <c r="DG235">
        <v>1412</v>
      </c>
      <c r="DH235">
        <v>1521</v>
      </c>
      <c r="DI235">
        <v>21.75</v>
      </c>
      <c r="DJ235" s="174">
        <v>5035</v>
      </c>
      <c r="DK235" s="34">
        <v>15308</v>
      </c>
      <c r="DL235" s="34">
        <v>19047</v>
      </c>
      <c r="DM235">
        <v>2985</v>
      </c>
      <c r="DN235" s="173">
        <v>-93</v>
      </c>
      <c r="DO235" s="34">
        <v>12027</v>
      </c>
      <c r="DP235" s="173">
        <v>2232</v>
      </c>
      <c r="DQ235" s="34">
        <v>1049</v>
      </c>
      <c r="DR235" s="173">
        <v>3035</v>
      </c>
      <c r="DS235" s="173">
        <v>-1978</v>
      </c>
      <c r="DT235">
        <v>734</v>
      </c>
      <c r="DU235">
        <v>17442</v>
      </c>
      <c r="DV235" s="173">
        <v>34212</v>
      </c>
      <c r="DW235" s="173">
        <v>1111</v>
      </c>
      <c r="DX235" s="173">
        <v>2632</v>
      </c>
      <c r="DY235" s="57">
        <v>21.75</v>
      </c>
      <c r="DZ235" s="184">
        <v>330</v>
      </c>
      <c r="EA235" s="116">
        <v>4980</v>
      </c>
      <c r="EB235" s="48">
        <v>15287</v>
      </c>
      <c r="EC235" s="46">
        <v>18180</v>
      </c>
      <c r="ED235" s="90">
        <v>2942</v>
      </c>
      <c r="EE235" s="186">
        <v>-77</v>
      </c>
      <c r="EF235" s="46">
        <v>12316</v>
      </c>
      <c r="EG235" s="130">
        <v>1929</v>
      </c>
      <c r="EH235" s="46">
        <v>1042</v>
      </c>
      <c r="EI235" s="130">
        <v>1379</v>
      </c>
      <c r="EJ235" s="48">
        <v>-4423</v>
      </c>
      <c r="EK235" s="44">
        <v>718</v>
      </c>
      <c r="EL235" s="44">
        <v>20890</v>
      </c>
      <c r="EM235" s="130">
        <v>34953</v>
      </c>
      <c r="EN235" s="117">
        <v>671</v>
      </c>
      <c r="EO235" s="117">
        <v>3304</v>
      </c>
      <c r="EP235" s="129">
        <v>21.75</v>
      </c>
    </row>
    <row r="236" spans="1:146" ht="15" x14ac:dyDescent="0.25">
      <c r="A236" s="27">
        <v>747</v>
      </c>
      <c r="B236" s="27" t="s">
        <v>360</v>
      </c>
      <c r="C236" s="27">
        <v>4</v>
      </c>
      <c r="D236" s="27" t="s">
        <v>120</v>
      </c>
      <c r="E236" s="27">
        <v>1</v>
      </c>
      <c r="F236" s="27" t="s">
        <v>103</v>
      </c>
      <c r="G236" s="29" t="s">
        <v>130</v>
      </c>
      <c r="H236" s="27" t="s">
        <v>98</v>
      </c>
      <c r="I236" s="31" t="s">
        <v>120</v>
      </c>
      <c r="J236" s="118">
        <v>271.1189374559558</v>
      </c>
      <c r="K236" s="118">
        <v>244.71343300149854</v>
      </c>
      <c r="L236" s="118">
        <v>-154.39651649166711</v>
      </c>
      <c r="M236" s="118">
        <v>2431.4928528540649</v>
      </c>
      <c r="N236" s="22">
        <v>2472</v>
      </c>
      <c r="O236" s="119">
        <v>2048</v>
      </c>
      <c r="P236" s="119">
        <v>1614</v>
      </c>
      <c r="Q236" s="120">
        <v>1601</v>
      </c>
      <c r="R236" s="22">
        <v>1556</v>
      </c>
      <c r="S236" s="22">
        <v>1070</v>
      </c>
      <c r="T236" s="121">
        <v>1133</v>
      </c>
      <c r="U236" s="121">
        <v>1438</v>
      </c>
      <c r="V236" s="121">
        <v>1949</v>
      </c>
      <c r="W236" s="106">
        <v>1405</v>
      </c>
      <c r="X236" s="121">
        <v>938</v>
      </c>
      <c r="Y236" s="121">
        <v>1148</v>
      </c>
      <c r="Z236" s="121">
        <v>933</v>
      </c>
      <c r="AA236" s="121">
        <v>1152</v>
      </c>
      <c r="AB236" s="122">
        <v>18</v>
      </c>
      <c r="AC236" s="123">
        <v>18</v>
      </c>
      <c r="AD236" s="124">
        <v>18</v>
      </c>
      <c r="AE236" s="125">
        <v>18.5</v>
      </c>
      <c r="AF236" s="126">
        <v>18.5</v>
      </c>
      <c r="AG236" s="123">
        <v>18.5</v>
      </c>
      <c r="AH236" s="123">
        <v>18.5</v>
      </c>
      <c r="AI236" s="127">
        <v>19</v>
      </c>
      <c r="AJ236" s="127">
        <v>19</v>
      </c>
      <c r="AK236" s="22">
        <v>20</v>
      </c>
      <c r="AL236" s="128">
        <v>20</v>
      </c>
      <c r="AM236" s="128">
        <v>20</v>
      </c>
      <c r="AN236" s="128">
        <v>20</v>
      </c>
      <c r="AO236" s="77">
        <v>20</v>
      </c>
      <c r="AP236" s="77">
        <v>20</v>
      </c>
      <c r="AQ236" s="129">
        <v>21</v>
      </c>
      <c r="AR236" s="129">
        <v>21</v>
      </c>
      <c r="AS236" s="129">
        <v>21</v>
      </c>
      <c r="AT236" s="116">
        <v>1632</v>
      </c>
      <c r="AU236" s="47">
        <v>1658</v>
      </c>
      <c r="AV236" s="47">
        <v>10781</v>
      </c>
      <c r="AW236" s="46">
        <v>4310</v>
      </c>
      <c r="AX236" s="46">
        <v>5515</v>
      </c>
      <c r="AY236" s="92">
        <v>17</v>
      </c>
      <c r="AZ236" s="47">
        <v>686</v>
      </c>
      <c r="BA236" s="44">
        <v>476</v>
      </c>
      <c r="BB236" s="23">
        <v>-1469</v>
      </c>
      <c r="BC236" s="47">
        <v>210</v>
      </c>
      <c r="BD236" s="44">
        <v>210</v>
      </c>
      <c r="BE236" s="47">
        <v>1148</v>
      </c>
      <c r="BF236" s="44">
        <v>4310</v>
      </c>
      <c r="BG236" s="46">
        <v>3558</v>
      </c>
      <c r="BH236" s="130">
        <v>404</v>
      </c>
      <c r="BI236" s="46">
        <v>348</v>
      </c>
      <c r="BJ236" s="129">
        <v>21</v>
      </c>
      <c r="BK236" s="44">
        <v>2474</v>
      </c>
      <c r="BL236" s="116">
        <v>1593</v>
      </c>
      <c r="BM236" s="47">
        <v>1706</v>
      </c>
      <c r="BN236" s="130">
        <v>11367</v>
      </c>
      <c r="BO236" s="46">
        <v>4197</v>
      </c>
      <c r="BP236" s="46">
        <v>5814</v>
      </c>
      <c r="BQ236" s="46">
        <v>17</v>
      </c>
      <c r="BR236" s="130">
        <v>323</v>
      </c>
      <c r="BS236" s="44">
        <v>537</v>
      </c>
      <c r="BT236" s="92">
        <v>-749</v>
      </c>
      <c r="BU236" s="117">
        <v>-214</v>
      </c>
      <c r="BV236" s="130">
        <v>933</v>
      </c>
      <c r="BW236" s="48">
        <v>4197</v>
      </c>
      <c r="BX236" s="46">
        <v>3336</v>
      </c>
      <c r="BY236" s="130">
        <v>471</v>
      </c>
      <c r="BZ236" s="46">
        <v>390</v>
      </c>
      <c r="CA236" s="129">
        <v>21</v>
      </c>
      <c r="CB236" s="44">
        <v>2412</v>
      </c>
      <c r="CC236" s="116">
        <v>1527</v>
      </c>
      <c r="CD236" s="47">
        <v>1544</v>
      </c>
      <c r="CE236" s="130">
        <v>11302</v>
      </c>
      <c r="CF236" s="46">
        <v>4640</v>
      </c>
      <c r="CG236" s="46">
        <v>5941</v>
      </c>
      <c r="CH236" s="46">
        <v>10</v>
      </c>
      <c r="CI236" s="130">
        <v>792</v>
      </c>
      <c r="CJ236" s="44">
        <v>574</v>
      </c>
      <c r="CK236" s="117">
        <v>-467</v>
      </c>
      <c r="CL236" s="117">
        <v>218</v>
      </c>
      <c r="CM236" s="117">
        <v>1152</v>
      </c>
      <c r="CN236" s="48">
        <v>4640</v>
      </c>
      <c r="CO236" s="46">
        <v>3538</v>
      </c>
      <c r="CP236" s="130">
        <v>579</v>
      </c>
      <c r="CQ236" s="46">
        <v>523</v>
      </c>
      <c r="CR236" s="129">
        <v>21</v>
      </c>
      <c r="CS236" s="44">
        <v>2350</v>
      </c>
      <c r="CT236">
        <v>1494</v>
      </c>
      <c r="CU236">
        <v>4336</v>
      </c>
      <c r="CV236">
        <v>5750</v>
      </c>
      <c r="CW236">
        <v>1412</v>
      </c>
      <c r="CX236">
        <v>10</v>
      </c>
      <c r="CY236">
        <v>3245</v>
      </c>
      <c r="CZ236">
        <v>539</v>
      </c>
      <c r="DA236">
        <v>552</v>
      </c>
      <c r="DB236">
        <v>833</v>
      </c>
      <c r="DC236">
        <v>-276</v>
      </c>
      <c r="DD236">
        <v>590</v>
      </c>
      <c r="DE236">
        <v>2238</v>
      </c>
      <c r="DF236">
        <v>10659</v>
      </c>
      <c r="DG236">
        <v>313</v>
      </c>
      <c r="DH236">
        <v>1465</v>
      </c>
      <c r="DI236">
        <v>21</v>
      </c>
      <c r="DJ236" s="174">
        <v>1476</v>
      </c>
      <c r="DK236" s="34">
        <v>4539</v>
      </c>
      <c r="DL236" s="34">
        <v>5131</v>
      </c>
      <c r="DM236">
        <v>1507</v>
      </c>
      <c r="DN236" s="173">
        <v>-5</v>
      </c>
      <c r="DO236" s="34">
        <v>3383</v>
      </c>
      <c r="DP236" s="173">
        <v>610</v>
      </c>
      <c r="DQ236" s="34">
        <v>546</v>
      </c>
      <c r="DR236" s="173">
        <v>887</v>
      </c>
      <c r="DS236" s="173">
        <v>-308</v>
      </c>
      <c r="DT236">
        <v>563</v>
      </c>
      <c r="DU236">
        <v>2126</v>
      </c>
      <c r="DV236" s="173">
        <v>10285</v>
      </c>
      <c r="DW236" s="173">
        <v>324</v>
      </c>
      <c r="DX236" s="173">
        <v>1789</v>
      </c>
      <c r="DY236" s="57">
        <v>21</v>
      </c>
      <c r="DZ236" s="184">
        <v>340</v>
      </c>
      <c r="EA236" s="116">
        <v>1458</v>
      </c>
      <c r="EB236" s="48">
        <v>4650</v>
      </c>
      <c r="EC236" s="46">
        <v>4846</v>
      </c>
      <c r="ED236" s="90">
        <v>1430</v>
      </c>
      <c r="EE236" s="186">
        <v>-7</v>
      </c>
      <c r="EF236" s="46">
        <v>3324</v>
      </c>
      <c r="EG236" s="130">
        <v>571</v>
      </c>
      <c r="EH236" s="46">
        <v>755</v>
      </c>
      <c r="EI236" s="130">
        <v>885</v>
      </c>
      <c r="EJ236" s="48">
        <v>-321</v>
      </c>
      <c r="EK236" s="44">
        <v>493</v>
      </c>
      <c r="EL236" s="44">
        <v>2013</v>
      </c>
      <c r="EM236" s="130">
        <v>10034</v>
      </c>
      <c r="EN236" s="117">
        <v>392</v>
      </c>
      <c r="EO236" s="117">
        <v>2181</v>
      </c>
      <c r="EP236" s="129">
        <v>21</v>
      </c>
    </row>
    <row r="237" spans="1:146" ht="15" x14ac:dyDescent="0.25">
      <c r="A237" s="27">
        <v>748</v>
      </c>
      <c r="B237" s="27" t="s">
        <v>361</v>
      </c>
      <c r="C237" s="27">
        <v>17</v>
      </c>
      <c r="D237" s="27" t="s">
        <v>117</v>
      </c>
      <c r="E237" s="27">
        <v>3</v>
      </c>
      <c r="F237" s="27" t="s">
        <v>743</v>
      </c>
      <c r="G237" s="29" t="s">
        <v>130</v>
      </c>
      <c r="H237" s="27" t="s">
        <v>98</v>
      </c>
      <c r="I237" s="31" t="s">
        <v>117</v>
      </c>
      <c r="J237" s="118">
        <v>-407.85572166916427</v>
      </c>
      <c r="K237" s="118">
        <v>1936.5157852778379</v>
      </c>
      <c r="L237" s="118">
        <v>1047.8107818552137</v>
      </c>
      <c r="M237" s="118">
        <v>627.00458984851309</v>
      </c>
      <c r="N237" s="22">
        <v>578</v>
      </c>
      <c r="O237" s="119">
        <v>336</v>
      </c>
      <c r="P237" s="119">
        <v>-64</v>
      </c>
      <c r="Q237" s="120">
        <v>-1096</v>
      </c>
      <c r="R237" s="22">
        <v>-1641</v>
      </c>
      <c r="S237" s="22">
        <v>484</v>
      </c>
      <c r="T237" s="121">
        <v>1432</v>
      </c>
      <c r="U237" s="121">
        <v>1214</v>
      </c>
      <c r="V237" s="121">
        <v>2856</v>
      </c>
      <c r="W237" s="106">
        <v>1239</v>
      </c>
      <c r="X237" s="121">
        <v>668</v>
      </c>
      <c r="Y237" s="121">
        <v>-966</v>
      </c>
      <c r="Z237" s="121">
        <v>1111</v>
      </c>
      <c r="AA237" s="121">
        <v>2991</v>
      </c>
      <c r="AB237" s="122">
        <v>18.5</v>
      </c>
      <c r="AC237" s="123">
        <v>18.5</v>
      </c>
      <c r="AD237" s="124">
        <v>18.5</v>
      </c>
      <c r="AE237" s="125">
        <v>18.5</v>
      </c>
      <c r="AF237" s="126">
        <v>19</v>
      </c>
      <c r="AG237" s="123">
        <v>19</v>
      </c>
      <c r="AH237" s="123">
        <v>19</v>
      </c>
      <c r="AI237" s="131">
        <v>19</v>
      </c>
      <c r="AJ237" s="131">
        <v>19.5</v>
      </c>
      <c r="AK237" s="22">
        <v>19.5</v>
      </c>
      <c r="AL237" s="128">
        <v>19.5</v>
      </c>
      <c r="AM237" s="128">
        <v>19.5</v>
      </c>
      <c r="AN237" s="128">
        <v>20</v>
      </c>
      <c r="AO237" s="77">
        <v>20</v>
      </c>
      <c r="AP237" s="77">
        <v>21</v>
      </c>
      <c r="AQ237" s="129">
        <v>21</v>
      </c>
      <c r="AR237" s="129">
        <v>22</v>
      </c>
      <c r="AS237" s="129">
        <v>22</v>
      </c>
      <c r="AT237" s="116">
        <v>5593</v>
      </c>
      <c r="AU237" s="47">
        <v>3587</v>
      </c>
      <c r="AV237" s="47">
        <v>35956</v>
      </c>
      <c r="AW237" s="46">
        <v>15969</v>
      </c>
      <c r="AX237" s="46">
        <v>16753</v>
      </c>
      <c r="AY237" s="92">
        <v>113</v>
      </c>
      <c r="AZ237" s="47">
        <v>466</v>
      </c>
      <c r="BA237" s="44">
        <v>2100</v>
      </c>
      <c r="BB237" s="23">
        <v>-3198</v>
      </c>
      <c r="BC237" s="47">
        <v>-1634</v>
      </c>
      <c r="BD237" s="44">
        <v>-1634</v>
      </c>
      <c r="BE237" s="47">
        <v>-966</v>
      </c>
      <c r="BF237" s="44">
        <v>15969</v>
      </c>
      <c r="BG237" s="46">
        <v>14354</v>
      </c>
      <c r="BH237" s="130">
        <v>675</v>
      </c>
      <c r="BI237" s="46">
        <v>940</v>
      </c>
      <c r="BJ237" s="129">
        <v>21</v>
      </c>
      <c r="BK237" s="44">
        <v>14532</v>
      </c>
      <c r="BL237" s="116">
        <v>5526</v>
      </c>
      <c r="BM237" s="47">
        <v>4081</v>
      </c>
      <c r="BN237" s="130">
        <v>36864</v>
      </c>
      <c r="BO237" s="46">
        <v>16968</v>
      </c>
      <c r="BP237" s="46">
        <v>18117</v>
      </c>
      <c r="BQ237" s="46">
        <v>615</v>
      </c>
      <c r="BR237" s="130">
        <v>2452</v>
      </c>
      <c r="BS237" s="44">
        <v>1633</v>
      </c>
      <c r="BT237" s="92">
        <v>-1625</v>
      </c>
      <c r="BU237" s="117">
        <v>1111</v>
      </c>
      <c r="BV237" s="130">
        <v>1111</v>
      </c>
      <c r="BW237" s="48">
        <v>16968</v>
      </c>
      <c r="BX237" s="46">
        <v>15177</v>
      </c>
      <c r="BY237" s="130">
        <v>694</v>
      </c>
      <c r="BZ237" s="46">
        <v>1097</v>
      </c>
      <c r="CA237" s="129">
        <v>22</v>
      </c>
      <c r="CB237" s="44">
        <v>14464</v>
      </c>
      <c r="CC237" s="116">
        <v>5466</v>
      </c>
      <c r="CD237" s="47">
        <v>3298</v>
      </c>
      <c r="CE237" s="130">
        <v>35729</v>
      </c>
      <c r="CF237" s="46">
        <v>17380</v>
      </c>
      <c r="CG237" s="46">
        <v>18143</v>
      </c>
      <c r="CH237" s="46">
        <v>220</v>
      </c>
      <c r="CI237" s="130">
        <v>3243</v>
      </c>
      <c r="CJ237" s="44">
        <v>1037</v>
      </c>
      <c r="CK237" s="117">
        <v>-6338</v>
      </c>
      <c r="CL237" s="117">
        <v>1880</v>
      </c>
      <c r="CM237" s="117">
        <v>2991</v>
      </c>
      <c r="CN237" s="48">
        <v>17380</v>
      </c>
      <c r="CO237" s="46">
        <v>15590</v>
      </c>
      <c r="CP237" s="130">
        <v>720</v>
      </c>
      <c r="CQ237" s="46">
        <v>1070</v>
      </c>
      <c r="CR237" s="129">
        <v>22</v>
      </c>
      <c r="CS237" s="44">
        <v>16497</v>
      </c>
      <c r="CT237">
        <v>5366</v>
      </c>
      <c r="CU237">
        <v>16435</v>
      </c>
      <c r="CV237">
        <v>18596</v>
      </c>
      <c r="CW237">
        <v>3129</v>
      </c>
      <c r="CX237">
        <v>45</v>
      </c>
      <c r="CY237">
        <v>14569</v>
      </c>
      <c r="CZ237">
        <v>702</v>
      </c>
      <c r="DA237">
        <v>1164</v>
      </c>
      <c r="DB237">
        <v>2264</v>
      </c>
      <c r="DC237">
        <v>-3993</v>
      </c>
      <c r="DD237">
        <v>1069</v>
      </c>
      <c r="DE237">
        <v>18240</v>
      </c>
      <c r="DF237">
        <v>35896</v>
      </c>
      <c r="DG237">
        <v>1201</v>
      </c>
      <c r="DH237">
        <v>4192</v>
      </c>
      <c r="DI237">
        <v>22</v>
      </c>
      <c r="DJ237" s="174">
        <v>5343</v>
      </c>
      <c r="DK237" s="34">
        <v>16904</v>
      </c>
      <c r="DL237" s="34">
        <v>18340</v>
      </c>
      <c r="DM237">
        <v>3078</v>
      </c>
      <c r="DN237" s="173">
        <v>51</v>
      </c>
      <c r="DO237" s="34">
        <v>14894</v>
      </c>
      <c r="DP237" s="173">
        <v>869</v>
      </c>
      <c r="DQ237" s="34">
        <v>1141</v>
      </c>
      <c r="DR237" s="173">
        <v>2474</v>
      </c>
      <c r="DS237" s="173">
        <v>-670</v>
      </c>
      <c r="DT237">
        <v>1282</v>
      </c>
      <c r="DU237">
        <v>16751</v>
      </c>
      <c r="DV237" s="173">
        <v>35899</v>
      </c>
      <c r="DW237" s="173">
        <v>1249</v>
      </c>
      <c r="DX237" s="173">
        <v>5442</v>
      </c>
      <c r="DY237" s="57">
        <v>22</v>
      </c>
      <c r="DZ237" s="184">
        <v>340</v>
      </c>
      <c r="EA237" s="116">
        <v>5249</v>
      </c>
      <c r="EB237" s="48">
        <v>16343</v>
      </c>
      <c r="EC237" s="46">
        <v>17934</v>
      </c>
      <c r="ED237" s="90">
        <v>3089</v>
      </c>
      <c r="EE237" s="186">
        <v>-110</v>
      </c>
      <c r="EF237" s="46">
        <v>14183</v>
      </c>
      <c r="EG237" s="130">
        <v>835</v>
      </c>
      <c r="EH237" s="46">
        <v>1325</v>
      </c>
      <c r="EI237" s="130">
        <v>1399</v>
      </c>
      <c r="EJ237" s="48">
        <v>-59</v>
      </c>
      <c r="EK237" s="44">
        <v>1278</v>
      </c>
      <c r="EL237" s="44">
        <v>14793</v>
      </c>
      <c r="EM237" s="130">
        <v>35857</v>
      </c>
      <c r="EN237" s="117">
        <v>178</v>
      </c>
      <c r="EO237" s="117">
        <v>5620</v>
      </c>
      <c r="EP237" s="129">
        <v>22</v>
      </c>
    </row>
    <row r="238" spans="1:146" ht="15" x14ac:dyDescent="0.25">
      <c r="A238" s="27">
        <v>791</v>
      </c>
      <c r="B238" s="27" t="s">
        <v>526</v>
      </c>
      <c r="C238" s="27">
        <v>17</v>
      </c>
      <c r="D238" s="27" t="s">
        <v>117</v>
      </c>
      <c r="E238" s="27">
        <v>3</v>
      </c>
      <c r="F238" s="27" t="s">
        <v>743</v>
      </c>
      <c r="G238" s="29" t="s">
        <v>130</v>
      </c>
      <c r="H238" s="27" t="s">
        <v>98</v>
      </c>
      <c r="I238" s="31" t="s">
        <v>117</v>
      </c>
      <c r="J238" s="118">
        <v>231.93115059042373</v>
      </c>
      <c r="K238" s="118">
        <v>1703.9118829815682</v>
      </c>
      <c r="L238" s="118">
        <v>-501.2000208553028</v>
      </c>
      <c r="M238" s="118">
        <v>-1383.1775072194669</v>
      </c>
      <c r="N238" s="22">
        <v>-1199</v>
      </c>
      <c r="O238" s="119">
        <v>-2200</v>
      </c>
      <c r="P238" s="119">
        <v>-4263</v>
      </c>
      <c r="Q238" s="120">
        <v>-6380</v>
      </c>
      <c r="R238" s="22">
        <v>-6469</v>
      </c>
      <c r="S238" s="22">
        <v>-4352</v>
      </c>
      <c r="T238" s="121">
        <v>-5074</v>
      </c>
      <c r="U238" s="121">
        <v>-2273</v>
      </c>
      <c r="V238" s="121">
        <v>-1181</v>
      </c>
      <c r="W238" s="106">
        <v>477</v>
      </c>
      <c r="X238" s="121">
        <v>584</v>
      </c>
      <c r="Y238" s="121">
        <v>-976</v>
      </c>
      <c r="Z238" s="121">
        <v>59</v>
      </c>
      <c r="AA238" s="121">
        <v>705</v>
      </c>
      <c r="AB238" s="122">
        <v>19</v>
      </c>
      <c r="AC238" s="123">
        <v>19</v>
      </c>
      <c r="AD238" s="124">
        <v>19</v>
      </c>
      <c r="AE238" s="125">
        <v>18.5</v>
      </c>
      <c r="AF238" s="126">
        <v>18.5</v>
      </c>
      <c r="AG238" s="123">
        <v>19</v>
      </c>
      <c r="AH238" s="123">
        <v>19</v>
      </c>
      <c r="AI238" s="131">
        <v>19</v>
      </c>
      <c r="AJ238" s="131">
        <v>19.75</v>
      </c>
      <c r="AK238" s="22">
        <v>19.75</v>
      </c>
      <c r="AL238" s="128">
        <v>21</v>
      </c>
      <c r="AM238" s="128">
        <v>20</v>
      </c>
      <c r="AN238" s="128">
        <v>21</v>
      </c>
      <c r="AO238" s="77">
        <v>21</v>
      </c>
      <c r="AP238" s="77">
        <v>21.75</v>
      </c>
      <c r="AQ238" s="129">
        <v>21.75</v>
      </c>
      <c r="AR238" s="129">
        <v>21.75</v>
      </c>
      <c r="AS238" s="129">
        <v>22.25</v>
      </c>
      <c r="AT238" s="116">
        <v>5857</v>
      </c>
      <c r="AU238" s="47">
        <v>9558</v>
      </c>
      <c r="AV238" s="47">
        <v>47946</v>
      </c>
      <c r="AW238" s="46">
        <v>15844</v>
      </c>
      <c r="AX238" s="46">
        <v>22230</v>
      </c>
      <c r="AY238" s="92">
        <v>0</v>
      </c>
      <c r="AZ238" s="47">
        <v>-473</v>
      </c>
      <c r="BA238" s="44">
        <v>1195</v>
      </c>
      <c r="BB238" s="23">
        <v>-974</v>
      </c>
      <c r="BC238" s="47">
        <v>-1668</v>
      </c>
      <c r="BD238" s="44">
        <v>-1560</v>
      </c>
      <c r="BE238" s="47">
        <v>-976</v>
      </c>
      <c r="BF238" s="44">
        <v>15844</v>
      </c>
      <c r="BG238" s="46">
        <v>13994</v>
      </c>
      <c r="BH238" s="130">
        <v>796</v>
      </c>
      <c r="BI238" s="46">
        <v>1054</v>
      </c>
      <c r="BJ238" s="129">
        <v>21.75</v>
      </c>
      <c r="BK238" s="44">
        <v>11698</v>
      </c>
      <c r="BL238" s="116">
        <v>5816</v>
      </c>
      <c r="BM238" s="47">
        <v>9241</v>
      </c>
      <c r="BN238" s="130">
        <v>47642</v>
      </c>
      <c r="BO238" s="46">
        <v>16432</v>
      </c>
      <c r="BP238" s="46">
        <v>24103</v>
      </c>
      <c r="BQ238" s="46">
        <v>1</v>
      </c>
      <c r="BR238" s="130">
        <v>2088</v>
      </c>
      <c r="BS238" s="44">
        <v>1164</v>
      </c>
      <c r="BT238" s="92">
        <v>175</v>
      </c>
      <c r="BU238" s="117">
        <v>1035</v>
      </c>
      <c r="BV238" s="130">
        <v>59</v>
      </c>
      <c r="BW238" s="48">
        <v>16432</v>
      </c>
      <c r="BX238" s="46">
        <v>14204</v>
      </c>
      <c r="BY238" s="130">
        <v>920</v>
      </c>
      <c r="BZ238" s="46">
        <v>1308</v>
      </c>
      <c r="CA238" s="129">
        <v>21.75</v>
      </c>
      <c r="CB238" s="44">
        <v>13958</v>
      </c>
      <c r="CC238" s="116">
        <v>5677</v>
      </c>
      <c r="CD238" s="47">
        <v>7982</v>
      </c>
      <c r="CE238" s="130">
        <v>46860</v>
      </c>
      <c r="CF238" s="46">
        <v>17713</v>
      </c>
      <c r="CG238" s="46">
        <v>23030</v>
      </c>
      <c r="CH238" s="46">
        <v>34</v>
      </c>
      <c r="CI238" s="130">
        <v>1882</v>
      </c>
      <c r="CJ238" s="44">
        <v>1248</v>
      </c>
      <c r="CK238" s="117">
        <v>923</v>
      </c>
      <c r="CL238" s="117">
        <v>746</v>
      </c>
      <c r="CM238" s="117">
        <v>705</v>
      </c>
      <c r="CN238" s="48">
        <v>17713</v>
      </c>
      <c r="CO238" s="46">
        <v>15224</v>
      </c>
      <c r="CP238" s="130">
        <v>1126</v>
      </c>
      <c r="CQ238" s="46">
        <v>1363</v>
      </c>
      <c r="CR238" s="129">
        <v>22.25</v>
      </c>
      <c r="CS238" s="44">
        <v>14036</v>
      </c>
      <c r="CT238">
        <v>5583</v>
      </c>
      <c r="CU238">
        <v>16435</v>
      </c>
      <c r="CV238">
        <v>23635</v>
      </c>
      <c r="CW238">
        <v>7088</v>
      </c>
      <c r="CX238">
        <v>85</v>
      </c>
      <c r="CY238">
        <v>13983</v>
      </c>
      <c r="CZ238">
        <v>1065</v>
      </c>
      <c r="DA238">
        <v>1387</v>
      </c>
      <c r="DB238">
        <v>-271</v>
      </c>
      <c r="DC238">
        <v>-1509</v>
      </c>
      <c r="DD238">
        <v>983</v>
      </c>
      <c r="DE238">
        <v>14256</v>
      </c>
      <c r="DF238">
        <v>47514</v>
      </c>
      <c r="DG238">
        <v>-715</v>
      </c>
      <c r="DH238">
        <v>-10</v>
      </c>
      <c r="DI238">
        <v>22.25</v>
      </c>
      <c r="DJ238" s="174">
        <v>5447</v>
      </c>
      <c r="DK238" s="34">
        <v>16776</v>
      </c>
      <c r="DL238" s="34">
        <v>22703</v>
      </c>
      <c r="DM238">
        <v>6903</v>
      </c>
      <c r="DN238" s="173">
        <v>127</v>
      </c>
      <c r="DO238" s="34">
        <v>14172</v>
      </c>
      <c r="DP238" s="173">
        <v>1267</v>
      </c>
      <c r="DQ238" s="34">
        <v>1337</v>
      </c>
      <c r="DR238" s="173">
        <v>1795</v>
      </c>
      <c r="DS238" s="173">
        <v>-1509</v>
      </c>
      <c r="DT238">
        <v>1892</v>
      </c>
      <c r="DU238">
        <v>16351</v>
      </c>
      <c r="DV238" s="173">
        <v>44714</v>
      </c>
      <c r="DW238" s="173">
        <v>65</v>
      </c>
      <c r="DX238" s="173">
        <v>1195</v>
      </c>
      <c r="DY238" s="57">
        <v>22</v>
      </c>
      <c r="DZ238" s="184">
        <v>340</v>
      </c>
      <c r="EA238" s="116">
        <v>5301</v>
      </c>
      <c r="EB238" s="48">
        <v>16013</v>
      </c>
      <c r="EC238" s="46">
        <v>22501</v>
      </c>
      <c r="ED238" s="90">
        <v>6371</v>
      </c>
      <c r="EE238" s="186">
        <v>75</v>
      </c>
      <c r="EF238" s="46">
        <v>13526</v>
      </c>
      <c r="EG238" s="130">
        <v>1147</v>
      </c>
      <c r="EH238" s="46">
        <v>1340</v>
      </c>
      <c r="EI238" s="130">
        <v>1136</v>
      </c>
      <c r="EJ238" s="48">
        <v>-576</v>
      </c>
      <c r="EK238" s="44">
        <v>1305</v>
      </c>
      <c r="EL238" s="44">
        <v>14594</v>
      </c>
      <c r="EM238" s="130">
        <v>43824</v>
      </c>
      <c r="EN238" s="117">
        <v>-66</v>
      </c>
      <c r="EO238" s="117">
        <v>1129</v>
      </c>
      <c r="EP238" s="129">
        <v>22</v>
      </c>
    </row>
    <row r="239" spans="1:146" ht="15" x14ac:dyDescent="0.25">
      <c r="A239" s="27">
        <v>749</v>
      </c>
      <c r="B239" s="27" t="s">
        <v>362</v>
      </c>
      <c r="C239" s="27">
        <v>11</v>
      </c>
      <c r="D239" s="27" t="s">
        <v>118</v>
      </c>
      <c r="E239" s="27">
        <v>5</v>
      </c>
      <c r="F239" s="27" t="s">
        <v>101</v>
      </c>
      <c r="G239" s="29" t="s">
        <v>132</v>
      </c>
      <c r="H239" s="27" t="s">
        <v>99</v>
      </c>
      <c r="I239" s="31" t="s">
        <v>118</v>
      </c>
      <c r="J239" s="118">
        <v>-7408.0054089237146</v>
      </c>
      <c r="K239" s="118">
        <v>-5422.2105611926545</v>
      </c>
      <c r="L239" s="118">
        <v>-5922.5696424156495</v>
      </c>
      <c r="M239" s="118">
        <v>-3029.9054952041215</v>
      </c>
      <c r="N239" s="22">
        <v>2662</v>
      </c>
      <c r="O239" s="119">
        <v>4298</v>
      </c>
      <c r="P239" s="119">
        <v>5359</v>
      </c>
      <c r="Q239" s="120">
        <v>3349</v>
      </c>
      <c r="R239" s="22">
        <v>4668</v>
      </c>
      <c r="S239" s="22">
        <v>6064</v>
      </c>
      <c r="T239" s="121">
        <v>6887</v>
      </c>
      <c r="U239" s="121">
        <v>7051</v>
      </c>
      <c r="V239" s="121">
        <v>10266</v>
      </c>
      <c r="W239" s="106">
        <v>10765</v>
      </c>
      <c r="X239" s="121">
        <v>4997</v>
      </c>
      <c r="Y239" s="121">
        <v>99</v>
      </c>
      <c r="Z239" s="121">
        <v>3109</v>
      </c>
      <c r="AA239" s="121">
        <v>3512</v>
      </c>
      <c r="AB239" s="122">
        <v>18</v>
      </c>
      <c r="AC239" s="123">
        <v>18</v>
      </c>
      <c r="AD239" s="124">
        <v>18</v>
      </c>
      <c r="AE239" s="125">
        <v>18</v>
      </c>
      <c r="AF239" s="126">
        <v>18</v>
      </c>
      <c r="AG239" s="123">
        <v>18</v>
      </c>
      <c r="AH239" s="123">
        <v>18</v>
      </c>
      <c r="AI239" s="127">
        <v>18.75</v>
      </c>
      <c r="AJ239" s="127">
        <v>18.75</v>
      </c>
      <c r="AK239" s="22">
        <v>18.75</v>
      </c>
      <c r="AL239" s="128">
        <v>18.75</v>
      </c>
      <c r="AM239" s="128">
        <v>18.75</v>
      </c>
      <c r="AN239" s="128">
        <v>19.5</v>
      </c>
      <c r="AO239" s="77">
        <v>19.5</v>
      </c>
      <c r="AP239" s="77">
        <v>20.25</v>
      </c>
      <c r="AQ239" s="129">
        <v>20.25</v>
      </c>
      <c r="AR239" s="129">
        <v>21.25</v>
      </c>
      <c r="AS239" s="129">
        <v>21.25</v>
      </c>
      <c r="AT239" s="116">
        <v>21567</v>
      </c>
      <c r="AU239" s="47">
        <v>19643</v>
      </c>
      <c r="AV239" s="47">
        <v>123590</v>
      </c>
      <c r="AW239" s="46">
        <v>77983</v>
      </c>
      <c r="AX239" s="46">
        <v>25755</v>
      </c>
      <c r="AY239" s="92">
        <v>668</v>
      </c>
      <c r="AZ239" s="47">
        <v>-349</v>
      </c>
      <c r="BA239" s="44">
        <v>4998</v>
      </c>
      <c r="BB239" s="23">
        <v>-7873</v>
      </c>
      <c r="BC239" s="47">
        <v>-5347</v>
      </c>
      <c r="BD239" s="44">
        <v>-4898</v>
      </c>
      <c r="BE239" s="47">
        <v>99</v>
      </c>
      <c r="BF239" s="44">
        <v>77983</v>
      </c>
      <c r="BG239" s="46">
        <v>71264</v>
      </c>
      <c r="BH239" s="130">
        <v>3286</v>
      </c>
      <c r="BI239" s="46">
        <v>3433</v>
      </c>
      <c r="BJ239" s="129">
        <v>20.25</v>
      </c>
      <c r="BK239" s="44">
        <v>53711</v>
      </c>
      <c r="BL239" s="116">
        <v>21668</v>
      </c>
      <c r="BM239" s="47">
        <v>20357</v>
      </c>
      <c r="BN239" s="130">
        <v>124148</v>
      </c>
      <c r="BO239" s="46">
        <v>85709</v>
      </c>
      <c r="BP239" s="46">
        <v>26635</v>
      </c>
      <c r="BQ239" s="46">
        <v>588</v>
      </c>
      <c r="BR239" s="130">
        <v>8261</v>
      </c>
      <c r="BS239" s="44">
        <v>7435</v>
      </c>
      <c r="BT239" s="92">
        <v>-9459</v>
      </c>
      <c r="BU239" s="117">
        <v>3010</v>
      </c>
      <c r="BV239" s="130">
        <v>3109</v>
      </c>
      <c r="BW239" s="48">
        <v>85709</v>
      </c>
      <c r="BX239" s="46">
        <v>75262</v>
      </c>
      <c r="BY239" s="130">
        <v>5608</v>
      </c>
      <c r="BZ239" s="46">
        <v>4839</v>
      </c>
      <c r="CA239" s="129">
        <v>21.25</v>
      </c>
      <c r="CB239" s="44">
        <v>58423</v>
      </c>
      <c r="CC239" s="116">
        <v>21794</v>
      </c>
      <c r="CD239" s="47">
        <v>20883</v>
      </c>
      <c r="CE239" s="130">
        <v>126670</v>
      </c>
      <c r="CF239" s="46">
        <v>85985</v>
      </c>
      <c r="CG239" s="46">
        <v>26224</v>
      </c>
      <c r="CH239" s="46">
        <v>971</v>
      </c>
      <c r="CI239" s="130">
        <v>6269</v>
      </c>
      <c r="CJ239" s="44">
        <v>5894</v>
      </c>
      <c r="CK239" s="117">
        <v>-6973</v>
      </c>
      <c r="CL239" s="117">
        <v>403</v>
      </c>
      <c r="CM239" s="117">
        <v>3512</v>
      </c>
      <c r="CN239" s="48">
        <v>85985</v>
      </c>
      <c r="CO239" s="46">
        <v>75302</v>
      </c>
      <c r="CP239" s="130">
        <v>5436</v>
      </c>
      <c r="CQ239" s="46">
        <v>5247</v>
      </c>
      <c r="CR239" s="129">
        <v>21.25</v>
      </c>
      <c r="CS239" s="44">
        <v>58683</v>
      </c>
      <c r="CT239">
        <v>21768</v>
      </c>
      <c r="CU239">
        <v>85301</v>
      </c>
      <c r="CV239">
        <v>29250</v>
      </c>
      <c r="CW239">
        <v>22260</v>
      </c>
      <c r="CX239">
        <v>436</v>
      </c>
      <c r="CY239">
        <v>76164</v>
      </c>
      <c r="CZ239">
        <v>3843</v>
      </c>
      <c r="DA239">
        <v>5294</v>
      </c>
      <c r="DB239">
        <v>7202</v>
      </c>
      <c r="DC239">
        <v>-7524</v>
      </c>
      <c r="DD239">
        <v>6432</v>
      </c>
      <c r="DE239">
        <v>61061</v>
      </c>
      <c r="DF239">
        <v>129456</v>
      </c>
      <c r="DG239">
        <v>905</v>
      </c>
      <c r="DH239">
        <v>4417</v>
      </c>
      <c r="DI239">
        <v>21.25</v>
      </c>
      <c r="DJ239" s="174">
        <v>21657</v>
      </c>
      <c r="DK239" s="34">
        <v>85891</v>
      </c>
      <c r="DL239" s="34">
        <v>31941</v>
      </c>
      <c r="DM239">
        <v>22155</v>
      </c>
      <c r="DN239" s="173">
        <v>-78</v>
      </c>
      <c r="DO239" s="34">
        <v>75886</v>
      </c>
      <c r="DP239" s="173">
        <v>4671</v>
      </c>
      <c r="DQ239" s="34">
        <v>5334</v>
      </c>
      <c r="DR239" s="173">
        <v>8178</v>
      </c>
      <c r="DS239" s="173">
        <v>-10840</v>
      </c>
      <c r="DT239">
        <v>6579</v>
      </c>
      <c r="DU239">
        <v>63389</v>
      </c>
      <c r="DV239" s="173">
        <v>131731</v>
      </c>
      <c r="DW239" s="173">
        <v>1769</v>
      </c>
      <c r="DX239" s="173">
        <v>6186</v>
      </c>
      <c r="DY239" s="57">
        <v>21.25</v>
      </c>
      <c r="DZ239" s="184">
        <v>230</v>
      </c>
      <c r="EA239" s="116">
        <v>21674</v>
      </c>
      <c r="EB239" s="48">
        <v>85196</v>
      </c>
      <c r="EC239" s="46">
        <v>33139</v>
      </c>
      <c r="ED239" s="90">
        <v>22700</v>
      </c>
      <c r="EE239" s="186">
        <v>79</v>
      </c>
      <c r="EF239" s="46">
        <v>75908</v>
      </c>
      <c r="EG239" s="130">
        <v>3965</v>
      </c>
      <c r="EH239" s="46">
        <v>5323</v>
      </c>
      <c r="EI239" s="130">
        <v>3285</v>
      </c>
      <c r="EJ239" s="48">
        <v>-11959</v>
      </c>
      <c r="EK239" s="44">
        <v>7787</v>
      </c>
      <c r="EL239" s="44">
        <v>69795</v>
      </c>
      <c r="EM239" s="130">
        <v>137829</v>
      </c>
      <c r="EN239" s="117">
        <v>-4465</v>
      </c>
      <c r="EO239" s="117">
        <v>1721</v>
      </c>
      <c r="EP239" s="129">
        <v>21.25</v>
      </c>
    </row>
    <row r="240" spans="1:146" ht="15" x14ac:dyDescent="0.25">
      <c r="A240" s="27">
        <v>751</v>
      </c>
      <c r="B240" s="27" t="s">
        <v>363</v>
      </c>
      <c r="C240" s="27">
        <v>19</v>
      </c>
      <c r="D240" s="27" t="s">
        <v>113</v>
      </c>
      <c r="E240" s="27">
        <v>2</v>
      </c>
      <c r="F240" s="27" t="s">
        <v>744</v>
      </c>
      <c r="G240" s="29" t="s">
        <v>130</v>
      </c>
      <c r="H240" s="27" t="s">
        <v>98</v>
      </c>
      <c r="I240" s="31" t="s">
        <v>113</v>
      </c>
      <c r="J240" s="118">
        <v>-180.80202094612434</v>
      </c>
      <c r="K240" s="118">
        <v>-719.67613732880568</v>
      </c>
      <c r="L240" s="118">
        <v>-1086.9985687207459</v>
      </c>
      <c r="M240" s="118">
        <v>143.63248919813043</v>
      </c>
      <c r="N240" s="22">
        <v>595</v>
      </c>
      <c r="O240" s="119">
        <v>824</v>
      </c>
      <c r="P240" s="119">
        <v>648</v>
      </c>
      <c r="Q240" s="120">
        <v>-808</v>
      </c>
      <c r="R240" s="22">
        <v>-675</v>
      </c>
      <c r="S240" s="22">
        <v>411</v>
      </c>
      <c r="T240" s="121">
        <v>932</v>
      </c>
      <c r="U240" s="121">
        <v>788</v>
      </c>
      <c r="V240" s="121">
        <v>2131</v>
      </c>
      <c r="W240" s="106">
        <v>2790</v>
      </c>
      <c r="X240" s="121">
        <v>3028</v>
      </c>
      <c r="Y240" s="121">
        <v>2551</v>
      </c>
      <c r="Z240" s="121">
        <v>1667</v>
      </c>
      <c r="AA240" s="121">
        <v>1389</v>
      </c>
      <c r="AB240" s="122">
        <v>18</v>
      </c>
      <c r="AC240" s="123">
        <v>18</v>
      </c>
      <c r="AD240" s="124">
        <v>18.75</v>
      </c>
      <c r="AE240" s="125">
        <v>18.75</v>
      </c>
      <c r="AF240" s="126">
        <v>18.75</v>
      </c>
      <c r="AG240" s="123">
        <v>19</v>
      </c>
      <c r="AH240" s="123">
        <v>19</v>
      </c>
      <c r="AI240" s="127">
        <v>19</v>
      </c>
      <c r="AJ240" s="127">
        <v>20</v>
      </c>
      <c r="AK240" s="22">
        <v>20.75</v>
      </c>
      <c r="AL240" s="128">
        <v>20.75</v>
      </c>
      <c r="AM240" s="128">
        <v>20.75</v>
      </c>
      <c r="AN240" s="128">
        <v>20.75</v>
      </c>
      <c r="AO240" s="77">
        <v>20.75</v>
      </c>
      <c r="AP240" s="77">
        <v>20.75</v>
      </c>
      <c r="AQ240" s="129">
        <v>20.75</v>
      </c>
      <c r="AR240" s="129">
        <v>21.25</v>
      </c>
      <c r="AS240" s="129">
        <v>21.75</v>
      </c>
      <c r="AT240" s="116">
        <v>3356</v>
      </c>
      <c r="AU240" s="47">
        <v>1895</v>
      </c>
      <c r="AV240" s="47">
        <v>21649</v>
      </c>
      <c r="AW240" s="46">
        <v>11007</v>
      </c>
      <c r="AX240" s="46">
        <v>9111</v>
      </c>
      <c r="AY240" s="92">
        <v>8</v>
      </c>
      <c r="AZ240" s="47">
        <v>253</v>
      </c>
      <c r="BA240" s="44">
        <v>730</v>
      </c>
      <c r="BB240" s="23">
        <v>-536</v>
      </c>
      <c r="BC240" s="47">
        <v>-477</v>
      </c>
      <c r="BD240" s="44">
        <v>-478</v>
      </c>
      <c r="BE240" s="47">
        <v>2551</v>
      </c>
      <c r="BF240" s="44">
        <v>11007</v>
      </c>
      <c r="BG240" s="46">
        <v>10288</v>
      </c>
      <c r="BH240" s="130">
        <v>294</v>
      </c>
      <c r="BI240" s="46">
        <v>425</v>
      </c>
      <c r="BJ240" s="129">
        <v>20.75</v>
      </c>
      <c r="BK240" s="44">
        <v>4851</v>
      </c>
      <c r="BL240" s="116">
        <v>3296</v>
      </c>
      <c r="BM240" s="47">
        <v>2093</v>
      </c>
      <c r="BN240" s="130">
        <v>22323</v>
      </c>
      <c r="BO240" s="46">
        <v>11106</v>
      </c>
      <c r="BP240" s="46">
        <v>9142</v>
      </c>
      <c r="BQ240" s="46">
        <v>12</v>
      </c>
      <c r="BR240" s="130">
        <v>-91</v>
      </c>
      <c r="BS240" s="44">
        <v>795</v>
      </c>
      <c r="BT240" s="92">
        <v>-837</v>
      </c>
      <c r="BU240" s="117">
        <v>-883</v>
      </c>
      <c r="BV240" s="130">
        <v>1667</v>
      </c>
      <c r="BW240" s="48">
        <v>11106</v>
      </c>
      <c r="BX240" s="46">
        <v>10160</v>
      </c>
      <c r="BY240" s="130">
        <v>310</v>
      </c>
      <c r="BZ240" s="46">
        <v>636</v>
      </c>
      <c r="CA240" s="129">
        <v>21.25</v>
      </c>
      <c r="CB240" s="44">
        <v>5408</v>
      </c>
      <c r="CC240" s="116">
        <v>3238</v>
      </c>
      <c r="CD240" s="47">
        <v>2150</v>
      </c>
      <c r="CE240" s="130">
        <v>22107</v>
      </c>
      <c r="CF240" s="46">
        <v>11837</v>
      </c>
      <c r="CG240" s="46">
        <v>8782</v>
      </c>
      <c r="CH240" s="46">
        <v>2</v>
      </c>
      <c r="CI240" s="130">
        <v>539</v>
      </c>
      <c r="CJ240" s="44">
        <v>817</v>
      </c>
      <c r="CK240" s="117">
        <v>-554</v>
      </c>
      <c r="CL240" s="117">
        <v>-278</v>
      </c>
      <c r="CM240" s="117">
        <v>1389</v>
      </c>
      <c r="CN240" s="48">
        <v>11837</v>
      </c>
      <c r="CO240" s="46">
        <v>10767</v>
      </c>
      <c r="CP240" s="130">
        <v>323</v>
      </c>
      <c r="CQ240" s="46">
        <v>747</v>
      </c>
      <c r="CR240" s="129">
        <v>21.75</v>
      </c>
      <c r="CS240" s="44">
        <v>6484</v>
      </c>
      <c r="CT240">
        <v>3170</v>
      </c>
      <c r="CU240">
        <v>11886</v>
      </c>
      <c r="CV240">
        <v>9150</v>
      </c>
      <c r="CW240">
        <v>2214</v>
      </c>
      <c r="CX240">
        <v>0</v>
      </c>
      <c r="CY240">
        <v>10695</v>
      </c>
      <c r="CZ240">
        <v>296</v>
      </c>
      <c r="DA240">
        <v>895</v>
      </c>
      <c r="DB240">
        <v>1525</v>
      </c>
      <c r="DC240">
        <v>-780</v>
      </c>
      <c r="DD240">
        <v>857</v>
      </c>
      <c r="DE240">
        <v>6432</v>
      </c>
      <c r="DF240">
        <v>21604</v>
      </c>
      <c r="DG240">
        <v>668</v>
      </c>
      <c r="DH240">
        <v>1877</v>
      </c>
      <c r="DI240">
        <v>22</v>
      </c>
      <c r="DJ240" s="174">
        <v>3110</v>
      </c>
      <c r="DK240" s="34">
        <v>11958</v>
      </c>
      <c r="DL240" s="34">
        <v>8746</v>
      </c>
      <c r="DM240">
        <v>2052</v>
      </c>
      <c r="DN240" s="173">
        <v>-58</v>
      </c>
      <c r="DO240" s="34">
        <v>10483</v>
      </c>
      <c r="DP240" s="173">
        <v>357</v>
      </c>
      <c r="DQ240" s="34">
        <v>1118</v>
      </c>
      <c r="DR240" s="173">
        <v>1881</v>
      </c>
      <c r="DS240" s="173">
        <v>-715</v>
      </c>
      <c r="DT240">
        <v>893</v>
      </c>
      <c r="DU240">
        <v>5527</v>
      </c>
      <c r="DV240" s="173">
        <v>20817</v>
      </c>
      <c r="DW240" s="173">
        <v>988</v>
      </c>
      <c r="DX240" s="173">
        <v>2865</v>
      </c>
      <c r="DY240" s="57">
        <v>22</v>
      </c>
      <c r="DZ240" s="184">
        <v>340</v>
      </c>
      <c r="EA240" s="116">
        <v>3045</v>
      </c>
      <c r="EB240" s="48">
        <v>11951</v>
      </c>
      <c r="EC240" s="46">
        <v>8395</v>
      </c>
      <c r="ED240" s="90">
        <v>2250</v>
      </c>
      <c r="EE240" s="186">
        <v>-56</v>
      </c>
      <c r="EF240" s="46">
        <v>9988</v>
      </c>
      <c r="EG240" s="130">
        <v>344</v>
      </c>
      <c r="EH240" s="46">
        <v>1619</v>
      </c>
      <c r="EI240" s="130">
        <v>331</v>
      </c>
      <c r="EJ240" s="48">
        <v>-722</v>
      </c>
      <c r="EK240" s="44">
        <v>893</v>
      </c>
      <c r="EL240" s="44">
        <v>4663</v>
      </c>
      <c r="EM240" s="130">
        <v>22209</v>
      </c>
      <c r="EN240" s="117">
        <v>-562</v>
      </c>
      <c r="EO240" s="117">
        <v>2303</v>
      </c>
      <c r="EP240" s="129">
        <v>22</v>
      </c>
    </row>
    <row r="241" spans="1:146" ht="15" x14ac:dyDescent="0.25">
      <c r="A241" s="27">
        <v>753</v>
      </c>
      <c r="B241" s="27" t="s">
        <v>364</v>
      </c>
      <c r="C241" s="27">
        <v>1</v>
      </c>
      <c r="D241" s="27" t="s">
        <v>121</v>
      </c>
      <c r="E241" s="27">
        <v>5</v>
      </c>
      <c r="F241" s="27" t="s">
        <v>101</v>
      </c>
      <c r="G241" s="29" t="s">
        <v>132</v>
      </c>
      <c r="H241" s="27" t="s">
        <v>99</v>
      </c>
      <c r="I241" s="31" t="s">
        <v>121</v>
      </c>
      <c r="J241" s="118">
        <v>-840.7714443810936</v>
      </c>
      <c r="K241" s="118">
        <v>-1754.2000729935601</v>
      </c>
      <c r="L241" s="118">
        <v>-3206.1664421357846</v>
      </c>
      <c r="M241" s="118">
        <v>-3404.796383286829</v>
      </c>
      <c r="N241" s="22">
        <v>-480</v>
      </c>
      <c r="O241" s="119">
        <v>-163</v>
      </c>
      <c r="P241" s="119">
        <v>1360</v>
      </c>
      <c r="Q241" s="120">
        <v>6962</v>
      </c>
      <c r="R241" s="22">
        <v>8053</v>
      </c>
      <c r="S241" s="22">
        <v>9161</v>
      </c>
      <c r="T241" s="121">
        <v>9257</v>
      </c>
      <c r="U241" s="121">
        <v>12784</v>
      </c>
      <c r="V241" s="121">
        <v>14589</v>
      </c>
      <c r="W241" s="106">
        <v>11552</v>
      </c>
      <c r="X241" s="121">
        <v>12528</v>
      </c>
      <c r="Y241" s="121">
        <v>9227</v>
      </c>
      <c r="Z241" s="121">
        <v>7903</v>
      </c>
      <c r="AA241" s="121">
        <v>9160</v>
      </c>
      <c r="AB241" s="122">
        <v>17</v>
      </c>
      <c r="AC241" s="123">
        <v>17.75</v>
      </c>
      <c r="AD241" s="124">
        <v>17.75</v>
      </c>
      <c r="AE241" s="125">
        <v>17.75</v>
      </c>
      <c r="AF241" s="126">
        <v>18.75</v>
      </c>
      <c r="AG241" s="123">
        <v>18.75</v>
      </c>
      <c r="AH241" s="123">
        <v>18.75</v>
      </c>
      <c r="AI241" s="131">
        <v>18.75</v>
      </c>
      <c r="AJ241" s="131">
        <v>18.75</v>
      </c>
      <c r="AK241" s="22">
        <v>18.75</v>
      </c>
      <c r="AL241" s="128">
        <v>18.75</v>
      </c>
      <c r="AM241" s="128">
        <v>18.75</v>
      </c>
      <c r="AN241" s="128">
        <v>19.25</v>
      </c>
      <c r="AO241" s="77">
        <v>19.25</v>
      </c>
      <c r="AP241" s="77">
        <v>19.25</v>
      </c>
      <c r="AQ241" s="129">
        <v>19.25</v>
      </c>
      <c r="AR241" s="129">
        <v>19.25</v>
      </c>
      <c r="AS241" s="129">
        <v>19.25</v>
      </c>
      <c r="AT241" s="116">
        <v>18914</v>
      </c>
      <c r="AU241" s="47">
        <v>20146</v>
      </c>
      <c r="AV241" s="47">
        <v>114095</v>
      </c>
      <c r="AW241" s="46">
        <v>84862</v>
      </c>
      <c r="AX241" s="46">
        <v>16669</v>
      </c>
      <c r="AY241" s="92">
        <v>254</v>
      </c>
      <c r="AZ241" s="47">
        <v>6888</v>
      </c>
      <c r="BA241" s="44">
        <v>9193</v>
      </c>
      <c r="BB241" s="23">
        <v>-12055</v>
      </c>
      <c r="BC241" s="47">
        <v>-2305</v>
      </c>
      <c r="BD241" s="44">
        <v>-1917</v>
      </c>
      <c r="BE241" s="47">
        <v>9227</v>
      </c>
      <c r="BF241" s="44">
        <v>84862</v>
      </c>
      <c r="BG241" s="46">
        <v>75308</v>
      </c>
      <c r="BH241" s="130">
        <v>3105</v>
      </c>
      <c r="BI241" s="46">
        <v>6449</v>
      </c>
      <c r="BJ241" s="129">
        <v>19.25</v>
      </c>
      <c r="BK241" s="44">
        <v>52810</v>
      </c>
      <c r="BL241" s="116">
        <v>19034</v>
      </c>
      <c r="BM241" s="47">
        <v>19760</v>
      </c>
      <c r="BN241" s="130">
        <v>114464</v>
      </c>
      <c r="BO241" s="46">
        <v>86281</v>
      </c>
      <c r="BP241" s="46">
        <v>15640</v>
      </c>
      <c r="BQ241" s="46">
        <v>230</v>
      </c>
      <c r="BR241" s="130">
        <v>6564</v>
      </c>
      <c r="BS241" s="44">
        <v>9096</v>
      </c>
      <c r="BT241" s="92">
        <v>-8448</v>
      </c>
      <c r="BU241" s="117">
        <v>-1293</v>
      </c>
      <c r="BV241" s="130">
        <v>7903</v>
      </c>
      <c r="BW241" s="48">
        <v>86281</v>
      </c>
      <c r="BX241" s="46">
        <v>76163</v>
      </c>
      <c r="BY241" s="130">
        <v>3197</v>
      </c>
      <c r="BZ241" s="46">
        <v>6921</v>
      </c>
      <c r="CA241" s="129">
        <v>19.25</v>
      </c>
      <c r="CB241" s="44">
        <v>43527</v>
      </c>
      <c r="CC241" s="116">
        <v>19399</v>
      </c>
      <c r="CD241" s="47">
        <v>27656</v>
      </c>
      <c r="CE241" s="130">
        <v>113763</v>
      </c>
      <c r="CF241" s="46">
        <v>87201</v>
      </c>
      <c r="CG241" s="46">
        <v>14572</v>
      </c>
      <c r="CH241" s="46">
        <v>877</v>
      </c>
      <c r="CI241" s="130">
        <v>15835</v>
      </c>
      <c r="CJ241" s="44">
        <v>8312</v>
      </c>
      <c r="CK241" s="117">
        <v>-4010</v>
      </c>
      <c r="CL241" s="117">
        <v>1509</v>
      </c>
      <c r="CM241" s="117">
        <v>9160</v>
      </c>
      <c r="CN241" s="48">
        <v>87201</v>
      </c>
      <c r="CO241" s="46">
        <v>75499</v>
      </c>
      <c r="CP241" s="130">
        <v>4104</v>
      </c>
      <c r="CQ241" s="46">
        <v>7598</v>
      </c>
      <c r="CR241" s="129">
        <v>19.25</v>
      </c>
      <c r="CS241" s="44">
        <v>38728</v>
      </c>
      <c r="CT241">
        <v>19922</v>
      </c>
      <c r="CU241">
        <v>92698</v>
      </c>
      <c r="CV241">
        <v>15815</v>
      </c>
      <c r="CW241">
        <v>24809</v>
      </c>
      <c r="CX241">
        <v>6581</v>
      </c>
      <c r="CY241">
        <v>80235</v>
      </c>
      <c r="CZ241">
        <v>4073</v>
      </c>
      <c r="DA241">
        <v>8390</v>
      </c>
      <c r="DB241">
        <v>12974</v>
      </c>
      <c r="DC241">
        <v>-14152</v>
      </c>
      <c r="DD241">
        <v>6455</v>
      </c>
      <c r="DE241">
        <v>46846</v>
      </c>
      <c r="DF241">
        <v>119979</v>
      </c>
      <c r="DG241">
        <v>1025</v>
      </c>
      <c r="DH241">
        <v>10207</v>
      </c>
      <c r="DI241">
        <v>19.25</v>
      </c>
      <c r="DJ241" s="174">
        <v>20310</v>
      </c>
      <c r="DK241" s="34">
        <v>96899</v>
      </c>
      <c r="DL241" s="34">
        <v>14621</v>
      </c>
      <c r="DM241">
        <v>24072</v>
      </c>
      <c r="DN241" s="173">
        <v>-361</v>
      </c>
      <c r="DO241" s="34">
        <v>83264</v>
      </c>
      <c r="DP241" s="173">
        <v>4678</v>
      </c>
      <c r="DQ241" s="34">
        <v>8957</v>
      </c>
      <c r="DR241" s="173">
        <v>10316</v>
      </c>
      <c r="DS241" s="173">
        <v>-10729</v>
      </c>
      <c r="DT241">
        <v>7279</v>
      </c>
      <c r="DU241">
        <v>51589</v>
      </c>
      <c r="DV241" s="173">
        <v>124915</v>
      </c>
      <c r="DW241" s="173">
        <v>4376</v>
      </c>
      <c r="DX241" s="173">
        <v>14583</v>
      </c>
      <c r="DY241" s="57">
        <v>19.25</v>
      </c>
      <c r="DZ241" s="184">
        <v>210</v>
      </c>
      <c r="EA241" s="116">
        <v>20666</v>
      </c>
      <c r="EB241" s="48">
        <v>98946</v>
      </c>
      <c r="EC241" s="46">
        <v>13390</v>
      </c>
      <c r="ED241" s="90">
        <v>25941</v>
      </c>
      <c r="EE241" s="186">
        <v>-307</v>
      </c>
      <c r="EF241" s="46">
        <v>84729</v>
      </c>
      <c r="EG241" s="130">
        <v>4774</v>
      </c>
      <c r="EH241" s="46">
        <v>9443</v>
      </c>
      <c r="EI241" s="130">
        <v>7355</v>
      </c>
      <c r="EJ241" s="48">
        <v>-28957</v>
      </c>
      <c r="EK241" s="44">
        <v>7183</v>
      </c>
      <c r="EL241" s="44">
        <v>69035</v>
      </c>
      <c r="EM241" s="130">
        <v>130615</v>
      </c>
      <c r="EN241" s="117">
        <v>1531</v>
      </c>
      <c r="EO241" s="117">
        <v>16115</v>
      </c>
      <c r="EP241" s="129">
        <v>19.25</v>
      </c>
    </row>
    <row r="242" spans="1:146" ht="15" x14ac:dyDescent="0.25">
      <c r="A242" s="27">
        <v>755</v>
      </c>
      <c r="B242" s="27" t="s">
        <v>365</v>
      </c>
      <c r="C242" s="27">
        <v>1</v>
      </c>
      <c r="D242" s="27" t="s">
        <v>121</v>
      </c>
      <c r="E242" s="27">
        <v>3</v>
      </c>
      <c r="F242" s="27" t="s">
        <v>743</v>
      </c>
      <c r="G242" s="29" t="s">
        <v>130</v>
      </c>
      <c r="H242" s="27" t="s">
        <v>98</v>
      </c>
      <c r="I242" s="31" t="s">
        <v>121</v>
      </c>
      <c r="J242" s="118">
        <v>-1192.6205865385748</v>
      </c>
      <c r="K242" s="118">
        <v>-2679.065480605409</v>
      </c>
      <c r="L242" s="118">
        <v>-3070.94334926073</v>
      </c>
      <c r="M242" s="118">
        <v>-3296.6515465720777</v>
      </c>
      <c r="N242" s="22">
        <v>-3588</v>
      </c>
      <c r="O242" s="119">
        <v>-3783</v>
      </c>
      <c r="P242" s="119">
        <v>-1726</v>
      </c>
      <c r="Q242" s="120">
        <v>-1605</v>
      </c>
      <c r="R242" s="22">
        <v>-2031</v>
      </c>
      <c r="S242" s="22">
        <v>-2545</v>
      </c>
      <c r="T242" s="121">
        <v>-2564</v>
      </c>
      <c r="U242" s="121">
        <v>-1943</v>
      </c>
      <c r="V242" s="121">
        <v>-950</v>
      </c>
      <c r="W242" s="106">
        <v>506</v>
      </c>
      <c r="X242" s="121">
        <v>-1115</v>
      </c>
      <c r="Y242" s="121">
        <v>-610</v>
      </c>
      <c r="Z242" s="121">
        <v>-905</v>
      </c>
      <c r="AA242" s="121">
        <v>-2259</v>
      </c>
      <c r="AB242" s="122">
        <v>18</v>
      </c>
      <c r="AC242" s="123">
        <v>18</v>
      </c>
      <c r="AD242" s="124">
        <v>18.75</v>
      </c>
      <c r="AE242" s="125">
        <v>18.75</v>
      </c>
      <c r="AF242" s="126">
        <v>18.75</v>
      </c>
      <c r="AG242" s="123">
        <v>18.75</v>
      </c>
      <c r="AH242" s="123">
        <v>19.5</v>
      </c>
      <c r="AI242" s="127">
        <v>19.5</v>
      </c>
      <c r="AJ242" s="127">
        <v>19.5</v>
      </c>
      <c r="AK242" s="22">
        <v>19.5</v>
      </c>
      <c r="AL242" s="128">
        <v>19.75</v>
      </c>
      <c r="AM242" s="128">
        <v>20.5</v>
      </c>
      <c r="AN242" s="128">
        <v>20.5</v>
      </c>
      <c r="AO242" s="77">
        <v>21</v>
      </c>
      <c r="AP242" s="77">
        <v>21</v>
      </c>
      <c r="AQ242" s="129">
        <v>21</v>
      </c>
      <c r="AR242" s="129">
        <v>21.5</v>
      </c>
      <c r="AS242" s="129">
        <v>21.5</v>
      </c>
      <c r="AT242" s="116">
        <v>6183</v>
      </c>
      <c r="AU242" s="47">
        <v>4949</v>
      </c>
      <c r="AV242" s="47">
        <v>34887</v>
      </c>
      <c r="AW242" s="46">
        <v>27529</v>
      </c>
      <c r="AX242" s="46">
        <v>5183</v>
      </c>
      <c r="AY242" s="92">
        <v>55</v>
      </c>
      <c r="AZ242" s="47">
        <v>2419</v>
      </c>
      <c r="BA242" s="44">
        <v>1914</v>
      </c>
      <c r="BB242" s="23">
        <v>-3652</v>
      </c>
      <c r="BC242" s="47">
        <v>505</v>
      </c>
      <c r="BD242" s="44">
        <v>505</v>
      </c>
      <c r="BE242" s="47">
        <v>-610</v>
      </c>
      <c r="BF242" s="44">
        <v>27529</v>
      </c>
      <c r="BG242" s="46">
        <v>25346</v>
      </c>
      <c r="BH242" s="130">
        <v>457</v>
      </c>
      <c r="BI242" s="46">
        <v>1726</v>
      </c>
      <c r="BJ242" s="129">
        <v>21</v>
      </c>
      <c r="BK242" s="44">
        <v>20283</v>
      </c>
      <c r="BL242" s="116">
        <v>6199</v>
      </c>
      <c r="BM242" s="47">
        <v>4169</v>
      </c>
      <c r="BN242" s="130">
        <v>35227</v>
      </c>
      <c r="BO242" s="46">
        <v>28590</v>
      </c>
      <c r="BP242" s="46">
        <v>4652</v>
      </c>
      <c r="BQ242" s="46">
        <v>49</v>
      </c>
      <c r="BR242" s="130">
        <v>1743</v>
      </c>
      <c r="BS242" s="44">
        <v>2037</v>
      </c>
      <c r="BT242" s="92">
        <v>-2326</v>
      </c>
      <c r="BU242" s="117">
        <v>-294</v>
      </c>
      <c r="BV242" s="130">
        <v>-905</v>
      </c>
      <c r="BW242" s="48">
        <v>28590</v>
      </c>
      <c r="BX242" s="46">
        <v>25962</v>
      </c>
      <c r="BY242" s="130">
        <v>533</v>
      </c>
      <c r="BZ242" s="46">
        <v>2095</v>
      </c>
      <c r="CA242" s="129">
        <v>21.5</v>
      </c>
      <c r="CB242" s="44">
        <v>22314</v>
      </c>
      <c r="CC242" s="116">
        <v>6182</v>
      </c>
      <c r="CD242" s="47">
        <v>4576</v>
      </c>
      <c r="CE242" s="130">
        <v>35636</v>
      </c>
      <c r="CF242" s="46">
        <v>27833</v>
      </c>
      <c r="CG242" s="46">
        <v>4219</v>
      </c>
      <c r="CH242" s="46">
        <v>65</v>
      </c>
      <c r="CI242" s="130">
        <v>568</v>
      </c>
      <c r="CJ242" s="44">
        <v>1921</v>
      </c>
      <c r="CK242" s="117">
        <v>-1011</v>
      </c>
      <c r="CL242" s="117">
        <v>-1353</v>
      </c>
      <c r="CM242" s="117">
        <v>-2259</v>
      </c>
      <c r="CN242" s="48">
        <v>27833</v>
      </c>
      <c r="CO242" s="46">
        <v>25158</v>
      </c>
      <c r="CP242" s="130">
        <v>558</v>
      </c>
      <c r="CQ242" s="46">
        <v>2117</v>
      </c>
      <c r="CR242" s="129">
        <v>21.5</v>
      </c>
      <c r="CS242" s="44">
        <v>22380</v>
      </c>
      <c r="CT242">
        <v>6178</v>
      </c>
      <c r="CU242">
        <v>29275</v>
      </c>
      <c r="CV242">
        <v>4792</v>
      </c>
      <c r="CW242">
        <v>5253</v>
      </c>
      <c r="CX242">
        <v>68</v>
      </c>
      <c r="CY242">
        <v>26738</v>
      </c>
      <c r="CZ242">
        <v>440</v>
      </c>
      <c r="DA242">
        <v>2097</v>
      </c>
      <c r="DB242">
        <v>4270</v>
      </c>
      <c r="DC242">
        <v>-903</v>
      </c>
      <c r="DD242">
        <v>1550</v>
      </c>
      <c r="DE242">
        <v>20395</v>
      </c>
      <c r="DF242">
        <v>34655</v>
      </c>
      <c r="DG242">
        <v>2720</v>
      </c>
      <c r="DH242">
        <v>461</v>
      </c>
      <c r="DI242">
        <v>21.5</v>
      </c>
      <c r="DJ242" s="174">
        <v>6146</v>
      </c>
      <c r="DK242" s="34">
        <v>29135</v>
      </c>
      <c r="DL242" s="34">
        <v>4417</v>
      </c>
      <c r="DM242">
        <v>5706</v>
      </c>
      <c r="DN242" s="173">
        <v>-326</v>
      </c>
      <c r="DO242" s="34">
        <v>26426</v>
      </c>
      <c r="DP242" s="173">
        <v>556</v>
      </c>
      <c r="DQ242" s="34">
        <v>2153</v>
      </c>
      <c r="DR242" s="173">
        <v>3540</v>
      </c>
      <c r="DS242" s="173">
        <v>-3932</v>
      </c>
      <c r="DT242">
        <v>1982</v>
      </c>
      <c r="DU242">
        <v>21295</v>
      </c>
      <c r="DV242" s="173">
        <v>35392</v>
      </c>
      <c r="DW242" s="173">
        <v>1558</v>
      </c>
      <c r="DX242" s="173">
        <v>2019</v>
      </c>
      <c r="DY242" s="57">
        <v>21.5</v>
      </c>
      <c r="DZ242" s="184">
        <v>330</v>
      </c>
      <c r="EA242" s="116">
        <v>6134</v>
      </c>
      <c r="EB242" s="48">
        <v>28866</v>
      </c>
      <c r="EC242" s="46">
        <v>4534</v>
      </c>
      <c r="ED242" s="90">
        <v>9122</v>
      </c>
      <c r="EE242" s="186">
        <v>-249</v>
      </c>
      <c r="EF242" s="46">
        <v>26067</v>
      </c>
      <c r="EG242" s="130">
        <v>597</v>
      </c>
      <c r="EH242" s="46">
        <v>2202</v>
      </c>
      <c r="EI242" s="130">
        <v>2719</v>
      </c>
      <c r="EJ242" s="48">
        <v>-3533</v>
      </c>
      <c r="EK242" s="44">
        <v>2027</v>
      </c>
      <c r="EL242" s="44">
        <v>22000</v>
      </c>
      <c r="EM242" s="130">
        <v>39554</v>
      </c>
      <c r="EN242" s="117">
        <v>692</v>
      </c>
      <c r="EO242" s="117">
        <v>2824</v>
      </c>
      <c r="EP242" s="129">
        <v>21.5</v>
      </c>
    </row>
    <row r="243" spans="1:146" ht="15" x14ac:dyDescent="0.25">
      <c r="A243" s="27">
        <v>758</v>
      </c>
      <c r="B243" s="27" t="s">
        <v>366</v>
      </c>
      <c r="C243" s="27">
        <v>19</v>
      </c>
      <c r="D243" s="27" t="s">
        <v>113</v>
      </c>
      <c r="E243" s="27">
        <v>3</v>
      </c>
      <c r="F243" s="27" t="s">
        <v>743</v>
      </c>
      <c r="G243" s="29" t="s">
        <v>132</v>
      </c>
      <c r="H243" s="27" t="s">
        <v>99</v>
      </c>
      <c r="I243" s="31" t="s">
        <v>113</v>
      </c>
      <c r="J243" s="118">
        <v>-382.96390855286063</v>
      </c>
      <c r="K243" s="118">
        <v>-1232.1447492570298</v>
      </c>
      <c r="L243" s="118">
        <v>-3047.7334154090413</v>
      </c>
      <c r="M243" s="118">
        <v>-2248.3362009374796</v>
      </c>
      <c r="N243" s="22">
        <v>77</v>
      </c>
      <c r="O243" s="119">
        <v>2824</v>
      </c>
      <c r="P243" s="119">
        <v>1857</v>
      </c>
      <c r="Q243" s="120">
        <v>416</v>
      </c>
      <c r="R243" s="22">
        <v>749</v>
      </c>
      <c r="S243" s="22">
        <v>-18</v>
      </c>
      <c r="T243" s="121">
        <v>1154</v>
      </c>
      <c r="U243" s="121">
        <v>316</v>
      </c>
      <c r="V243" s="121">
        <v>2287</v>
      </c>
      <c r="W243" s="106">
        <v>2771</v>
      </c>
      <c r="X243" s="121">
        <v>1390</v>
      </c>
      <c r="Y243" s="121">
        <v>1770</v>
      </c>
      <c r="Z243" s="121">
        <v>2212</v>
      </c>
      <c r="AA243" s="121">
        <v>2576</v>
      </c>
      <c r="AB243" s="122">
        <v>18.5</v>
      </c>
      <c r="AC243" s="123">
        <v>19</v>
      </c>
      <c r="AD243" s="124">
        <v>19</v>
      </c>
      <c r="AE243" s="125">
        <v>19</v>
      </c>
      <c r="AF243" s="126">
        <v>19</v>
      </c>
      <c r="AG243" s="123">
        <v>19</v>
      </c>
      <c r="AH243" s="123">
        <v>19</v>
      </c>
      <c r="AI243" s="127">
        <v>19.5</v>
      </c>
      <c r="AJ243" s="127">
        <v>19.5</v>
      </c>
      <c r="AK243" s="22">
        <v>19.5</v>
      </c>
      <c r="AL243" s="128">
        <v>19.5</v>
      </c>
      <c r="AM243" s="128">
        <v>19.5</v>
      </c>
      <c r="AN243" s="128">
        <v>19.5</v>
      </c>
      <c r="AO243" s="77">
        <v>19.5</v>
      </c>
      <c r="AP243" s="77">
        <v>19.5</v>
      </c>
      <c r="AQ243" s="129">
        <v>19.5</v>
      </c>
      <c r="AR243" s="129">
        <v>20</v>
      </c>
      <c r="AS243" s="129">
        <v>20</v>
      </c>
      <c r="AT243" s="116">
        <v>8884</v>
      </c>
      <c r="AU243" s="47">
        <v>9992</v>
      </c>
      <c r="AV243" s="47">
        <v>66977</v>
      </c>
      <c r="AW243" s="46">
        <v>33345</v>
      </c>
      <c r="AX243" s="46">
        <v>25237</v>
      </c>
      <c r="AY243" s="92">
        <v>1290</v>
      </c>
      <c r="AZ243" s="47">
        <v>2596</v>
      </c>
      <c r="BA243" s="44">
        <v>2280</v>
      </c>
      <c r="BB243" s="23">
        <v>-6823</v>
      </c>
      <c r="BC243" s="47">
        <v>57</v>
      </c>
      <c r="BD243" s="44">
        <v>381</v>
      </c>
      <c r="BE243" s="47">
        <v>1770</v>
      </c>
      <c r="BF243" s="44">
        <v>33345</v>
      </c>
      <c r="BG243" s="46">
        <v>26135</v>
      </c>
      <c r="BH243" s="130">
        <v>1649</v>
      </c>
      <c r="BI243" s="46">
        <v>5561</v>
      </c>
      <c r="BJ243" s="129">
        <v>19.5</v>
      </c>
      <c r="BK243" s="44">
        <v>22576</v>
      </c>
      <c r="BL243" s="116">
        <v>8820</v>
      </c>
      <c r="BM243" s="47">
        <v>10841</v>
      </c>
      <c r="BN243" s="130">
        <v>68761</v>
      </c>
      <c r="BO243" s="46">
        <v>35844</v>
      </c>
      <c r="BP243" s="46">
        <v>25102</v>
      </c>
      <c r="BQ243" s="46">
        <v>773</v>
      </c>
      <c r="BR243" s="130">
        <v>3439</v>
      </c>
      <c r="BS243" s="44">
        <v>2522</v>
      </c>
      <c r="BT243" s="92">
        <v>-5933</v>
      </c>
      <c r="BU243" s="117">
        <v>442</v>
      </c>
      <c r="BV243" s="130">
        <v>2212</v>
      </c>
      <c r="BW243" s="48">
        <v>35844</v>
      </c>
      <c r="BX243" s="46">
        <v>27459</v>
      </c>
      <c r="BY243" s="130">
        <v>1985</v>
      </c>
      <c r="BZ243" s="46">
        <v>6400</v>
      </c>
      <c r="CA243" s="129">
        <v>20</v>
      </c>
      <c r="CB243" s="44">
        <v>26382</v>
      </c>
      <c r="CC243" s="116">
        <v>8782</v>
      </c>
      <c r="CD243" s="47">
        <v>10400</v>
      </c>
      <c r="CE243" s="130">
        <v>68136</v>
      </c>
      <c r="CF243" s="46">
        <v>36540</v>
      </c>
      <c r="CG243" s="46">
        <v>25365</v>
      </c>
      <c r="CH243" s="46">
        <v>1648</v>
      </c>
      <c r="CI243" s="130">
        <v>5242</v>
      </c>
      <c r="CJ243" s="44">
        <v>3291</v>
      </c>
      <c r="CK243" s="117">
        <v>-2424</v>
      </c>
      <c r="CL243" s="117">
        <v>363</v>
      </c>
      <c r="CM243" s="117">
        <v>2576</v>
      </c>
      <c r="CN243" s="48">
        <v>36540</v>
      </c>
      <c r="CO243" s="46">
        <v>27403</v>
      </c>
      <c r="CP243" s="130">
        <v>2324</v>
      </c>
      <c r="CQ243" s="46">
        <v>6813</v>
      </c>
      <c r="CR243" s="129">
        <v>20</v>
      </c>
      <c r="CS243" s="44">
        <v>28449</v>
      </c>
      <c r="CT243">
        <v>8653</v>
      </c>
      <c r="CU243">
        <v>36970</v>
      </c>
      <c r="CV243">
        <v>26198</v>
      </c>
      <c r="CW243">
        <v>10656</v>
      </c>
      <c r="CX243">
        <v>1043</v>
      </c>
      <c r="CY243">
        <v>27447</v>
      </c>
      <c r="CZ243">
        <v>2408</v>
      </c>
      <c r="DA243">
        <v>7115</v>
      </c>
      <c r="DB243">
        <v>3112</v>
      </c>
      <c r="DC243">
        <v>-4241</v>
      </c>
      <c r="DD243">
        <v>3227</v>
      </c>
      <c r="DE243">
        <v>27953</v>
      </c>
      <c r="DF243">
        <v>71625</v>
      </c>
      <c r="DG243">
        <v>48</v>
      </c>
      <c r="DH243">
        <v>2624</v>
      </c>
      <c r="DI243">
        <v>20</v>
      </c>
      <c r="DJ243" s="174">
        <v>8545</v>
      </c>
      <c r="DK243" s="34">
        <v>36539</v>
      </c>
      <c r="DL243" s="34">
        <v>26016</v>
      </c>
      <c r="DM243">
        <v>10966</v>
      </c>
      <c r="DN243" s="173">
        <v>1170</v>
      </c>
      <c r="DO243" s="34">
        <v>26238</v>
      </c>
      <c r="DP243" s="173">
        <v>2907</v>
      </c>
      <c r="DQ243" s="34">
        <v>7394</v>
      </c>
      <c r="DR243" s="173">
        <v>4581</v>
      </c>
      <c r="DS243" s="173">
        <v>-4504</v>
      </c>
      <c r="DT243">
        <v>4728</v>
      </c>
      <c r="DU243">
        <v>27506</v>
      </c>
      <c r="DV243" s="173">
        <v>70110</v>
      </c>
      <c r="DW243" s="173">
        <v>364</v>
      </c>
      <c r="DX243" s="173">
        <v>2788</v>
      </c>
      <c r="DY243" s="57">
        <v>20</v>
      </c>
      <c r="DZ243" s="184">
        <v>240</v>
      </c>
      <c r="EA243" s="116">
        <v>8444</v>
      </c>
      <c r="EB243" s="48">
        <v>36286</v>
      </c>
      <c r="EC243" s="46">
        <v>25673</v>
      </c>
      <c r="ED243" s="90">
        <v>10799</v>
      </c>
      <c r="EE243" s="186">
        <v>1034</v>
      </c>
      <c r="EF243" s="46">
        <v>25952</v>
      </c>
      <c r="EG243" s="130">
        <v>2378</v>
      </c>
      <c r="EH243" s="46">
        <v>7956</v>
      </c>
      <c r="EI243" s="130">
        <v>1864</v>
      </c>
      <c r="EJ243" s="48">
        <v>-5025</v>
      </c>
      <c r="EK243" s="44">
        <v>3785</v>
      </c>
      <c r="EL243" s="44">
        <v>30511</v>
      </c>
      <c r="EM243" s="130">
        <v>71928</v>
      </c>
      <c r="EN243" s="117">
        <v>-1633</v>
      </c>
      <c r="EO243" s="117">
        <v>1155</v>
      </c>
      <c r="EP243" s="129">
        <v>20</v>
      </c>
    </row>
    <row r="244" spans="1:146" ht="15" x14ac:dyDescent="0.25">
      <c r="A244" s="27">
        <v>759</v>
      </c>
      <c r="B244" s="27" t="s">
        <v>367</v>
      </c>
      <c r="C244" s="27">
        <v>14</v>
      </c>
      <c r="D244" s="27" t="s">
        <v>106</v>
      </c>
      <c r="E244" s="27">
        <v>2</v>
      </c>
      <c r="F244" s="27" t="s">
        <v>744</v>
      </c>
      <c r="G244" s="29" t="s">
        <v>130</v>
      </c>
      <c r="H244" s="27" t="s">
        <v>98</v>
      </c>
      <c r="I244" s="31" t="s">
        <v>106</v>
      </c>
      <c r="J244" s="118">
        <v>1006.1001760927589</v>
      </c>
      <c r="K244" s="118">
        <v>333.34847024671484</v>
      </c>
      <c r="L244" s="118">
        <v>7080.3753281766913</v>
      </c>
      <c r="M244" s="118">
        <v>5829.0571553030486</v>
      </c>
      <c r="N244" s="22">
        <v>4922</v>
      </c>
      <c r="O244" s="119">
        <v>4727</v>
      </c>
      <c r="P244" s="119">
        <v>4811</v>
      </c>
      <c r="Q244" s="120">
        <v>3862</v>
      </c>
      <c r="R244" s="22">
        <v>2947</v>
      </c>
      <c r="S244" s="22">
        <v>2961</v>
      </c>
      <c r="T244" s="121">
        <v>2025</v>
      </c>
      <c r="U244" s="121">
        <v>1214</v>
      </c>
      <c r="V244" s="121">
        <v>1609</v>
      </c>
      <c r="W244" s="106">
        <v>610</v>
      </c>
      <c r="X244" s="121">
        <v>883</v>
      </c>
      <c r="Y244" s="121">
        <v>357</v>
      </c>
      <c r="Z244" s="121">
        <v>603</v>
      </c>
      <c r="AA244" s="121">
        <v>1188</v>
      </c>
      <c r="AB244" s="122">
        <v>19</v>
      </c>
      <c r="AC244" s="123">
        <v>19</v>
      </c>
      <c r="AD244" s="124">
        <v>19</v>
      </c>
      <c r="AE244" s="125">
        <v>19</v>
      </c>
      <c r="AF244" s="126">
        <v>19</v>
      </c>
      <c r="AG244" s="123">
        <v>19</v>
      </c>
      <c r="AH244" s="123">
        <v>19.5</v>
      </c>
      <c r="AI244" s="127">
        <v>19.5</v>
      </c>
      <c r="AJ244" s="127">
        <v>19.5</v>
      </c>
      <c r="AK244" s="22">
        <v>20</v>
      </c>
      <c r="AL244" s="128">
        <v>20</v>
      </c>
      <c r="AM244" s="128">
        <v>20</v>
      </c>
      <c r="AN244" s="128">
        <v>20.75</v>
      </c>
      <c r="AO244" s="77">
        <v>20.75</v>
      </c>
      <c r="AP244" s="77">
        <v>21</v>
      </c>
      <c r="AQ244" s="129">
        <v>21</v>
      </c>
      <c r="AR244" s="129">
        <v>21</v>
      </c>
      <c r="AS244" s="129">
        <v>21.5</v>
      </c>
      <c r="AT244" s="116">
        <v>2284</v>
      </c>
      <c r="AU244" s="47">
        <v>15559</v>
      </c>
      <c r="AV244" s="47">
        <v>29102</v>
      </c>
      <c r="AW244" s="46">
        <v>5674</v>
      </c>
      <c r="AX244" s="46">
        <v>8001</v>
      </c>
      <c r="AY244" s="92">
        <v>71</v>
      </c>
      <c r="AZ244" s="47">
        <v>2</v>
      </c>
      <c r="BA244" s="44">
        <v>527</v>
      </c>
      <c r="BB244" s="23">
        <v>-211</v>
      </c>
      <c r="BC244" s="47">
        <v>-525</v>
      </c>
      <c r="BD244" s="44">
        <v>-525</v>
      </c>
      <c r="BE244" s="47">
        <v>357</v>
      </c>
      <c r="BF244" s="44">
        <v>5674</v>
      </c>
      <c r="BG244" s="46">
        <v>4830</v>
      </c>
      <c r="BH244" s="130">
        <v>433</v>
      </c>
      <c r="BI244" s="46">
        <v>411</v>
      </c>
      <c r="BJ244" s="129">
        <v>21</v>
      </c>
      <c r="BK244" s="44">
        <v>9983</v>
      </c>
      <c r="BL244" s="116">
        <v>2273</v>
      </c>
      <c r="BM244" s="47">
        <v>15969</v>
      </c>
      <c r="BN244" s="130">
        <v>29199</v>
      </c>
      <c r="BO244" s="46">
        <v>5900</v>
      </c>
      <c r="BP244" s="46">
        <v>8324</v>
      </c>
      <c r="BQ244" s="46">
        <v>92</v>
      </c>
      <c r="BR244" s="130">
        <v>905</v>
      </c>
      <c r="BS244" s="44">
        <v>634</v>
      </c>
      <c r="BT244" s="92">
        <v>-250</v>
      </c>
      <c r="BU244" s="117">
        <v>271</v>
      </c>
      <c r="BV244" s="130">
        <v>603</v>
      </c>
      <c r="BW244" s="48">
        <v>5900</v>
      </c>
      <c r="BX244" s="46">
        <v>4973</v>
      </c>
      <c r="BY244" s="130">
        <v>467</v>
      </c>
      <c r="BZ244" s="46">
        <v>460</v>
      </c>
      <c r="CA244" s="129">
        <v>21</v>
      </c>
      <c r="CB244" s="44">
        <v>9411</v>
      </c>
      <c r="CC244" s="116">
        <v>2224</v>
      </c>
      <c r="CD244" s="47">
        <v>15340</v>
      </c>
      <c r="CE244" s="130">
        <v>28420</v>
      </c>
      <c r="CF244" s="46">
        <v>6126</v>
      </c>
      <c r="CG244" s="46">
        <v>8080</v>
      </c>
      <c r="CH244" s="46">
        <v>154</v>
      </c>
      <c r="CI244" s="130">
        <v>1089</v>
      </c>
      <c r="CJ244" s="44">
        <v>507</v>
      </c>
      <c r="CK244" s="117">
        <v>-837</v>
      </c>
      <c r="CL244" s="117">
        <v>585</v>
      </c>
      <c r="CM244" s="117">
        <v>1188</v>
      </c>
      <c r="CN244" s="48">
        <v>6126</v>
      </c>
      <c r="CO244" s="46">
        <v>5121</v>
      </c>
      <c r="CP244" s="130">
        <v>488</v>
      </c>
      <c r="CQ244" s="46">
        <v>517</v>
      </c>
      <c r="CR244" s="129">
        <v>21.5</v>
      </c>
      <c r="CS244" s="44">
        <v>9174</v>
      </c>
      <c r="CT244">
        <v>2186</v>
      </c>
      <c r="CU244">
        <v>5832</v>
      </c>
      <c r="CV244">
        <v>8375</v>
      </c>
      <c r="CW244">
        <v>15244</v>
      </c>
      <c r="CX244">
        <v>102</v>
      </c>
      <c r="CY244">
        <v>4806</v>
      </c>
      <c r="CZ244">
        <v>515</v>
      </c>
      <c r="DA244">
        <v>511</v>
      </c>
      <c r="DB244">
        <v>869</v>
      </c>
      <c r="DC244">
        <v>-487</v>
      </c>
      <c r="DD244">
        <v>512</v>
      </c>
      <c r="DE244">
        <v>8827</v>
      </c>
      <c r="DF244">
        <v>28549</v>
      </c>
      <c r="DG244">
        <v>357</v>
      </c>
      <c r="DH244">
        <v>1545</v>
      </c>
      <c r="DI244">
        <v>21.75</v>
      </c>
      <c r="DJ244" s="174">
        <v>2114</v>
      </c>
      <c r="DK244" s="34">
        <v>6187</v>
      </c>
      <c r="DL244" s="34">
        <v>8323</v>
      </c>
      <c r="DM244">
        <v>2519</v>
      </c>
      <c r="DN244" s="173">
        <v>-103</v>
      </c>
      <c r="DO244" s="34">
        <v>5026</v>
      </c>
      <c r="DP244" s="173">
        <v>633</v>
      </c>
      <c r="DQ244" s="34">
        <v>528</v>
      </c>
      <c r="DR244" s="173">
        <v>1439</v>
      </c>
      <c r="DS244" s="173">
        <v>-974</v>
      </c>
      <c r="DT244">
        <v>476</v>
      </c>
      <c r="DU244">
        <v>9461</v>
      </c>
      <c r="DV244" s="173">
        <v>15487</v>
      </c>
      <c r="DW244" s="173">
        <v>963</v>
      </c>
      <c r="DX244" s="173">
        <v>2508</v>
      </c>
      <c r="DY244" s="57">
        <v>21.75</v>
      </c>
      <c r="DZ244" s="184">
        <v>340</v>
      </c>
      <c r="EA244" s="116">
        <v>2085</v>
      </c>
      <c r="EB244" s="48">
        <v>5796</v>
      </c>
      <c r="EC244" s="46">
        <v>8120</v>
      </c>
      <c r="ED244" s="90">
        <v>2557</v>
      </c>
      <c r="EE244" s="186">
        <v>5</v>
      </c>
      <c r="EF244" s="46">
        <v>4720</v>
      </c>
      <c r="EG244" s="130">
        <v>588</v>
      </c>
      <c r="EH244" s="46">
        <v>488</v>
      </c>
      <c r="EI244" s="130">
        <v>851</v>
      </c>
      <c r="EJ244" s="48">
        <v>-351</v>
      </c>
      <c r="EK244" s="44">
        <v>478</v>
      </c>
      <c r="EL244" s="44">
        <v>8183</v>
      </c>
      <c r="EM244" s="130">
        <v>15627</v>
      </c>
      <c r="EN244" s="117">
        <v>373</v>
      </c>
      <c r="EO244" s="117">
        <v>2880</v>
      </c>
      <c r="EP244" s="129">
        <v>21.75</v>
      </c>
    </row>
    <row r="245" spans="1:146" ht="15" x14ac:dyDescent="0.25">
      <c r="A245" s="27">
        <v>761</v>
      </c>
      <c r="B245" s="27" t="s">
        <v>368</v>
      </c>
      <c r="C245" s="27">
        <v>2</v>
      </c>
      <c r="D245" s="27" t="s">
        <v>122</v>
      </c>
      <c r="E245" s="27">
        <v>3</v>
      </c>
      <c r="F245" s="27" t="s">
        <v>743</v>
      </c>
      <c r="G245" s="29" t="s">
        <v>130</v>
      </c>
      <c r="H245" s="27" t="s">
        <v>98</v>
      </c>
      <c r="I245" s="31" t="s">
        <v>122</v>
      </c>
      <c r="J245" s="118">
        <v>2178.8745873088756</v>
      </c>
      <c r="K245" s="118">
        <v>956.82111363953629</v>
      </c>
      <c r="L245" s="118">
        <v>2190.8159300876428</v>
      </c>
      <c r="M245" s="118">
        <v>2960.1075057225944</v>
      </c>
      <c r="N245" s="22">
        <v>6330</v>
      </c>
      <c r="O245" s="119">
        <v>9654</v>
      </c>
      <c r="P245" s="119">
        <v>9137</v>
      </c>
      <c r="Q245" s="120">
        <v>10193</v>
      </c>
      <c r="R245" s="22">
        <v>10878</v>
      </c>
      <c r="S245" s="22">
        <v>11873</v>
      </c>
      <c r="T245" s="121">
        <v>14270</v>
      </c>
      <c r="U245" s="121">
        <v>16847</v>
      </c>
      <c r="V245" s="121">
        <v>18997</v>
      </c>
      <c r="W245" s="106">
        <v>20396</v>
      </c>
      <c r="X245" s="121">
        <v>20788</v>
      </c>
      <c r="Y245" s="121">
        <v>23302</v>
      </c>
      <c r="Z245" s="121">
        <v>23616</v>
      </c>
      <c r="AA245" s="121">
        <v>24734</v>
      </c>
      <c r="AB245" s="122">
        <v>17.5</v>
      </c>
      <c r="AC245" s="123">
        <v>17.5</v>
      </c>
      <c r="AD245" s="124">
        <v>18</v>
      </c>
      <c r="AE245" s="125">
        <v>18</v>
      </c>
      <c r="AF245" s="126">
        <v>18</v>
      </c>
      <c r="AG245" s="123">
        <v>18</v>
      </c>
      <c r="AH245" s="123">
        <v>18</v>
      </c>
      <c r="AI245" s="131">
        <v>18</v>
      </c>
      <c r="AJ245" s="131">
        <v>18</v>
      </c>
      <c r="AK245" s="22">
        <v>18</v>
      </c>
      <c r="AL245" s="128">
        <v>18.5</v>
      </c>
      <c r="AM245" s="128">
        <v>18.5</v>
      </c>
      <c r="AN245" s="128">
        <v>18.5</v>
      </c>
      <c r="AO245" s="77">
        <v>18.5</v>
      </c>
      <c r="AP245" s="77">
        <v>18.5</v>
      </c>
      <c r="AQ245" s="129">
        <v>19</v>
      </c>
      <c r="AR245" s="129">
        <v>19.5</v>
      </c>
      <c r="AS245" s="129">
        <v>19.5</v>
      </c>
      <c r="AT245" s="116">
        <v>9146</v>
      </c>
      <c r="AU245" s="47">
        <v>8003</v>
      </c>
      <c r="AV245" s="47">
        <v>54432</v>
      </c>
      <c r="AW245" s="46">
        <v>26036</v>
      </c>
      <c r="AX245" s="46">
        <v>25003</v>
      </c>
      <c r="AY245" s="92">
        <v>250</v>
      </c>
      <c r="AZ245" s="47">
        <v>4744</v>
      </c>
      <c r="BA245" s="44">
        <v>2230</v>
      </c>
      <c r="BB245" s="23">
        <v>-5609</v>
      </c>
      <c r="BC245" s="47">
        <v>2514</v>
      </c>
      <c r="BD245" s="44">
        <v>2514</v>
      </c>
      <c r="BE245" s="47">
        <v>23302</v>
      </c>
      <c r="BF245" s="44">
        <v>26036</v>
      </c>
      <c r="BG245" s="46">
        <v>23808</v>
      </c>
      <c r="BH245" s="130">
        <v>903</v>
      </c>
      <c r="BI245" s="46">
        <v>1325</v>
      </c>
      <c r="BJ245" s="129">
        <v>19</v>
      </c>
      <c r="BK245" s="44">
        <v>9292</v>
      </c>
      <c r="BL245" s="116">
        <v>9173</v>
      </c>
      <c r="BM245" s="47">
        <v>9425</v>
      </c>
      <c r="BN245" s="130">
        <v>55896</v>
      </c>
      <c r="BO245" s="46">
        <v>25618</v>
      </c>
      <c r="BP245" s="46">
        <v>24698</v>
      </c>
      <c r="BQ245" s="46">
        <v>205</v>
      </c>
      <c r="BR245" s="130">
        <v>3920</v>
      </c>
      <c r="BS245" s="44">
        <v>3606</v>
      </c>
      <c r="BT245" s="92">
        <v>-6370</v>
      </c>
      <c r="BU245" s="117">
        <v>314</v>
      </c>
      <c r="BV245" s="130">
        <v>23616</v>
      </c>
      <c r="BW245" s="48">
        <v>25618</v>
      </c>
      <c r="BX245" s="46">
        <v>23152</v>
      </c>
      <c r="BY245" s="130">
        <v>1026</v>
      </c>
      <c r="BZ245" s="46">
        <v>1440</v>
      </c>
      <c r="CA245" s="129">
        <v>19.5</v>
      </c>
      <c r="CB245" s="44">
        <v>12304</v>
      </c>
      <c r="CC245" s="116">
        <v>9093</v>
      </c>
      <c r="CD245" s="47">
        <v>8637</v>
      </c>
      <c r="CE245" s="130">
        <v>57116</v>
      </c>
      <c r="CF245" s="46">
        <v>27249</v>
      </c>
      <c r="CG245" s="46">
        <v>24761</v>
      </c>
      <c r="CH245" s="46">
        <v>245</v>
      </c>
      <c r="CI245" s="130">
        <v>3562</v>
      </c>
      <c r="CJ245" s="44">
        <v>2445</v>
      </c>
      <c r="CK245" s="117">
        <v>-4560</v>
      </c>
      <c r="CL245" s="117">
        <v>1117</v>
      </c>
      <c r="CM245" s="117">
        <v>24734</v>
      </c>
      <c r="CN245" s="48">
        <v>27249</v>
      </c>
      <c r="CO245" s="46">
        <v>24378</v>
      </c>
      <c r="CP245" s="130">
        <v>1242</v>
      </c>
      <c r="CQ245" s="46">
        <v>1629</v>
      </c>
      <c r="CR245" s="129">
        <v>19.5</v>
      </c>
      <c r="CS245" s="44">
        <v>11263</v>
      </c>
      <c r="CT245">
        <v>9027</v>
      </c>
      <c r="CU245">
        <v>26369</v>
      </c>
      <c r="CV245">
        <v>26003</v>
      </c>
      <c r="CW245">
        <v>9208</v>
      </c>
      <c r="CX245">
        <v>3619</v>
      </c>
      <c r="CY245">
        <v>23546</v>
      </c>
      <c r="CZ245">
        <v>1184</v>
      </c>
      <c r="DA245">
        <v>1639</v>
      </c>
      <c r="DB245">
        <v>3067</v>
      </c>
      <c r="DC245">
        <v>-10656</v>
      </c>
      <c r="DD245">
        <v>2663</v>
      </c>
      <c r="DE245">
        <v>14296</v>
      </c>
      <c r="DF245">
        <v>58678</v>
      </c>
      <c r="DG245">
        <v>3788</v>
      </c>
      <c r="DH245">
        <v>28523</v>
      </c>
      <c r="DI245">
        <v>19.5</v>
      </c>
      <c r="DJ245" s="174">
        <v>8919</v>
      </c>
      <c r="DK245" s="34">
        <v>27197</v>
      </c>
      <c r="DL245" s="34">
        <v>25968</v>
      </c>
      <c r="DM245">
        <v>9728</v>
      </c>
      <c r="DN245" s="173">
        <v>221</v>
      </c>
      <c r="DO245" s="34">
        <v>24047</v>
      </c>
      <c r="DP245" s="173">
        <v>1362</v>
      </c>
      <c r="DQ245" s="34">
        <v>1788</v>
      </c>
      <c r="DR245" s="173">
        <v>5133</v>
      </c>
      <c r="DS245" s="173">
        <v>-7840</v>
      </c>
      <c r="DT245">
        <v>3043</v>
      </c>
      <c r="DU245">
        <v>18958</v>
      </c>
      <c r="DV245" s="173">
        <v>57779</v>
      </c>
      <c r="DW245" s="173">
        <v>1888</v>
      </c>
      <c r="DX245" s="173">
        <v>30411</v>
      </c>
      <c r="DY245" s="57">
        <v>19.5</v>
      </c>
      <c r="DZ245" s="184">
        <v>340</v>
      </c>
      <c r="EA245" s="116">
        <v>8828</v>
      </c>
      <c r="EB245" s="48">
        <v>26712</v>
      </c>
      <c r="EC245" s="46">
        <v>25262</v>
      </c>
      <c r="ED245" s="90">
        <v>9289</v>
      </c>
      <c r="EE245" s="186">
        <v>153</v>
      </c>
      <c r="EF245" s="46">
        <v>23637</v>
      </c>
      <c r="EG245" s="130">
        <v>1259</v>
      </c>
      <c r="EH245" s="46">
        <v>1816</v>
      </c>
      <c r="EI245" s="130">
        <v>2364</v>
      </c>
      <c r="EJ245" s="48">
        <v>-4699</v>
      </c>
      <c r="EK245" s="44">
        <v>3151</v>
      </c>
      <c r="EL245" s="44">
        <v>22969</v>
      </c>
      <c r="EM245" s="130">
        <v>58982</v>
      </c>
      <c r="EN245" s="117">
        <v>-717</v>
      </c>
      <c r="EO245" s="117">
        <v>29694</v>
      </c>
      <c r="EP245" s="129">
        <v>20</v>
      </c>
    </row>
    <row r="246" spans="1:146" ht="15" x14ac:dyDescent="0.25">
      <c r="A246" s="27">
        <v>762</v>
      </c>
      <c r="B246" s="27" t="s">
        <v>369</v>
      </c>
      <c r="C246" s="27">
        <v>11</v>
      </c>
      <c r="D246" s="27" t="s">
        <v>118</v>
      </c>
      <c r="E246" s="27">
        <v>2</v>
      </c>
      <c r="F246" s="27" t="s">
        <v>744</v>
      </c>
      <c r="G246" s="29" t="s">
        <v>130</v>
      </c>
      <c r="H246" s="27" t="s">
        <v>98</v>
      </c>
      <c r="I246" s="31" t="s">
        <v>118</v>
      </c>
      <c r="J246" s="118">
        <v>-41.374229909531714</v>
      </c>
      <c r="K246" s="118">
        <v>1049.8290369727517</v>
      </c>
      <c r="L246" s="118">
        <v>-159.77853013843549</v>
      </c>
      <c r="M246" s="118">
        <v>-216.96242513534924</v>
      </c>
      <c r="N246" s="22">
        <v>1419</v>
      </c>
      <c r="O246" s="119">
        <v>2151</v>
      </c>
      <c r="P246" s="119">
        <v>3231</v>
      </c>
      <c r="Q246" s="120">
        <v>4571</v>
      </c>
      <c r="R246" s="22">
        <v>3939</v>
      </c>
      <c r="S246" s="22">
        <v>3579</v>
      </c>
      <c r="T246" s="121">
        <v>4112</v>
      </c>
      <c r="U246" s="121">
        <v>4160</v>
      </c>
      <c r="V246" s="121">
        <v>3989</v>
      </c>
      <c r="W246" s="106">
        <v>3410</v>
      </c>
      <c r="X246" s="121">
        <v>97</v>
      </c>
      <c r="Y246" s="121">
        <v>698</v>
      </c>
      <c r="Z246" s="121">
        <v>1660</v>
      </c>
      <c r="AA246" s="121">
        <v>1860</v>
      </c>
      <c r="AB246" s="122">
        <v>18.5</v>
      </c>
      <c r="AC246" s="123">
        <v>18.5</v>
      </c>
      <c r="AD246" s="124">
        <v>18.5</v>
      </c>
      <c r="AE246" s="125">
        <v>18.5</v>
      </c>
      <c r="AF246" s="126">
        <v>18.5</v>
      </c>
      <c r="AG246" s="123">
        <v>18.5</v>
      </c>
      <c r="AH246" s="123">
        <v>18.5</v>
      </c>
      <c r="AI246" s="127">
        <v>18.5</v>
      </c>
      <c r="AJ246" s="127">
        <v>18.5</v>
      </c>
      <c r="AK246" s="22">
        <v>19</v>
      </c>
      <c r="AL246" s="128">
        <v>19</v>
      </c>
      <c r="AM246" s="128">
        <v>19.75</v>
      </c>
      <c r="AN246" s="128">
        <v>19.75</v>
      </c>
      <c r="AO246" s="77">
        <v>19.75</v>
      </c>
      <c r="AP246" s="77">
        <v>19.75</v>
      </c>
      <c r="AQ246" s="129">
        <v>20.5</v>
      </c>
      <c r="AR246" s="129">
        <v>20.5</v>
      </c>
      <c r="AS246" s="129">
        <v>20.5</v>
      </c>
      <c r="AT246" s="116">
        <v>4454</v>
      </c>
      <c r="AU246" s="47">
        <v>3548</v>
      </c>
      <c r="AV246" s="47">
        <v>29031</v>
      </c>
      <c r="AW246" s="46">
        <v>12492</v>
      </c>
      <c r="AX246" s="46">
        <v>14367</v>
      </c>
      <c r="AY246" s="92">
        <v>442</v>
      </c>
      <c r="AZ246" s="47">
        <v>1668</v>
      </c>
      <c r="BA246" s="44">
        <v>1145</v>
      </c>
      <c r="BB246" s="23">
        <v>-901</v>
      </c>
      <c r="BC246" s="47">
        <v>523</v>
      </c>
      <c r="BD246" s="44">
        <v>601</v>
      </c>
      <c r="BE246" s="47">
        <v>698</v>
      </c>
      <c r="BF246" s="44">
        <v>12492</v>
      </c>
      <c r="BG246" s="46">
        <v>10569</v>
      </c>
      <c r="BH246" s="130">
        <v>1293</v>
      </c>
      <c r="BI246" s="46">
        <v>630</v>
      </c>
      <c r="BJ246" s="129">
        <v>20.5</v>
      </c>
      <c r="BK246" s="44">
        <v>10943</v>
      </c>
      <c r="BL246" s="116">
        <v>4336</v>
      </c>
      <c r="BM246" s="47">
        <v>3705</v>
      </c>
      <c r="BN246" s="130">
        <v>28583</v>
      </c>
      <c r="BO246" s="46">
        <v>12745</v>
      </c>
      <c r="BP246" s="46">
        <v>14301</v>
      </c>
      <c r="BQ246" s="46">
        <v>394</v>
      </c>
      <c r="BR246" s="130">
        <v>2448</v>
      </c>
      <c r="BS246" s="44">
        <v>1561</v>
      </c>
      <c r="BT246" s="92">
        <v>-709</v>
      </c>
      <c r="BU246" s="117">
        <v>962</v>
      </c>
      <c r="BV246" s="130">
        <v>1660</v>
      </c>
      <c r="BW246" s="48">
        <v>12745</v>
      </c>
      <c r="BX246" s="46">
        <v>10454</v>
      </c>
      <c r="BY246" s="130">
        <v>1562</v>
      </c>
      <c r="BZ246" s="46">
        <v>729</v>
      </c>
      <c r="CA246" s="129">
        <v>20.5</v>
      </c>
      <c r="CB246" s="44">
        <v>9819</v>
      </c>
      <c r="CC246" s="116">
        <v>4278</v>
      </c>
      <c r="CD246" s="47">
        <v>3561</v>
      </c>
      <c r="CE246" s="130">
        <v>29808</v>
      </c>
      <c r="CF246" s="46">
        <v>13243</v>
      </c>
      <c r="CG246" s="46">
        <v>14670</v>
      </c>
      <c r="CH246" s="46">
        <v>675</v>
      </c>
      <c r="CI246" s="130">
        <v>1931</v>
      </c>
      <c r="CJ246" s="44">
        <v>1804</v>
      </c>
      <c r="CK246" s="117">
        <v>-1581</v>
      </c>
      <c r="CL246" s="117">
        <v>200</v>
      </c>
      <c r="CM246" s="117">
        <v>1860</v>
      </c>
      <c r="CN246" s="48">
        <v>13243</v>
      </c>
      <c r="CO246" s="46">
        <v>10624</v>
      </c>
      <c r="CP246" s="130">
        <v>1846</v>
      </c>
      <c r="CQ246" s="46">
        <v>773</v>
      </c>
      <c r="CR246" s="129">
        <v>20.5</v>
      </c>
      <c r="CS246" s="44">
        <v>9058</v>
      </c>
      <c r="CT246">
        <v>4199</v>
      </c>
      <c r="CU246">
        <v>12198</v>
      </c>
      <c r="CV246">
        <v>15346</v>
      </c>
      <c r="CW246">
        <v>3423</v>
      </c>
      <c r="CX246">
        <v>204</v>
      </c>
      <c r="CY246">
        <v>9603</v>
      </c>
      <c r="CZ246">
        <v>1788</v>
      </c>
      <c r="DA246">
        <v>807</v>
      </c>
      <c r="DB246">
        <v>629</v>
      </c>
      <c r="DC246">
        <v>-2820</v>
      </c>
      <c r="DD246">
        <v>1561</v>
      </c>
      <c r="DE246">
        <v>10692</v>
      </c>
      <c r="DF246">
        <v>30470</v>
      </c>
      <c r="DG246">
        <v>-861</v>
      </c>
      <c r="DH246">
        <v>1000</v>
      </c>
      <c r="DI246">
        <v>20.5</v>
      </c>
      <c r="DJ246" s="174">
        <v>4075</v>
      </c>
      <c r="DK246" s="34">
        <v>12940</v>
      </c>
      <c r="DL246" s="34">
        <v>15586</v>
      </c>
      <c r="DM246">
        <v>3458</v>
      </c>
      <c r="DN246" s="173">
        <v>352</v>
      </c>
      <c r="DO246" s="34">
        <v>9957</v>
      </c>
      <c r="DP246" s="173">
        <v>2120</v>
      </c>
      <c r="DQ246" s="34">
        <v>863</v>
      </c>
      <c r="DR246" s="173">
        <v>2958</v>
      </c>
      <c r="DS246" s="173">
        <v>-2220</v>
      </c>
      <c r="DT246">
        <v>1212</v>
      </c>
      <c r="DU246">
        <v>11853</v>
      </c>
      <c r="DV246" s="173">
        <v>29378</v>
      </c>
      <c r="DW246" s="173">
        <v>1815</v>
      </c>
      <c r="DX246" s="173">
        <v>2815</v>
      </c>
      <c r="DY246" s="57">
        <v>20.5</v>
      </c>
      <c r="DZ246" s="184">
        <v>340</v>
      </c>
      <c r="EA246" s="116">
        <v>3967</v>
      </c>
      <c r="EB246" s="48">
        <v>12221</v>
      </c>
      <c r="EC246" s="46">
        <v>15657</v>
      </c>
      <c r="ED246" s="90">
        <v>3550</v>
      </c>
      <c r="EE246" s="186">
        <v>401</v>
      </c>
      <c r="EF246" s="46">
        <v>9416</v>
      </c>
      <c r="EG246" s="130">
        <v>1946</v>
      </c>
      <c r="EH246" s="46">
        <v>859</v>
      </c>
      <c r="EI246" s="130">
        <v>1976</v>
      </c>
      <c r="EJ246" s="48">
        <v>-1562</v>
      </c>
      <c r="EK246" s="44">
        <v>1291</v>
      </c>
      <c r="EL246" s="44">
        <v>10543</v>
      </c>
      <c r="EM246" s="130">
        <v>29853</v>
      </c>
      <c r="EN246" s="117">
        <v>107</v>
      </c>
      <c r="EO246" s="117">
        <v>2922</v>
      </c>
      <c r="EP246" s="129">
        <v>20.5</v>
      </c>
    </row>
    <row r="247" spans="1:146" ht="15" x14ac:dyDescent="0.25">
      <c r="A247" s="27">
        <v>765</v>
      </c>
      <c r="B247" s="27" t="s">
        <v>370</v>
      </c>
      <c r="C247" s="27">
        <v>18</v>
      </c>
      <c r="D247" s="27" t="s">
        <v>108</v>
      </c>
      <c r="E247" s="27">
        <v>4</v>
      </c>
      <c r="F247" s="27" t="s">
        <v>100</v>
      </c>
      <c r="G247" s="29" t="s">
        <v>130</v>
      </c>
      <c r="H247" s="27" t="s">
        <v>98</v>
      </c>
      <c r="I247" s="31" t="s">
        <v>108</v>
      </c>
      <c r="J247" s="118">
        <v>291.80605241072163</v>
      </c>
      <c r="K247" s="118">
        <v>581.0892859245206</v>
      </c>
      <c r="L247" s="118">
        <v>-169.86980572612615</v>
      </c>
      <c r="M247" s="118">
        <v>-527.43733738329854</v>
      </c>
      <c r="N247" s="22">
        <v>1990</v>
      </c>
      <c r="O247" s="119">
        <v>1694</v>
      </c>
      <c r="P247" s="119">
        <v>1415</v>
      </c>
      <c r="Q247" s="120">
        <v>871</v>
      </c>
      <c r="R247" s="22">
        <v>976</v>
      </c>
      <c r="S247" s="22">
        <v>1259</v>
      </c>
      <c r="T247" s="121">
        <v>-150</v>
      </c>
      <c r="U247" s="121">
        <v>-1673</v>
      </c>
      <c r="V247" s="121">
        <v>-399</v>
      </c>
      <c r="W247" s="106">
        <v>-1560</v>
      </c>
      <c r="X247" s="121">
        <v>-5499</v>
      </c>
      <c r="Y247" s="121">
        <v>16738</v>
      </c>
      <c r="Z247" s="121">
        <v>17759</v>
      </c>
      <c r="AA247" s="121">
        <v>14288</v>
      </c>
      <c r="AB247" s="122">
        <v>18.25</v>
      </c>
      <c r="AC247" s="123">
        <v>18.25</v>
      </c>
      <c r="AD247" s="124">
        <v>18.25</v>
      </c>
      <c r="AE247" s="125">
        <v>18.25</v>
      </c>
      <c r="AF247" s="126">
        <v>18.75</v>
      </c>
      <c r="AG247" s="123">
        <v>18.75</v>
      </c>
      <c r="AH247" s="123">
        <v>18.75</v>
      </c>
      <c r="AI247" s="127">
        <v>18.75</v>
      </c>
      <c r="AJ247" s="127">
        <v>19</v>
      </c>
      <c r="AK247" s="22">
        <v>19</v>
      </c>
      <c r="AL247" s="128">
        <v>19</v>
      </c>
      <c r="AM247" s="128">
        <v>19</v>
      </c>
      <c r="AN247" s="128">
        <v>19.75</v>
      </c>
      <c r="AO247" s="77">
        <v>19.75</v>
      </c>
      <c r="AP247" s="77">
        <v>19.75</v>
      </c>
      <c r="AQ247" s="129">
        <v>20.75</v>
      </c>
      <c r="AR247" s="129">
        <v>21.25</v>
      </c>
      <c r="AS247" s="129">
        <v>21.25</v>
      </c>
      <c r="AT247" s="116">
        <v>10659</v>
      </c>
      <c r="AU247" s="47">
        <v>11005</v>
      </c>
      <c r="AV247" s="47">
        <v>71785</v>
      </c>
      <c r="AW247" s="46">
        <v>35664</v>
      </c>
      <c r="AX247" s="46">
        <v>24088</v>
      </c>
      <c r="AY247" s="92">
        <v>25505</v>
      </c>
      <c r="AZ247" s="47">
        <v>99</v>
      </c>
      <c r="BA247" s="44">
        <v>2448</v>
      </c>
      <c r="BB247" s="23">
        <v>16547</v>
      </c>
      <c r="BC247" s="47">
        <v>22029</v>
      </c>
      <c r="BD247" s="44">
        <v>22236</v>
      </c>
      <c r="BE247" s="47">
        <v>16738</v>
      </c>
      <c r="BF247" s="44">
        <v>35664</v>
      </c>
      <c r="BG247" s="46">
        <v>30537</v>
      </c>
      <c r="BH247" s="130">
        <v>2377</v>
      </c>
      <c r="BI247" s="46">
        <v>2750</v>
      </c>
      <c r="BJ247" s="129">
        <v>20.75</v>
      </c>
      <c r="BK247" s="44">
        <v>15715</v>
      </c>
      <c r="BL247" s="116">
        <v>10598</v>
      </c>
      <c r="BM247" s="47">
        <v>10505</v>
      </c>
      <c r="BN247" s="130">
        <v>71769</v>
      </c>
      <c r="BO247" s="46">
        <v>38660</v>
      </c>
      <c r="BP247" s="46">
        <v>24665</v>
      </c>
      <c r="BQ247" s="46">
        <v>1229</v>
      </c>
      <c r="BR247" s="130">
        <v>3290</v>
      </c>
      <c r="BS247" s="44">
        <v>2476</v>
      </c>
      <c r="BT247" s="92">
        <v>-2357</v>
      </c>
      <c r="BU247" s="117">
        <v>1021</v>
      </c>
      <c r="BV247" s="130">
        <v>17759</v>
      </c>
      <c r="BW247" s="48">
        <v>38660</v>
      </c>
      <c r="BX247" s="46">
        <v>32269</v>
      </c>
      <c r="BY247" s="130">
        <v>2690</v>
      </c>
      <c r="BZ247" s="46">
        <v>3701</v>
      </c>
      <c r="CA247" s="129">
        <v>21.25</v>
      </c>
      <c r="CB247" s="44">
        <v>19551</v>
      </c>
      <c r="CC247" s="116">
        <v>10523</v>
      </c>
      <c r="CD247" s="47">
        <v>15671</v>
      </c>
      <c r="CE247" s="130">
        <v>81080</v>
      </c>
      <c r="CF247" s="46">
        <v>38178</v>
      </c>
      <c r="CG247" s="46">
        <v>24846</v>
      </c>
      <c r="CH247" s="46">
        <v>1188</v>
      </c>
      <c r="CI247" s="130">
        <v>-1198</v>
      </c>
      <c r="CJ247" s="44">
        <v>2583</v>
      </c>
      <c r="CK247" s="117">
        <v>-6598</v>
      </c>
      <c r="CL247" s="117">
        <v>-3574</v>
      </c>
      <c r="CM247" s="117">
        <v>14288</v>
      </c>
      <c r="CN247" s="48">
        <v>38178</v>
      </c>
      <c r="CO247" s="46">
        <v>31788</v>
      </c>
      <c r="CP247" s="130">
        <v>2686</v>
      </c>
      <c r="CQ247" s="46">
        <v>3704</v>
      </c>
      <c r="CR247" s="129">
        <v>21.25</v>
      </c>
      <c r="CS247" s="44">
        <v>23518</v>
      </c>
      <c r="CT247">
        <v>10471</v>
      </c>
      <c r="CU247">
        <v>38575</v>
      </c>
      <c r="CV247">
        <v>26881</v>
      </c>
      <c r="CW247">
        <v>10586</v>
      </c>
      <c r="CX247">
        <v>1288</v>
      </c>
      <c r="CY247">
        <v>32172</v>
      </c>
      <c r="CZ247">
        <v>2298</v>
      </c>
      <c r="DA247">
        <v>4105</v>
      </c>
      <c r="DB247">
        <v>1255</v>
      </c>
      <c r="DC247">
        <v>-3282</v>
      </c>
      <c r="DD247">
        <v>2724</v>
      </c>
      <c r="DE247">
        <v>29002</v>
      </c>
      <c r="DF247">
        <v>75983</v>
      </c>
      <c r="DG247">
        <v>-1263</v>
      </c>
      <c r="DH247">
        <v>13025</v>
      </c>
      <c r="DI247">
        <v>21.25</v>
      </c>
      <c r="DJ247" s="174">
        <v>10423</v>
      </c>
      <c r="DK247" s="34">
        <v>39956</v>
      </c>
      <c r="DL247" s="34">
        <v>27017</v>
      </c>
      <c r="DM247">
        <v>11269</v>
      </c>
      <c r="DN247" s="173">
        <v>1538</v>
      </c>
      <c r="DO247" s="34">
        <v>33264</v>
      </c>
      <c r="DP247" s="173">
        <v>2507</v>
      </c>
      <c r="DQ247" s="34">
        <v>4185</v>
      </c>
      <c r="DR247" s="173">
        <v>3224</v>
      </c>
      <c r="DS247" s="173">
        <v>-3030</v>
      </c>
      <c r="DT247">
        <v>2973</v>
      </c>
      <c r="DU247">
        <v>30492</v>
      </c>
      <c r="DV247" s="173">
        <v>76362</v>
      </c>
      <c r="DW247" s="173">
        <v>815</v>
      </c>
      <c r="DX247" s="173">
        <v>13840</v>
      </c>
      <c r="DY247" s="57">
        <v>21.25</v>
      </c>
      <c r="DZ247" s="184">
        <v>330</v>
      </c>
      <c r="EA247" s="116">
        <v>10389</v>
      </c>
      <c r="EB247" s="48">
        <v>39143</v>
      </c>
      <c r="EC247" s="46">
        <v>26394</v>
      </c>
      <c r="ED247" s="90">
        <v>11983</v>
      </c>
      <c r="EE247" s="186">
        <v>1367</v>
      </c>
      <c r="EF247" s="46">
        <v>32524</v>
      </c>
      <c r="EG247" s="130">
        <v>2520</v>
      </c>
      <c r="EH247" s="46">
        <v>4099</v>
      </c>
      <c r="EI247" s="130">
        <v>-760</v>
      </c>
      <c r="EJ247" s="48">
        <v>-2789</v>
      </c>
      <c r="EK247" s="44">
        <v>2830</v>
      </c>
      <c r="EL247" s="44">
        <v>31732</v>
      </c>
      <c r="EM247" s="130">
        <v>79647</v>
      </c>
      <c r="EN247" s="117">
        <v>-3405</v>
      </c>
      <c r="EO247" s="117">
        <v>10435</v>
      </c>
      <c r="EP247" s="129">
        <v>21.25</v>
      </c>
    </row>
    <row r="248" spans="1:146" ht="15" x14ac:dyDescent="0.25">
      <c r="A248" s="27">
        <v>768</v>
      </c>
      <c r="B248" s="27" t="s">
        <v>371</v>
      </c>
      <c r="C248" s="27">
        <v>10</v>
      </c>
      <c r="D248" s="27" t="s">
        <v>107</v>
      </c>
      <c r="E248" s="27">
        <v>2</v>
      </c>
      <c r="F248" s="27" t="s">
        <v>744</v>
      </c>
      <c r="G248" s="29" t="s">
        <v>130</v>
      </c>
      <c r="H248" s="27" t="s">
        <v>98</v>
      </c>
      <c r="I248" s="31" t="s">
        <v>107</v>
      </c>
      <c r="J248" s="118">
        <v>-477.65371115069132</v>
      </c>
      <c r="K248" s="118">
        <v>-2036.5876015224371</v>
      </c>
      <c r="L248" s="118">
        <v>-2840.3577020819985</v>
      </c>
      <c r="M248" s="118">
        <v>-4371.3723966611333</v>
      </c>
      <c r="N248" s="22">
        <v>-165</v>
      </c>
      <c r="O248" s="119">
        <v>169</v>
      </c>
      <c r="P248" s="119">
        <v>-325</v>
      </c>
      <c r="Q248" s="120">
        <v>-1099</v>
      </c>
      <c r="R248" s="22">
        <v>-1129</v>
      </c>
      <c r="S248" s="22">
        <v>486</v>
      </c>
      <c r="T248" s="121">
        <v>1092</v>
      </c>
      <c r="U248" s="121">
        <v>1058</v>
      </c>
      <c r="V248" s="121">
        <v>1524</v>
      </c>
      <c r="W248" s="106">
        <v>1808</v>
      </c>
      <c r="X248" s="121">
        <v>993</v>
      </c>
      <c r="Y248" s="121">
        <v>451</v>
      </c>
      <c r="Z248" s="121">
        <v>706</v>
      </c>
      <c r="AA248" s="121">
        <v>773</v>
      </c>
      <c r="AB248" s="122">
        <v>18</v>
      </c>
      <c r="AC248" s="123">
        <v>18</v>
      </c>
      <c r="AD248" s="124">
        <v>18</v>
      </c>
      <c r="AE248" s="125">
        <v>18</v>
      </c>
      <c r="AF248" s="126">
        <v>18.75</v>
      </c>
      <c r="AG248" s="123">
        <v>18.75</v>
      </c>
      <c r="AH248" s="123">
        <v>18.75</v>
      </c>
      <c r="AI248" s="127">
        <v>18.75</v>
      </c>
      <c r="AJ248" s="127">
        <v>19.75</v>
      </c>
      <c r="AK248" s="22">
        <v>19.75</v>
      </c>
      <c r="AL248" s="128">
        <v>19.75</v>
      </c>
      <c r="AM248" s="128">
        <v>19.75</v>
      </c>
      <c r="AN248" s="128">
        <v>20.5</v>
      </c>
      <c r="AO248" s="77">
        <v>20.5</v>
      </c>
      <c r="AP248" s="77">
        <v>20.5</v>
      </c>
      <c r="AQ248" s="129">
        <v>21</v>
      </c>
      <c r="AR248" s="129">
        <v>21.5</v>
      </c>
      <c r="AS248" s="129">
        <v>21.5</v>
      </c>
      <c r="AT248" s="116">
        <v>2794</v>
      </c>
      <c r="AU248" s="47">
        <v>3173</v>
      </c>
      <c r="AV248" s="47">
        <v>21303</v>
      </c>
      <c r="AW248" s="46">
        <v>8130</v>
      </c>
      <c r="AX248" s="46">
        <v>9818</v>
      </c>
      <c r="AY248" s="92">
        <v>130</v>
      </c>
      <c r="AZ248" s="47">
        <v>-131</v>
      </c>
      <c r="BA248" s="44">
        <v>417</v>
      </c>
      <c r="BB248" s="23">
        <v>-301</v>
      </c>
      <c r="BC248" s="47">
        <v>-548</v>
      </c>
      <c r="BD248" s="44">
        <v>-543</v>
      </c>
      <c r="BE248" s="47">
        <v>451</v>
      </c>
      <c r="BF248" s="44">
        <v>8130</v>
      </c>
      <c r="BG248" s="46">
        <v>6476</v>
      </c>
      <c r="BH248" s="130">
        <v>871</v>
      </c>
      <c r="BI248" s="46">
        <v>783</v>
      </c>
      <c r="BJ248" s="129">
        <v>21</v>
      </c>
      <c r="BK248" s="44">
        <v>4529</v>
      </c>
      <c r="BL248" s="116">
        <v>2789</v>
      </c>
      <c r="BM248" s="47">
        <v>3326</v>
      </c>
      <c r="BN248" s="130">
        <v>22137</v>
      </c>
      <c r="BO248" s="46">
        <v>8665</v>
      </c>
      <c r="BP248" s="46">
        <v>10657</v>
      </c>
      <c r="BQ248" s="46">
        <v>295</v>
      </c>
      <c r="BR248" s="130">
        <v>745</v>
      </c>
      <c r="BS248" s="44">
        <v>428</v>
      </c>
      <c r="BT248" s="92">
        <v>-1432</v>
      </c>
      <c r="BU248" s="117">
        <v>256</v>
      </c>
      <c r="BV248" s="130">
        <v>706</v>
      </c>
      <c r="BW248" s="48">
        <v>8665</v>
      </c>
      <c r="BX248" s="46">
        <v>6758</v>
      </c>
      <c r="BY248" s="130">
        <v>984</v>
      </c>
      <c r="BZ248" s="46">
        <v>923</v>
      </c>
      <c r="CA248" s="129">
        <v>21.5</v>
      </c>
      <c r="CB248" s="44">
        <v>4886</v>
      </c>
      <c r="CC248" s="116">
        <v>2724</v>
      </c>
      <c r="CD248" s="47">
        <v>2882</v>
      </c>
      <c r="CE248" s="130">
        <v>22048</v>
      </c>
      <c r="CF248" s="46">
        <v>8826</v>
      </c>
      <c r="CG248" s="46">
        <v>10762</v>
      </c>
      <c r="CH248" s="46">
        <v>201</v>
      </c>
      <c r="CI248" s="130">
        <v>478</v>
      </c>
      <c r="CJ248" s="44">
        <v>416</v>
      </c>
      <c r="CK248" s="117">
        <v>-322</v>
      </c>
      <c r="CL248" s="117">
        <v>67</v>
      </c>
      <c r="CM248" s="117">
        <v>773</v>
      </c>
      <c r="CN248" s="48">
        <v>8826</v>
      </c>
      <c r="CO248" s="46">
        <v>6722</v>
      </c>
      <c r="CP248" s="130">
        <v>936</v>
      </c>
      <c r="CQ248" s="46">
        <v>1168</v>
      </c>
      <c r="CR248" s="129">
        <v>21.5</v>
      </c>
      <c r="CS248" s="44">
        <v>4269</v>
      </c>
      <c r="CT248">
        <v>2661</v>
      </c>
      <c r="CU248">
        <v>8500</v>
      </c>
      <c r="CV248">
        <v>11412</v>
      </c>
      <c r="CW248">
        <v>3265</v>
      </c>
      <c r="CX248">
        <v>108</v>
      </c>
      <c r="CY248">
        <v>6492</v>
      </c>
      <c r="CZ248">
        <v>1065</v>
      </c>
      <c r="DA248">
        <v>943</v>
      </c>
      <c r="DB248">
        <v>466</v>
      </c>
      <c r="DC248">
        <v>-200</v>
      </c>
      <c r="DD248">
        <v>447</v>
      </c>
      <c r="DE248">
        <v>4651</v>
      </c>
      <c r="DF248">
        <v>22783</v>
      </c>
      <c r="DG248">
        <v>23</v>
      </c>
      <c r="DH248">
        <v>797</v>
      </c>
      <c r="DI248">
        <v>21.5</v>
      </c>
      <c r="DJ248" s="174">
        <v>2588</v>
      </c>
      <c r="DK248" s="34">
        <v>8998</v>
      </c>
      <c r="DL248" s="34">
        <v>11375</v>
      </c>
      <c r="DM248">
        <v>2199</v>
      </c>
      <c r="DN248" s="173">
        <v>347</v>
      </c>
      <c r="DO248" s="34">
        <v>6839</v>
      </c>
      <c r="DP248" s="173">
        <v>1208</v>
      </c>
      <c r="DQ248" s="34">
        <v>951</v>
      </c>
      <c r="DR248" s="173">
        <v>2671</v>
      </c>
      <c r="DS248" s="173">
        <v>-866</v>
      </c>
      <c r="DT248">
        <v>429</v>
      </c>
      <c r="DU248">
        <v>5034</v>
      </c>
      <c r="DV248" s="173">
        <v>20048</v>
      </c>
      <c r="DW248" s="173">
        <v>2046</v>
      </c>
      <c r="DX248" s="173">
        <v>2843</v>
      </c>
      <c r="DY248" s="57">
        <v>21.5</v>
      </c>
      <c r="DZ248" s="184">
        <v>340</v>
      </c>
      <c r="EA248" s="116">
        <v>2530</v>
      </c>
      <c r="EB248" s="48">
        <v>8090</v>
      </c>
      <c r="EC248" s="46">
        <v>11185</v>
      </c>
      <c r="ED248" s="90">
        <v>2660</v>
      </c>
      <c r="EE248" s="186">
        <v>198</v>
      </c>
      <c r="EF248" s="46">
        <v>5998</v>
      </c>
      <c r="EG248" s="130">
        <v>1134</v>
      </c>
      <c r="EH248" s="46">
        <v>958</v>
      </c>
      <c r="EI248" s="130">
        <v>1297</v>
      </c>
      <c r="EJ248" s="48">
        <v>-1727</v>
      </c>
      <c r="EK248" s="44">
        <v>598</v>
      </c>
      <c r="EL248" s="44">
        <v>4417</v>
      </c>
      <c r="EM248" s="130">
        <v>20773</v>
      </c>
      <c r="EN248" s="117">
        <v>766</v>
      </c>
      <c r="EO248" s="117">
        <v>3610</v>
      </c>
      <c r="EP248" s="129">
        <v>21.5</v>
      </c>
    </row>
    <row r="249" spans="1:146" ht="15" x14ac:dyDescent="0.25">
      <c r="A249" s="27">
        <v>777</v>
      </c>
      <c r="B249" s="27" t="s">
        <v>372</v>
      </c>
      <c r="C249" s="27">
        <v>18</v>
      </c>
      <c r="D249" s="27" t="s">
        <v>108</v>
      </c>
      <c r="E249" s="27">
        <v>3</v>
      </c>
      <c r="F249" s="27" t="s">
        <v>743</v>
      </c>
      <c r="G249" s="29" t="s">
        <v>130</v>
      </c>
      <c r="H249" s="27" t="s">
        <v>98</v>
      </c>
      <c r="I249" s="31" t="s">
        <v>108</v>
      </c>
      <c r="J249" s="118">
        <v>2416.692315325452</v>
      </c>
      <c r="K249" s="118">
        <v>2698.4070921484831</v>
      </c>
      <c r="L249" s="118">
        <v>2397.3507037823783</v>
      </c>
      <c r="M249" s="118">
        <v>1495.5270420957563</v>
      </c>
      <c r="N249" s="22">
        <v>1680</v>
      </c>
      <c r="O249" s="119">
        <v>2971</v>
      </c>
      <c r="P249" s="119">
        <v>850</v>
      </c>
      <c r="Q249" s="120">
        <v>1107</v>
      </c>
      <c r="R249" s="22">
        <v>4080</v>
      </c>
      <c r="S249" s="22">
        <v>5050</v>
      </c>
      <c r="T249" s="121">
        <v>6127</v>
      </c>
      <c r="U249" s="121">
        <v>7860</v>
      </c>
      <c r="V249" s="121">
        <v>11362</v>
      </c>
      <c r="W249" s="106">
        <v>11762</v>
      </c>
      <c r="X249" s="121">
        <v>12120</v>
      </c>
      <c r="Y249" s="121">
        <v>12661</v>
      </c>
      <c r="Z249" s="121">
        <v>16469</v>
      </c>
      <c r="AA249" s="121">
        <v>17487</v>
      </c>
      <c r="AB249" s="122">
        <v>18.5</v>
      </c>
      <c r="AC249" s="123">
        <v>18.5</v>
      </c>
      <c r="AD249" s="124">
        <v>18.5</v>
      </c>
      <c r="AE249" s="125">
        <v>18.5</v>
      </c>
      <c r="AF249" s="126">
        <v>18.5</v>
      </c>
      <c r="AG249" s="123">
        <v>18.5</v>
      </c>
      <c r="AH249" s="123">
        <v>18.5</v>
      </c>
      <c r="AI249" s="127">
        <v>18.5</v>
      </c>
      <c r="AJ249" s="127">
        <v>19</v>
      </c>
      <c r="AK249" s="22">
        <v>19</v>
      </c>
      <c r="AL249" s="128">
        <v>19</v>
      </c>
      <c r="AM249" s="128">
        <v>19</v>
      </c>
      <c r="AN249" s="128">
        <v>19.5</v>
      </c>
      <c r="AO249" s="77">
        <v>19.5</v>
      </c>
      <c r="AP249" s="77">
        <v>19.5</v>
      </c>
      <c r="AQ249" s="129">
        <v>19.5</v>
      </c>
      <c r="AR249" s="129">
        <v>20.5</v>
      </c>
      <c r="AS249" s="129">
        <v>20.5</v>
      </c>
      <c r="AT249" s="116">
        <v>8661</v>
      </c>
      <c r="AU249" s="47">
        <v>11246</v>
      </c>
      <c r="AV249" s="47">
        <v>66377</v>
      </c>
      <c r="AW249" s="46">
        <v>25945</v>
      </c>
      <c r="AX249" s="46">
        <v>33022</v>
      </c>
      <c r="AY249" s="92">
        <v>888</v>
      </c>
      <c r="AZ249" s="47">
        <v>4601</v>
      </c>
      <c r="BA249" s="44">
        <v>4061</v>
      </c>
      <c r="BB249" s="23">
        <v>-4867</v>
      </c>
      <c r="BC249" s="47">
        <v>540</v>
      </c>
      <c r="BD249" s="44">
        <v>541</v>
      </c>
      <c r="BE249" s="47">
        <v>12661</v>
      </c>
      <c r="BF249" s="44">
        <v>25945</v>
      </c>
      <c r="BG249" s="46">
        <v>21357</v>
      </c>
      <c r="BH249" s="130">
        <v>2300</v>
      </c>
      <c r="BI249" s="46">
        <v>2288</v>
      </c>
      <c r="BJ249" s="129">
        <v>19.5</v>
      </c>
      <c r="BK249" s="44">
        <v>10880</v>
      </c>
      <c r="BL249" s="116">
        <v>8486</v>
      </c>
      <c r="BM249" s="47">
        <v>11057</v>
      </c>
      <c r="BN249" s="130">
        <v>66682</v>
      </c>
      <c r="BO249" s="46">
        <v>26929</v>
      </c>
      <c r="BP249" s="46">
        <v>33528</v>
      </c>
      <c r="BQ249" s="46">
        <v>2737</v>
      </c>
      <c r="BR249" s="130">
        <v>4924</v>
      </c>
      <c r="BS249" s="44">
        <v>3622</v>
      </c>
      <c r="BT249" s="92">
        <v>-5082</v>
      </c>
      <c r="BU249" s="117">
        <v>3808</v>
      </c>
      <c r="BV249" s="130">
        <v>16469</v>
      </c>
      <c r="BW249" s="48">
        <v>26929</v>
      </c>
      <c r="BX249" s="46">
        <v>21814</v>
      </c>
      <c r="BY249" s="130">
        <v>2636</v>
      </c>
      <c r="BZ249" s="46">
        <v>2479</v>
      </c>
      <c r="CA249" s="129">
        <v>20.5</v>
      </c>
      <c r="CB249" s="44">
        <v>12396</v>
      </c>
      <c r="CC249" s="116">
        <v>8336</v>
      </c>
      <c r="CD249" s="47">
        <v>8680</v>
      </c>
      <c r="CE249" s="130">
        <v>65847</v>
      </c>
      <c r="CF249" s="46">
        <v>27383</v>
      </c>
      <c r="CG249" s="46">
        <v>32947</v>
      </c>
      <c r="CH249" s="46">
        <v>1176</v>
      </c>
      <c r="CI249" s="130">
        <v>4230</v>
      </c>
      <c r="CJ249" s="44">
        <v>3220</v>
      </c>
      <c r="CK249" s="117">
        <v>-7416</v>
      </c>
      <c r="CL249" s="117">
        <v>1018</v>
      </c>
      <c r="CM249" s="117">
        <v>17487</v>
      </c>
      <c r="CN249" s="48">
        <v>27383</v>
      </c>
      <c r="CO249" s="46">
        <v>21961</v>
      </c>
      <c r="CP249" s="130">
        <v>2942</v>
      </c>
      <c r="CQ249" s="46">
        <v>2480</v>
      </c>
      <c r="CR249" s="129">
        <v>20.5</v>
      </c>
      <c r="CS249" s="44">
        <v>11059</v>
      </c>
      <c r="CT249">
        <v>8187</v>
      </c>
      <c r="CU249">
        <v>26485</v>
      </c>
      <c r="CV249">
        <v>32777</v>
      </c>
      <c r="CW249">
        <v>9155</v>
      </c>
      <c r="CX249">
        <v>646</v>
      </c>
      <c r="CY249">
        <v>21331</v>
      </c>
      <c r="CZ249">
        <v>2561</v>
      </c>
      <c r="DA249">
        <v>2593</v>
      </c>
      <c r="DB249">
        <v>3758</v>
      </c>
      <c r="DC249">
        <v>-5401</v>
      </c>
      <c r="DD249">
        <v>3507</v>
      </c>
      <c r="DE249">
        <v>12765</v>
      </c>
      <c r="DF249">
        <v>64859</v>
      </c>
      <c r="DG249">
        <v>573</v>
      </c>
      <c r="DH249">
        <v>18113</v>
      </c>
      <c r="DI249">
        <v>20.5</v>
      </c>
      <c r="DJ249" s="174">
        <v>8051</v>
      </c>
      <c r="DK249" s="34">
        <v>26303</v>
      </c>
      <c r="DL249" s="34">
        <v>32246</v>
      </c>
      <c r="DM249">
        <v>9264</v>
      </c>
      <c r="DN249" s="173">
        <v>258</v>
      </c>
      <c r="DO249" s="34">
        <v>20796</v>
      </c>
      <c r="DP249" s="173">
        <v>2837</v>
      </c>
      <c r="DQ249" s="34">
        <v>2670</v>
      </c>
      <c r="DR249" s="173">
        <v>3540</v>
      </c>
      <c r="DS249" s="173">
        <v>-3870</v>
      </c>
      <c r="DT249">
        <v>3719</v>
      </c>
      <c r="DU249">
        <v>15712</v>
      </c>
      <c r="DV249" s="173">
        <v>64531</v>
      </c>
      <c r="DW249" s="173">
        <v>-173</v>
      </c>
      <c r="DX249" s="173">
        <v>17940</v>
      </c>
      <c r="DY249" s="57">
        <v>20.5</v>
      </c>
      <c r="DZ249" s="184">
        <v>240</v>
      </c>
      <c r="EA249" s="116">
        <v>7862</v>
      </c>
      <c r="EB249" s="48">
        <v>25919</v>
      </c>
      <c r="EC249" s="46">
        <v>31363</v>
      </c>
      <c r="ED249" s="90">
        <v>8939</v>
      </c>
      <c r="EE249" s="186">
        <v>-170</v>
      </c>
      <c r="EF249" s="46">
        <v>20288</v>
      </c>
      <c r="EG249" s="130">
        <v>2601</v>
      </c>
      <c r="EH249" s="46">
        <v>3030</v>
      </c>
      <c r="EI249" s="130">
        <v>-884</v>
      </c>
      <c r="EJ249" s="48">
        <v>-1526</v>
      </c>
      <c r="EK249" s="44">
        <v>4950</v>
      </c>
      <c r="EL249" s="44">
        <v>12966</v>
      </c>
      <c r="EM249" s="130">
        <v>66935</v>
      </c>
      <c r="EN249" s="117">
        <v>-5832</v>
      </c>
      <c r="EO249" s="117">
        <v>12107</v>
      </c>
      <c r="EP249" s="129">
        <v>20.5</v>
      </c>
    </row>
    <row r="250" spans="1:146" ht="15" x14ac:dyDescent="0.25">
      <c r="A250" s="27">
        <v>778</v>
      </c>
      <c r="B250" s="27" t="s">
        <v>373</v>
      </c>
      <c r="C250" s="27">
        <v>11</v>
      </c>
      <c r="D250" s="27" t="s">
        <v>118</v>
      </c>
      <c r="E250" s="27">
        <v>3</v>
      </c>
      <c r="F250" s="27" t="s">
        <v>743</v>
      </c>
      <c r="G250" s="29" t="s">
        <v>132</v>
      </c>
      <c r="H250" s="27" t="s">
        <v>99</v>
      </c>
      <c r="I250" s="31" t="s">
        <v>118</v>
      </c>
      <c r="J250" s="118">
        <v>-1192.9569623914977</v>
      </c>
      <c r="K250" s="118">
        <v>3119.5496600081065</v>
      </c>
      <c r="L250" s="118">
        <v>-1706.098326025568</v>
      </c>
      <c r="M250" s="118">
        <v>-1331.3756258693215</v>
      </c>
      <c r="N250" s="22">
        <v>377</v>
      </c>
      <c r="O250" s="119">
        <v>194</v>
      </c>
      <c r="P250" s="119">
        <v>-2313</v>
      </c>
      <c r="Q250" s="120">
        <v>-4463</v>
      </c>
      <c r="R250" s="22">
        <v>-3732</v>
      </c>
      <c r="S250" s="22">
        <v>-4677</v>
      </c>
      <c r="T250" s="121">
        <v>-3033</v>
      </c>
      <c r="U250" s="121">
        <v>-2985</v>
      </c>
      <c r="V250" s="121">
        <v>-2166</v>
      </c>
      <c r="W250" s="106">
        <v>-3410</v>
      </c>
      <c r="X250" s="121">
        <v>-4142</v>
      </c>
      <c r="Y250" s="121">
        <v>-5109</v>
      </c>
      <c r="Z250" s="121">
        <v>-1170</v>
      </c>
      <c r="AA250" s="121">
        <v>335</v>
      </c>
      <c r="AB250" s="122">
        <v>18.75</v>
      </c>
      <c r="AC250" s="123">
        <v>18.75</v>
      </c>
      <c r="AD250" s="124">
        <v>18.75</v>
      </c>
      <c r="AE250" s="125">
        <v>18.75</v>
      </c>
      <c r="AF250" s="126">
        <v>18.75</v>
      </c>
      <c r="AG250" s="123">
        <v>18.75</v>
      </c>
      <c r="AH250" s="123">
        <v>18.75</v>
      </c>
      <c r="AI250" s="127">
        <v>18.75</v>
      </c>
      <c r="AJ250" s="127">
        <v>19.5</v>
      </c>
      <c r="AK250" s="22">
        <v>19.5</v>
      </c>
      <c r="AL250" s="128">
        <v>19.5</v>
      </c>
      <c r="AM250" s="128">
        <v>19.5</v>
      </c>
      <c r="AN250" s="128">
        <v>19.5</v>
      </c>
      <c r="AO250" s="77">
        <v>19.5</v>
      </c>
      <c r="AP250" s="77">
        <v>20</v>
      </c>
      <c r="AQ250" s="129">
        <v>20.5</v>
      </c>
      <c r="AR250" s="129">
        <v>21.5</v>
      </c>
      <c r="AS250" s="129">
        <v>22</v>
      </c>
      <c r="AT250" s="116">
        <v>7456</v>
      </c>
      <c r="AU250" s="47">
        <v>9282</v>
      </c>
      <c r="AV250" s="47">
        <v>53035</v>
      </c>
      <c r="AW250" s="46">
        <v>22245</v>
      </c>
      <c r="AX250" s="46">
        <v>22952</v>
      </c>
      <c r="AY250" s="92">
        <v>695</v>
      </c>
      <c r="AZ250" s="47">
        <v>1501</v>
      </c>
      <c r="BA250" s="44">
        <v>2468</v>
      </c>
      <c r="BB250" s="23">
        <v>-2816</v>
      </c>
      <c r="BC250" s="47">
        <v>-967</v>
      </c>
      <c r="BD250" s="44">
        <v>-967</v>
      </c>
      <c r="BE250" s="47">
        <v>-5109</v>
      </c>
      <c r="BF250" s="44">
        <v>22245</v>
      </c>
      <c r="BG250" s="46">
        <v>19137</v>
      </c>
      <c r="BH250" s="130">
        <v>1613</v>
      </c>
      <c r="BI250" s="46">
        <v>1495</v>
      </c>
      <c r="BJ250" s="129">
        <v>20.5</v>
      </c>
      <c r="BK250" s="44">
        <v>32176</v>
      </c>
      <c r="BL250" s="116">
        <v>7419</v>
      </c>
      <c r="BM250" s="47">
        <v>7413</v>
      </c>
      <c r="BN250" s="130">
        <v>52232</v>
      </c>
      <c r="BO250" s="46">
        <v>23873</v>
      </c>
      <c r="BP250" s="46">
        <v>23770</v>
      </c>
      <c r="BQ250" s="46">
        <v>3735</v>
      </c>
      <c r="BR250" s="130">
        <v>3044</v>
      </c>
      <c r="BS250" s="44">
        <v>2133</v>
      </c>
      <c r="BT250" s="92">
        <v>-9441</v>
      </c>
      <c r="BU250" s="117">
        <v>3939</v>
      </c>
      <c r="BV250" s="130">
        <v>-1170</v>
      </c>
      <c r="BW250" s="48">
        <v>23873</v>
      </c>
      <c r="BX250" s="46">
        <v>20564</v>
      </c>
      <c r="BY250" s="130">
        <v>1650</v>
      </c>
      <c r="BZ250" s="46">
        <v>1659</v>
      </c>
      <c r="CA250" s="129">
        <v>21.5</v>
      </c>
      <c r="CB250" s="44">
        <v>35452</v>
      </c>
      <c r="CC250" s="116">
        <v>7390</v>
      </c>
      <c r="CD250" s="47">
        <v>7868</v>
      </c>
      <c r="CE250" s="130">
        <v>51459</v>
      </c>
      <c r="CF250" s="46">
        <v>24717</v>
      </c>
      <c r="CG250" s="46">
        <v>22979</v>
      </c>
      <c r="CH250" s="46">
        <v>1384</v>
      </c>
      <c r="CI250" s="130">
        <v>4268</v>
      </c>
      <c r="CJ250" s="44">
        <v>3061</v>
      </c>
      <c r="CK250" s="117">
        <v>31</v>
      </c>
      <c r="CL250" s="117">
        <v>1505</v>
      </c>
      <c r="CM250" s="117">
        <v>335</v>
      </c>
      <c r="CN250" s="48">
        <v>24717</v>
      </c>
      <c r="CO250" s="46">
        <v>21377</v>
      </c>
      <c r="CP250" s="130">
        <v>1666</v>
      </c>
      <c r="CQ250" s="46">
        <v>1674</v>
      </c>
      <c r="CR250" s="129">
        <v>22</v>
      </c>
      <c r="CS250" s="44">
        <v>32742</v>
      </c>
      <c r="CT250">
        <v>7312</v>
      </c>
      <c r="CU250">
        <v>24492</v>
      </c>
      <c r="CV250">
        <v>24464</v>
      </c>
      <c r="CW250">
        <v>7828</v>
      </c>
      <c r="CX250">
        <v>297</v>
      </c>
      <c r="CY250">
        <v>21089</v>
      </c>
      <c r="CZ250">
        <v>1572</v>
      </c>
      <c r="DA250">
        <v>1831</v>
      </c>
      <c r="DB250">
        <v>5497</v>
      </c>
      <c r="DC250">
        <v>-2508</v>
      </c>
      <c r="DD250">
        <v>2368</v>
      </c>
      <c r="DE250">
        <v>30111</v>
      </c>
      <c r="DF250">
        <v>51434</v>
      </c>
      <c r="DG250">
        <v>3129</v>
      </c>
      <c r="DH250">
        <v>3465</v>
      </c>
      <c r="DI250">
        <v>22</v>
      </c>
      <c r="DJ250" s="174">
        <v>7266</v>
      </c>
      <c r="DK250" s="34">
        <v>23871</v>
      </c>
      <c r="DL250" s="34">
        <v>24739</v>
      </c>
      <c r="DM250">
        <v>8507</v>
      </c>
      <c r="DN250" s="173">
        <v>242</v>
      </c>
      <c r="DO250" s="34">
        <v>20255</v>
      </c>
      <c r="DP250" s="173">
        <v>1826</v>
      </c>
      <c r="DQ250" s="34">
        <v>1790</v>
      </c>
      <c r="DR250" s="173">
        <v>5804</v>
      </c>
      <c r="DS250" s="173">
        <v>-2984</v>
      </c>
      <c r="DT250">
        <v>2404</v>
      </c>
      <c r="DU250">
        <v>27509</v>
      </c>
      <c r="DV250" s="173">
        <v>51555</v>
      </c>
      <c r="DW250" s="173">
        <v>3400</v>
      </c>
      <c r="DX250" s="173">
        <v>6865</v>
      </c>
      <c r="DY250" s="57">
        <v>21.75</v>
      </c>
      <c r="DZ250" s="184">
        <v>240</v>
      </c>
      <c r="EA250" s="116">
        <v>7145</v>
      </c>
      <c r="EB250" s="48">
        <v>23344</v>
      </c>
      <c r="EC250" s="46">
        <v>24749</v>
      </c>
      <c r="ED250" s="90">
        <v>8122</v>
      </c>
      <c r="EE250" s="186">
        <v>303</v>
      </c>
      <c r="EF250" s="46">
        <v>19944</v>
      </c>
      <c r="EG250" s="130">
        <v>1674</v>
      </c>
      <c r="EH250" s="46">
        <v>1726</v>
      </c>
      <c r="EI250" s="130">
        <v>2932</v>
      </c>
      <c r="EJ250" s="48">
        <v>-1522</v>
      </c>
      <c r="EK250" s="44">
        <v>2291</v>
      </c>
      <c r="EL250" s="44">
        <v>24834</v>
      </c>
      <c r="EM250" s="130">
        <v>53586</v>
      </c>
      <c r="EN250" s="117">
        <v>641</v>
      </c>
      <c r="EO250" s="117">
        <v>7506</v>
      </c>
      <c r="EP250" s="129">
        <v>21.75</v>
      </c>
    </row>
    <row r="251" spans="1:146" ht="15" x14ac:dyDescent="0.25">
      <c r="A251" s="27">
        <v>781</v>
      </c>
      <c r="B251" s="27" t="s">
        <v>374</v>
      </c>
      <c r="C251" s="27">
        <v>7</v>
      </c>
      <c r="D251" s="27" t="s">
        <v>119</v>
      </c>
      <c r="E251" s="27">
        <v>2</v>
      </c>
      <c r="F251" s="27" t="s">
        <v>744</v>
      </c>
      <c r="G251" s="29" t="s">
        <v>130</v>
      </c>
      <c r="H251" s="27" t="s">
        <v>98</v>
      </c>
      <c r="I251" s="31" t="s">
        <v>119</v>
      </c>
      <c r="J251" s="118">
        <v>333.68484609963787</v>
      </c>
      <c r="K251" s="118">
        <v>271.28712538241729</v>
      </c>
      <c r="L251" s="118">
        <v>292.81517996949071</v>
      </c>
      <c r="M251" s="118">
        <v>-191.39786031319954</v>
      </c>
      <c r="N251" s="22">
        <v>-19</v>
      </c>
      <c r="O251" s="119">
        <v>-157</v>
      </c>
      <c r="P251" s="119">
        <v>117</v>
      </c>
      <c r="Q251" s="120">
        <v>202</v>
      </c>
      <c r="R251" s="22">
        <v>792</v>
      </c>
      <c r="S251" s="22">
        <v>2034</v>
      </c>
      <c r="T251" s="121">
        <v>2483</v>
      </c>
      <c r="U251" s="121">
        <v>2604</v>
      </c>
      <c r="V251" s="121">
        <v>2169</v>
      </c>
      <c r="W251" s="106">
        <v>2815</v>
      </c>
      <c r="X251" s="121">
        <v>2990</v>
      </c>
      <c r="Y251" s="121">
        <v>4188</v>
      </c>
      <c r="Z251" s="121">
        <v>4192</v>
      </c>
      <c r="AA251" s="121">
        <v>4276</v>
      </c>
      <c r="AB251" s="122">
        <v>17</v>
      </c>
      <c r="AC251" s="123">
        <v>17</v>
      </c>
      <c r="AD251" s="124">
        <v>18</v>
      </c>
      <c r="AE251" s="125">
        <v>18</v>
      </c>
      <c r="AF251" s="126">
        <v>18</v>
      </c>
      <c r="AG251" s="123">
        <v>18</v>
      </c>
      <c r="AH251" s="123">
        <v>18</v>
      </c>
      <c r="AI251" s="127">
        <v>18</v>
      </c>
      <c r="AJ251" s="127">
        <v>18</v>
      </c>
      <c r="AK251" s="22">
        <v>18</v>
      </c>
      <c r="AL251" s="128">
        <v>19</v>
      </c>
      <c r="AM251" s="128">
        <v>19</v>
      </c>
      <c r="AN251" s="128">
        <v>19</v>
      </c>
      <c r="AO251" s="77">
        <v>19</v>
      </c>
      <c r="AP251" s="77">
        <v>19</v>
      </c>
      <c r="AQ251" s="129">
        <v>19</v>
      </c>
      <c r="AR251" s="129">
        <v>19</v>
      </c>
      <c r="AS251" s="129">
        <v>19</v>
      </c>
      <c r="AT251" s="116">
        <v>4139</v>
      </c>
      <c r="AU251" s="47">
        <v>10376</v>
      </c>
      <c r="AV251" s="47">
        <v>32466</v>
      </c>
      <c r="AW251" s="46">
        <v>11676</v>
      </c>
      <c r="AX251" s="46">
        <v>13739</v>
      </c>
      <c r="AY251" s="92">
        <v>131</v>
      </c>
      <c r="AZ251" s="47">
        <v>3456</v>
      </c>
      <c r="BA251" s="44">
        <v>788</v>
      </c>
      <c r="BB251" s="23">
        <v>-2860</v>
      </c>
      <c r="BC251" s="47">
        <v>2668</v>
      </c>
      <c r="BD251" s="44">
        <v>1198</v>
      </c>
      <c r="BE251" s="47">
        <v>4188</v>
      </c>
      <c r="BF251" s="44">
        <v>11676</v>
      </c>
      <c r="BG251" s="46">
        <v>9015</v>
      </c>
      <c r="BH251" s="130">
        <v>901</v>
      </c>
      <c r="BI251" s="46">
        <v>1760</v>
      </c>
      <c r="BJ251" s="129">
        <v>19</v>
      </c>
      <c r="BK251" s="44">
        <v>1160</v>
      </c>
      <c r="BL251" s="116">
        <v>4097</v>
      </c>
      <c r="BM251" s="47">
        <v>10503</v>
      </c>
      <c r="BN251" s="130">
        <v>35385</v>
      </c>
      <c r="BO251" s="46">
        <v>11903</v>
      </c>
      <c r="BP251" s="46">
        <v>13935</v>
      </c>
      <c r="BQ251" s="46">
        <v>101</v>
      </c>
      <c r="BR251" s="130">
        <v>1057</v>
      </c>
      <c r="BS251" s="44">
        <v>1115</v>
      </c>
      <c r="BT251" s="92">
        <v>-999</v>
      </c>
      <c r="BU251" s="117">
        <v>4</v>
      </c>
      <c r="BV251" s="130">
        <v>4192</v>
      </c>
      <c r="BW251" s="48">
        <v>11903</v>
      </c>
      <c r="BX251" s="46">
        <v>8961</v>
      </c>
      <c r="BY251" s="130">
        <v>1051</v>
      </c>
      <c r="BZ251" s="46">
        <v>1891</v>
      </c>
      <c r="CA251" s="129">
        <v>19</v>
      </c>
      <c r="CB251" s="44">
        <v>813</v>
      </c>
      <c r="CC251" s="116">
        <v>4040</v>
      </c>
      <c r="CD251" s="47">
        <v>9510</v>
      </c>
      <c r="CE251" s="130">
        <v>33028</v>
      </c>
      <c r="CF251" s="46">
        <v>12442</v>
      </c>
      <c r="CG251" s="46">
        <v>13829</v>
      </c>
      <c r="CH251" s="46">
        <v>103</v>
      </c>
      <c r="CI251" s="130">
        <v>2842</v>
      </c>
      <c r="CJ251" s="44">
        <v>930</v>
      </c>
      <c r="CK251" s="117">
        <v>-1835</v>
      </c>
      <c r="CL251" s="117">
        <v>84</v>
      </c>
      <c r="CM251" s="117">
        <v>4276</v>
      </c>
      <c r="CN251" s="48">
        <v>12442</v>
      </c>
      <c r="CO251" s="46">
        <v>9270</v>
      </c>
      <c r="CP251" s="130">
        <v>1269</v>
      </c>
      <c r="CQ251" s="46">
        <v>1903</v>
      </c>
      <c r="CR251" s="129">
        <v>19</v>
      </c>
      <c r="CS251" s="44">
        <v>517</v>
      </c>
      <c r="CT251">
        <v>3953</v>
      </c>
      <c r="CU251">
        <v>11894</v>
      </c>
      <c r="CV251">
        <v>14178</v>
      </c>
      <c r="CW251">
        <v>8529</v>
      </c>
      <c r="CX251">
        <v>94</v>
      </c>
      <c r="CY251">
        <v>8645</v>
      </c>
      <c r="CZ251">
        <v>1276</v>
      </c>
      <c r="DA251">
        <v>1973</v>
      </c>
      <c r="DB251">
        <v>1751</v>
      </c>
      <c r="DC251">
        <v>-2021</v>
      </c>
      <c r="DD251">
        <v>829</v>
      </c>
      <c r="DE251">
        <v>400</v>
      </c>
      <c r="DF251">
        <v>32944</v>
      </c>
      <c r="DG251">
        <v>165</v>
      </c>
      <c r="DH251">
        <v>4441</v>
      </c>
      <c r="DI251">
        <v>19</v>
      </c>
      <c r="DJ251" s="174">
        <v>3859</v>
      </c>
      <c r="DK251" s="34">
        <v>12511</v>
      </c>
      <c r="DL251" s="34">
        <v>14241</v>
      </c>
      <c r="DM251">
        <v>8325</v>
      </c>
      <c r="DN251" s="173">
        <v>140</v>
      </c>
      <c r="DO251" s="34">
        <v>9059</v>
      </c>
      <c r="DP251" s="173">
        <v>1489</v>
      </c>
      <c r="DQ251" s="34">
        <v>1963</v>
      </c>
      <c r="DR251" s="173">
        <v>2065</v>
      </c>
      <c r="DS251" s="173">
        <v>-2641</v>
      </c>
      <c r="DT251">
        <v>1054</v>
      </c>
      <c r="DU251">
        <v>285</v>
      </c>
      <c r="DV251" s="173">
        <v>33152</v>
      </c>
      <c r="DW251" s="173">
        <v>293</v>
      </c>
      <c r="DX251" s="173">
        <v>4735</v>
      </c>
      <c r="DY251" s="57">
        <v>19</v>
      </c>
      <c r="DZ251" s="184">
        <v>340</v>
      </c>
      <c r="EA251" s="116">
        <v>3753</v>
      </c>
      <c r="EB251" s="48">
        <v>11758</v>
      </c>
      <c r="EC251" s="46">
        <v>13511</v>
      </c>
      <c r="ED251" s="90">
        <v>8642</v>
      </c>
      <c r="EE251" s="186">
        <v>131</v>
      </c>
      <c r="EF251" s="46">
        <v>8443</v>
      </c>
      <c r="EG251" s="130">
        <v>1355</v>
      </c>
      <c r="EH251" s="46">
        <v>1960</v>
      </c>
      <c r="EI251" s="130">
        <v>741</v>
      </c>
      <c r="EJ251" s="48">
        <v>-4281</v>
      </c>
      <c r="EK251" s="44">
        <v>997</v>
      </c>
      <c r="EL251" s="44">
        <v>2171</v>
      </c>
      <c r="EM251" s="130">
        <v>33301</v>
      </c>
      <c r="EN251" s="117">
        <v>35</v>
      </c>
      <c r="EO251" s="117">
        <v>4769</v>
      </c>
      <c r="EP251" s="129">
        <v>19</v>
      </c>
    </row>
    <row r="252" spans="1:146" ht="15" x14ac:dyDescent="0.25">
      <c r="A252" s="27">
        <v>783</v>
      </c>
      <c r="B252" s="27" t="s">
        <v>375</v>
      </c>
      <c r="C252" s="27">
        <v>4</v>
      </c>
      <c r="D252" s="27" t="s">
        <v>120</v>
      </c>
      <c r="E252" s="27">
        <v>3</v>
      </c>
      <c r="F252" s="27" t="s">
        <v>743</v>
      </c>
      <c r="G252" s="29" t="s">
        <v>130</v>
      </c>
      <c r="H252" s="27" t="s">
        <v>98</v>
      </c>
      <c r="I252" s="31" t="s">
        <v>120</v>
      </c>
      <c r="J252" s="118">
        <v>-275.15544769103212</v>
      </c>
      <c r="K252" s="118">
        <v>-872.22258662939623</v>
      </c>
      <c r="L252" s="118">
        <v>-2630.4591698580325</v>
      </c>
      <c r="M252" s="118">
        <v>-3756.6455254443104</v>
      </c>
      <c r="N252" s="22">
        <v>-1293</v>
      </c>
      <c r="O252" s="119">
        <v>-265</v>
      </c>
      <c r="P252" s="119">
        <v>-477</v>
      </c>
      <c r="Q252" s="120">
        <v>-1406</v>
      </c>
      <c r="R252" s="22">
        <v>-479</v>
      </c>
      <c r="S252" s="22">
        <v>-981</v>
      </c>
      <c r="T252" s="121">
        <v>-1952</v>
      </c>
      <c r="U252" s="121">
        <v>-4000</v>
      </c>
      <c r="V252" s="121">
        <v>-2304</v>
      </c>
      <c r="W252" s="106">
        <v>-2000</v>
      </c>
      <c r="X252" s="121">
        <v>-2719</v>
      </c>
      <c r="Y252" s="121">
        <v>-3052</v>
      </c>
      <c r="Z252" s="121">
        <v>-3428</v>
      </c>
      <c r="AA252" s="121">
        <v>-3955</v>
      </c>
      <c r="AB252" s="122">
        <v>16.5</v>
      </c>
      <c r="AC252" s="123">
        <v>16.5</v>
      </c>
      <c r="AD252" s="124">
        <v>16.75</v>
      </c>
      <c r="AE252" s="125">
        <v>17</v>
      </c>
      <c r="AF252" s="126">
        <v>18</v>
      </c>
      <c r="AG252" s="123">
        <v>18</v>
      </c>
      <c r="AH252" s="123">
        <v>18.5</v>
      </c>
      <c r="AI252" s="127">
        <v>18.5</v>
      </c>
      <c r="AJ252" s="127">
        <v>18.5</v>
      </c>
      <c r="AK252" s="22">
        <v>19</v>
      </c>
      <c r="AL252" s="128">
        <v>19.5</v>
      </c>
      <c r="AM252" s="128">
        <v>19.5</v>
      </c>
      <c r="AN252" s="128">
        <v>20</v>
      </c>
      <c r="AO252" s="77">
        <v>20</v>
      </c>
      <c r="AP252" s="77">
        <v>20</v>
      </c>
      <c r="AQ252" s="129">
        <v>20</v>
      </c>
      <c r="AR252" s="129">
        <v>20.5</v>
      </c>
      <c r="AS252" s="129">
        <v>20.5</v>
      </c>
      <c r="AT252" s="116">
        <v>7255</v>
      </c>
      <c r="AU252" s="47">
        <v>6311</v>
      </c>
      <c r="AV252" s="47">
        <v>43637</v>
      </c>
      <c r="AW252" s="46">
        <v>26602</v>
      </c>
      <c r="AX252" s="46">
        <v>12016</v>
      </c>
      <c r="AY252" s="92">
        <v>125</v>
      </c>
      <c r="AZ252" s="47">
        <v>1372</v>
      </c>
      <c r="BA252" s="44">
        <v>1712</v>
      </c>
      <c r="BB252" s="23">
        <v>-2758</v>
      </c>
      <c r="BC252" s="47">
        <v>-340</v>
      </c>
      <c r="BD252" s="44">
        <v>-333</v>
      </c>
      <c r="BE252" s="47">
        <v>-3052</v>
      </c>
      <c r="BF252" s="44">
        <v>26602</v>
      </c>
      <c r="BG252" s="46">
        <v>23236</v>
      </c>
      <c r="BH252" s="130">
        <v>1869</v>
      </c>
      <c r="BI252" s="46">
        <v>1497</v>
      </c>
      <c r="BJ252" s="129">
        <v>20</v>
      </c>
      <c r="BK252" s="44">
        <v>8935</v>
      </c>
      <c r="BL252" s="116">
        <v>7186</v>
      </c>
      <c r="BM252" s="47">
        <v>6805</v>
      </c>
      <c r="BN252" s="130">
        <v>44625</v>
      </c>
      <c r="BO252" s="46">
        <v>26965</v>
      </c>
      <c r="BP252" s="46">
        <v>12090</v>
      </c>
      <c r="BQ252" s="46">
        <v>106</v>
      </c>
      <c r="BR252" s="130">
        <v>1283</v>
      </c>
      <c r="BS252" s="44">
        <v>1795</v>
      </c>
      <c r="BT252" s="92">
        <v>-2122</v>
      </c>
      <c r="BU252" s="117">
        <v>-377</v>
      </c>
      <c r="BV252" s="130">
        <v>-3428</v>
      </c>
      <c r="BW252" s="48">
        <v>26965</v>
      </c>
      <c r="BX252" s="46">
        <v>23285</v>
      </c>
      <c r="BY252" s="130">
        <v>1948</v>
      </c>
      <c r="BZ252" s="46">
        <v>1732</v>
      </c>
      <c r="CA252" s="129">
        <v>20.5</v>
      </c>
      <c r="CB252" s="44">
        <v>10033</v>
      </c>
      <c r="CC252" s="116">
        <v>7070</v>
      </c>
      <c r="CD252" s="47">
        <v>6451</v>
      </c>
      <c r="CE252" s="130">
        <v>44583</v>
      </c>
      <c r="CF252" s="46">
        <v>27681</v>
      </c>
      <c r="CG252" s="46">
        <v>11726</v>
      </c>
      <c r="CH252" s="46">
        <v>182</v>
      </c>
      <c r="CI252" s="130">
        <v>1356</v>
      </c>
      <c r="CJ252" s="44">
        <v>1892</v>
      </c>
      <c r="CK252" s="117">
        <v>-2787</v>
      </c>
      <c r="CL252" s="117">
        <v>-526</v>
      </c>
      <c r="CM252" s="117">
        <v>-3955</v>
      </c>
      <c r="CN252" s="48">
        <v>27681</v>
      </c>
      <c r="CO252" s="46">
        <v>24159</v>
      </c>
      <c r="CP252" s="130">
        <v>1742</v>
      </c>
      <c r="CQ252" s="46">
        <v>1780</v>
      </c>
      <c r="CR252" s="129">
        <v>20.5</v>
      </c>
      <c r="CS252" s="44">
        <v>11483</v>
      </c>
      <c r="CT252">
        <v>6988</v>
      </c>
      <c r="CU252">
        <v>28318</v>
      </c>
      <c r="CV252">
        <v>11832</v>
      </c>
      <c r="CW252">
        <v>8855</v>
      </c>
      <c r="CX252">
        <v>49</v>
      </c>
      <c r="CY252">
        <v>24758</v>
      </c>
      <c r="CZ252">
        <v>1652</v>
      </c>
      <c r="DA252">
        <v>1908</v>
      </c>
      <c r="DB252">
        <v>4820</v>
      </c>
      <c r="DC252">
        <v>-1079</v>
      </c>
      <c r="DD252">
        <v>2184</v>
      </c>
      <c r="DE252">
        <v>12711</v>
      </c>
      <c r="DF252">
        <v>44138</v>
      </c>
      <c r="DG252">
        <v>2666</v>
      </c>
      <c r="DH252">
        <v>-1231</v>
      </c>
      <c r="DI252">
        <v>21.5</v>
      </c>
      <c r="DJ252" s="174">
        <v>6903</v>
      </c>
      <c r="DK252" s="34">
        <v>28332</v>
      </c>
      <c r="DL252" s="34">
        <v>11782</v>
      </c>
      <c r="DM252">
        <v>7844</v>
      </c>
      <c r="DN252" s="173">
        <v>-47</v>
      </c>
      <c r="DO252" s="34">
        <v>24588</v>
      </c>
      <c r="DP252" s="173">
        <v>1795</v>
      </c>
      <c r="DQ252" s="34">
        <v>1949</v>
      </c>
      <c r="DR252" s="173">
        <v>4943</v>
      </c>
      <c r="DS252" s="173">
        <v>-1436</v>
      </c>
      <c r="DT252">
        <v>2122</v>
      </c>
      <c r="DU252">
        <v>10203</v>
      </c>
      <c r="DV252" s="173">
        <v>42968</v>
      </c>
      <c r="DW252" s="173">
        <v>2823</v>
      </c>
      <c r="DX252" s="173">
        <v>1592</v>
      </c>
      <c r="DY252" s="57">
        <v>21.5</v>
      </c>
      <c r="DZ252" s="184">
        <v>340</v>
      </c>
      <c r="EA252" s="116">
        <v>6811</v>
      </c>
      <c r="EB252" s="48">
        <v>27680</v>
      </c>
      <c r="EC252" s="46">
        <v>11354</v>
      </c>
      <c r="ED252" s="90">
        <v>7955</v>
      </c>
      <c r="EE252" s="186">
        <v>7</v>
      </c>
      <c r="EF252" s="46">
        <v>24251</v>
      </c>
      <c r="EG252" s="130">
        <v>1408</v>
      </c>
      <c r="EH252" s="46">
        <v>2021</v>
      </c>
      <c r="EI252" s="130">
        <v>2555</v>
      </c>
      <c r="EJ252" s="48">
        <v>-2107</v>
      </c>
      <c r="EK252" s="44">
        <v>2147</v>
      </c>
      <c r="EL252" s="44">
        <v>7611</v>
      </c>
      <c r="EM252" s="130">
        <v>44441</v>
      </c>
      <c r="EN252" s="117">
        <v>409</v>
      </c>
      <c r="EO252" s="117">
        <v>2001</v>
      </c>
      <c r="EP252" s="129">
        <v>21.5</v>
      </c>
    </row>
    <row r="253" spans="1:146" ht="15" x14ac:dyDescent="0.25">
      <c r="A253" s="27">
        <v>831</v>
      </c>
      <c r="B253" s="27" t="s">
        <v>376</v>
      </c>
      <c r="C253" s="27">
        <v>9</v>
      </c>
      <c r="D253" s="27" t="s">
        <v>105</v>
      </c>
      <c r="E253" s="27">
        <v>2</v>
      </c>
      <c r="F253" s="27" t="s">
        <v>744</v>
      </c>
      <c r="G253" s="29" t="s">
        <v>130</v>
      </c>
      <c r="H253" s="27" t="s">
        <v>98</v>
      </c>
      <c r="I253" s="31" t="s">
        <v>105</v>
      </c>
      <c r="J253" s="118">
        <v>-466.7214959306931</v>
      </c>
      <c r="K253" s="118">
        <v>-501.36820878176439</v>
      </c>
      <c r="L253" s="118">
        <v>-608.33573001128536</v>
      </c>
      <c r="M253" s="118">
        <v>60.884029379066988</v>
      </c>
      <c r="N253" s="22">
        <v>863</v>
      </c>
      <c r="O253" s="119">
        <v>1636</v>
      </c>
      <c r="P253" s="119">
        <v>2866</v>
      </c>
      <c r="Q253" s="120">
        <v>3246</v>
      </c>
      <c r="R253" s="22">
        <v>2649</v>
      </c>
      <c r="S253" s="22">
        <v>1626</v>
      </c>
      <c r="T253" s="121">
        <v>1228</v>
      </c>
      <c r="U253" s="121">
        <v>651</v>
      </c>
      <c r="V253" s="121">
        <v>1581</v>
      </c>
      <c r="W253" s="106">
        <v>2682</v>
      </c>
      <c r="X253" s="121">
        <v>3640</v>
      </c>
      <c r="Y253" s="121">
        <v>5033</v>
      </c>
      <c r="Z253" s="121">
        <v>4920</v>
      </c>
      <c r="AA253" s="121">
        <v>4107</v>
      </c>
      <c r="AB253" s="122">
        <v>17.5</v>
      </c>
      <c r="AC253" s="123">
        <v>17.5</v>
      </c>
      <c r="AD253" s="124">
        <v>18</v>
      </c>
      <c r="AE253" s="125">
        <v>18</v>
      </c>
      <c r="AF253" s="126">
        <v>18</v>
      </c>
      <c r="AG253" s="123">
        <v>18</v>
      </c>
      <c r="AH253" s="123">
        <v>18</v>
      </c>
      <c r="AI253" s="127">
        <v>18</v>
      </c>
      <c r="AJ253" s="127">
        <v>18</v>
      </c>
      <c r="AK253" s="22">
        <v>18</v>
      </c>
      <c r="AL253" s="128">
        <v>18</v>
      </c>
      <c r="AM253" s="128">
        <v>19</v>
      </c>
      <c r="AN253" s="128">
        <v>19.75</v>
      </c>
      <c r="AO253" s="77">
        <v>19.75</v>
      </c>
      <c r="AP253" s="77">
        <v>19.75</v>
      </c>
      <c r="AQ253" s="129">
        <v>19.75</v>
      </c>
      <c r="AR253" s="129">
        <v>19.75</v>
      </c>
      <c r="AS253" s="129">
        <v>20</v>
      </c>
      <c r="AT253" s="116">
        <v>4826</v>
      </c>
      <c r="AU253" s="47">
        <v>4105</v>
      </c>
      <c r="AV253" s="47">
        <v>25641</v>
      </c>
      <c r="AW253" s="46">
        <v>17764</v>
      </c>
      <c r="AX253" s="46">
        <v>6556</v>
      </c>
      <c r="AY253" s="92">
        <v>257</v>
      </c>
      <c r="AZ253" s="47">
        <v>2786</v>
      </c>
      <c r="BA253" s="44">
        <v>1722</v>
      </c>
      <c r="BB253" s="23">
        <v>-497</v>
      </c>
      <c r="BC253" s="47">
        <v>1300</v>
      </c>
      <c r="BD253" s="44">
        <v>1393</v>
      </c>
      <c r="BE253" s="47">
        <v>5033</v>
      </c>
      <c r="BF253" s="44">
        <v>17764</v>
      </c>
      <c r="BG253" s="46">
        <v>16029</v>
      </c>
      <c r="BH253" s="130">
        <v>555</v>
      </c>
      <c r="BI253" s="46">
        <v>1180</v>
      </c>
      <c r="BJ253" s="129">
        <v>19.75</v>
      </c>
      <c r="BK253" s="44">
        <v>5304</v>
      </c>
      <c r="BL253" s="116">
        <v>4798</v>
      </c>
      <c r="BM253" s="47">
        <v>3646</v>
      </c>
      <c r="BN253" s="130">
        <v>26628</v>
      </c>
      <c r="BO253" s="46">
        <v>18115</v>
      </c>
      <c r="BP253" s="46">
        <v>5950</v>
      </c>
      <c r="BQ253" s="46">
        <v>221</v>
      </c>
      <c r="BR253" s="130">
        <v>1078</v>
      </c>
      <c r="BS253" s="44">
        <v>1490</v>
      </c>
      <c r="BT253" s="92">
        <v>-4666</v>
      </c>
      <c r="BU253" s="117">
        <v>-114</v>
      </c>
      <c r="BV253" s="130">
        <v>4920</v>
      </c>
      <c r="BW253" s="48">
        <v>18115</v>
      </c>
      <c r="BX253" s="46">
        <v>15857</v>
      </c>
      <c r="BY253" s="130">
        <v>629</v>
      </c>
      <c r="BZ253" s="46">
        <v>1629</v>
      </c>
      <c r="CA253" s="129">
        <v>19.75</v>
      </c>
      <c r="CB253" s="44">
        <v>7788</v>
      </c>
      <c r="CC253" s="116">
        <v>4815</v>
      </c>
      <c r="CD253" s="47">
        <v>2777</v>
      </c>
      <c r="CE253" s="130">
        <v>26091</v>
      </c>
      <c r="CF253" s="46">
        <v>18516</v>
      </c>
      <c r="CG253" s="46">
        <v>5598</v>
      </c>
      <c r="CH253" s="46">
        <v>0</v>
      </c>
      <c r="CI253" s="130">
        <v>704</v>
      </c>
      <c r="CJ253" s="44">
        <v>1563</v>
      </c>
      <c r="CK253" s="117">
        <v>-8773</v>
      </c>
      <c r="CL253" s="117">
        <v>-766</v>
      </c>
      <c r="CM253" s="117">
        <v>4107</v>
      </c>
      <c r="CN253" s="48">
        <v>18516</v>
      </c>
      <c r="CO253" s="46">
        <v>16103</v>
      </c>
      <c r="CP253" s="130">
        <v>709</v>
      </c>
      <c r="CQ253" s="46">
        <v>1704</v>
      </c>
      <c r="CR253" s="129">
        <v>20</v>
      </c>
      <c r="CS253" s="44">
        <v>14545</v>
      </c>
      <c r="CT253">
        <v>4832</v>
      </c>
      <c r="CU253">
        <v>18986</v>
      </c>
      <c r="CV253">
        <v>5685</v>
      </c>
      <c r="CW253">
        <v>2782</v>
      </c>
      <c r="CX253">
        <v>0</v>
      </c>
      <c r="CY253">
        <v>16565</v>
      </c>
      <c r="CZ253">
        <v>694</v>
      </c>
      <c r="DA253">
        <v>1727</v>
      </c>
      <c r="DB253">
        <v>252</v>
      </c>
      <c r="DC253">
        <v>-1999</v>
      </c>
      <c r="DD253">
        <v>2411</v>
      </c>
      <c r="DE253">
        <v>16535</v>
      </c>
      <c r="DF253">
        <v>27080</v>
      </c>
      <c r="DG253">
        <v>-2066</v>
      </c>
      <c r="DH253">
        <v>2041</v>
      </c>
      <c r="DI253">
        <v>20</v>
      </c>
      <c r="DJ253" s="174">
        <v>4774</v>
      </c>
      <c r="DK253" s="34">
        <v>19234</v>
      </c>
      <c r="DL253" s="34">
        <v>6147</v>
      </c>
      <c r="DM253">
        <v>2605</v>
      </c>
      <c r="DN253" s="173">
        <v>-125</v>
      </c>
      <c r="DO253" s="34">
        <v>16690</v>
      </c>
      <c r="DP253" s="173">
        <v>846</v>
      </c>
      <c r="DQ253" s="34">
        <v>1698</v>
      </c>
      <c r="DR253" s="173">
        <v>179</v>
      </c>
      <c r="DS253" s="173">
        <v>-1649</v>
      </c>
      <c r="DT253">
        <v>2172</v>
      </c>
      <c r="DU253">
        <v>17582</v>
      </c>
      <c r="DV253" s="173">
        <v>27682</v>
      </c>
      <c r="DW253" s="173">
        <v>-1900</v>
      </c>
      <c r="DX253" s="173">
        <v>141</v>
      </c>
      <c r="DY253" s="57">
        <v>20.5</v>
      </c>
      <c r="DZ253" s="184">
        <v>340</v>
      </c>
      <c r="EA253" s="116">
        <v>4715</v>
      </c>
      <c r="EB253" s="48">
        <v>19008</v>
      </c>
      <c r="EC253" s="46">
        <v>6085</v>
      </c>
      <c r="ED253" s="90">
        <v>2690</v>
      </c>
      <c r="EE253" s="186">
        <v>-131</v>
      </c>
      <c r="EF253" s="46">
        <v>16440</v>
      </c>
      <c r="EG253" s="130">
        <v>865</v>
      </c>
      <c r="EH253" s="46">
        <v>1703</v>
      </c>
      <c r="EI253" s="130">
        <v>976</v>
      </c>
      <c r="EJ253" s="48">
        <v>-815</v>
      </c>
      <c r="EK253" s="44">
        <v>2059</v>
      </c>
      <c r="EL253" s="44">
        <v>17484</v>
      </c>
      <c r="EM253" s="130">
        <v>26676</v>
      </c>
      <c r="EN253" s="117">
        <v>-990</v>
      </c>
      <c r="EO253" s="117">
        <v>-849</v>
      </c>
      <c r="EP253" s="129">
        <v>20.5</v>
      </c>
    </row>
    <row r="254" spans="1:146" ht="15" x14ac:dyDescent="0.25">
      <c r="A254" s="27">
        <v>832</v>
      </c>
      <c r="B254" s="27" t="s">
        <v>377</v>
      </c>
      <c r="C254" s="27">
        <v>17</v>
      </c>
      <c r="D254" s="27" t="s">
        <v>117</v>
      </c>
      <c r="E254" s="27">
        <v>2</v>
      </c>
      <c r="F254" s="27" t="s">
        <v>744</v>
      </c>
      <c r="G254" s="29" t="s">
        <v>130</v>
      </c>
      <c r="H254" s="27" t="s">
        <v>98</v>
      </c>
      <c r="I254" s="31" t="s">
        <v>117</v>
      </c>
      <c r="J254" s="132">
        <v>5.550201573229864</v>
      </c>
      <c r="K254" s="132">
        <v>130.68201886059407</v>
      </c>
      <c r="L254" s="132">
        <v>-868.35426432078145</v>
      </c>
      <c r="M254" s="132">
        <v>-1896.4870587799983</v>
      </c>
      <c r="N254" s="132">
        <v>-989</v>
      </c>
      <c r="O254" s="132">
        <v>-472</v>
      </c>
      <c r="P254" s="132">
        <v>-1027</v>
      </c>
      <c r="Q254" s="132">
        <v>-1480</v>
      </c>
      <c r="R254" s="132">
        <v>47</v>
      </c>
      <c r="S254" s="132">
        <v>812</v>
      </c>
      <c r="T254" s="132">
        <v>3142</v>
      </c>
      <c r="U254" s="132">
        <v>4843</v>
      </c>
      <c r="V254" s="132">
        <v>6376</v>
      </c>
      <c r="W254" s="106">
        <v>6885</v>
      </c>
      <c r="X254" s="132">
        <v>7115</v>
      </c>
      <c r="Y254" s="132">
        <v>7027</v>
      </c>
      <c r="Z254" s="132">
        <v>8048</v>
      </c>
      <c r="AA254" s="132">
        <v>8476</v>
      </c>
      <c r="AB254" s="133">
        <v>19</v>
      </c>
      <c r="AC254" s="134">
        <v>19</v>
      </c>
      <c r="AD254" s="135">
        <v>19</v>
      </c>
      <c r="AE254" s="136">
        <v>19</v>
      </c>
      <c r="AF254" s="137">
        <v>19</v>
      </c>
      <c r="AG254" s="134">
        <v>19</v>
      </c>
      <c r="AH254" s="134">
        <v>19</v>
      </c>
      <c r="AI254" s="138">
        <v>19</v>
      </c>
      <c r="AJ254" s="138">
        <v>19.75</v>
      </c>
      <c r="AK254" s="139">
        <v>19.75</v>
      </c>
      <c r="AL254" s="140">
        <v>19.75</v>
      </c>
      <c r="AM254" s="140">
        <v>19.75</v>
      </c>
      <c r="AN254" s="140">
        <v>19.75</v>
      </c>
      <c r="AO254" s="83">
        <v>19.75</v>
      </c>
      <c r="AP254" s="83">
        <v>19.75</v>
      </c>
      <c r="AQ254" s="116">
        <v>20.5</v>
      </c>
      <c r="AR254" s="116">
        <v>20.5</v>
      </c>
      <c r="AS254" s="116">
        <v>20.5</v>
      </c>
      <c r="AT254" s="116">
        <v>4251</v>
      </c>
      <c r="AU254" s="116">
        <v>6041</v>
      </c>
      <c r="AV254" s="116">
        <v>32960</v>
      </c>
      <c r="AW254" s="116">
        <v>11429</v>
      </c>
      <c r="AX254" s="116">
        <v>18351</v>
      </c>
      <c r="AY254" s="116">
        <v>12</v>
      </c>
      <c r="AZ254" s="116">
        <v>2858</v>
      </c>
      <c r="BA254" s="116">
        <v>1686</v>
      </c>
      <c r="BB254" s="116">
        <v>-2511</v>
      </c>
      <c r="BC254" s="116">
        <v>1172</v>
      </c>
      <c r="BD254" s="116">
        <v>1184</v>
      </c>
      <c r="BE254" s="116">
        <v>7027</v>
      </c>
      <c r="BF254" s="116">
        <v>11429</v>
      </c>
      <c r="BG254" s="116">
        <v>9891</v>
      </c>
      <c r="BH254" s="116">
        <v>821</v>
      </c>
      <c r="BI254" s="116">
        <v>717</v>
      </c>
      <c r="BJ254" s="116">
        <v>20.5</v>
      </c>
      <c r="BK254" s="116">
        <v>2840</v>
      </c>
      <c r="BL254" s="116">
        <v>4231</v>
      </c>
      <c r="BM254" s="116">
        <v>6082</v>
      </c>
      <c r="BN254" s="116">
        <v>33067</v>
      </c>
      <c r="BO254" s="116">
        <v>11371</v>
      </c>
      <c r="BP254" s="116">
        <v>18731</v>
      </c>
      <c r="BQ254" s="116">
        <v>53</v>
      </c>
      <c r="BR254" s="116">
        <v>3147</v>
      </c>
      <c r="BS254" s="116">
        <v>1918</v>
      </c>
      <c r="BT254" s="116">
        <v>-2181</v>
      </c>
      <c r="BU254" s="116">
        <v>1021</v>
      </c>
      <c r="BV254" s="116">
        <v>8048</v>
      </c>
      <c r="BW254" s="116">
        <v>11371</v>
      </c>
      <c r="BX254" s="116">
        <v>9683</v>
      </c>
      <c r="BY254" s="116">
        <v>884</v>
      </c>
      <c r="BZ254" s="116">
        <v>804</v>
      </c>
      <c r="CA254" s="116">
        <v>20.5</v>
      </c>
      <c r="CB254" s="116">
        <v>2424</v>
      </c>
      <c r="CC254" s="116">
        <v>4199</v>
      </c>
      <c r="CD254" s="116">
        <v>6084</v>
      </c>
      <c r="CE254" s="116">
        <v>33602</v>
      </c>
      <c r="CF254" s="116">
        <v>12028</v>
      </c>
      <c r="CG254" s="116">
        <v>18275</v>
      </c>
      <c r="CH254" s="116">
        <v>115</v>
      </c>
      <c r="CI254" s="116">
        <v>2882</v>
      </c>
      <c r="CJ254" s="116">
        <v>2005</v>
      </c>
      <c r="CK254" s="116">
        <v>-3297</v>
      </c>
      <c r="CL254" s="116">
        <v>514</v>
      </c>
      <c r="CM254" s="116">
        <v>8476</v>
      </c>
      <c r="CN254" s="116">
        <v>12028</v>
      </c>
      <c r="CO254" s="116">
        <v>10084</v>
      </c>
      <c r="CP254" s="116">
        <v>1146</v>
      </c>
      <c r="CQ254" s="116">
        <v>798</v>
      </c>
      <c r="CR254" s="116">
        <v>20.5</v>
      </c>
      <c r="CS254" s="116">
        <v>1962</v>
      </c>
      <c r="CT254">
        <v>4133</v>
      </c>
      <c r="CU254">
        <v>12159</v>
      </c>
      <c r="CV254">
        <v>18848</v>
      </c>
      <c r="CW254">
        <v>5942</v>
      </c>
      <c r="CX254">
        <v>86</v>
      </c>
      <c r="CY254">
        <v>10209</v>
      </c>
      <c r="CZ254">
        <v>1139</v>
      </c>
      <c r="DA254">
        <v>811</v>
      </c>
      <c r="DB254">
        <v>3714</v>
      </c>
      <c r="DC254">
        <v>-3330</v>
      </c>
      <c r="DD254">
        <v>1956</v>
      </c>
      <c r="DE254">
        <v>2500</v>
      </c>
      <c r="DF254">
        <v>33317</v>
      </c>
      <c r="DG254">
        <v>1770</v>
      </c>
      <c r="DH254">
        <v>11293</v>
      </c>
      <c r="DI254">
        <v>20.5</v>
      </c>
      <c r="DJ254" s="174">
        <v>4058</v>
      </c>
      <c r="DK254" s="34">
        <v>11926</v>
      </c>
      <c r="DL254" s="34">
        <v>18338</v>
      </c>
      <c r="DM254">
        <v>5678</v>
      </c>
      <c r="DN254" s="173">
        <v>489</v>
      </c>
      <c r="DO254" s="34">
        <v>9771</v>
      </c>
      <c r="DP254" s="173">
        <v>1300</v>
      </c>
      <c r="DQ254" s="34">
        <v>855</v>
      </c>
      <c r="DR254" s="173">
        <v>2449</v>
      </c>
      <c r="DS254" s="173">
        <v>-3709</v>
      </c>
      <c r="DT254">
        <v>1825</v>
      </c>
      <c r="DU254">
        <v>1986</v>
      </c>
      <c r="DV254" s="173">
        <v>33558</v>
      </c>
      <c r="DW254" s="173">
        <v>211</v>
      </c>
      <c r="DX254" s="173">
        <v>11504</v>
      </c>
      <c r="DY254" s="57">
        <v>20.5</v>
      </c>
      <c r="DZ254" s="184">
        <v>340</v>
      </c>
      <c r="EA254" s="116">
        <v>4024</v>
      </c>
      <c r="EB254" s="48">
        <v>11791</v>
      </c>
      <c r="EC254" s="46">
        <v>17936</v>
      </c>
      <c r="ED254" s="90">
        <v>5755</v>
      </c>
      <c r="EE254" s="186">
        <v>72</v>
      </c>
      <c r="EF254" s="46">
        <v>9662</v>
      </c>
      <c r="EG254" s="130">
        <v>1232</v>
      </c>
      <c r="EH254" s="46">
        <v>897</v>
      </c>
      <c r="EI254" s="130">
        <v>1011</v>
      </c>
      <c r="EJ254" s="48">
        <v>-3017</v>
      </c>
      <c r="EK254" s="44">
        <v>1915</v>
      </c>
      <c r="EL254" s="44">
        <v>3919</v>
      </c>
      <c r="EM254" s="130">
        <v>34543</v>
      </c>
      <c r="EN254" s="117">
        <v>-893</v>
      </c>
      <c r="EO254" s="117">
        <v>10611</v>
      </c>
      <c r="EP254" s="129">
        <v>20.5</v>
      </c>
    </row>
    <row r="255" spans="1:146" ht="15" x14ac:dyDescent="0.25">
      <c r="A255" s="32">
        <v>833</v>
      </c>
      <c r="B255" s="32" t="s">
        <v>378</v>
      </c>
      <c r="C255" s="32">
        <v>2</v>
      </c>
      <c r="D255" s="32" t="s">
        <v>122</v>
      </c>
      <c r="E255" s="27">
        <v>1</v>
      </c>
      <c r="F255" s="27" t="s">
        <v>103</v>
      </c>
      <c r="G255" s="43" t="s">
        <v>130</v>
      </c>
      <c r="H255" s="32" t="s">
        <v>98</v>
      </c>
      <c r="I255" s="31" t="s">
        <v>122</v>
      </c>
      <c r="J255" s="118">
        <v>323.25719465902421</v>
      </c>
      <c r="K255" s="118">
        <v>65.425103393527792</v>
      </c>
      <c r="L255" s="118">
        <v>-656.26928905281602</v>
      </c>
      <c r="M255" s="118">
        <v>-882.31386221708681</v>
      </c>
      <c r="N255" s="177">
        <v>-706</v>
      </c>
      <c r="O255" s="119">
        <v>-436</v>
      </c>
      <c r="P255" s="119">
        <v>-703</v>
      </c>
      <c r="Q255" s="120">
        <v>-1292</v>
      </c>
      <c r="R255" s="177">
        <v>-1531</v>
      </c>
      <c r="S255" s="177">
        <v>-1599</v>
      </c>
      <c r="T255" s="121">
        <v>-1693</v>
      </c>
      <c r="U255" s="121">
        <v>-1481</v>
      </c>
      <c r="V255" s="121">
        <v>-1108</v>
      </c>
      <c r="W255" s="106">
        <v>-177</v>
      </c>
      <c r="X255" s="121">
        <v>414</v>
      </c>
      <c r="Y255" s="121">
        <v>1533</v>
      </c>
      <c r="Z255" s="121">
        <v>2069</v>
      </c>
      <c r="AA255" s="121">
        <v>2633</v>
      </c>
      <c r="AB255" s="122">
        <v>18.5</v>
      </c>
      <c r="AC255" s="123">
        <v>18.5</v>
      </c>
      <c r="AD255" s="124">
        <v>18.5</v>
      </c>
      <c r="AE255" s="125">
        <v>18.5</v>
      </c>
      <c r="AF255" s="126">
        <v>19</v>
      </c>
      <c r="AG255" s="123">
        <v>19</v>
      </c>
      <c r="AH255" s="123">
        <v>19</v>
      </c>
      <c r="AI255" s="127">
        <v>19</v>
      </c>
      <c r="AJ255" s="127">
        <v>19</v>
      </c>
      <c r="AK255" s="177">
        <v>19.5</v>
      </c>
      <c r="AL255" s="128">
        <v>19.5</v>
      </c>
      <c r="AM255" s="128">
        <v>19.5</v>
      </c>
      <c r="AN255" s="128">
        <v>20</v>
      </c>
      <c r="AO255" s="77">
        <v>20</v>
      </c>
      <c r="AP255" s="77">
        <v>20</v>
      </c>
      <c r="AQ255" s="129">
        <v>20</v>
      </c>
      <c r="AR255" s="129">
        <v>20</v>
      </c>
      <c r="AS255" s="129">
        <v>20.5</v>
      </c>
      <c r="AT255" s="116">
        <v>1667</v>
      </c>
      <c r="AU255" s="47">
        <v>2086</v>
      </c>
      <c r="AV255" s="47">
        <v>10994</v>
      </c>
      <c r="AW255" s="46">
        <v>6019</v>
      </c>
      <c r="AX255" s="46">
        <v>4413</v>
      </c>
      <c r="AY255" s="92">
        <v>9</v>
      </c>
      <c r="AZ255" s="47">
        <v>1382</v>
      </c>
      <c r="BA255" s="44">
        <v>263</v>
      </c>
      <c r="BB255" s="23">
        <v>-3374</v>
      </c>
      <c r="BC255" s="47">
        <v>1119</v>
      </c>
      <c r="BD255" s="44">
        <v>1119</v>
      </c>
      <c r="BE255" s="47">
        <v>1533</v>
      </c>
      <c r="BF255" s="44">
        <v>6019</v>
      </c>
      <c r="BG255" s="46">
        <v>4963</v>
      </c>
      <c r="BH255" s="130">
        <v>148</v>
      </c>
      <c r="BI255" s="46">
        <v>908</v>
      </c>
      <c r="BJ255" s="129">
        <v>20</v>
      </c>
      <c r="BK255" s="44">
        <v>8079</v>
      </c>
      <c r="BL255" s="116">
        <v>1645</v>
      </c>
      <c r="BM255" s="47">
        <v>2056</v>
      </c>
      <c r="BN255" s="130">
        <v>11094</v>
      </c>
      <c r="BO255" s="46">
        <v>5796</v>
      </c>
      <c r="BP255" s="46">
        <v>4220</v>
      </c>
      <c r="BQ255" s="46">
        <v>1</v>
      </c>
      <c r="BR255" s="130">
        <v>801</v>
      </c>
      <c r="BS255" s="44">
        <v>265</v>
      </c>
      <c r="BT255" s="92">
        <v>-3466</v>
      </c>
      <c r="BU255" s="117">
        <v>536</v>
      </c>
      <c r="BV255" s="130">
        <v>2069</v>
      </c>
      <c r="BW255" s="48">
        <v>5796</v>
      </c>
      <c r="BX255" s="46">
        <v>4550</v>
      </c>
      <c r="BY255" s="130">
        <v>213</v>
      </c>
      <c r="BZ255" s="46">
        <v>1033</v>
      </c>
      <c r="CA255" s="129">
        <v>20</v>
      </c>
      <c r="CB255" s="44">
        <v>8143</v>
      </c>
      <c r="CC255" s="116">
        <v>1633</v>
      </c>
      <c r="CD255" s="47">
        <v>1914</v>
      </c>
      <c r="CE255" s="130">
        <v>11098</v>
      </c>
      <c r="CF255" s="46">
        <v>6288</v>
      </c>
      <c r="CG255" s="46">
        <v>4291</v>
      </c>
      <c r="CH255" s="46">
        <v>13</v>
      </c>
      <c r="CI255" s="130">
        <v>1258</v>
      </c>
      <c r="CJ255" s="44">
        <v>694</v>
      </c>
      <c r="CK255" s="117">
        <v>-1074</v>
      </c>
      <c r="CL255" s="117">
        <v>564</v>
      </c>
      <c r="CM255" s="117">
        <v>2633</v>
      </c>
      <c r="CN255" s="48">
        <v>6288</v>
      </c>
      <c r="CO255" s="46">
        <v>4897</v>
      </c>
      <c r="CP255" s="130">
        <v>265</v>
      </c>
      <c r="CQ255" s="46">
        <v>1126</v>
      </c>
      <c r="CR255" s="129">
        <v>20.5</v>
      </c>
      <c r="CS255" s="44">
        <v>8309</v>
      </c>
      <c r="CT255">
        <v>1622</v>
      </c>
      <c r="CU255">
        <v>6176</v>
      </c>
      <c r="CV255">
        <v>4440</v>
      </c>
      <c r="CW255">
        <v>1558</v>
      </c>
      <c r="CX255">
        <v>1074</v>
      </c>
      <c r="CY255">
        <v>4781</v>
      </c>
      <c r="CZ255">
        <v>212</v>
      </c>
      <c r="DA255">
        <v>1183</v>
      </c>
      <c r="DB255">
        <v>1050</v>
      </c>
      <c r="DC255">
        <v>873</v>
      </c>
      <c r="DD255">
        <v>683</v>
      </c>
      <c r="DE255">
        <v>8074</v>
      </c>
      <c r="DF255">
        <v>10998</v>
      </c>
      <c r="DG255">
        <v>1437</v>
      </c>
      <c r="DH255">
        <v>4070</v>
      </c>
      <c r="DI255">
        <v>20.75</v>
      </c>
      <c r="DJ255" s="174">
        <v>1654</v>
      </c>
      <c r="DK255" s="34">
        <v>6459</v>
      </c>
      <c r="DL255" s="34">
        <v>4446</v>
      </c>
      <c r="DM255">
        <v>1562</v>
      </c>
      <c r="DN255" s="173">
        <v>-85</v>
      </c>
      <c r="DO255" s="34">
        <v>4993</v>
      </c>
      <c r="DP255" s="173">
        <v>244</v>
      </c>
      <c r="DQ255" s="34">
        <v>1222</v>
      </c>
      <c r="DR255" s="173">
        <v>1492</v>
      </c>
      <c r="DS255" s="173">
        <v>-4</v>
      </c>
      <c r="DT255">
        <v>590</v>
      </c>
      <c r="DU255">
        <v>8039</v>
      </c>
      <c r="DV255" s="173">
        <v>10890</v>
      </c>
      <c r="DW255" s="173">
        <v>902</v>
      </c>
      <c r="DX255" s="173">
        <v>4972</v>
      </c>
      <c r="DY255" s="57">
        <v>20.75</v>
      </c>
      <c r="DZ255" s="184">
        <v>310</v>
      </c>
      <c r="EA255" s="116">
        <v>1662</v>
      </c>
      <c r="EB255" s="48">
        <v>6617</v>
      </c>
      <c r="EC255" s="46">
        <v>4335</v>
      </c>
      <c r="ED255" s="90">
        <v>1449</v>
      </c>
      <c r="EE255" s="186">
        <v>-38</v>
      </c>
      <c r="EF255" s="46">
        <v>5200</v>
      </c>
      <c r="EG255" s="130">
        <v>226</v>
      </c>
      <c r="EH255" s="46">
        <v>1191</v>
      </c>
      <c r="EI255" s="130">
        <v>1044</v>
      </c>
      <c r="EJ255" s="48">
        <v>-553</v>
      </c>
      <c r="EK255" s="44">
        <v>509</v>
      </c>
      <c r="EL255" s="44">
        <v>7961</v>
      </c>
      <c r="EM255" s="130">
        <v>11319</v>
      </c>
      <c r="EN255" s="117">
        <v>535</v>
      </c>
      <c r="EO255" s="117">
        <v>5507</v>
      </c>
      <c r="EP255" s="129">
        <v>20.75</v>
      </c>
    </row>
    <row r="256" spans="1:146" ht="15" x14ac:dyDescent="0.25">
      <c r="A256" s="27">
        <v>834</v>
      </c>
      <c r="B256" s="27" t="s">
        <v>379</v>
      </c>
      <c r="C256" s="27">
        <v>5</v>
      </c>
      <c r="D256" s="27" t="s">
        <v>109</v>
      </c>
      <c r="E256" s="27">
        <v>3</v>
      </c>
      <c r="F256" s="27" t="s">
        <v>743</v>
      </c>
      <c r="G256" s="29" t="s">
        <v>130</v>
      </c>
      <c r="H256" s="27" t="s">
        <v>98</v>
      </c>
      <c r="I256" s="31" t="s">
        <v>109</v>
      </c>
      <c r="J256" s="118">
        <v>34.814900777532785</v>
      </c>
      <c r="K256" s="118">
        <v>419.62887652147003</v>
      </c>
      <c r="L256" s="118">
        <v>89.307788951062349</v>
      </c>
      <c r="M256" s="118">
        <v>112.34953487628937</v>
      </c>
      <c r="N256" s="22">
        <v>2242</v>
      </c>
      <c r="O256" s="119">
        <v>2335</v>
      </c>
      <c r="P256" s="119">
        <v>2558</v>
      </c>
      <c r="Q256" s="120">
        <v>2653</v>
      </c>
      <c r="R256" s="22">
        <v>2830</v>
      </c>
      <c r="S256" s="22">
        <v>3106</v>
      </c>
      <c r="T256" s="121">
        <v>3367</v>
      </c>
      <c r="U256" s="121">
        <v>5728</v>
      </c>
      <c r="V256" s="121">
        <v>7902</v>
      </c>
      <c r="W256" s="106">
        <v>8461</v>
      </c>
      <c r="X256" s="121">
        <v>7284</v>
      </c>
      <c r="Y256" s="121">
        <v>7629</v>
      </c>
      <c r="Z256" s="121">
        <v>8003</v>
      </c>
      <c r="AA256" s="121">
        <v>8039</v>
      </c>
      <c r="AB256" s="122">
        <v>18.25</v>
      </c>
      <c r="AC256" s="123">
        <v>18.25</v>
      </c>
      <c r="AD256" s="124">
        <v>18.25</v>
      </c>
      <c r="AE256" s="125">
        <v>18.25</v>
      </c>
      <c r="AF256" s="126">
        <v>18.5</v>
      </c>
      <c r="AG256" s="123">
        <v>18.5</v>
      </c>
      <c r="AH256" s="123">
        <v>18.5</v>
      </c>
      <c r="AI256" s="127">
        <v>18.5</v>
      </c>
      <c r="AJ256" s="127">
        <v>18.5</v>
      </c>
      <c r="AK256" s="22">
        <v>18.5</v>
      </c>
      <c r="AL256" s="128">
        <v>18.5</v>
      </c>
      <c r="AM256" s="128">
        <v>18.5</v>
      </c>
      <c r="AN256" s="128">
        <v>18.5</v>
      </c>
      <c r="AO256" s="77">
        <v>18.5</v>
      </c>
      <c r="AP256" s="77">
        <v>18.5</v>
      </c>
      <c r="AQ256" s="129">
        <v>18.5</v>
      </c>
      <c r="AR256" s="129">
        <v>19.5</v>
      </c>
      <c r="AS256" s="129">
        <v>19.5</v>
      </c>
      <c r="AT256" s="116">
        <v>6474</v>
      </c>
      <c r="AU256" s="47">
        <v>4756</v>
      </c>
      <c r="AV256" s="47">
        <v>35378</v>
      </c>
      <c r="AW256" s="46">
        <v>19755</v>
      </c>
      <c r="AX256" s="46">
        <v>12990</v>
      </c>
      <c r="AY256" s="92">
        <v>29</v>
      </c>
      <c r="AZ256" s="47">
        <v>2084</v>
      </c>
      <c r="BA256" s="44">
        <v>1880</v>
      </c>
      <c r="BB256" s="23">
        <v>-3613</v>
      </c>
      <c r="BC256" s="47">
        <v>204</v>
      </c>
      <c r="BD256" s="44">
        <v>345</v>
      </c>
      <c r="BE256" s="47">
        <v>7629</v>
      </c>
      <c r="BF256" s="44">
        <v>19755</v>
      </c>
      <c r="BG256" s="46">
        <v>17347</v>
      </c>
      <c r="BH256" s="130">
        <v>1106</v>
      </c>
      <c r="BI256" s="46">
        <v>1302</v>
      </c>
      <c r="BJ256" s="129">
        <v>18.5</v>
      </c>
      <c r="BK256" s="44">
        <v>8320</v>
      </c>
      <c r="BL256" s="116">
        <v>6395</v>
      </c>
      <c r="BM256" s="47">
        <v>4201</v>
      </c>
      <c r="BN256" s="130">
        <v>35060</v>
      </c>
      <c r="BO256" s="46">
        <v>20405</v>
      </c>
      <c r="BP256" s="46">
        <v>13221</v>
      </c>
      <c r="BQ256" s="46">
        <v>1033</v>
      </c>
      <c r="BR256" s="130">
        <v>2726</v>
      </c>
      <c r="BS256" s="44">
        <v>3495</v>
      </c>
      <c r="BT256" s="92">
        <v>-3230</v>
      </c>
      <c r="BU256" s="117">
        <v>375</v>
      </c>
      <c r="BV256" s="130">
        <v>8003</v>
      </c>
      <c r="BW256" s="48">
        <v>20405</v>
      </c>
      <c r="BX256" s="46">
        <v>17819</v>
      </c>
      <c r="BY256" s="130">
        <v>1159</v>
      </c>
      <c r="BZ256" s="46">
        <v>1427</v>
      </c>
      <c r="CA256" s="129">
        <v>19.5</v>
      </c>
      <c r="CB256" s="44">
        <v>7745</v>
      </c>
      <c r="CC256" s="116">
        <v>6280</v>
      </c>
      <c r="CD256" s="47">
        <v>4215</v>
      </c>
      <c r="CE256" s="130">
        <v>35918</v>
      </c>
      <c r="CF256" s="46">
        <v>20869</v>
      </c>
      <c r="CG256" s="46">
        <v>12932</v>
      </c>
      <c r="CH256" s="46">
        <v>32</v>
      </c>
      <c r="CI256" s="130">
        <v>2077</v>
      </c>
      <c r="CJ256" s="44">
        <v>2004</v>
      </c>
      <c r="CK256" s="117">
        <v>-1983</v>
      </c>
      <c r="CL256" s="117">
        <v>200</v>
      </c>
      <c r="CM256" s="117">
        <v>8039</v>
      </c>
      <c r="CN256" s="48">
        <v>20869</v>
      </c>
      <c r="CO256" s="46">
        <v>18107</v>
      </c>
      <c r="CP256" s="130">
        <v>1294</v>
      </c>
      <c r="CQ256" s="46">
        <v>1468</v>
      </c>
      <c r="CR256" s="129">
        <v>19.5</v>
      </c>
      <c r="CS256" s="44">
        <v>8371</v>
      </c>
      <c r="CT256">
        <v>6241</v>
      </c>
      <c r="CU256">
        <v>20708</v>
      </c>
      <c r="CV256">
        <v>13111</v>
      </c>
      <c r="CW256">
        <v>4155</v>
      </c>
      <c r="CX256">
        <v>24</v>
      </c>
      <c r="CY256">
        <v>18021</v>
      </c>
      <c r="CZ256">
        <v>1209</v>
      </c>
      <c r="DA256">
        <v>1478</v>
      </c>
      <c r="DB256">
        <v>1956</v>
      </c>
      <c r="DC256">
        <v>-1404</v>
      </c>
      <c r="DD256">
        <v>2042</v>
      </c>
      <c r="DE256">
        <v>8627</v>
      </c>
      <c r="DF256">
        <v>35992</v>
      </c>
      <c r="DG256">
        <v>36</v>
      </c>
      <c r="DH256">
        <v>8075</v>
      </c>
      <c r="DI256">
        <v>19.5</v>
      </c>
      <c r="DJ256" s="174">
        <v>6155</v>
      </c>
      <c r="DK256" s="34">
        <v>22059</v>
      </c>
      <c r="DL256" s="34">
        <v>12299</v>
      </c>
      <c r="DM256">
        <v>4357</v>
      </c>
      <c r="DN256" s="173">
        <v>-30</v>
      </c>
      <c r="DO256" s="34">
        <v>19172</v>
      </c>
      <c r="DP256" s="173">
        <v>1552</v>
      </c>
      <c r="DQ256" s="34">
        <v>1335</v>
      </c>
      <c r="DR256" s="173">
        <v>2320</v>
      </c>
      <c r="DS256" s="173">
        <v>-1914</v>
      </c>
      <c r="DT256">
        <v>2036</v>
      </c>
      <c r="DU256">
        <v>8080</v>
      </c>
      <c r="DV256" s="173">
        <v>36365</v>
      </c>
      <c r="DW256" s="173">
        <v>401</v>
      </c>
      <c r="DX256" s="173">
        <v>8476</v>
      </c>
      <c r="DY256" s="57">
        <v>20.25</v>
      </c>
      <c r="DZ256" s="184">
        <v>340</v>
      </c>
      <c r="EA256" s="116">
        <v>6081</v>
      </c>
      <c r="EB256" s="48">
        <v>21177</v>
      </c>
      <c r="EC256" s="46">
        <v>11585</v>
      </c>
      <c r="ED256" s="90">
        <v>4468</v>
      </c>
      <c r="EE256" s="186">
        <v>-23</v>
      </c>
      <c r="EF256" s="46">
        <v>18349</v>
      </c>
      <c r="EG256" s="130">
        <v>1245</v>
      </c>
      <c r="EH256" s="46">
        <v>1583</v>
      </c>
      <c r="EI256" s="130">
        <v>859</v>
      </c>
      <c r="EJ256" s="48">
        <v>-1756</v>
      </c>
      <c r="EK256" s="44">
        <v>2044</v>
      </c>
      <c r="EL256" s="44">
        <v>8083</v>
      </c>
      <c r="EM256" s="130">
        <v>36348</v>
      </c>
      <c r="EN256" s="117">
        <v>-1072</v>
      </c>
      <c r="EO256" s="117">
        <v>7404</v>
      </c>
      <c r="EP256" s="129">
        <v>20.25</v>
      </c>
    </row>
    <row r="257" spans="1:146" ht="15" x14ac:dyDescent="0.25">
      <c r="A257" s="27">
        <v>837</v>
      </c>
      <c r="B257" s="27" t="s">
        <v>380</v>
      </c>
      <c r="C257" s="27">
        <v>6</v>
      </c>
      <c r="D257" s="27" t="s">
        <v>114</v>
      </c>
      <c r="E257" s="27">
        <v>7</v>
      </c>
      <c r="F257" s="27" t="s">
        <v>104</v>
      </c>
      <c r="G257" s="29" t="s">
        <v>141</v>
      </c>
      <c r="H257" s="27" t="s">
        <v>97</v>
      </c>
      <c r="I257" s="31" t="s">
        <v>114</v>
      </c>
      <c r="J257" s="118">
        <v>53581.645987961107</v>
      </c>
      <c r="K257" s="118">
        <v>77283.361336623086</v>
      </c>
      <c r="L257" s="118">
        <v>105177.66531611761</v>
      </c>
      <c r="M257" s="118">
        <v>147370.46586373751</v>
      </c>
      <c r="N257" s="22">
        <v>200630</v>
      </c>
      <c r="O257" s="119">
        <v>200097</v>
      </c>
      <c r="P257" s="119">
        <v>216531</v>
      </c>
      <c r="Q257" s="120">
        <v>277699</v>
      </c>
      <c r="R257" s="22">
        <v>288005</v>
      </c>
      <c r="S257" s="22">
        <v>309507</v>
      </c>
      <c r="T257" s="121">
        <v>621366</v>
      </c>
      <c r="U257" s="121">
        <v>607533</v>
      </c>
      <c r="V257" s="121">
        <v>636206</v>
      </c>
      <c r="W257" s="106">
        <v>622361</v>
      </c>
      <c r="X257" s="121">
        <v>594925</v>
      </c>
      <c r="Y257" s="121">
        <v>592854</v>
      </c>
      <c r="Z257" s="121">
        <v>578255</v>
      </c>
      <c r="AA257" s="121">
        <v>541369</v>
      </c>
      <c r="AB257" s="122">
        <v>17.25</v>
      </c>
      <c r="AC257" s="123">
        <v>17.25</v>
      </c>
      <c r="AD257" s="124">
        <v>17.25</v>
      </c>
      <c r="AE257" s="125">
        <v>17.25</v>
      </c>
      <c r="AF257" s="126">
        <v>17.25</v>
      </c>
      <c r="AG257" s="123">
        <v>17.25</v>
      </c>
      <c r="AH257" s="123">
        <v>18</v>
      </c>
      <c r="AI257" s="127">
        <v>18</v>
      </c>
      <c r="AJ257" s="127">
        <v>18</v>
      </c>
      <c r="AK257" s="22">
        <v>18</v>
      </c>
      <c r="AL257" s="128">
        <v>18</v>
      </c>
      <c r="AM257" s="128">
        <v>18</v>
      </c>
      <c r="AN257" s="128">
        <v>19</v>
      </c>
      <c r="AO257" s="77">
        <v>19</v>
      </c>
      <c r="AP257" s="77">
        <v>19</v>
      </c>
      <c r="AQ257" s="129">
        <v>19</v>
      </c>
      <c r="AR257" s="129">
        <v>19.75</v>
      </c>
      <c r="AS257" s="129">
        <v>19.75</v>
      </c>
      <c r="AT257" s="116">
        <v>220446</v>
      </c>
      <c r="AU257" s="47">
        <v>467859</v>
      </c>
      <c r="AV257" s="47">
        <v>1552667</v>
      </c>
      <c r="AW257" s="46">
        <v>831436</v>
      </c>
      <c r="AX257" s="46">
        <v>302259</v>
      </c>
      <c r="AY257" s="92">
        <v>34827</v>
      </c>
      <c r="AZ257" s="47">
        <v>67136</v>
      </c>
      <c r="BA257" s="44">
        <v>83670</v>
      </c>
      <c r="BB257" s="23">
        <v>-91013</v>
      </c>
      <c r="BC257" s="47">
        <v>44</v>
      </c>
      <c r="BD257" s="44">
        <v>-2071</v>
      </c>
      <c r="BE257" s="47">
        <v>592854</v>
      </c>
      <c r="BF257" s="44">
        <v>831436</v>
      </c>
      <c r="BG257" s="46">
        <v>727020</v>
      </c>
      <c r="BH257" s="130">
        <v>51452</v>
      </c>
      <c r="BI257" s="46">
        <v>52833</v>
      </c>
      <c r="BJ257" s="129">
        <v>19</v>
      </c>
      <c r="BK257" s="44">
        <v>393512</v>
      </c>
      <c r="BL257" s="116">
        <v>223004</v>
      </c>
      <c r="BM257" s="47">
        <v>428989</v>
      </c>
      <c r="BN257" s="130">
        <v>1519354</v>
      </c>
      <c r="BO257" s="46">
        <v>870103</v>
      </c>
      <c r="BP257" s="46">
        <v>300495</v>
      </c>
      <c r="BQ257" s="46">
        <v>3468</v>
      </c>
      <c r="BR257" s="130">
        <v>83261</v>
      </c>
      <c r="BS257" s="44">
        <v>88165</v>
      </c>
      <c r="BT257" s="92">
        <v>-181045</v>
      </c>
      <c r="BU257" s="117">
        <v>-18083</v>
      </c>
      <c r="BV257" s="130">
        <v>578255</v>
      </c>
      <c r="BW257" s="48">
        <v>870103</v>
      </c>
      <c r="BX257" s="46">
        <v>743503</v>
      </c>
      <c r="BY257" s="130">
        <v>62843</v>
      </c>
      <c r="BZ257" s="46">
        <v>63633</v>
      </c>
      <c r="CA257" s="129">
        <v>19.75</v>
      </c>
      <c r="CB257" s="44">
        <v>374742</v>
      </c>
      <c r="CC257" s="116">
        <v>225118</v>
      </c>
      <c r="CD257" s="47">
        <v>435095</v>
      </c>
      <c r="CE257" s="130">
        <v>1558523</v>
      </c>
      <c r="CF257" s="46">
        <v>886854</v>
      </c>
      <c r="CG257" s="46">
        <v>298431</v>
      </c>
      <c r="CH257" s="46">
        <v>8148</v>
      </c>
      <c r="CI257" s="130">
        <v>63333</v>
      </c>
      <c r="CJ257" s="44">
        <v>103135</v>
      </c>
      <c r="CK257" s="117">
        <v>-185735</v>
      </c>
      <c r="CL257" s="117">
        <v>-36886</v>
      </c>
      <c r="CM257" s="117">
        <v>541369</v>
      </c>
      <c r="CN257" s="48">
        <v>886854</v>
      </c>
      <c r="CO257" s="46">
        <v>755608</v>
      </c>
      <c r="CP257" s="130">
        <v>67298</v>
      </c>
      <c r="CQ257" s="46">
        <v>63948</v>
      </c>
      <c r="CR257" s="129">
        <v>19.75</v>
      </c>
      <c r="CS257" s="44">
        <v>398832</v>
      </c>
      <c r="CT257">
        <v>228274</v>
      </c>
      <c r="CU257">
        <v>896213</v>
      </c>
      <c r="CV257">
        <v>317228</v>
      </c>
      <c r="CW257">
        <v>463047</v>
      </c>
      <c r="CX257">
        <v>9054</v>
      </c>
      <c r="CY257">
        <v>776520</v>
      </c>
      <c r="CZ257">
        <v>54305</v>
      </c>
      <c r="DA257">
        <v>65388</v>
      </c>
      <c r="DB257">
        <v>74425</v>
      </c>
      <c r="DC257">
        <v>-199647</v>
      </c>
      <c r="DD257">
        <v>92953</v>
      </c>
      <c r="DE257">
        <v>488317</v>
      </c>
      <c r="DF257">
        <v>1607969</v>
      </c>
      <c r="DG257">
        <v>-16964</v>
      </c>
      <c r="DH257">
        <v>524405</v>
      </c>
      <c r="DI257">
        <v>19.75</v>
      </c>
      <c r="DJ257" s="174">
        <v>231853</v>
      </c>
      <c r="DK257" s="34">
        <v>918982</v>
      </c>
      <c r="DL257" s="34">
        <v>285094</v>
      </c>
      <c r="DM257">
        <v>464337</v>
      </c>
      <c r="DN257" s="173">
        <v>68479</v>
      </c>
      <c r="DO257" s="34">
        <v>776800</v>
      </c>
      <c r="DP257" s="173">
        <v>66502</v>
      </c>
      <c r="DQ257" s="34">
        <v>75680</v>
      </c>
      <c r="DR257" s="173">
        <v>85107</v>
      </c>
      <c r="DS257" s="173">
        <v>-118486</v>
      </c>
      <c r="DT257">
        <v>103867</v>
      </c>
      <c r="DU257">
        <v>527733</v>
      </c>
      <c r="DV257" s="173">
        <v>1602078</v>
      </c>
      <c r="DW257" s="173">
        <v>-6751</v>
      </c>
      <c r="DX257" s="173">
        <v>517654</v>
      </c>
      <c r="DY257" s="57">
        <v>19.75</v>
      </c>
      <c r="DZ257" s="184">
        <v>110</v>
      </c>
      <c r="EA257" s="116">
        <v>235239</v>
      </c>
      <c r="EB257" s="48">
        <v>914515</v>
      </c>
      <c r="EC257" s="46">
        <v>291062</v>
      </c>
      <c r="ED257" s="90">
        <v>476864</v>
      </c>
      <c r="EE257" s="186">
        <v>24654</v>
      </c>
      <c r="EF257" s="46">
        <v>767389</v>
      </c>
      <c r="EG257" s="130">
        <v>71098</v>
      </c>
      <c r="EH257" s="46">
        <v>76028</v>
      </c>
      <c r="EI257" s="130">
        <v>47997</v>
      </c>
      <c r="EJ257" s="48">
        <v>-167502</v>
      </c>
      <c r="EK257" s="44">
        <v>108318</v>
      </c>
      <c r="EL257" s="44">
        <v>670543</v>
      </c>
      <c r="EM257" s="130">
        <v>1656728</v>
      </c>
      <c r="EN257" s="117">
        <v>-54676</v>
      </c>
      <c r="EO257" s="117">
        <v>462976</v>
      </c>
      <c r="EP257" s="129">
        <v>19.75</v>
      </c>
    </row>
    <row r="258" spans="1:146" ht="15" x14ac:dyDescent="0.25">
      <c r="A258" s="27">
        <v>844</v>
      </c>
      <c r="B258" s="27" t="s">
        <v>381</v>
      </c>
      <c r="C258" s="27">
        <v>11</v>
      </c>
      <c r="D258" s="27" t="s">
        <v>118</v>
      </c>
      <c r="E258" s="27">
        <v>1</v>
      </c>
      <c r="F258" s="27" t="s">
        <v>103</v>
      </c>
      <c r="G258" s="29" t="s">
        <v>130</v>
      </c>
      <c r="H258" s="27" t="s">
        <v>98</v>
      </c>
      <c r="I258" s="31" t="s">
        <v>118</v>
      </c>
      <c r="J258" s="118">
        <v>559.89760719037019</v>
      </c>
      <c r="K258" s="118">
        <v>1056.2201781782892</v>
      </c>
      <c r="L258" s="118">
        <v>666.86512841989122</v>
      </c>
      <c r="M258" s="118">
        <v>513.81411533991616</v>
      </c>
      <c r="N258" s="22">
        <v>591</v>
      </c>
      <c r="O258" s="119">
        <v>498</v>
      </c>
      <c r="P258" s="119">
        <v>472</v>
      </c>
      <c r="Q258" s="120">
        <v>321</v>
      </c>
      <c r="R258" s="22">
        <v>526</v>
      </c>
      <c r="S258" s="22">
        <v>704</v>
      </c>
      <c r="T258" s="121">
        <v>982</v>
      </c>
      <c r="U258" s="121">
        <v>1038</v>
      </c>
      <c r="V258" s="121">
        <v>796</v>
      </c>
      <c r="W258" s="106">
        <v>514</v>
      </c>
      <c r="X258" s="121">
        <v>605</v>
      </c>
      <c r="Y258" s="121">
        <v>674</v>
      </c>
      <c r="Z258" s="121">
        <v>986</v>
      </c>
      <c r="AA258" s="121">
        <v>841</v>
      </c>
      <c r="AB258" s="122">
        <v>18.5</v>
      </c>
      <c r="AC258" s="123">
        <v>18.5</v>
      </c>
      <c r="AD258" s="124">
        <v>18.5</v>
      </c>
      <c r="AE258" s="125">
        <v>18.5</v>
      </c>
      <c r="AF258" s="126">
        <v>19</v>
      </c>
      <c r="AG258" s="123">
        <v>19</v>
      </c>
      <c r="AH258" s="123">
        <v>19</v>
      </c>
      <c r="AI258" s="127">
        <v>19</v>
      </c>
      <c r="AJ258" s="127">
        <v>19.75</v>
      </c>
      <c r="AK258" s="22">
        <v>19.75</v>
      </c>
      <c r="AL258" s="128">
        <v>19.75</v>
      </c>
      <c r="AM258" s="128">
        <v>19.75</v>
      </c>
      <c r="AN258" s="128">
        <v>19.75</v>
      </c>
      <c r="AO258" s="77">
        <v>19.75</v>
      </c>
      <c r="AP258" s="77">
        <v>19.75</v>
      </c>
      <c r="AQ258" s="129">
        <v>19.75</v>
      </c>
      <c r="AR258" s="129">
        <v>19.75</v>
      </c>
      <c r="AS258" s="129">
        <v>19.75</v>
      </c>
      <c r="AT258" s="116">
        <v>1669</v>
      </c>
      <c r="AU258" s="47">
        <v>3269</v>
      </c>
      <c r="AV258" s="47">
        <v>13526</v>
      </c>
      <c r="AW258" s="46">
        <v>4215</v>
      </c>
      <c r="AX258" s="46">
        <v>6226</v>
      </c>
      <c r="AY258" s="92">
        <v>266</v>
      </c>
      <c r="AZ258" s="47">
        <v>398</v>
      </c>
      <c r="BA258" s="44">
        <v>376</v>
      </c>
      <c r="BB258" s="23">
        <v>-1344</v>
      </c>
      <c r="BC258" s="47">
        <v>22</v>
      </c>
      <c r="BD258" s="44">
        <v>69</v>
      </c>
      <c r="BE258" s="47">
        <v>674</v>
      </c>
      <c r="BF258" s="44">
        <v>4215</v>
      </c>
      <c r="BG258" s="46">
        <v>3595</v>
      </c>
      <c r="BH258" s="130">
        <v>297</v>
      </c>
      <c r="BI258" s="46">
        <v>323</v>
      </c>
      <c r="BJ258" s="129">
        <v>19.75</v>
      </c>
      <c r="BK258" s="44">
        <v>4759</v>
      </c>
      <c r="BL258" s="116">
        <v>1627</v>
      </c>
      <c r="BM258" s="47">
        <v>3310</v>
      </c>
      <c r="BN258" s="130">
        <v>13557</v>
      </c>
      <c r="BO258" s="46">
        <v>4222</v>
      </c>
      <c r="BP258" s="46">
        <v>6415</v>
      </c>
      <c r="BQ258" s="46">
        <v>361</v>
      </c>
      <c r="BR258" s="130">
        <v>694</v>
      </c>
      <c r="BS258" s="44">
        <v>409</v>
      </c>
      <c r="BT258" s="92">
        <v>1046</v>
      </c>
      <c r="BU258" s="117">
        <v>312</v>
      </c>
      <c r="BV258" s="130">
        <v>986</v>
      </c>
      <c r="BW258" s="48">
        <v>4222</v>
      </c>
      <c r="BX258" s="46">
        <v>3497</v>
      </c>
      <c r="BY258" s="130">
        <v>351</v>
      </c>
      <c r="BZ258" s="46">
        <v>374</v>
      </c>
      <c r="CA258" s="129">
        <v>19.75</v>
      </c>
      <c r="CB258" s="44">
        <v>3319</v>
      </c>
      <c r="CC258" s="116">
        <v>1608</v>
      </c>
      <c r="CD258" s="47">
        <v>3091</v>
      </c>
      <c r="CE258" s="130">
        <v>13783</v>
      </c>
      <c r="CF258" s="46">
        <v>4324</v>
      </c>
      <c r="CG258" s="46">
        <v>6236</v>
      </c>
      <c r="CH258" s="46">
        <v>404</v>
      </c>
      <c r="CI258" s="130">
        <v>52</v>
      </c>
      <c r="CJ258" s="44">
        <v>401</v>
      </c>
      <c r="CK258" s="117">
        <v>-558</v>
      </c>
      <c r="CL258" s="117">
        <v>-58</v>
      </c>
      <c r="CM258" s="117">
        <v>841</v>
      </c>
      <c r="CN258" s="48">
        <v>4324</v>
      </c>
      <c r="CO258" s="46">
        <v>3505</v>
      </c>
      <c r="CP258" s="130">
        <v>413</v>
      </c>
      <c r="CQ258" s="46">
        <v>406</v>
      </c>
      <c r="CR258" s="129">
        <v>19.75</v>
      </c>
      <c r="CS258" s="44">
        <v>3715</v>
      </c>
      <c r="CT258">
        <v>1611</v>
      </c>
      <c r="CU258">
        <v>4477</v>
      </c>
      <c r="CV258">
        <v>6235</v>
      </c>
      <c r="CW258">
        <v>3768</v>
      </c>
      <c r="CX258">
        <v>223</v>
      </c>
      <c r="CY258">
        <v>3689</v>
      </c>
      <c r="CZ258">
        <v>376</v>
      </c>
      <c r="DA258">
        <v>412</v>
      </c>
      <c r="DB258">
        <v>409</v>
      </c>
      <c r="DC258">
        <v>-708</v>
      </c>
      <c r="DD258">
        <v>409</v>
      </c>
      <c r="DE258">
        <v>4248</v>
      </c>
      <c r="DF258">
        <v>14257</v>
      </c>
      <c r="DG258">
        <v>462</v>
      </c>
      <c r="DH258">
        <v>1246</v>
      </c>
      <c r="DI258">
        <v>20.75</v>
      </c>
      <c r="DJ258" s="174">
        <v>1585</v>
      </c>
      <c r="DK258" s="34">
        <v>4526</v>
      </c>
      <c r="DL258" s="34">
        <v>6355</v>
      </c>
      <c r="DM258">
        <v>3796</v>
      </c>
      <c r="DN258" s="173">
        <v>514</v>
      </c>
      <c r="DO258" s="34">
        <v>3677</v>
      </c>
      <c r="DP258" s="173">
        <v>430</v>
      </c>
      <c r="DQ258" s="34">
        <v>419</v>
      </c>
      <c r="DR258" s="173">
        <v>394</v>
      </c>
      <c r="DS258" s="173">
        <v>-92</v>
      </c>
      <c r="DT258">
        <v>332</v>
      </c>
      <c r="DU258">
        <v>5451</v>
      </c>
      <c r="DV258" s="173">
        <v>14600</v>
      </c>
      <c r="DW258" s="173">
        <v>170</v>
      </c>
      <c r="DX258" s="173">
        <v>1446</v>
      </c>
      <c r="DY258" s="57">
        <v>20.75</v>
      </c>
      <c r="DZ258" s="184">
        <v>340</v>
      </c>
      <c r="EA258" s="116">
        <v>1567</v>
      </c>
      <c r="EB258" s="48">
        <v>4283</v>
      </c>
      <c r="EC258" s="46">
        <v>6528</v>
      </c>
      <c r="ED258" s="90">
        <v>3869</v>
      </c>
      <c r="EE258" s="186">
        <v>192</v>
      </c>
      <c r="EF258" s="46">
        <v>3441</v>
      </c>
      <c r="EG258" s="130">
        <v>431</v>
      </c>
      <c r="EH258" s="46">
        <v>411</v>
      </c>
      <c r="EI258" s="130">
        <v>14</v>
      </c>
      <c r="EJ258" s="48">
        <v>56</v>
      </c>
      <c r="EK258" s="44">
        <v>285</v>
      </c>
      <c r="EL258" s="44">
        <v>5587</v>
      </c>
      <c r="EM258" s="130">
        <v>14858</v>
      </c>
      <c r="EN258" s="117">
        <v>-117</v>
      </c>
      <c r="EO258" s="117">
        <v>1329</v>
      </c>
      <c r="EP258" s="129">
        <v>20.75</v>
      </c>
    </row>
    <row r="259" spans="1:146" ht="15" x14ac:dyDescent="0.25">
      <c r="A259" s="27">
        <v>845</v>
      </c>
      <c r="B259" s="27" t="s">
        <v>382</v>
      </c>
      <c r="C259" s="27">
        <v>19</v>
      </c>
      <c r="D259" s="27" t="s">
        <v>113</v>
      </c>
      <c r="E259" s="27">
        <v>2</v>
      </c>
      <c r="F259" s="27" t="s">
        <v>744</v>
      </c>
      <c r="G259" s="29" t="s">
        <v>130</v>
      </c>
      <c r="H259" s="27" t="s">
        <v>98</v>
      </c>
      <c r="I259" s="31" t="s">
        <v>113</v>
      </c>
      <c r="J259" s="118">
        <v>323.08900673256267</v>
      </c>
      <c r="K259" s="118">
        <v>191.90242409258408</v>
      </c>
      <c r="L259" s="118">
        <v>-1602.4945633252771</v>
      </c>
      <c r="M259" s="118">
        <v>-1343.9897203539347</v>
      </c>
      <c r="N259" s="22">
        <v>-547</v>
      </c>
      <c r="O259" s="119">
        <v>-1220</v>
      </c>
      <c r="P259" s="119">
        <v>961</v>
      </c>
      <c r="Q259" s="120">
        <v>-97</v>
      </c>
      <c r="R259" s="22">
        <v>-47</v>
      </c>
      <c r="S259" s="22">
        <v>669</v>
      </c>
      <c r="T259" s="121">
        <v>1360</v>
      </c>
      <c r="U259" s="121">
        <v>2207</v>
      </c>
      <c r="V259" s="121">
        <v>3293</v>
      </c>
      <c r="W259" s="106">
        <v>5756</v>
      </c>
      <c r="X259" s="121">
        <v>7825</v>
      </c>
      <c r="Y259" s="121">
        <v>8763</v>
      </c>
      <c r="Z259" s="121">
        <v>10160</v>
      </c>
      <c r="AA259" s="121">
        <v>10889</v>
      </c>
      <c r="AB259" s="122">
        <v>17.5</v>
      </c>
      <c r="AC259" s="123">
        <v>17.5</v>
      </c>
      <c r="AD259" s="124">
        <v>17.5</v>
      </c>
      <c r="AE259" s="125">
        <v>17.5</v>
      </c>
      <c r="AF259" s="126">
        <v>19</v>
      </c>
      <c r="AG259" s="123">
        <v>19</v>
      </c>
      <c r="AH259" s="123">
        <v>19</v>
      </c>
      <c r="AI259" s="127">
        <v>19</v>
      </c>
      <c r="AJ259" s="127">
        <v>19</v>
      </c>
      <c r="AK259" s="22">
        <v>19</v>
      </c>
      <c r="AL259" s="128">
        <v>19.5</v>
      </c>
      <c r="AM259" s="128">
        <v>19.5</v>
      </c>
      <c r="AN259" s="128">
        <v>19.5</v>
      </c>
      <c r="AO259" s="77">
        <v>19.5</v>
      </c>
      <c r="AP259" s="77">
        <v>19.5</v>
      </c>
      <c r="AQ259" s="129">
        <v>19.5</v>
      </c>
      <c r="AR259" s="129">
        <v>19.5</v>
      </c>
      <c r="AS259" s="129">
        <v>19.5</v>
      </c>
      <c r="AT259" s="116">
        <v>3306</v>
      </c>
      <c r="AU259" s="47">
        <v>8292</v>
      </c>
      <c r="AV259" s="47">
        <v>28969</v>
      </c>
      <c r="AW259" s="46">
        <v>11483</v>
      </c>
      <c r="AX259" s="46">
        <v>11949</v>
      </c>
      <c r="AY259" s="92">
        <v>421</v>
      </c>
      <c r="AZ259" s="47">
        <v>3176</v>
      </c>
      <c r="BA259" s="44">
        <v>1018</v>
      </c>
      <c r="BB259" s="23">
        <v>-959</v>
      </c>
      <c r="BC259" s="47">
        <v>2158</v>
      </c>
      <c r="BD259" s="44">
        <v>938</v>
      </c>
      <c r="BE259" s="47">
        <v>8763</v>
      </c>
      <c r="BF259" s="44">
        <v>11483</v>
      </c>
      <c r="BG259" s="46">
        <v>8608</v>
      </c>
      <c r="BH259" s="130">
        <v>513</v>
      </c>
      <c r="BI259" s="46">
        <v>2362</v>
      </c>
      <c r="BJ259" s="129">
        <v>19.5</v>
      </c>
      <c r="BK259" s="44">
        <v>3090</v>
      </c>
      <c r="BL259" s="116">
        <v>3239</v>
      </c>
      <c r="BM259" s="47">
        <v>8413</v>
      </c>
      <c r="BN259" s="130">
        <v>29330</v>
      </c>
      <c r="BO259" s="46">
        <v>11720</v>
      </c>
      <c r="BP259" s="46">
        <v>11856</v>
      </c>
      <c r="BQ259" s="46">
        <v>376</v>
      </c>
      <c r="BR259" s="130">
        <v>3035</v>
      </c>
      <c r="BS259" s="44">
        <v>1085</v>
      </c>
      <c r="BT259" s="92">
        <v>-3256</v>
      </c>
      <c r="BU259" s="117">
        <v>1396</v>
      </c>
      <c r="BV259" s="130">
        <v>10160</v>
      </c>
      <c r="BW259" s="48">
        <v>11720</v>
      </c>
      <c r="BX259" s="46">
        <v>8588</v>
      </c>
      <c r="BY259" s="130">
        <v>506</v>
      </c>
      <c r="BZ259" s="46">
        <v>2626</v>
      </c>
      <c r="CA259" s="129">
        <v>19.5</v>
      </c>
      <c r="CB259" s="44">
        <v>2603</v>
      </c>
      <c r="CC259" s="116">
        <v>3195</v>
      </c>
      <c r="CD259" s="47">
        <v>7731</v>
      </c>
      <c r="CE259" s="130">
        <v>28949</v>
      </c>
      <c r="CF259" s="46">
        <v>11401</v>
      </c>
      <c r="CG259" s="46">
        <v>11310</v>
      </c>
      <c r="CH259" s="46">
        <v>297</v>
      </c>
      <c r="CI259" s="130">
        <v>1789</v>
      </c>
      <c r="CJ259" s="44">
        <v>1331</v>
      </c>
      <c r="CK259" s="117">
        <v>-1193</v>
      </c>
      <c r="CL259" s="117">
        <v>729</v>
      </c>
      <c r="CM259" s="117">
        <v>10889</v>
      </c>
      <c r="CN259" s="48">
        <v>11401</v>
      </c>
      <c r="CO259" s="46">
        <v>8270</v>
      </c>
      <c r="CP259" s="130">
        <v>544</v>
      </c>
      <c r="CQ259" s="46">
        <v>2587</v>
      </c>
      <c r="CR259" s="129">
        <v>19.5</v>
      </c>
      <c r="CS259" s="44">
        <v>3097</v>
      </c>
      <c r="CT259">
        <v>3099</v>
      </c>
      <c r="CU259">
        <v>11547</v>
      </c>
      <c r="CV259">
        <v>11754</v>
      </c>
      <c r="CW259">
        <v>7363</v>
      </c>
      <c r="CX259">
        <v>427</v>
      </c>
      <c r="CY259">
        <v>8288</v>
      </c>
      <c r="CZ259">
        <v>524</v>
      </c>
      <c r="DA259">
        <v>2735</v>
      </c>
      <c r="DB259">
        <v>3412</v>
      </c>
      <c r="DC259">
        <v>-461</v>
      </c>
      <c r="DD259">
        <v>1370</v>
      </c>
      <c r="DE259">
        <v>2789</v>
      </c>
      <c r="DF259">
        <v>27679</v>
      </c>
      <c r="DG259">
        <v>1982</v>
      </c>
      <c r="DH259">
        <v>12872</v>
      </c>
      <c r="DI259">
        <v>19.5</v>
      </c>
      <c r="DJ259" s="174">
        <v>3068</v>
      </c>
      <c r="DK259" s="34">
        <v>11351</v>
      </c>
      <c r="DL259" s="34">
        <v>10838</v>
      </c>
      <c r="DM259">
        <v>6874</v>
      </c>
      <c r="DN259" s="173">
        <v>333</v>
      </c>
      <c r="DO259" s="34">
        <v>8075</v>
      </c>
      <c r="DP259" s="173">
        <v>596</v>
      </c>
      <c r="DQ259" s="34">
        <v>2680</v>
      </c>
      <c r="DR259" s="173">
        <v>1986</v>
      </c>
      <c r="DS259" s="173">
        <v>-528</v>
      </c>
      <c r="DT259">
        <v>1321</v>
      </c>
      <c r="DU259">
        <v>2596</v>
      </c>
      <c r="DV259" s="173">
        <v>27410</v>
      </c>
      <c r="DW259" s="173">
        <v>405</v>
      </c>
      <c r="DX259" s="173">
        <v>13277</v>
      </c>
      <c r="DY259" s="57">
        <v>19.5</v>
      </c>
      <c r="DZ259" s="184">
        <v>330</v>
      </c>
      <c r="EA259" s="116">
        <v>3062</v>
      </c>
      <c r="EB259" s="48">
        <v>11273</v>
      </c>
      <c r="EC259" s="46">
        <v>10308</v>
      </c>
      <c r="ED259" s="90">
        <v>6195</v>
      </c>
      <c r="EE259" s="186">
        <v>438</v>
      </c>
      <c r="EF259" s="46">
        <v>7988</v>
      </c>
      <c r="EG259" s="130">
        <v>482</v>
      </c>
      <c r="EH259" s="46">
        <v>2803</v>
      </c>
      <c r="EI259" s="130">
        <v>1459</v>
      </c>
      <c r="EJ259" s="48">
        <v>-1086</v>
      </c>
      <c r="EK259" s="44">
        <v>1199</v>
      </c>
      <c r="EL259" s="44">
        <v>2453</v>
      </c>
      <c r="EM259" s="130">
        <v>26755</v>
      </c>
      <c r="EN259" s="117">
        <v>411</v>
      </c>
      <c r="EO259" s="117">
        <v>13688</v>
      </c>
      <c r="EP259" s="129">
        <v>19.5</v>
      </c>
    </row>
    <row r="260" spans="1:146" ht="15" x14ac:dyDescent="0.25">
      <c r="A260" s="27">
        <v>846</v>
      </c>
      <c r="B260" s="27" t="s">
        <v>383</v>
      </c>
      <c r="C260" s="27">
        <v>14</v>
      </c>
      <c r="D260" s="27" t="s">
        <v>106</v>
      </c>
      <c r="E260" s="27">
        <v>3</v>
      </c>
      <c r="F260" s="27" t="s">
        <v>743</v>
      </c>
      <c r="G260" s="29" t="s">
        <v>130</v>
      </c>
      <c r="H260" s="27" t="s">
        <v>98</v>
      </c>
      <c r="I260" s="27" t="s">
        <v>106</v>
      </c>
      <c r="J260" s="118">
        <v>435.77491746177509</v>
      </c>
      <c r="K260" s="118">
        <v>-863.47681445339765</v>
      </c>
      <c r="L260" s="118">
        <v>-1742.7632939941773</v>
      </c>
      <c r="M260" s="118">
        <v>-1403.360058394848</v>
      </c>
      <c r="N260" s="22">
        <v>902</v>
      </c>
      <c r="O260" s="119">
        <v>1777</v>
      </c>
      <c r="P260" s="119">
        <v>3152</v>
      </c>
      <c r="Q260" s="120">
        <v>2192</v>
      </c>
      <c r="R260" s="22">
        <v>2221</v>
      </c>
      <c r="S260" s="22">
        <v>2984</v>
      </c>
      <c r="T260" s="121">
        <v>3946</v>
      </c>
      <c r="U260" s="121">
        <v>3999</v>
      </c>
      <c r="V260" s="121">
        <v>3761</v>
      </c>
      <c r="W260" s="106">
        <v>1300</v>
      </c>
      <c r="X260" s="121">
        <v>-1065</v>
      </c>
      <c r="Y260" s="121">
        <v>-2327</v>
      </c>
      <c r="Z260" s="121">
        <v>-3221</v>
      </c>
      <c r="AA260" s="121">
        <v>-3783</v>
      </c>
      <c r="AB260" s="122">
        <v>19</v>
      </c>
      <c r="AC260" s="123">
        <v>18.75</v>
      </c>
      <c r="AD260" s="124">
        <v>19.25</v>
      </c>
      <c r="AE260" s="125">
        <v>19.25</v>
      </c>
      <c r="AF260" s="126">
        <v>19.25</v>
      </c>
      <c r="AG260" s="123">
        <v>19.25</v>
      </c>
      <c r="AH260" s="123">
        <v>19.25</v>
      </c>
      <c r="AI260" s="127">
        <v>19.25</v>
      </c>
      <c r="AJ260" s="127">
        <v>19.25</v>
      </c>
      <c r="AK260" s="22">
        <v>19.25</v>
      </c>
      <c r="AL260" s="128">
        <v>19.25</v>
      </c>
      <c r="AM260" s="128">
        <v>19.25</v>
      </c>
      <c r="AN260" s="128">
        <v>19.75</v>
      </c>
      <c r="AO260" s="77">
        <v>20.5</v>
      </c>
      <c r="AP260" s="77">
        <v>20.5</v>
      </c>
      <c r="AQ260" s="129">
        <v>21.5</v>
      </c>
      <c r="AR260" s="129">
        <v>22</v>
      </c>
      <c r="AS260" s="129">
        <v>22</v>
      </c>
      <c r="AT260" s="116">
        <v>5656</v>
      </c>
      <c r="AU260" s="47">
        <v>5254</v>
      </c>
      <c r="AV260" s="47">
        <v>39883</v>
      </c>
      <c r="AW260" s="46">
        <v>16682</v>
      </c>
      <c r="AX260" s="46">
        <v>18191</v>
      </c>
      <c r="AY260" s="92">
        <v>8</v>
      </c>
      <c r="AZ260" s="47">
        <v>95</v>
      </c>
      <c r="BA260" s="44">
        <v>1356</v>
      </c>
      <c r="BB260" s="23">
        <v>-7202</v>
      </c>
      <c r="BC260" s="47">
        <v>-1261</v>
      </c>
      <c r="BD260" s="44">
        <v>-1261</v>
      </c>
      <c r="BE260" s="47">
        <v>-2327</v>
      </c>
      <c r="BF260" s="44">
        <v>16682</v>
      </c>
      <c r="BG260" s="46">
        <v>15353</v>
      </c>
      <c r="BH260" s="130">
        <v>661</v>
      </c>
      <c r="BI260" s="46">
        <v>668</v>
      </c>
      <c r="BJ260" s="129">
        <v>21.5</v>
      </c>
      <c r="BK260" s="44">
        <v>14151</v>
      </c>
      <c r="BL260" s="116">
        <v>5543</v>
      </c>
      <c r="BM260" s="47">
        <v>5249</v>
      </c>
      <c r="BN260" s="130">
        <v>39390</v>
      </c>
      <c r="BO260" s="46">
        <v>16710</v>
      </c>
      <c r="BP260" s="46">
        <v>18337</v>
      </c>
      <c r="BQ260" s="46">
        <v>0</v>
      </c>
      <c r="BR260" s="130">
        <v>678</v>
      </c>
      <c r="BS260" s="44">
        <v>1572</v>
      </c>
      <c r="BT260" s="92">
        <v>-3280</v>
      </c>
      <c r="BU260" s="117">
        <v>-894</v>
      </c>
      <c r="BV260" s="130">
        <v>-3221</v>
      </c>
      <c r="BW260" s="48">
        <v>16710</v>
      </c>
      <c r="BX260" s="46">
        <v>15059</v>
      </c>
      <c r="BY260" s="130">
        <v>763</v>
      </c>
      <c r="BZ260" s="46">
        <v>888</v>
      </c>
      <c r="CA260" s="129">
        <v>22</v>
      </c>
      <c r="CB260" s="44">
        <v>15766</v>
      </c>
      <c r="CC260" s="116">
        <v>5482</v>
      </c>
      <c r="CD260" s="47">
        <v>4701</v>
      </c>
      <c r="CE260" s="130">
        <v>38850</v>
      </c>
      <c r="CF260" s="46">
        <v>16804</v>
      </c>
      <c r="CG260" s="46">
        <v>17869</v>
      </c>
      <c r="CH260" s="46">
        <v>612</v>
      </c>
      <c r="CI260" s="130">
        <v>365</v>
      </c>
      <c r="CJ260" s="44">
        <v>1513</v>
      </c>
      <c r="CK260" s="117">
        <v>-4396</v>
      </c>
      <c r="CL260" s="117">
        <v>-563</v>
      </c>
      <c r="CM260" s="117">
        <v>-3783</v>
      </c>
      <c r="CN260" s="48">
        <v>16804</v>
      </c>
      <c r="CO260" s="46">
        <v>14998</v>
      </c>
      <c r="CP260" s="130">
        <v>846</v>
      </c>
      <c r="CQ260" s="46">
        <v>960</v>
      </c>
      <c r="CR260" s="129">
        <v>22</v>
      </c>
      <c r="CS260" s="44">
        <v>21368</v>
      </c>
      <c r="CT260">
        <v>5363</v>
      </c>
      <c r="CU260">
        <v>16312</v>
      </c>
      <c r="CV260">
        <v>18256</v>
      </c>
      <c r="CW260">
        <v>4851</v>
      </c>
      <c r="CX260">
        <v>47</v>
      </c>
      <c r="CY260">
        <v>14603</v>
      </c>
      <c r="CZ260">
        <v>718</v>
      </c>
      <c r="DA260">
        <v>991</v>
      </c>
      <c r="DB260">
        <v>482</v>
      </c>
      <c r="DC260">
        <v>831</v>
      </c>
      <c r="DD260">
        <v>2470</v>
      </c>
      <c r="DE260">
        <v>26670</v>
      </c>
      <c r="DF260">
        <v>38708</v>
      </c>
      <c r="DG260">
        <v>-1988</v>
      </c>
      <c r="DH260">
        <v>-5772</v>
      </c>
      <c r="DI260">
        <v>22</v>
      </c>
      <c r="DJ260" s="174">
        <v>5269</v>
      </c>
      <c r="DK260" s="34">
        <v>16833</v>
      </c>
      <c r="DL260" s="34">
        <v>18664</v>
      </c>
      <c r="DM260">
        <v>4541</v>
      </c>
      <c r="DN260" s="173">
        <v>-89</v>
      </c>
      <c r="DO260" s="34">
        <v>14973</v>
      </c>
      <c r="DP260" s="173">
        <v>842</v>
      </c>
      <c r="DQ260" s="34">
        <v>1018</v>
      </c>
      <c r="DR260" s="173">
        <v>2142</v>
      </c>
      <c r="DS260" s="173">
        <v>-1011</v>
      </c>
      <c r="DT260">
        <v>1402</v>
      </c>
      <c r="DU260">
        <v>25483</v>
      </c>
      <c r="DV260" s="173">
        <v>37807</v>
      </c>
      <c r="DW260" s="173">
        <v>740</v>
      </c>
      <c r="DX260" s="173">
        <v>-5031</v>
      </c>
      <c r="DY260" s="57">
        <v>22</v>
      </c>
      <c r="DZ260" s="184">
        <v>340</v>
      </c>
      <c r="EA260" s="116">
        <v>5158</v>
      </c>
      <c r="EB260" s="48">
        <v>15797</v>
      </c>
      <c r="EC260" s="46">
        <v>18021</v>
      </c>
      <c r="ED260" s="90">
        <v>4013</v>
      </c>
      <c r="EE260" s="186">
        <v>-95</v>
      </c>
      <c r="EF260" s="46">
        <v>13849</v>
      </c>
      <c r="EG260" s="130">
        <v>858</v>
      </c>
      <c r="EH260" s="46">
        <v>1090</v>
      </c>
      <c r="EI260" s="130">
        <v>1400</v>
      </c>
      <c r="EJ260" s="48">
        <v>-709</v>
      </c>
      <c r="EK260" s="44">
        <v>1394</v>
      </c>
      <c r="EL260" s="44">
        <v>23347</v>
      </c>
      <c r="EM260" s="130">
        <v>36336</v>
      </c>
      <c r="EN260" s="117">
        <v>6</v>
      </c>
      <c r="EO260" s="117">
        <v>-5025</v>
      </c>
      <c r="EP260" s="129">
        <v>22.5</v>
      </c>
    </row>
    <row r="261" spans="1:146" ht="15" x14ac:dyDescent="0.25">
      <c r="A261" s="27">
        <v>848</v>
      </c>
      <c r="B261" s="27" t="s">
        <v>384</v>
      </c>
      <c r="C261" s="27">
        <v>12</v>
      </c>
      <c r="D261" s="27" t="s">
        <v>116</v>
      </c>
      <c r="E261" s="27">
        <v>2</v>
      </c>
      <c r="F261" s="27" t="s">
        <v>744</v>
      </c>
      <c r="G261" s="29" t="s">
        <v>130</v>
      </c>
      <c r="H261" s="27" t="s">
        <v>98</v>
      </c>
      <c r="I261" s="31" t="s">
        <v>116</v>
      </c>
      <c r="J261" s="118">
        <v>250.2636345747284</v>
      </c>
      <c r="K261" s="118">
        <v>-866.50419712970483</v>
      </c>
      <c r="L261" s="118">
        <v>-1849.7308152236983</v>
      </c>
      <c r="M261" s="118">
        <v>-2154.1509621190335</v>
      </c>
      <c r="N261" s="22">
        <v>-2521</v>
      </c>
      <c r="O261" s="119">
        <v>-2701</v>
      </c>
      <c r="P261" s="119">
        <v>-1370</v>
      </c>
      <c r="Q261" s="120">
        <v>-2516</v>
      </c>
      <c r="R261" s="22">
        <v>-2628</v>
      </c>
      <c r="S261" s="22">
        <v>-3116</v>
      </c>
      <c r="T261" s="121">
        <v>-3619</v>
      </c>
      <c r="U261" s="121">
        <v>-2628</v>
      </c>
      <c r="V261" s="121">
        <v>-2760</v>
      </c>
      <c r="W261" s="106">
        <v>-2807</v>
      </c>
      <c r="X261" s="121">
        <v>-3902</v>
      </c>
      <c r="Y261" s="121">
        <v>146</v>
      </c>
      <c r="Z261" s="121">
        <v>1089</v>
      </c>
      <c r="AA261" s="121">
        <v>2037</v>
      </c>
      <c r="AB261" s="122">
        <v>19</v>
      </c>
      <c r="AC261" s="123">
        <v>19</v>
      </c>
      <c r="AD261" s="124">
        <v>19</v>
      </c>
      <c r="AE261" s="125">
        <v>19</v>
      </c>
      <c r="AF261" s="126">
        <v>19</v>
      </c>
      <c r="AG261" s="123">
        <v>19</v>
      </c>
      <c r="AH261" s="123">
        <v>19.5</v>
      </c>
      <c r="AI261" s="127">
        <v>19.5</v>
      </c>
      <c r="AJ261" s="127">
        <v>19.5</v>
      </c>
      <c r="AK261" s="22">
        <v>19.5</v>
      </c>
      <c r="AL261" s="128">
        <v>19.5</v>
      </c>
      <c r="AM261" s="128">
        <v>20.5</v>
      </c>
      <c r="AN261" s="128">
        <v>20.75</v>
      </c>
      <c r="AO261" s="77">
        <v>21.5</v>
      </c>
      <c r="AP261" s="77">
        <v>21.5</v>
      </c>
      <c r="AQ261" s="129">
        <v>21.75</v>
      </c>
      <c r="AR261" s="129">
        <v>21.75</v>
      </c>
      <c r="AS261" s="129">
        <v>21.75</v>
      </c>
      <c r="AT261" s="116">
        <v>4876</v>
      </c>
      <c r="AU261" s="47">
        <v>10428</v>
      </c>
      <c r="AV261" s="47">
        <v>37194</v>
      </c>
      <c r="AW261" s="46">
        <v>13614</v>
      </c>
      <c r="AX261" s="46">
        <v>15182</v>
      </c>
      <c r="AY261" s="92">
        <v>3663</v>
      </c>
      <c r="AZ261" s="47">
        <v>2164</v>
      </c>
      <c r="BA261" s="44">
        <v>1040</v>
      </c>
      <c r="BB261" s="23">
        <v>2818</v>
      </c>
      <c r="BC261" s="47">
        <v>4558</v>
      </c>
      <c r="BD261" s="44">
        <v>4563</v>
      </c>
      <c r="BE261" s="47">
        <v>146</v>
      </c>
      <c r="BF261" s="44">
        <v>13614</v>
      </c>
      <c r="BG261" s="46">
        <v>12109</v>
      </c>
      <c r="BH261" s="130">
        <v>667</v>
      </c>
      <c r="BI261" s="46">
        <v>838</v>
      </c>
      <c r="BJ261" s="129">
        <v>21.75</v>
      </c>
      <c r="BK261" s="44">
        <v>9710</v>
      </c>
      <c r="BL261" s="116">
        <v>4794</v>
      </c>
      <c r="BM261" s="47">
        <v>10391</v>
      </c>
      <c r="BN261" s="130">
        <v>38551</v>
      </c>
      <c r="BO261" s="46">
        <v>14269</v>
      </c>
      <c r="BP261" s="46">
        <v>15483</v>
      </c>
      <c r="BQ261" s="46">
        <v>134</v>
      </c>
      <c r="BR261" s="130">
        <v>1726</v>
      </c>
      <c r="BS261" s="44">
        <v>789</v>
      </c>
      <c r="BT261" s="92">
        <v>-1041</v>
      </c>
      <c r="BU261" s="117">
        <v>943</v>
      </c>
      <c r="BV261" s="130">
        <v>1089</v>
      </c>
      <c r="BW261" s="48">
        <v>14269</v>
      </c>
      <c r="BX261" s="46">
        <v>12519</v>
      </c>
      <c r="BY261" s="130">
        <v>802</v>
      </c>
      <c r="BZ261" s="46">
        <v>948</v>
      </c>
      <c r="CA261" s="129">
        <v>21.75</v>
      </c>
      <c r="CB261" s="44">
        <v>8503</v>
      </c>
      <c r="CC261" s="116">
        <v>4738</v>
      </c>
      <c r="CD261" s="47">
        <v>10120</v>
      </c>
      <c r="CE261" s="130">
        <v>38749</v>
      </c>
      <c r="CF261" s="46">
        <v>14239</v>
      </c>
      <c r="CG261" s="46">
        <v>16027</v>
      </c>
      <c r="CH261" s="46">
        <v>265</v>
      </c>
      <c r="CI261" s="130">
        <v>1784</v>
      </c>
      <c r="CJ261" s="44">
        <v>840</v>
      </c>
      <c r="CK261" s="117">
        <v>-1600</v>
      </c>
      <c r="CL261" s="117">
        <v>949</v>
      </c>
      <c r="CM261" s="117">
        <v>2037</v>
      </c>
      <c r="CN261" s="48">
        <v>14239</v>
      </c>
      <c r="CO261" s="46">
        <v>12361</v>
      </c>
      <c r="CP261" s="130">
        <v>932</v>
      </c>
      <c r="CQ261" s="46">
        <v>946</v>
      </c>
      <c r="CR261" s="129">
        <v>21.75</v>
      </c>
      <c r="CS261" s="44">
        <v>7287</v>
      </c>
      <c r="CT261">
        <v>4653</v>
      </c>
      <c r="CU261">
        <v>13788</v>
      </c>
      <c r="CV261">
        <v>16990</v>
      </c>
      <c r="CW261">
        <v>9773</v>
      </c>
      <c r="CX261">
        <v>190</v>
      </c>
      <c r="CY261">
        <v>11815</v>
      </c>
      <c r="CZ261">
        <v>988</v>
      </c>
      <c r="DA261">
        <v>985</v>
      </c>
      <c r="DB261">
        <v>1543</v>
      </c>
      <c r="DC261">
        <v>-1450</v>
      </c>
      <c r="DD261">
        <v>1021</v>
      </c>
      <c r="DE261">
        <v>6388</v>
      </c>
      <c r="DF261">
        <v>39198</v>
      </c>
      <c r="DG261">
        <v>527</v>
      </c>
      <c r="DH261">
        <v>2564</v>
      </c>
      <c r="DI261">
        <v>21.75</v>
      </c>
      <c r="DJ261" s="174">
        <v>4571</v>
      </c>
      <c r="DK261" s="34">
        <v>13848</v>
      </c>
      <c r="DL261" s="34">
        <v>17404</v>
      </c>
      <c r="DM261">
        <v>7447</v>
      </c>
      <c r="DN261" s="173">
        <v>495</v>
      </c>
      <c r="DO261" s="34">
        <v>11849</v>
      </c>
      <c r="DP261" s="173">
        <v>1041</v>
      </c>
      <c r="DQ261" s="34">
        <v>958</v>
      </c>
      <c r="DR261" s="173">
        <v>2210</v>
      </c>
      <c r="DS261" s="173">
        <v>-1096</v>
      </c>
      <c r="DT261">
        <v>2409</v>
      </c>
      <c r="DU261">
        <v>6348</v>
      </c>
      <c r="DV261" s="173">
        <v>36670</v>
      </c>
      <c r="DW261" s="173">
        <v>120</v>
      </c>
      <c r="DX261" s="173">
        <v>2895</v>
      </c>
      <c r="DY261" s="57">
        <v>21.75</v>
      </c>
      <c r="DZ261" s="184">
        <v>340</v>
      </c>
      <c r="EA261" s="116">
        <v>4482</v>
      </c>
      <c r="EB261" s="48">
        <v>13158</v>
      </c>
      <c r="EC261" s="46">
        <v>16746</v>
      </c>
      <c r="ED261" s="90">
        <v>7321</v>
      </c>
      <c r="EE261" s="186">
        <v>180</v>
      </c>
      <c r="EF261" s="46">
        <v>11265</v>
      </c>
      <c r="EG261" s="130">
        <v>932</v>
      </c>
      <c r="EH261" s="46">
        <v>961</v>
      </c>
      <c r="EI261" s="130">
        <v>446</v>
      </c>
      <c r="EJ261" s="48">
        <v>-2021</v>
      </c>
      <c r="EK261" s="44">
        <v>919</v>
      </c>
      <c r="EL261" s="44">
        <v>7554</v>
      </c>
      <c r="EM261" s="130">
        <v>36959</v>
      </c>
      <c r="EN261" s="117">
        <v>-468</v>
      </c>
      <c r="EO261" s="117">
        <v>2427</v>
      </c>
      <c r="EP261" s="129">
        <v>21.75</v>
      </c>
    </row>
    <row r="262" spans="1:146" ht="15" x14ac:dyDescent="0.25">
      <c r="A262" s="27">
        <v>849</v>
      </c>
      <c r="B262" s="27" t="s">
        <v>385</v>
      </c>
      <c r="C262" s="27">
        <v>16</v>
      </c>
      <c r="D262" s="27" t="s">
        <v>110</v>
      </c>
      <c r="E262" s="27">
        <v>2</v>
      </c>
      <c r="F262" s="27" t="s">
        <v>744</v>
      </c>
      <c r="G262" s="29" t="s">
        <v>130</v>
      </c>
      <c r="H262" s="27" t="s">
        <v>98</v>
      </c>
      <c r="I262" s="31" t="s">
        <v>110</v>
      </c>
      <c r="J262" s="118">
        <v>1505.6183176834468</v>
      </c>
      <c r="K262" s="118">
        <v>879.45466746724117</v>
      </c>
      <c r="L262" s="118">
        <v>-30.610202615995007</v>
      </c>
      <c r="M262" s="118">
        <v>-555.5247211023709</v>
      </c>
      <c r="N262" s="22">
        <v>22</v>
      </c>
      <c r="O262" s="119">
        <v>-398</v>
      </c>
      <c r="P262" s="119">
        <v>-872</v>
      </c>
      <c r="Q262" s="120">
        <v>-929</v>
      </c>
      <c r="R262" s="22">
        <v>-539</v>
      </c>
      <c r="S262" s="22">
        <v>331</v>
      </c>
      <c r="T262" s="121">
        <v>787</v>
      </c>
      <c r="U262" s="121">
        <v>1644</v>
      </c>
      <c r="V262" s="121">
        <v>2407</v>
      </c>
      <c r="W262" s="106">
        <v>1320</v>
      </c>
      <c r="X262" s="121">
        <v>590</v>
      </c>
      <c r="Y262" s="121">
        <v>832</v>
      </c>
      <c r="Z262" s="121">
        <v>1151</v>
      </c>
      <c r="AA262" s="121">
        <v>1424</v>
      </c>
      <c r="AB262" s="122">
        <v>18.5</v>
      </c>
      <c r="AC262" s="123">
        <v>18.5</v>
      </c>
      <c r="AD262" s="124">
        <v>18.5</v>
      </c>
      <c r="AE262" s="125">
        <v>19.5</v>
      </c>
      <c r="AF262" s="126">
        <v>19.5</v>
      </c>
      <c r="AG262" s="123">
        <v>19.5</v>
      </c>
      <c r="AH262" s="123">
        <v>19.5</v>
      </c>
      <c r="AI262" s="127">
        <v>19.5</v>
      </c>
      <c r="AJ262" s="127">
        <v>19.75</v>
      </c>
      <c r="AK262" s="22">
        <v>19.75</v>
      </c>
      <c r="AL262" s="128">
        <v>19.75</v>
      </c>
      <c r="AM262" s="128">
        <v>19.75</v>
      </c>
      <c r="AN262" s="128">
        <v>19.75</v>
      </c>
      <c r="AO262" s="77">
        <v>20</v>
      </c>
      <c r="AP262" s="77">
        <v>20.5</v>
      </c>
      <c r="AQ262" s="129">
        <v>21</v>
      </c>
      <c r="AR262" s="129">
        <v>21.5</v>
      </c>
      <c r="AS262" s="129">
        <v>21.5</v>
      </c>
      <c r="AT262" s="116">
        <v>3381</v>
      </c>
      <c r="AU262" s="47">
        <v>10181</v>
      </c>
      <c r="AV262" s="47">
        <v>27971</v>
      </c>
      <c r="AW262" s="46">
        <v>9883</v>
      </c>
      <c r="AX262" s="46">
        <v>9389</v>
      </c>
      <c r="AY262" s="92">
        <v>3</v>
      </c>
      <c r="AZ262" s="47">
        <v>1133</v>
      </c>
      <c r="BA262" s="44">
        <v>908</v>
      </c>
      <c r="BB262" s="23">
        <v>-979</v>
      </c>
      <c r="BC262" s="47">
        <v>225</v>
      </c>
      <c r="BD262" s="44">
        <v>242</v>
      </c>
      <c r="BE262" s="47">
        <v>832</v>
      </c>
      <c r="BF262" s="44">
        <v>9883</v>
      </c>
      <c r="BG262" s="46">
        <v>8877</v>
      </c>
      <c r="BH262" s="130">
        <v>438</v>
      </c>
      <c r="BI262" s="46">
        <v>568</v>
      </c>
      <c r="BJ262" s="129">
        <v>21</v>
      </c>
      <c r="BK262" s="44">
        <v>19545</v>
      </c>
      <c r="BL262" s="116">
        <v>3354</v>
      </c>
      <c r="BM262" s="47">
        <v>9941</v>
      </c>
      <c r="BN262" s="130">
        <v>27206</v>
      </c>
      <c r="BO262" s="46">
        <v>10130</v>
      </c>
      <c r="BP262" s="46">
        <v>9337</v>
      </c>
      <c r="BQ262" s="46">
        <v>20</v>
      </c>
      <c r="BR262" s="130">
        <v>1906</v>
      </c>
      <c r="BS262" s="44">
        <v>1605</v>
      </c>
      <c r="BT262" s="92">
        <v>-869</v>
      </c>
      <c r="BU262" s="117">
        <v>319</v>
      </c>
      <c r="BV262" s="130">
        <v>1151</v>
      </c>
      <c r="BW262" s="48">
        <v>10130</v>
      </c>
      <c r="BX262" s="46">
        <v>8960</v>
      </c>
      <c r="BY262" s="130">
        <v>492</v>
      </c>
      <c r="BZ262" s="46">
        <v>678</v>
      </c>
      <c r="CA262" s="129">
        <v>21.5</v>
      </c>
      <c r="CB262" s="44">
        <v>17522</v>
      </c>
      <c r="CC262" s="116">
        <v>3311</v>
      </c>
      <c r="CD262" s="47">
        <v>9651</v>
      </c>
      <c r="CE262" s="130">
        <v>27464</v>
      </c>
      <c r="CF262" s="46">
        <v>10429</v>
      </c>
      <c r="CG262" s="46">
        <v>9516</v>
      </c>
      <c r="CH262" s="46">
        <v>28</v>
      </c>
      <c r="CI262" s="130">
        <v>1827</v>
      </c>
      <c r="CJ262" s="44">
        <v>1970</v>
      </c>
      <c r="CK262" s="117">
        <v>-2092</v>
      </c>
      <c r="CL262" s="117">
        <v>273</v>
      </c>
      <c r="CM262" s="117">
        <v>1424</v>
      </c>
      <c r="CN262" s="48">
        <v>10429</v>
      </c>
      <c r="CO262" s="46">
        <v>9132</v>
      </c>
      <c r="CP262" s="130">
        <v>566</v>
      </c>
      <c r="CQ262" s="46">
        <v>731</v>
      </c>
      <c r="CR262" s="129">
        <v>21.5</v>
      </c>
      <c r="CS262" s="44">
        <v>17739</v>
      </c>
      <c r="CT262">
        <v>3232</v>
      </c>
      <c r="CU262">
        <v>9687</v>
      </c>
      <c r="CV262">
        <v>9905</v>
      </c>
      <c r="CW262">
        <v>8264</v>
      </c>
      <c r="CX262">
        <v>8</v>
      </c>
      <c r="CY262">
        <v>8380</v>
      </c>
      <c r="CZ262">
        <v>555</v>
      </c>
      <c r="DA262">
        <v>752</v>
      </c>
      <c r="DB262">
        <v>754</v>
      </c>
      <c r="DC262">
        <v>-369</v>
      </c>
      <c r="DD262">
        <v>1362</v>
      </c>
      <c r="DE262">
        <v>15436</v>
      </c>
      <c r="DF262">
        <v>26841</v>
      </c>
      <c r="DG262">
        <v>-603</v>
      </c>
      <c r="DH262">
        <v>823</v>
      </c>
      <c r="DI262">
        <v>21.5</v>
      </c>
      <c r="DJ262" s="174">
        <v>3192</v>
      </c>
      <c r="DK262" s="34">
        <v>9425</v>
      </c>
      <c r="DL262" s="34">
        <v>10359</v>
      </c>
      <c r="DM262">
        <v>8526</v>
      </c>
      <c r="DN262" s="173">
        <v>-147</v>
      </c>
      <c r="DO262" s="34">
        <v>7924</v>
      </c>
      <c r="DP262" s="173">
        <v>676</v>
      </c>
      <c r="DQ262" s="34">
        <v>825</v>
      </c>
      <c r="DR262" s="173">
        <v>1729</v>
      </c>
      <c r="DS262" s="173">
        <v>-632</v>
      </c>
      <c r="DT262">
        <v>1043</v>
      </c>
      <c r="DU262">
        <v>15433</v>
      </c>
      <c r="DV262" s="173">
        <v>26434</v>
      </c>
      <c r="DW262" s="173">
        <v>691</v>
      </c>
      <c r="DX262" s="173">
        <v>1513</v>
      </c>
      <c r="DY262" s="57">
        <v>21.5</v>
      </c>
      <c r="DZ262" s="184">
        <v>340</v>
      </c>
      <c r="EA262" s="116">
        <v>3112</v>
      </c>
      <c r="EB262" s="48">
        <v>9316</v>
      </c>
      <c r="EC262" s="46">
        <v>10272</v>
      </c>
      <c r="ED262" s="90">
        <v>8654</v>
      </c>
      <c r="EE262" s="186">
        <v>-122</v>
      </c>
      <c r="EF262" s="46">
        <v>7874</v>
      </c>
      <c r="EG262" s="130">
        <v>592</v>
      </c>
      <c r="EH262" s="46">
        <v>850</v>
      </c>
      <c r="EI262" s="130">
        <v>629</v>
      </c>
      <c r="EJ262" s="48">
        <v>123</v>
      </c>
      <c r="EK262" s="44">
        <v>972</v>
      </c>
      <c r="EL262" s="44">
        <v>14280</v>
      </c>
      <c r="EM262" s="130">
        <v>27491</v>
      </c>
      <c r="EN262" s="117">
        <v>-313</v>
      </c>
      <c r="EO262" s="117">
        <v>1201</v>
      </c>
      <c r="EP262" s="129">
        <v>21.75</v>
      </c>
    </row>
    <row r="263" spans="1:146" ht="15" x14ac:dyDescent="0.25">
      <c r="A263" s="27">
        <v>850</v>
      </c>
      <c r="B263" s="27" t="s">
        <v>386</v>
      </c>
      <c r="C263" s="27">
        <v>13</v>
      </c>
      <c r="D263" s="27" t="s">
        <v>111</v>
      </c>
      <c r="E263" s="27">
        <v>2</v>
      </c>
      <c r="F263" s="27" t="s">
        <v>744</v>
      </c>
      <c r="G263" s="29" t="s">
        <v>130</v>
      </c>
      <c r="H263" s="27" t="s">
        <v>98</v>
      </c>
      <c r="I263" s="31" t="s">
        <v>111</v>
      </c>
      <c r="J263" s="118">
        <v>140.4369185953617</v>
      </c>
      <c r="K263" s="118">
        <v>247.40443982488273</v>
      </c>
      <c r="L263" s="118">
        <v>106.7993333030595</v>
      </c>
      <c r="M263" s="118">
        <v>142.28698578643832</v>
      </c>
      <c r="N263" s="22">
        <v>287</v>
      </c>
      <c r="O263" s="119">
        <v>-37</v>
      </c>
      <c r="P263" s="119">
        <v>-376</v>
      </c>
      <c r="Q263" s="120">
        <v>-503</v>
      </c>
      <c r="R263" s="22">
        <v>0</v>
      </c>
      <c r="S263" s="22">
        <v>119</v>
      </c>
      <c r="T263" s="121">
        <v>-530</v>
      </c>
      <c r="U263" s="121">
        <v>-1276</v>
      </c>
      <c r="V263" s="121">
        <v>-584</v>
      </c>
      <c r="W263" s="106">
        <v>-620</v>
      </c>
      <c r="X263" s="121">
        <v>-779</v>
      </c>
      <c r="Y263" s="121">
        <v>217</v>
      </c>
      <c r="Z263" s="121">
        <v>1547</v>
      </c>
      <c r="AA263" s="121">
        <v>1654</v>
      </c>
      <c r="AB263" s="122">
        <v>18.5</v>
      </c>
      <c r="AC263" s="123">
        <v>18.5</v>
      </c>
      <c r="AD263" s="124">
        <v>18.5</v>
      </c>
      <c r="AE263" s="125">
        <v>18.5</v>
      </c>
      <c r="AF263" s="126">
        <v>18.5</v>
      </c>
      <c r="AG263" s="123">
        <v>19</v>
      </c>
      <c r="AH263" s="123">
        <v>19</v>
      </c>
      <c r="AI263" s="127">
        <v>19</v>
      </c>
      <c r="AJ263" s="127">
        <v>19</v>
      </c>
      <c r="AK263" s="22">
        <v>19</v>
      </c>
      <c r="AL263" s="128">
        <v>19</v>
      </c>
      <c r="AM263" s="128">
        <v>19</v>
      </c>
      <c r="AN263" s="128">
        <v>20</v>
      </c>
      <c r="AO263" s="77">
        <v>20.5</v>
      </c>
      <c r="AP263" s="77">
        <v>20.5</v>
      </c>
      <c r="AQ263" s="129">
        <v>20.5</v>
      </c>
      <c r="AR263" s="129">
        <v>20.5</v>
      </c>
      <c r="AS263" s="129">
        <v>20.5</v>
      </c>
      <c r="AT263" s="116">
        <v>2466</v>
      </c>
      <c r="AU263" s="47">
        <v>2778</v>
      </c>
      <c r="AV263" s="47">
        <v>14455</v>
      </c>
      <c r="AW263" s="46">
        <v>7302</v>
      </c>
      <c r="AX263" s="46">
        <v>5733</v>
      </c>
      <c r="AY263" s="92">
        <v>49</v>
      </c>
      <c r="AZ263" s="47">
        <v>1382</v>
      </c>
      <c r="BA263" s="44">
        <v>408</v>
      </c>
      <c r="BB263" s="23">
        <v>-46</v>
      </c>
      <c r="BC263" s="47">
        <v>974</v>
      </c>
      <c r="BD263" s="44">
        <v>996</v>
      </c>
      <c r="BE263" s="47">
        <v>217</v>
      </c>
      <c r="BF263" s="44">
        <v>7302</v>
      </c>
      <c r="BG263" s="46">
        <v>6445</v>
      </c>
      <c r="BH263" s="130">
        <v>339</v>
      </c>
      <c r="BI263" s="46">
        <v>518</v>
      </c>
      <c r="BJ263" s="129">
        <v>20.5</v>
      </c>
      <c r="BK263" s="44">
        <v>2342</v>
      </c>
      <c r="BL263" s="116">
        <v>2472</v>
      </c>
      <c r="BM263" s="47">
        <v>2333</v>
      </c>
      <c r="BN263" s="130">
        <v>14223</v>
      </c>
      <c r="BO263" s="46">
        <v>7452</v>
      </c>
      <c r="BP263" s="46">
        <v>5970</v>
      </c>
      <c r="BQ263" s="46">
        <v>237</v>
      </c>
      <c r="BR263" s="130">
        <v>1530</v>
      </c>
      <c r="BS263" s="44">
        <v>421</v>
      </c>
      <c r="BT263" s="92">
        <v>-1164</v>
      </c>
      <c r="BU263" s="117">
        <v>1330</v>
      </c>
      <c r="BV263" s="130">
        <v>1547</v>
      </c>
      <c r="BW263" s="48">
        <v>7452</v>
      </c>
      <c r="BX263" s="46">
        <v>6480</v>
      </c>
      <c r="BY263" s="130">
        <v>386</v>
      </c>
      <c r="BZ263" s="46">
        <v>586</v>
      </c>
      <c r="CA263" s="129">
        <v>20.5</v>
      </c>
      <c r="CB263" s="44">
        <v>2025</v>
      </c>
      <c r="CC263" s="116">
        <v>2431</v>
      </c>
      <c r="CD263" s="47">
        <v>2081</v>
      </c>
      <c r="CE263" s="130">
        <v>15258</v>
      </c>
      <c r="CF263" s="46">
        <v>7751</v>
      </c>
      <c r="CG263" s="46">
        <v>6020</v>
      </c>
      <c r="CH263" s="46">
        <v>44</v>
      </c>
      <c r="CI263" s="130">
        <v>580</v>
      </c>
      <c r="CJ263" s="44">
        <v>495</v>
      </c>
      <c r="CK263" s="117">
        <v>-2487</v>
      </c>
      <c r="CL263" s="117">
        <v>106</v>
      </c>
      <c r="CM263" s="117">
        <v>1654</v>
      </c>
      <c r="CN263" s="48">
        <v>7751</v>
      </c>
      <c r="CO263" s="46">
        <v>6729</v>
      </c>
      <c r="CP263" s="130">
        <v>453</v>
      </c>
      <c r="CQ263" s="46">
        <v>569</v>
      </c>
      <c r="CR263" s="129">
        <v>20.5</v>
      </c>
      <c r="CS263" s="44">
        <v>3641</v>
      </c>
      <c r="CT263">
        <v>2432</v>
      </c>
      <c r="CU263">
        <v>7703</v>
      </c>
      <c r="CV263">
        <v>6488</v>
      </c>
      <c r="CW263">
        <v>2308</v>
      </c>
      <c r="CX263">
        <v>0</v>
      </c>
      <c r="CY263">
        <v>6693</v>
      </c>
      <c r="CZ263">
        <v>440</v>
      </c>
      <c r="DA263">
        <v>570</v>
      </c>
      <c r="DB263">
        <v>742</v>
      </c>
      <c r="DC263">
        <v>-2991</v>
      </c>
      <c r="DD263">
        <v>670</v>
      </c>
      <c r="DE263">
        <v>5989</v>
      </c>
      <c r="DF263">
        <v>15697</v>
      </c>
      <c r="DG263">
        <v>93</v>
      </c>
      <c r="DH263">
        <v>1748</v>
      </c>
      <c r="DI263">
        <v>20.5</v>
      </c>
      <c r="DJ263" s="174">
        <v>2384</v>
      </c>
      <c r="DK263" s="34">
        <v>7908</v>
      </c>
      <c r="DL263" s="34">
        <v>6149</v>
      </c>
      <c r="DM263">
        <v>2775</v>
      </c>
      <c r="DN263" s="173">
        <v>18</v>
      </c>
      <c r="DO263" s="34">
        <v>6793</v>
      </c>
      <c r="DP263" s="173">
        <v>546</v>
      </c>
      <c r="DQ263" s="34">
        <v>569</v>
      </c>
      <c r="DR263" s="173">
        <v>1425</v>
      </c>
      <c r="DS263" s="173">
        <v>-1254</v>
      </c>
      <c r="DT263">
        <v>1360</v>
      </c>
      <c r="DU263">
        <v>6937</v>
      </c>
      <c r="DV263" s="173">
        <v>15425</v>
      </c>
      <c r="DW263" s="173">
        <v>86</v>
      </c>
      <c r="DX263" s="173">
        <v>1830</v>
      </c>
      <c r="DY263" s="57">
        <v>21</v>
      </c>
      <c r="DZ263" s="184">
        <v>330</v>
      </c>
      <c r="EA263" s="116">
        <v>2406</v>
      </c>
      <c r="EB263" s="48">
        <v>7865</v>
      </c>
      <c r="EC263" s="46">
        <v>5945</v>
      </c>
      <c r="ED263" s="90">
        <v>2006</v>
      </c>
      <c r="EE263" s="186">
        <v>-18</v>
      </c>
      <c r="EF263" s="46">
        <v>6664</v>
      </c>
      <c r="EG263" s="130">
        <v>569</v>
      </c>
      <c r="EH263" s="46">
        <v>632</v>
      </c>
      <c r="EI263" s="130">
        <v>165</v>
      </c>
      <c r="EJ263" s="48">
        <v>-1762</v>
      </c>
      <c r="EK263" s="44">
        <v>1643</v>
      </c>
      <c r="EL263" s="44">
        <v>6999</v>
      </c>
      <c r="EM263" s="130">
        <v>15633</v>
      </c>
      <c r="EN263" s="117">
        <v>-1457</v>
      </c>
      <c r="EO263" s="117">
        <v>373</v>
      </c>
      <c r="EP263" s="129">
        <v>21</v>
      </c>
    </row>
    <row r="264" spans="1:146" ht="15" x14ac:dyDescent="0.25">
      <c r="A264" s="27">
        <v>851</v>
      </c>
      <c r="B264" s="27" t="s">
        <v>387</v>
      </c>
      <c r="C264" s="27">
        <v>19</v>
      </c>
      <c r="D264" s="27" t="s">
        <v>113</v>
      </c>
      <c r="E264" s="27">
        <v>5</v>
      </c>
      <c r="F264" s="27" t="s">
        <v>101</v>
      </c>
      <c r="G264" s="29" t="s">
        <v>141</v>
      </c>
      <c r="H264" s="27" t="s">
        <v>97</v>
      </c>
      <c r="I264" s="31" t="s">
        <v>113</v>
      </c>
      <c r="J264" s="118">
        <v>-3624.2816273191011</v>
      </c>
      <c r="K264" s="118">
        <v>-5814.088429847975</v>
      </c>
      <c r="L264" s="118">
        <v>-10450.693186538911</v>
      </c>
      <c r="M264" s="118">
        <v>-3642.1095475240209</v>
      </c>
      <c r="N264" s="22">
        <v>10206</v>
      </c>
      <c r="O264" s="119">
        <v>4211</v>
      </c>
      <c r="P264" s="119">
        <v>8593</v>
      </c>
      <c r="Q264" s="120">
        <v>1781</v>
      </c>
      <c r="R264" s="22">
        <v>-4669</v>
      </c>
      <c r="S264" s="22">
        <v>-1802</v>
      </c>
      <c r="T264" s="121">
        <v>3132</v>
      </c>
      <c r="U264" s="121">
        <v>9993</v>
      </c>
      <c r="V264" s="121">
        <v>10027</v>
      </c>
      <c r="W264" s="106">
        <v>11671</v>
      </c>
      <c r="X264" s="121">
        <v>11187</v>
      </c>
      <c r="Y264" s="121">
        <v>18267</v>
      </c>
      <c r="Z264" s="121">
        <v>14714</v>
      </c>
      <c r="AA264" s="121">
        <v>10210</v>
      </c>
      <c r="AB264" s="122">
        <v>18.75</v>
      </c>
      <c r="AC264" s="123">
        <v>18.75</v>
      </c>
      <c r="AD264" s="124">
        <v>18.75</v>
      </c>
      <c r="AE264" s="125">
        <v>18.75</v>
      </c>
      <c r="AF264" s="126">
        <v>18.75</v>
      </c>
      <c r="AG264" s="123">
        <v>18.75</v>
      </c>
      <c r="AH264" s="123">
        <v>18.75</v>
      </c>
      <c r="AI264" s="127">
        <v>19</v>
      </c>
      <c r="AJ264" s="127">
        <v>19</v>
      </c>
      <c r="AK264" s="22">
        <v>19.5</v>
      </c>
      <c r="AL264" s="128">
        <v>20</v>
      </c>
      <c r="AM264" s="128">
        <v>20</v>
      </c>
      <c r="AN264" s="128">
        <v>20</v>
      </c>
      <c r="AO264" s="77">
        <v>20</v>
      </c>
      <c r="AP264" s="77">
        <v>20</v>
      </c>
      <c r="AQ264" s="129">
        <v>20</v>
      </c>
      <c r="AR264" s="129">
        <v>20.5</v>
      </c>
      <c r="AS264" s="129">
        <v>20.5</v>
      </c>
      <c r="AT264" s="116">
        <v>22371</v>
      </c>
      <c r="AU264" s="47">
        <v>17033</v>
      </c>
      <c r="AV264" s="47">
        <v>126204</v>
      </c>
      <c r="AW264" s="46">
        <v>77707</v>
      </c>
      <c r="AX264" s="46">
        <v>38327</v>
      </c>
      <c r="AY264" s="92">
        <v>5434</v>
      </c>
      <c r="AZ264" s="47">
        <v>6759</v>
      </c>
      <c r="BA264" s="44">
        <v>4934</v>
      </c>
      <c r="BB264" s="23">
        <v>-9447</v>
      </c>
      <c r="BC264" s="47">
        <v>7075</v>
      </c>
      <c r="BD264" s="44">
        <v>7080</v>
      </c>
      <c r="BE264" s="47">
        <v>18267</v>
      </c>
      <c r="BF264" s="44">
        <v>77707</v>
      </c>
      <c r="BG264" s="46">
        <v>69587</v>
      </c>
      <c r="BH264" s="130">
        <v>2106</v>
      </c>
      <c r="BI264" s="46">
        <v>6014</v>
      </c>
      <c r="BJ264" s="129">
        <v>20</v>
      </c>
      <c r="BK264" s="44">
        <v>55584</v>
      </c>
      <c r="BL264" s="116">
        <v>22322</v>
      </c>
      <c r="BM264" s="47">
        <v>18634</v>
      </c>
      <c r="BN264" s="130">
        <v>131773</v>
      </c>
      <c r="BO264" s="46">
        <v>77975</v>
      </c>
      <c r="BP264" s="46">
        <v>37182</v>
      </c>
      <c r="BQ264" s="46">
        <v>153</v>
      </c>
      <c r="BR264" s="130">
        <v>1705</v>
      </c>
      <c r="BS264" s="44">
        <v>5258</v>
      </c>
      <c r="BT264" s="92">
        <v>-7237</v>
      </c>
      <c r="BU264" s="117">
        <v>-3553</v>
      </c>
      <c r="BV264" s="130">
        <v>14714</v>
      </c>
      <c r="BW264" s="48">
        <v>77975</v>
      </c>
      <c r="BX264" s="46">
        <v>69467</v>
      </c>
      <c r="BY264" s="130">
        <v>2554</v>
      </c>
      <c r="BZ264" s="46">
        <v>5954</v>
      </c>
      <c r="CA264" s="129">
        <v>20.5</v>
      </c>
      <c r="CB264" s="44">
        <v>49560</v>
      </c>
      <c r="CC264" s="116">
        <v>22199</v>
      </c>
      <c r="CD264" s="47">
        <v>18951</v>
      </c>
      <c r="CE264" s="130">
        <v>134037</v>
      </c>
      <c r="CF264" s="46">
        <v>79404</v>
      </c>
      <c r="CG264" s="46">
        <v>37712</v>
      </c>
      <c r="CH264" s="46">
        <v>142</v>
      </c>
      <c r="CI264" s="130">
        <v>1691</v>
      </c>
      <c r="CJ264" s="44">
        <v>5415</v>
      </c>
      <c r="CK264" s="117">
        <v>-6219</v>
      </c>
      <c r="CL264" s="117">
        <v>-3686</v>
      </c>
      <c r="CM264" s="117">
        <v>10210</v>
      </c>
      <c r="CN264" s="48">
        <v>79404</v>
      </c>
      <c r="CO264" s="46">
        <v>71596</v>
      </c>
      <c r="CP264" s="130">
        <v>2951</v>
      </c>
      <c r="CQ264" s="46">
        <v>4857</v>
      </c>
      <c r="CR264" s="129">
        <v>20.5</v>
      </c>
      <c r="CS264" s="44">
        <v>56337</v>
      </c>
      <c r="CT264">
        <v>22117</v>
      </c>
      <c r="CU264">
        <v>81334</v>
      </c>
      <c r="CV264">
        <v>39810</v>
      </c>
      <c r="CW264">
        <v>20206</v>
      </c>
      <c r="CX264">
        <v>105</v>
      </c>
      <c r="CY264">
        <v>72430</v>
      </c>
      <c r="CZ264">
        <v>6234</v>
      </c>
      <c r="DA264">
        <v>2670</v>
      </c>
      <c r="DB264">
        <v>6264</v>
      </c>
      <c r="DC264">
        <v>-2164</v>
      </c>
      <c r="DD264">
        <v>5524</v>
      </c>
      <c r="DE264">
        <v>52318</v>
      </c>
      <c r="DF264">
        <v>134925</v>
      </c>
      <c r="DG264">
        <v>807</v>
      </c>
      <c r="DH264">
        <v>12856</v>
      </c>
      <c r="DI264">
        <v>20.5</v>
      </c>
      <c r="DJ264" s="174">
        <v>21928</v>
      </c>
      <c r="DK264" s="34">
        <v>83200</v>
      </c>
      <c r="DL264" s="34">
        <v>38663</v>
      </c>
      <c r="DM264">
        <v>17428</v>
      </c>
      <c r="DN264" s="173">
        <v>-54</v>
      </c>
      <c r="DO264" s="34">
        <v>73200</v>
      </c>
      <c r="DP264" s="173">
        <v>3221</v>
      </c>
      <c r="DQ264" s="34">
        <v>6779</v>
      </c>
      <c r="DR264" s="173">
        <v>7489</v>
      </c>
      <c r="DS264" s="173">
        <v>-6259</v>
      </c>
      <c r="DT264">
        <v>5656</v>
      </c>
      <c r="DU264">
        <v>50422</v>
      </c>
      <c r="DV264" s="173">
        <v>131748</v>
      </c>
      <c r="DW264" s="173">
        <v>1846</v>
      </c>
      <c r="DX264" s="173">
        <v>14702</v>
      </c>
      <c r="DY264" s="57">
        <v>21</v>
      </c>
      <c r="DZ264" s="184">
        <v>130</v>
      </c>
      <c r="EA264" s="116">
        <v>21875</v>
      </c>
      <c r="EB264" s="48">
        <v>83507</v>
      </c>
      <c r="EC264" s="46">
        <v>38601</v>
      </c>
      <c r="ED264" s="90">
        <v>17848</v>
      </c>
      <c r="EE264" s="186">
        <v>214</v>
      </c>
      <c r="EF264" s="46">
        <v>73472</v>
      </c>
      <c r="EG264" s="130">
        <v>3088</v>
      </c>
      <c r="EH264" s="46">
        <v>6947</v>
      </c>
      <c r="EI264" s="130">
        <v>4921</v>
      </c>
      <c r="EJ264" s="48">
        <v>-7954</v>
      </c>
      <c r="EK264" s="44">
        <v>5935</v>
      </c>
      <c r="EL264" s="44">
        <v>59936</v>
      </c>
      <c r="EM264" s="130">
        <v>135249</v>
      </c>
      <c r="EN264" s="117">
        <v>-1014</v>
      </c>
      <c r="EO264" s="117">
        <v>13688</v>
      </c>
      <c r="EP264" s="129">
        <v>21</v>
      </c>
    </row>
    <row r="265" spans="1:146" ht="15" x14ac:dyDescent="0.25">
      <c r="A265" s="27">
        <v>853</v>
      </c>
      <c r="B265" s="27" t="s">
        <v>388</v>
      </c>
      <c r="C265" s="27">
        <v>2</v>
      </c>
      <c r="D265" s="27" t="s">
        <v>122</v>
      </c>
      <c r="E265" s="27">
        <v>7</v>
      </c>
      <c r="F265" s="27" t="s">
        <v>104</v>
      </c>
      <c r="G265" s="29" t="s">
        <v>141</v>
      </c>
      <c r="H265" s="27" t="s">
        <v>97</v>
      </c>
      <c r="I265" s="31" t="s">
        <v>122</v>
      </c>
      <c r="J265" s="118">
        <v>52195.441098065334</v>
      </c>
      <c r="K265" s="118">
        <v>50656.017007163122</v>
      </c>
      <c r="L265" s="118">
        <v>113108.73517633663</v>
      </c>
      <c r="M265" s="118">
        <v>127036.54555454082</v>
      </c>
      <c r="N265" s="22">
        <v>152104</v>
      </c>
      <c r="O265" s="119">
        <v>155803</v>
      </c>
      <c r="P265" s="119">
        <v>170242</v>
      </c>
      <c r="Q265" s="120">
        <v>131615</v>
      </c>
      <c r="R265" s="22">
        <v>118446</v>
      </c>
      <c r="S265" s="22">
        <v>109469</v>
      </c>
      <c r="T265" s="121">
        <v>76223</v>
      </c>
      <c r="U265" s="121">
        <v>85288</v>
      </c>
      <c r="V265" s="121">
        <v>93681</v>
      </c>
      <c r="W265" s="106">
        <v>100409</v>
      </c>
      <c r="X265" s="121">
        <v>108948</v>
      </c>
      <c r="Y265" s="121">
        <v>124969</v>
      </c>
      <c r="Z265" s="121">
        <v>128971</v>
      </c>
      <c r="AA265" s="121">
        <v>210558</v>
      </c>
      <c r="AB265" s="122">
        <v>17</v>
      </c>
      <c r="AC265" s="123">
        <v>17</v>
      </c>
      <c r="AD265" s="124">
        <v>17.5</v>
      </c>
      <c r="AE265" s="125">
        <v>17.5</v>
      </c>
      <c r="AF265" s="126">
        <v>17.5</v>
      </c>
      <c r="AG265" s="123">
        <v>18</v>
      </c>
      <c r="AH265" s="123">
        <v>18</v>
      </c>
      <c r="AI265" s="127">
        <v>18</v>
      </c>
      <c r="AJ265" s="127">
        <v>18</v>
      </c>
      <c r="AK265" s="22">
        <v>18</v>
      </c>
      <c r="AL265" s="128">
        <v>18</v>
      </c>
      <c r="AM265" s="128">
        <v>18</v>
      </c>
      <c r="AN265" s="128">
        <v>18.75</v>
      </c>
      <c r="AO265" s="77">
        <v>18.75</v>
      </c>
      <c r="AP265" s="77">
        <v>18.75</v>
      </c>
      <c r="AQ265" s="129">
        <v>18.75</v>
      </c>
      <c r="AR265" s="129">
        <v>19.5</v>
      </c>
      <c r="AS265" s="129">
        <v>19.5</v>
      </c>
      <c r="AT265" s="116">
        <v>182072</v>
      </c>
      <c r="AU265" s="47">
        <v>298064</v>
      </c>
      <c r="AV265" s="47">
        <v>1305107</v>
      </c>
      <c r="AW265" s="46">
        <v>680209</v>
      </c>
      <c r="AX265" s="46">
        <v>344399</v>
      </c>
      <c r="AY265" s="92">
        <v>55997</v>
      </c>
      <c r="AZ265" s="47">
        <v>42666</v>
      </c>
      <c r="BA265" s="44">
        <v>53979</v>
      </c>
      <c r="BB265" s="23">
        <v>-55084</v>
      </c>
      <c r="BC265" s="47">
        <v>19583</v>
      </c>
      <c r="BD265" s="44">
        <v>16021</v>
      </c>
      <c r="BE265" s="47">
        <v>124969</v>
      </c>
      <c r="BF265" s="44">
        <v>680209</v>
      </c>
      <c r="BG265" s="46">
        <v>563717</v>
      </c>
      <c r="BH265" s="130">
        <v>72294</v>
      </c>
      <c r="BI265" s="46">
        <v>44198</v>
      </c>
      <c r="BJ265" s="129">
        <v>18.75</v>
      </c>
      <c r="BK265" s="44">
        <v>499008</v>
      </c>
      <c r="BL265" s="116">
        <v>183824</v>
      </c>
      <c r="BM265" s="47">
        <v>302580</v>
      </c>
      <c r="BN265" s="130">
        <v>1261674</v>
      </c>
      <c r="BO265" s="46">
        <v>708296</v>
      </c>
      <c r="BP265" s="46">
        <v>273715</v>
      </c>
      <c r="BQ265" s="46">
        <v>37682</v>
      </c>
      <c r="BR265" s="130">
        <v>50578</v>
      </c>
      <c r="BS265" s="44">
        <v>58509</v>
      </c>
      <c r="BT265" s="92">
        <v>-27126</v>
      </c>
      <c r="BU265" s="117">
        <v>4804</v>
      </c>
      <c r="BV265" s="130">
        <v>128971</v>
      </c>
      <c r="BW265" s="48">
        <v>708296</v>
      </c>
      <c r="BX265" s="46">
        <v>582887</v>
      </c>
      <c r="BY265" s="130">
        <v>78458</v>
      </c>
      <c r="BZ265" s="46">
        <v>46951</v>
      </c>
      <c r="CA265" s="129">
        <v>19.5</v>
      </c>
      <c r="CB265" s="44">
        <v>541670</v>
      </c>
      <c r="CC265" s="116">
        <v>185908</v>
      </c>
      <c r="CD265" s="47">
        <v>317142</v>
      </c>
      <c r="CE265" s="130">
        <v>1280017</v>
      </c>
      <c r="CF265" s="46">
        <v>730885</v>
      </c>
      <c r="CG265" s="46">
        <v>265038</v>
      </c>
      <c r="CH265" s="46">
        <v>135569</v>
      </c>
      <c r="CI265" s="130">
        <v>60290</v>
      </c>
      <c r="CJ265" s="44">
        <v>62705</v>
      </c>
      <c r="CK265" s="117">
        <v>92463</v>
      </c>
      <c r="CL265" s="117">
        <v>89106</v>
      </c>
      <c r="CM265" s="117">
        <v>210558</v>
      </c>
      <c r="CN265" s="48">
        <v>730885</v>
      </c>
      <c r="CO265" s="46">
        <v>594644</v>
      </c>
      <c r="CP265" s="130">
        <v>86235</v>
      </c>
      <c r="CQ265" s="46">
        <v>50006</v>
      </c>
      <c r="CR265" s="129">
        <v>19.5</v>
      </c>
      <c r="CS265" s="44">
        <v>598018</v>
      </c>
      <c r="CT265">
        <v>187604</v>
      </c>
      <c r="CU265">
        <v>737041</v>
      </c>
      <c r="CV265">
        <v>275321</v>
      </c>
      <c r="CW265">
        <v>318522</v>
      </c>
      <c r="CX265">
        <v>44500</v>
      </c>
      <c r="CY265">
        <v>607016</v>
      </c>
      <c r="CZ265">
        <v>77697</v>
      </c>
      <c r="DA265">
        <v>52328</v>
      </c>
      <c r="DB265">
        <v>72174</v>
      </c>
      <c r="DC265">
        <v>-51422</v>
      </c>
      <c r="DD265">
        <v>59382</v>
      </c>
      <c r="DE265">
        <v>675255</v>
      </c>
      <c r="DF265">
        <v>1303210</v>
      </c>
      <c r="DG265">
        <v>28192</v>
      </c>
      <c r="DH265">
        <v>238375</v>
      </c>
      <c r="DI265">
        <v>19.5</v>
      </c>
      <c r="DJ265" s="174">
        <v>189669</v>
      </c>
      <c r="DK265" s="34">
        <v>749018</v>
      </c>
      <c r="DL265" s="34">
        <v>256605</v>
      </c>
      <c r="DM265">
        <v>273234</v>
      </c>
      <c r="DN265" s="173">
        <v>82740</v>
      </c>
      <c r="DO265" s="34">
        <v>601025</v>
      </c>
      <c r="DP265" s="173">
        <v>94339</v>
      </c>
      <c r="DQ265" s="34">
        <v>53654</v>
      </c>
      <c r="DR265" s="173">
        <v>39074</v>
      </c>
      <c r="DS265" s="173">
        <v>15756</v>
      </c>
      <c r="DT265">
        <v>55626</v>
      </c>
      <c r="DU265">
        <v>757056</v>
      </c>
      <c r="DV265" s="173">
        <v>1298085</v>
      </c>
      <c r="DW265" s="173">
        <v>24197</v>
      </c>
      <c r="DX265" s="173">
        <v>256072</v>
      </c>
      <c r="DY265" s="57">
        <v>19.5</v>
      </c>
      <c r="DZ265" s="184">
        <v>120</v>
      </c>
      <c r="EA265" s="116">
        <v>191331</v>
      </c>
      <c r="EB265" s="48">
        <v>754526</v>
      </c>
      <c r="EC265" s="46">
        <v>256380</v>
      </c>
      <c r="ED265" s="90">
        <v>274221</v>
      </c>
      <c r="EE265" s="186">
        <v>31053</v>
      </c>
      <c r="EF265" s="46">
        <v>601727</v>
      </c>
      <c r="EG265" s="130">
        <v>97196</v>
      </c>
      <c r="EH265" s="46">
        <v>55603</v>
      </c>
      <c r="EI265" s="130">
        <v>6240</v>
      </c>
      <c r="EJ265" s="48">
        <v>-60118</v>
      </c>
      <c r="EK265" s="44">
        <v>56046</v>
      </c>
      <c r="EL265" s="44">
        <v>820824</v>
      </c>
      <c r="EM265" s="130">
        <v>1309940</v>
      </c>
      <c r="EN265" s="117">
        <v>-47800</v>
      </c>
      <c r="EO265" s="117">
        <v>208271</v>
      </c>
      <c r="EP265" s="129">
        <v>19.5</v>
      </c>
    </row>
    <row r="266" spans="1:146" ht="15" x14ac:dyDescent="0.25">
      <c r="A266" s="27">
        <v>857</v>
      </c>
      <c r="B266" s="27" t="s">
        <v>389</v>
      </c>
      <c r="C266" s="27">
        <v>11</v>
      </c>
      <c r="D266" s="27" t="s">
        <v>118</v>
      </c>
      <c r="E266" s="27">
        <v>2</v>
      </c>
      <c r="F266" s="27" t="s">
        <v>744</v>
      </c>
      <c r="G266" s="29" t="s">
        <v>130</v>
      </c>
      <c r="H266" s="27" t="s">
        <v>98</v>
      </c>
      <c r="I266" s="31" t="s">
        <v>118</v>
      </c>
      <c r="J266" s="118">
        <v>2432.1656045599111</v>
      </c>
      <c r="K266" s="118">
        <v>2543.6741998038929</v>
      </c>
      <c r="L266" s="118">
        <v>2559.4838648912751</v>
      </c>
      <c r="M266" s="118">
        <v>2576.6390333903491</v>
      </c>
      <c r="N266" s="22">
        <v>2706</v>
      </c>
      <c r="O266" s="119">
        <v>2971</v>
      </c>
      <c r="P266" s="119">
        <v>3436</v>
      </c>
      <c r="Q266" s="120">
        <v>3477</v>
      </c>
      <c r="R266" s="22">
        <v>3814</v>
      </c>
      <c r="S266" s="22">
        <v>4022</v>
      </c>
      <c r="T266" s="121">
        <v>4296</v>
      </c>
      <c r="U266" s="121">
        <v>4568</v>
      </c>
      <c r="V266" s="121">
        <v>5029</v>
      </c>
      <c r="W266" s="106">
        <v>5051</v>
      </c>
      <c r="X266" s="121">
        <v>4305</v>
      </c>
      <c r="Y266" s="121">
        <v>5062</v>
      </c>
      <c r="Z266" s="121">
        <v>5036</v>
      </c>
      <c r="AA266" s="121">
        <v>5158</v>
      </c>
      <c r="AB266" s="122">
        <v>18.5</v>
      </c>
      <c r="AC266" s="123">
        <v>18.5</v>
      </c>
      <c r="AD266" s="124">
        <v>18.5</v>
      </c>
      <c r="AE266" s="125">
        <v>18.5</v>
      </c>
      <c r="AF266" s="126">
        <v>18.5</v>
      </c>
      <c r="AG266" s="123">
        <v>18.5</v>
      </c>
      <c r="AH266" s="123">
        <v>18.5</v>
      </c>
      <c r="AI266" s="131">
        <v>18.5</v>
      </c>
      <c r="AJ266" s="131">
        <v>18.5</v>
      </c>
      <c r="AK266" s="22">
        <v>19</v>
      </c>
      <c r="AL266" s="128">
        <v>19</v>
      </c>
      <c r="AM266" s="128">
        <v>19</v>
      </c>
      <c r="AN266" s="128">
        <v>19.75</v>
      </c>
      <c r="AO266" s="77">
        <v>19.75</v>
      </c>
      <c r="AP266" s="77">
        <v>19.75</v>
      </c>
      <c r="AQ266" s="129">
        <v>20</v>
      </c>
      <c r="AR266" s="129">
        <v>21</v>
      </c>
      <c r="AS266" s="129">
        <v>22</v>
      </c>
      <c r="AT266" s="116">
        <v>2802</v>
      </c>
      <c r="AU266" s="47">
        <v>3367</v>
      </c>
      <c r="AV266" s="47">
        <v>19499</v>
      </c>
      <c r="AW266" s="46">
        <v>7442</v>
      </c>
      <c r="AX266" s="46">
        <v>10095</v>
      </c>
      <c r="AY266" s="92">
        <v>193</v>
      </c>
      <c r="AZ266" s="47">
        <v>1559</v>
      </c>
      <c r="BA266" s="44">
        <v>1107</v>
      </c>
      <c r="BB266" s="23">
        <v>-3599</v>
      </c>
      <c r="BC266" s="47">
        <v>452</v>
      </c>
      <c r="BD266" s="44">
        <v>757</v>
      </c>
      <c r="BE266" s="47">
        <v>5062</v>
      </c>
      <c r="BF266" s="44">
        <v>7442</v>
      </c>
      <c r="BG266" s="46">
        <v>6139</v>
      </c>
      <c r="BH266" s="130">
        <v>623</v>
      </c>
      <c r="BI266" s="46">
        <v>680</v>
      </c>
      <c r="BJ266" s="129">
        <v>20</v>
      </c>
      <c r="BK266" s="44">
        <v>5225</v>
      </c>
      <c r="BL266" s="116">
        <v>2750</v>
      </c>
      <c r="BM266" s="47">
        <v>3362</v>
      </c>
      <c r="BN266" s="130">
        <v>20255</v>
      </c>
      <c r="BO266" s="46">
        <v>8122</v>
      </c>
      <c r="BP266" s="46">
        <v>10081</v>
      </c>
      <c r="BQ266" s="46">
        <v>199</v>
      </c>
      <c r="BR266" s="130">
        <v>1446</v>
      </c>
      <c r="BS266" s="44">
        <v>1222</v>
      </c>
      <c r="BT266" s="92">
        <v>-1580</v>
      </c>
      <c r="BU266" s="117">
        <v>-26</v>
      </c>
      <c r="BV266" s="130">
        <v>5036</v>
      </c>
      <c r="BW266" s="48">
        <v>8122</v>
      </c>
      <c r="BX266" s="46">
        <v>6567</v>
      </c>
      <c r="BY266" s="130">
        <v>734</v>
      </c>
      <c r="BZ266" s="46">
        <v>821</v>
      </c>
      <c r="CA266" s="129">
        <v>21</v>
      </c>
      <c r="CB266" s="44">
        <v>6175</v>
      </c>
      <c r="CC266" s="116">
        <v>2719</v>
      </c>
      <c r="CD266" s="47">
        <v>3034</v>
      </c>
      <c r="CE266" s="130">
        <v>20042</v>
      </c>
      <c r="CF266" s="46">
        <v>8523</v>
      </c>
      <c r="CG266" s="46">
        <v>9609</v>
      </c>
      <c r="CH266" s="46">
        <v>367</v>
      </c>
      <c r="CI266" s="130">
        <v>1259</v>
      </c>
      <c r="CJ266" s="44">
        <v>1241</v>
      </c>
      <c r="CK266" s="117">
        <v>-1348</v>
      </c>
      <c r="CL266" s="117">
        <v>122</v>
      </c>
      <c r="CM266" s="117">
        <v>5158</v>
      </c>
      <c r="CN266" s="48">
        <v>8523</v>
      </c>
      <c r="CO266" s="46">
        <v>6764</v>
      </c>
      <c r="CP266" s="130">
        <v>806</v>
      </c>
      <c r="CQ266" s="46">
        <v>953</v>
      </c>
      <c r="CR266" s="129">
        <v>22</v>
      </c>
      <c r="CS266" s="44">
        <v>5550</v>
      </c>
      <c r="CT266">
        <v>2643</v>
      </c>
      <c r="CU266">
        <v>8694</v>
      </c>
      <c r="CV266">
        <v>10060</v>
      </c>
      <c r="CW266">
        <v>3504</v>
      </c>
      <c r="CX266">
        <v>220</v>
      </c>
      <c r="CY266">
        <v>7024</v>
      </c>
      <c r="CZ266">
        <v>706</v>
      </c>
      <c r="DA266">
        <v>964</v>
      </c>
      <c r="DB266">
        <v>1181</v>
      </c>
      <c r="DC266">
        <v>-273</v>
      </c>
      <c r="DD266">
        <v>1188</v>
      </c>
      <c r="DE266">
        <v>4925</v>
      </c>
      <c r="DF266">
        <v>21198</v>
      </c>
      <c r="DG266">
        <v>129</v>
      </c>
      <c r="DH266">
        <v>5288</v>
      </c>
      <c r="DI266">
        <v>22</v>
      </c>
      <c r="DJ266" s="174">
        <v>2597</v>
      </c>
      <c r="DK266" s="34">
        <v>8393</v>
      </c>
      <c r="DL266" s="34">
        <v>9870</v>
      </c>
      <c r="DM266">
        <v>3370</v>
      </c>
      <c r="DN266" s="173">
        <v>231</v>
      </c>
      <c r="DO266" s="34">
        <v>6659</v>
      </c>
      <c r="DP266" s="173">
        <v>778</v>
      </c>
      <c r="DQ266" s="34">
        <v>956</v>
      </c>
      <c r="DR266" s="173">
        <v>1339</v>
      </c>
      <c r="DS266" s="173">
        <v>-585</v>
      </c>
      <c r="DT266">
        <v>1109</v>
      </c>
      <c r="DU266">
        <v>4300</v>
      </c>
      <c r="DV266" s="173">
        <v>20425</v>
      </c>
      <c r="DW266" s="173">
        <v>241</v>
      </c>
      <c r="DX266" s="173">
        <v>5528</v>
      </c>
      <c r="DY266" s="57">
        <v>22</v>
      </c>
      <c r="DZ266" s="184">
        <v>340</v>
      </c>
      <c r="EA266" s="116">
        <v>2551</v>
      </c>
      <c r="EB266" s="48">
        <v>7833</v>
      </c>
      <c r="EC266" s="46">
        <v>9804</v>
      </c>
      <c r="ED266" s="90">
        <v>3668</v>
      </c>
      <c r="EE266" s="186">
        <v>204</v>
      </c>
      <c r="EF266" s="46">
        <v>6182</v>
      </c>
      <c r="EG266" s="130">
        <v>712</v>
      </c>
      <c r="EH266" s="46">
        <v>939</v>
      </c>
      <c r="EI266" s="130">
        <v>-17</v>
      </c>
      <c r="EJ266" s="48">
        <v>-670</v>
      </c>
      <c r="EK266" s="44">
        <v>1118</v>
      </c>
      <c r="EL266" s="44">
        <v>3675</v>
      </c>
      <c r="EM266" s="130">
        <v>21470</v>
      </c>
      <c r="EN266" s="117">
        <v>-968</v>
      </c>
      <c r="EO266" s="117">
        <v>4562</v>
      </c>
      <c r="EP266" s="129">
        <v>22</v>
      </c>
    </row>
    <row r="267" spans="1:146" ht="15" x14ac:dyDescent="0.25">
      <c r="A267" s="27">
        <v>858</v>
      </c>
      <c r="B267" s="27" t="s">
        <v>390</v>
      </c>
      <c r="C267" s="27">
        <v>1</v>
      </c>
      <c r="D267" s="27" t="s">
        <v>121</v>
      </c>
      <c r="E267" s="27">
        <v>5</v>
      </c>
      <c r="F267" s="27" t="s">
        <v>101</v>
      </c>
      <c r="G267" s="29" t="s">
        <v>141</v>
      </c>
      <c r="H267" s="27" t="s">
        <v>97</v>
      </c>
      <c r="I267" s="31" t="s">
        <v>121</v>
      </c>
      <c r="J267" s="118">
        <v>18727.389235636329</v>
      </c>
      <c r="K267" s="118">
        <v>6205.1253588709878</v>
      </c>
      <c r="L267" s="118">
        <v>11685.192566766402</v>
      </c>
      <c r="M267" s="118">
        <v>14245.685559216447</v>
      </c>
      <c r="N267" s="22">
        <v>27297</v>
      </c>
      <c r="O267" s="119">
        <v>29736</v>
      </c>
      <c r="P267" s="119">
        <v>34006</v>
      </c>
      <c r="Q267" s="120">
        <v>35751</v>
      </c>
      <c r="R267" s="22">
        <v>38404</v>
      </c>
      <c r="S267" s="22">
        <v>43915</v>
      </c>
      <c r="T267" s="121">
        <v>46247</v>
      </c>
      <c r="U267" s="121">
        <v>45492</v>
      </c>
      <c r="V267" s="121">
        <v>49458</v>
      </c>
      <c r="W267" s="106">
        <v>51964</v>
      </c>
      <c r="X267" s="121">
        <v>47834</v>
      </c>
      <c r="Y267" s="121">
        <v>48826</v>
      </c>
      <c r="Z267" s="121">
        <v>47390</v>
      </c>
      <c r="AA267" s="121">
        <v>46336</v>
      </c>
      <c r="AB267" s="122">
        <v>17.25</v>
      </c>
      <c r="AC267" s="123">
        <v>17.25</v>
      </c>
      <c r="AD267" s="124">
        <v>17.25</v>
      </c>
      <c r="AE267" s="125">
        <v>17.25</v>
      </c>
      <c r="AF267" s="126">
        <v>17.25</v>
      </c>
      <c r="AG267" s="123">
        <v>17.75</v>
      </c>
      <c r="AH267" s="123">
        <v>17.75</v>
      </c>
      <c r="AI267" s="127">
        <v>18</v>
      </c>
      <c r="AJ267" s="127">
        <v>18</v>
      </c>
      <c r="AK267" s="22">
        <v>18</v>
      </c>
      <c r="AL267" s="128">
        <v>18</v>
      </c>
      <c r="AM267" s="128">
        <v>18</v>
      </c>
      <c r="AN267" s="128">
        <v>18.25</v>
      </c>
      <c r="AO267" s="77">
        <v>18.25</v>
      </c>
      <c r="AP267" s="77">
        <v>18.25</v>
      </c>
      <c r="AQ267" s="129">
        <v>19.25</v>
      </c>
      <c r="AR267" s="129">
        <v>19.25</v>
      </c>
      <c r="AS267" s="129">
        <v>19.5</v>
      </c>
      <c r="AT267" s="116">
        <v>38125</v>
      </c>
      <c r="AU267" s="47">
        <v>36408</v>
      </c>
      <c r="AV267" s="47">
        <v>211639</v>
      </c>
      <c r="AW267" s="46">
        <v>164692</v>
      </c>
      <c r="AX267" s="46">
        <v>22770</v>
      </c>
      <c r="AY267" s="92">
        <v>356</v>
      </c>
      <c r="AZ267" s="47">
        <v>12587</v>
      </c>
      <c r="BA267" s="44">
        <v>11174</v>
      </c>
      <c r="BB267" s="23">
        <v>-10872</v>
      </c>
      <c r="BC267" s="47">
        <v>1413</v>
      </c>
      <c r="BD267" s="44">
        <v>992</v>
      </c>
      <c r="BE267" s="47">
        <v>48826</v>
      </c>
      <c r="BF267" s="44">
        <v>164692</v>
      </c>
      <c r="BG267" s="46">
        <v>152189</v>
      </c>
      <c r="BH267" s="130">
        <v>6070</v>
      </c>
      <c r="BI267" s="46">
        <v>6433</v>
      </c>
      <c r="BJ267" s="129">
        <v>19.25</v>
      </c>
      <c r="BK267" s="44">
        <v>34042</v>
      </c>
      <c r="BL267" s="116">
        <v>38198</v>
      </c>
      <c r="BM267" s="47">
        <v>44073</v>
      </c>
      <c r="BN267" s="130">
        <v>219258</v>
      </c>
      <c r="BO267" s="46">
        <v>167318</v>
      </c>
      <c r="BP267" s="46">
        <v>20589</v>
      </c>
      <c r="BQ267" s="46">
        <v>206</v>
      </c>
      <c r="BR267" s="130">
        <v>12836</v>
      </c>
      <c r="BS267" s="44">
        <v>11499</v>
      </c>
      <c r="BT267" s="92">
        <v>-13485</v>
      </c>
      <c r="BU267" s="117">
        <v>1612</v>
      </c>
      <c r="BV267" s="130">
        <v>47390</v>
      </c>
      <c r="BW267" s="48">
        <v>167318</v>
      </c>
      <c r="BX267" s="46">
        <v>153554</v>
      </c>
      <c r="BY267" s="130">
        <v>6417</v>
      </c>
      <c r="BZ267" s="46">
        <v>7347</v>
      </c>
      <c r="CA267" s="129">
        <v>19.25</v>
      </c>
      <c r="CB267" s="44">
        <v>44456</v>
      </c>
      <c r="CC267" s="116">
        <v>38459</v>
      </c>
      <c r="CD267" s="47">
        <v>42662</v>
      </c>
      <c r="CE267" s="130">
        <v>222460</v>
      </c>
      <c r="CF267" s="46">
        <v>171443</v>
      </c>
      <c r="CG267" s="46">
        <v>19096</v>
      </c>
      <c r="CH267" s="46">
        <v>335</v>
      </c>
      <c r="CI267" s="130">
        <v>11001</v>
      </c>
      <c r="CJ267" s="44">
        <v>12154</v>
      </c>
      <c r="CK267" s="117">
        <v>-11769</v>
      </c>
      <c r="CL267" s="117">
        <v>-1053</v>
      </c>
      <c r="CM267" s="117">
        <v>46336</v>
      </c>
      <c r="CN267" s="48">
        <v>171443</v>
      </c>
      <c r="CO267" s="46">
        <v>155825</v>
      </c>
      <c r="CP267" s="130">
        <v>7300</v>
      </c>
      <c r="CQ267" s="46">
        <v>8318</v>
      </c>
      <c r="CR267" s="129">
        <v>19.5</v>
      </c>
      <c r="CS267" s="44">
        <v>52295</v>
      </c>
      <c r="CT267">
        <v>38588</v>
      </c>
      <c r="CU267">
        <v>176514</v>
      </c>
      <c r="CV267">
        <v>23061</v>
      </c>
      <c r="CW267">
        <v>43906</v>
      </c>
      <c r="CX267">
        <v>490</v>
      </c>
      <c r="CY267">
        <v>161188</v>
      </c>
      <c r="CZ267">
        <v>6531</v>
      </c>
      <c r="DA267">
        <v>8795</v>
      </c>
      <c r="DB267">
        <v>16537</v>
      </c>
      <c r="DC267">
        <v>-18831</v>
      </c>
      <c r="DD267">
        <v>12638</v>
      </c>
      <c r="DE267">
        <v>69338</v>
      </c>
      <c r="DF267">
        <v>227293</v>
      </c>
      <c r="DG267">
        <v>3764</v>
      </c>
      <c r="DH267">
        <v>49487</v>
      </c>
      <c r="DI267">
        <v>19.5</v>
      </c>
      <c r="DJ267" s="174">
        <v>38646</v>
      </c>
      <c r="DK267" s="34">
        <v>177954</v>
      </c>
      <c r="DL267" s="34">
        <v>23327</v>
      </c>
      <c r="DM267">
        <v>42132</v>
      </c>
      <c r="DN267" s="173">
        <v>313</v>
      </c>
      <c r="DO267" s="34">
        <v>159903</v>
      </c>
      <c r="DP267" s="173">
        <v>7652</v>
      </c>
      <c r="DQ267" s="34">
        <v>10399</v>
      </c>
      <c r="DR267" s="173">
        <v>18927</v>
      </c>
      <c r="DS267" s="173">
        <v>-27262</v>
      </c>
      <c r="DT267">
        <v>13078</v>
      </c>
      <c r="DU267">
        <v>78891</v>
      </c>
      <c r="DV267" s="173">
        <v>224799</v>
      </c>
      <c r="DW267" s="173">
        <v>4604</v>
      </c>
      <c r="DX267" s="173">
        <v>53512</v>
      </c>
      <c r="DY267" s="57">
        <v>19.5</v>
      </c>
      <c r="DZ267" s="184">
        <v>120</v>
      </c>
      <c r="EA267" s="116">
        <v>38664</v>
      </c>
      <c r="EB267" s="48">
        <v>179203</v>
      </c>
      <c r="EC267" s="46">
        <v>24291</v>
      </c>
      <c r="ED267" s="90">
        <v>105837</v>
      </c>
      <c r="EE267" s="186">
        <v>98</v>
      </c>
      <c r="EF267" s="46">
        <v>161181</v>
      </c>
      <c r="EG267" s="130">
        <v>7817</v>
      </c>
      <c r="EH267" s="46">
        <v>10205</v>
      </c>
      <c r="EI267" s="130">
        <v>11725</v>
      </c>
      <c r="EJ267" s="48">
        <v>-28013</v>
      </c>
      <c r="EK267" s="44">
        <v>13465</v>
      </c>
      <c r="EL267" s="44">
        <v>98599</v>
      </c>
      <c r="EM267" s="130">
        <v>297704</v>
      </c>
      <c r="EN267" s="117">
        <v>-2316</v>
      </c>
      <c r="EO267" s="117">
        <v>51196</v>
      </c>
      <c r="EP267" s="129">
        <v>19.5</v>
      </c>
    </row>
    <row r="268" spans="1:146" ht="15" x14ac:dyDescent="0.25">
      <c r="A268" s="27">
        <v>859</v>
      </c>
      <c r="B268" s="27" t="s">
        <v>391</v>
      </c>
      <c r="C268" s="27">
        <v>17</v>
      </c>
      <c r="D268" s="27" t="s">
        <v>117</v>
      </c>
      <c r="E268" s="27">
        <v>3</v>
      </c>
      <c r="F268" s="27" t="s">
        <v>743</v>
      </c>
      <c r="G268" s="29" t="s">
        <v>130</v>
      </c>
      <c r="H268" s="27" t="s">
        <v>98</v>
      </c>
      <c r="I268" s="31" t="s">
        <v>117</v>
      </c>
      <c r="J268" s="118">
        <v>757.68660870910719</v>
      </c>
      <c r="K268" s="118">
        <v>592.86244077682636</v>
      </c>
      <c r="L268" s="118">
        <v>53.820136467683533</v>
      </c>
      <c r="M268" s="118">
        <v>1237.526762903798</v>
      </c>
      <c r="N268" s="22">
        <v>1794</v>
      </c>
      <c r="O268" s="119">
        <v>2674</v>
      </c>
      <c r="P268" s="119">
        <v>2012</v>
      </c>
      <c r="Q268" s="120">
        <v>2131</v>
      </c>
      <c r="R268" s="22">
        <v>2185</v>
      </c>
      <c r="S268" s="22">
        <v>2414</v>
      </c>
      <c r="T268" s="121">
        <v>3421</v>
      </c>
      <c r="U268" s="121">
        <v>3255</v>
      </c>
      <c r="V268" s="121">
        <v>3918</v>
      </c>
      <c r="W268" s="106">
        <v>4615</v>
      </c>
      <c r="X268" s="121">
        <v>4629</v>
      </c>
      <c r="Y268" s="121">
        <v>4958</v>
      </c>
      <c r="Z268" s="121">
        <v>5181</v>
      </c>
      <c r="AA268" s="121">
        <v>5101</v>
      </c>
      <c r="AB268" s="122">
        <v>18.5</v>
      </c>
      <c r="AC268" s="123">
        <v>18.5</v>
      </c>
      <c r="AD268" s="124">
        <v>18.75</v>
      </c>
      <c r="AE268" s="125">
        <v>18.75</v>
      </c>
      <c r="AF268" s="126">
        <v>18.75</v>
      </c>
      <c r="AG268" s="123">
        <v>18.75</v>
      </c>
      <c r="AH268" s="123">
        <v>18.75</v>
      </c>
      <c r="AI268" s="127">
        <v>19</v>
      </c>
      <c r="AJ268" s="127">
        <v>19</v>
      </c>
      <c r="AK268" s="22">
        <v>19</v>
      </c>
      <c r="AL268" s="128">
        <v>19</v>
      </c>
      <c r="AM268" s="128">
        <v>19.5</v>
      </c>
      <c r="AN268" s="128">
        <v>19.75</v>
      </c>
      <c r="AO268" s="77">
        <v>20.5</v>
      </c>
      <c r="AP268" s="77">
        <v>20.5</v>
      </c>
      <c r="AQ268" s="129">
        <v>20.5</v>
      </c>
      <c r="AR268" s="129">
        <v>20.5</v>
      </c>
      <c r="AS268" s="129">
        <v>20.5</v>
      </c>
      <c r="AT268" s="116">
        <v>6642</v>
      </c>
      <c r="AU268" s="47">
        <v>3822</v>
      </c>
      <c r="AV268" s="47">
        <v>37030</v>
      </c>
      <c r="AW268" s="46">
        <v>17724</v>
      </c>
      <c r="AX268" s="46">
        <v>17278</v>
      </c>
      <c r="AY268" s="92">
        <v>289</v>
      </c>
      <c r="AZ268" s="47">
        <v>1804</v>
      </c>
      <c r="BA268" s="44">
        <v>1484</v>
      </c>
      <c r="BB268" s="23">
        <v>-1439</v>
      </c>
      <c r="BC268" s="47">
        <v>320</v>
      </c>
      <c r="BD268" s="44">
        <v>329</v>
      </c>
      <c r="BE268" s="47">
        <v>4958</v>
      </c>
      <c r="BF268" s="44">
        <v>17724</v>
      </c>
      <c r="BG268" s="46">
        <v>16520</v>
      </c>
      <c r="BH268" s="130">
        <v>467</v>
      </c>
      <c r="BI268" s="46">
        <v>737</v>
      </c>
      <c r="BJ268" s="129">
        <v>20.5</v>
      </c>
      <c r="BK268" s="44">
        <v>18517</v>
      </c>
      <c r="BL268" s="116">
        <v>6735</v>
      </c>
      <c r="BM268" s="47">
        <v>4191</v>
      </c>
      <c r="BN268" s="130">
        <v>37521</v>
      </c>
      <c r="BO268" s="46">
        <v>17519</v>
      </c>
      <c r="BP268" s="46">
        <v>17790</v>
      </c>
      <c r="BQ268" s="46">
        <v>6</v>
      </c>
      <c r="BR268" s="130">
        <v>1736</v>
      </c>
      <c r="BS268" s="44">
        <v>1594</v>
      </c>
      <c r="BT268" s="92">
        <v>-1625</v>
      </c>
      <c r="BU268" s="117">
        <v>151</v>
      </c>
      <c r="BV268" s="130">
        <v>5181</v>
      </c>
      <c r="BW268" s="48">
        <v>17519</v>
      </c>
      <c r="BX268" s="46">
        <v>16105</v>
      </c>
      <c r="BY268" s="130">
        <v>572</v>
      </c>
      <c r="BZ268" s="46">
        <v>842</v>
      </c>
      <c r="CA268" s="129">
        <v>20.5</v>
      </c>
      <c r="CB268" s="44">
        <v>16913</v>
      </c>
      <c r="CC268" s="116">
        <v>6793</v>
      </c>
      <c r="CD268" s="47">
        <v>4276</v>
      </c>
      <c r="CE268" s="130">
        <v>38813</v>
      </c>
      <c r="CF268" s="46">
        <v>18053</v>
      </c>
      <c r="CG268" s="46">
        <v>18276</v>
      </c>
      <c r="CH268" s="46">
        <v>34</v>
      </c>
      <c r="CI268" s="130">
        <v>1606</v>
      </c>
      <c r="CJ268" s="44">
        <v>1601</v>
      </c>
      <c r="CK268" s="117">
        <v>-1826</v>
      </c>
      <c r="CL268" s="117">
        <v>11</v>
      </c>
      <c r="CM268" s="117">
        <v>5101</v>
      </c>
      <c r="CN268" s="48">
        <v>18053</v>
      </c>
      <c r="CO268" s="46">
        <v>16603</v>
      </c>
      <c r="CP268" s="130">
        <v>583</v>
      </c>
      <c r="CQ268" s="46">
        <v>867</v>
      </c>
      <c r="CR268" s="129">
        <v>20.5</v>
      </c>
      <c r="CS268" s="44">
        <v>15900</v>
      </c>
      <c r="CT268">
        <v>6750</v>
      </c>
      <c r="CU268">
        <v>17990</v>
      </c>
      <c r="CV268">
        <v>18965</v>
      </c>
      <c r="CW268">
        <v>4593</v>
      </c>
      <c r="CX268">
        <v>0</v>
      </c>
      <c r="CY268">
        <v>16635</v>
      </c>
      <c r="CZ268">
        <v>469</v>
      </c>
      <c r="DA268">
        <v>886</v>
      </c>
      <c r="DB268">
        <v>1003</v>
      </c>
      <c r="DC268">
        <v>-8496</v>
      </c>
      <c r="DD268">
        <v>1624</v>
      </c>
      <c r="DE268">
        <v>23032</v>
      </c>
      <c r="DF268">
        <v>40339</v>
      </c>
      <c r="DG268">
        <v>-621</v>
      </c>
      <c r="DH268">
        <v>4429</v>
      </c>
      <c r="DI268">
        <v>20.5</v>
      </c>
      <c r="DJ268" s="174">
        <v>6730</v>
      </c>
      <c r="DK268" s="34">
        <v>18168</v>
      </c>
      <c r="DL268" s="34">
        <v>19112</v>
      </c>
      <c r="DM268">
        <v>4478</v>
      </c>
      <c r="DN268" s="173">
        <v>-273</v>
      </c>
      <c r="DO268" s="34">
        <v>16778</v>
      </c>
      <c r="DP268" s="173">
        <v>505</v>
      </c>
      <c r="DQ268" s="34">
        <v>885</v>
      </c>
      <c r="DR268" s="173">
        <v>1360</v>
      </c>
      <c r="DS268" s="173">
        <v>-7725</v>
      </c>
      <c r="DT268">
        <v>1642</v>
      </c>
      <c r="DU268">
        <v>30385</v>
      </c>
      <c r="DV268" s="173">
        <v>40125</v>
      </c>
      <c r="DW268" s="173">
        <v>-282</v>
      </c>
      <c r="DX268" s="173">
        <v>4075</v>
      </c>
      <c r="DY268" s="57">
        <v>20.5</v>
      </c>
      <c r="DZ268" s="184">
        <v>320</v>
      </c>
      <c r="EA268" s="116">
        <v>6758</v>
      </c>
      <c r="EB268" s="48">
        <v>18296</v>
      </c>
      <c r="EC268" s="46">
        <v>18549</v>
      </c>
      <c r="ED268" s="90">
        <v>4171</v>
      </c>
      <c r="EE268" s="186">
        <v>-306</v>
      </c>
      <c r="EF268" s="46">
        <v>16976</v>
      </c>
      <c r="EG268" s="130">
        <v>416</v>
      </c>
      <c r="EH268" s="46">
        <v>904</v>
      </c>
      <c r="EI268" s="130">
        <v>-288</v>
      </c>
      <c r="EJ268" s="48">
        <v>-2518</v>
      </c>
      <c r="EK268" s="44">
        <v>2026</v>
      </c>
      <c r="EL268" s="44">
        <v>33492</v>
      </c>
      <c r="EM268" s="130">
        <v>40998</v>
      </c>
      <c r="EN268" s="117">
        <v>-2314</v>
      </c>
      <c r="EO268" s="117">
        <v>1762</v>
      </c>
      <c r="EP268" s="129">
        <v>21</v>
      </c>
    </row>
    <row r="269" spans="1:146" ht="15" x14ac:dyDescent="0.25">
      <c r="A269" s="27">
        <v>886</v>
      </c>
      <c r="B269" s="27" t="s">
        <v>392</v>
      </c>
      <c r="C269" s="27">
        <v>4</v>
      </c>
      <c r="D269" s="27" t="s">
        <v>120</v>
      </c>
      <c r="E269" s="27">
        <v>4</v>
      </c>
      <c r="F269" s="27" t="s">
        <v>100</v>
      </c>
      <c r="G269" s="29" t="s">
        <v>132</v>
      </c>
      <c r="H269" s="27" t="s">
        <v>99</v>
      </c>
      <c r="I269" s="31" t="s">
        <v>120</v>
      </c>
      <c r="J269" s="118">
        <v>-835.22124280786375</v>
      </c>
      <c r="K269" s="118">
        <v>-790.65144229556336</v>
      </c>
      <c r="L269" s="118">
        <v>-1598.9626168695854</v>
      </c>
      <c r="M269" s="118">
        <v>-979.19010785891726</v>
      </c>
      <c r="N269" s="22">
        <v>4985</v>
      </c>
      <c r="O269" s="119">
        <v>6178</v>
      </c>
      <c r="P269" s="119">
        <v>7437</v>
      </c>
      <c r="Q269" s="120">
        <v>6226</v>
      </c>
      <c r="R269" s="22">
        <v>5001</v>
      </c>
      <c r="S269" s="22">
        <v>6700</v>
      </c>
      <c r="T269" s="121">
        <v>6380</v>
      </c>
      <c r="U269" s="121">
        <v>6168</v>
      </c>
      <c r="V269" s="121">
        <v>6862</v>
      </c>
      <c r="W269" s="106">
        <v>3820</v>
      </c>
      <c r="X269" s="121">
        <v>2702</v>
      </c>
      <c r="Y269" s="121">
        <v>9846</v>
      </c>
      <c r="Z269" s="121">
        <v>9121</v>
      </c>
      <c r="AA269" s="121">
        <v>4928</v>
      </c>
      <c r="AB269" s="122">
        <v>17.5</v>
      </c>
      <c r="AC269" s="123">
        <v>17.5</v>
      </c>
      <c r="AD269" s="124">
        <v>17.5</v>
      </c>
      <c r="AE269" s="125">
        <v>17.5</v>
      </c>
      <c r="AF269" s="126">
        <v>17.5</v>
      </c>
      <c r="AG269" s="123">
        <v>17.5</v>
      </c>
      <c r="AH269" s="123">
        <v>17.5</v>
      </c>
      <c r="AI269" s="131">
        <v>18</v>
      </c>
      <c r="AJ269" s="131">
        <v>18</v>
      </c>
      <c r="AK269" s="22">
        <v>18</v>
      </c>
      <c r="AL269" s="128">
        <v>18.5</v>
      </c>
      <c r="AM269" s="128">
        <v>19</v>
      </c>
      <c r="AN269" s="128">
        <v>19.5</v>
      </c>
      <c r="AO269" s="77">
        <v>19.5</v>
      </c>
      <c r="AP269" s="77">
        <v>19.75</v>
      </c>
      <c r="AQ269" s="129">
        <v>20.5</v>
      </c>
      <c r="AR269" s="129">
        <v>20.5</v>
      </c>
      <c r="AS269" s="129">
        <v>20.5</v>
      </c>
      <c r="AT269" s="116">
        <v>13361</v>
      </c>
      <c r="AU269" s="47">
        <v>9999</v>
      </c>
      <c r="AV269" s="47">
        <v>73501</v>
      </c>
      <c r="AW269" s="46">
        <v>48845</v>
      </c>
      <c r="AX269" s="46">
        <v>20574</v>
      </c>
      <c r="AY269" s="92">
        <v>69</v>
      </c>
      <c r="AZ269" s="47">
        <v>5886</v>
      </c>
      <c r="BA269" s="44">
        <v>3374</v>
      </c>
      <c r="BB269" s="23">
        <v>-1650</v>
      </c>
      <c r="BC269" s="47">
        <v>2512</v>
      </c>
      <c r="BD269" s="44">
        <v>2512</v>
      </c>
      <c r="BE269" s="47">
        <v>9846</v>
      </c>
      <c r="BF269" s="44">
        <v>48845</v>
      </c>
      <c r="BG269" s="46">
        <v>45416</v>
      </c>
      <c r="BH269" s="130">
        <v>1496</v>
      </c>
      <c r="BI269" s="46">
        <v>1933</v>
      </c>
      <c r="BJ269" s="129">
        <v>20.5</v>
      </c>
      <c r="BK269" s="44">
        <v>15594</v>
      </c>
      <c r="BL269" s="116">
        <v>13322</v>
      </c>
      <c r="BM269" s="47">
        <v>9675</v>
      </c>
      <c r="BN269" s="130">
        <v>74786</v>
      </c>
      <c r="BO269" s="46">
        <v>48228</v>
      </c>
      <c r="BP269" s="46">
        <v>19849</v>
      </c>
      <c r="BQ269" s="46">
        <v>63</v>
      </c>
      <c r="BR269" s="130">
        <v>2950</v>
      </c>
      <c r="BS269" s="44">
        <v>3805</v>
      </c>
      <c r="BT269" s="92">
        <v>-2444</v>
      </c>
      <c r="BU269" s="117">
        <v>-855</v>
      </c>
      <c r="BV269" s="130">
        <v>9121</v>
      </c>
      <c r="BW269" s="48">
        <v>48228</v>
      </c>
      <c r="BX269" s="46">
        <v>44456</v>
      </c>
      <c r="BY269" s="130">
        <v>1673</v>
      </c>
      <c r="BZ269" s="46">
        <v>2099</v>
      </c>
      <c r="CA269" s="129">
        <v>20.5</v>
      </c>
      <c r="CB269" s="44">
        <v>13331</v>
      </c>
      <c r="CC269" s="116">
        <v>13352</v>
      </c>
      <c r="CD269" s="47">
        <v>8810</v>
      </c>
      <c r="CE269" s="130">
        <v>77174</v>
      </c>
      <c r="CF269" s="46">
        <v>48251</v>
      </c>
      <c r="CG269" s="46">
        <v>18889</v>
      </c>
      <c r="CH269" s="46">
        <v>89</v>
      </c>
      <c r="CI269" s="130">
        <v>-1240</v>
      </c>
      <c r="CJ269" s="44">
        <v>2952</v>
      </c>
      <c r="CK269" s="117">
        <v>-2813</v>
      </c>
      <c r="CL269" s="117">
        <v>-4192</v>
      </c>
      <c r="CM269" s="117">
        <v>4928</v>
      </c>
      <c r="CN269" s="48">
        <v>48251</v>
      </c>
      <c r="CO269" s="46">
        <v>44228</v>
      </c>
      <c r="CP269" s="130">
        <v>1592</v>
      </c>
      <c r="CQ269" s="46">
        <v>2431</v>
      </c>
      <c r="CR269" s="129">
        <v>20.5</v>
      </c>
      <c r="CS269" s="44">
        <v>16223</v>
      </c>
      <c r="CT269">
        <v>13312</v>
      </c>
      <c r="CU269">
        <v>48377</v>
      </c>
      <c r="CV269">
        <v>20300</v>
      </c>
      <c r="CW269">
        <v>8596</v>
      </c>
      <c r="CX269">
        <v>61</v>
      </c>
      <c r="CY269">
        <v>44476</v>
      </c>
      <c r="CZ269">
        <v>1416</v>
      </c>
      <c r="DA269">
        <v>2485</v>
      </c>
      <c r="DB269">
        <v>1327</v>
      </c>
      <c r="DC269">
        <v>-2365</v>
      </c>
      <c r="DD269">
        <v>2939</v>
      </c>
      <c r="DE269">
        <v>17317</v>
      </c>
      <c r="DF269">
        <v>75923</v>
      </c>
      <c r="DG269">
        <v>-1612</v>
      </c>
      <c r="DH269">
        <v>3316</v>
      </c>
      <c r="DI269">
        <v>20.5</v>
      </c>
      <c r="DJ269" s="174">
        <v>13237</v>
      </c>
      <c r="DK269" s="34">
        <v>48533</v>
      </c>
      <c r="DL269" s="34">
        <v>21004</v>
      </c>
      <c r="DM269">
        <v>8384</v>
      </c>
      <c r="DN269" s="173">
        <v>42</v>
      </c>
      <c r="DO269" s="34">
        <v>44115</v>
      </c>
      <c r="DP269" s="173">
        <v>1823</v>
      </c>
      <c r="DQ269" s="34">
        <v>2595</v>
      </c>
      <c r="DR269" s="173">
        <v>2470</v>
      </c>
      <c r="DS269" s="173">
        <v>-4577</v>
      </c>
      <c r="DT269">
        <v>2950</v>
      </c>
      <c r="DU269">
        <v>20464</v>
      </c>
      <c r="DV269" s="173">
        <v>75493</v>
      </c>
      <c r="DW269" s="173">
        <v>-480</v>
      </c>
      <c r="DX269" s="173">
        <v>2836</v>
      </c>
      <c r="DY269" s="57">
        <v>21</v>
      </c>
      <c r="DZ269" s="184">
        <v>240</v>
      </c>
      <c r="EA269" s="116">
        <v>13021</v>
      </c>
      <c r="EB269" s="48">
        <v>49203</v>
      </c>
      <c r="EC269" s="46">
        <v>21820</v>
      </c>
      <c r="ED269" s="90">
        <v>8920</v>
      </c>
      <c r="EE269" s="186">
        <v>122</v>
      </c>
      <c r="EF269" s="46">
        <v>44406</v>
      </c>
      <c r="EG269" s="130">
        <v>2234</v>
      </c>
      <c r="EH269" s="46">
        <v>2563</v>
      </c>
      <c r="EI269" s="130">
        <v>2536</v>
      </c>
      <c r="EJ269" s="48">
        <v>-4736</v>
      </c>
      <c r="EK269" s="44">
        <v>2835</v>
      </c>
      <c r="EL269" s="44">
        <v>22697</v>
      </c>
      <c r="EM269" s="130">
        <v>77529</v>
      </c>
      <c r="EN269" s="117">
        <v>-299</v>
      </c>
      <c r="EO269" s="117">
        <v>2537</v>
      </c>
      <c r="EP269" s="129">
        <v>21</v>
      </c>
    </row>
    <row r="270" spans="1:146" ht="15" x14ac:dyDescent="0.25">
      <c r="A270" s="27">
        <v>887</v>
      </c>
      <c r="B270" s="27" t="s">
        <v>393</v>
      </c>
      <c r="C270" s="27">
        <v>6</v>
      </c>
      <c r="D270" s="27" t="s">
        <v>114</v>
      </c>
      <c r="E270" s="27">
        <v>2</v>
      </c>
      <c r="F270" s="27" t="s">
        <v>744</v>
      </c>
      <c r="G270" s="29" t="s">
        <v>130</v>
      </c>
      <c r="H270" s="27" t="s">
        <v>98</v>
      </c>
      <c r="I270" s="31" t="s">
        <v>114</v>
      </c>
      <c r="J270" s="118">
        <v>-782.07385804602632</v>
      </c>
      <c r="K270" s="118">
        <v>-938.32044172876999</v>
      </c>
      <c r="L270" s="118">
        <v>4100.5898350581001</v>
      </c>
      <c r="M270" s="118">
        <v>2661.2375604004887</v>
      </c>
      <c r="N270" s="22">
        <v>2935</v>
      </c>
      <c r="O270" s="119">
        <v>1963</v>
      </c>
      <c r="P270" s="119">
        <v>2032</v>
      </c>
      <c r="Q270" s="120">
        <v>964</v>
      </c>
      <c r="R270" s="22">
        <v>-741</v>
      </c>
      <c r="S270" s="22">
        <v>-2033</v>
      </c>
      <c r="T270" s="121">
        <v>-2332</v>
      </c>
      <c r="U270" s="121">
        <v>-3277</v>
      </c>
      <c r="V270" s="121">
        <v>-2185</v>
      </c>
      <c r="W270" s="106">
        <v>-2106</v>
      </c>
      <c r="X270" s="121">
        <v>-3188</v>
      </c>
      <c r="Y270" s="121">
        <v>-1831</v>
      </c>
      <c r="Z270" s="121">
        <v>-679</v>
      </c>
      <c r="AA270" s="121">
        <v>620</v>
      </c>
      <c r="AB270" s="122">
        <v>18</v>
      </c>
      <c r="AC270" s="123">
        <v>18.5</v>
      </c>
      <c r="AD270" s="124">
        <v>18.5</v>
      </c>
      <c r="AE270" s="125">
        <v>18.5</v>
      </c>
      <c r="AF270" s="126">
        <v>19</v>
      </c>
      <c r="AG270" s="123">
        <v>19</v>
      </c>
      <c r="AH270" s="123">
        <v>19.5</v>
      </c>
      <c r="AI270" s="131">
        <v>19.5</v>
      </c>
      <c r="AJ270" s="131">
        <v>19.5</v>
      </c>
      <c r="AK270" s="22">
        <v>20.5</v>
      </c>
      <c r="AL270" s="128">
        <v>20.5</v>
      </c>
      <c r="AM270" s="128">
        <v>20.5</v>
      </c>
      <c r="AN270" s="128">
        <v>21</v>
      </c>
      <c r="AO270" s="77">
        <v>21</v>
      </c>
      <c r="AP270" s="77">
        <v>21</v>
      </c>
      <c r="AQ270" s="129">
        <v>21.5</v>
      </c>
      <c r="AR270" s="129">
        <v>22</v>
      </c>
      <c r="AS270" s="129">
        <v>22</v>
      </c>
      <c r="AT270" s="116">
        <v>5105</v>
      </c>
      <c r="AU270" s="47">
        <v>4058</v>
      </c>
      <c r="AV270" s="47">
        <v>32129</v>
      </c>
      <c r="AW270" s="46">
        <v>16647</v>
      </c>
      <c r="AX270" s="46">
        <v>13733</v>
      </c>
      <c r="AY270" s="92">
        <v>49</v>
      </c>
      <c r="AZ270" s="47">
        <v>2275</v>
      </c>
      <c r="BA270" s="44">
        <v>918</v>
      </c>
      <c r="BB270" s="23">
        <v>-568</v>
      </c>
      <c r="BC270" s="47">
        <v>1357</v>
      </c>
      <c r="BD270" s="44">
        <v>1357</v>
      </c>
      <c r="BE270" s="47">
        <v>-1831</v>
      </c>
      <c r="BF270" s="44">
        <v>16647</v>
      </c>
      <c r="BG270" s="46">
        <v>14600</v>
      </c>
      <c r="BH270" s="130">
        <v>798</v>
      </c>
      <c r="BI270" s="46">
        <v>1249</v>
      </c>
      <c r="BJ270" s="129">
        <v>21.5</v>
      </c>
      <c r="BK270" s="44">
        <v>5962</v>
      </c>
      <c r="BL270" s="116">
        <v>4984</v>
      </c>
      <c r="BM270" s="47">
        <v>3639</v>
      </c>
      <c r="BN270" s="130">
        <v>31399</v>
      </c>
      <c r="BO270" s="46">
        <v>16650</v>
      </c>
      <c r="BP270" s="46">
        <v>13169</v>
      </c>
      <c r="BQ270" s="46">
        <v>50</v>
      </c>
      <c r="BR270" s="130">
        <v>2039</v>
      </c>
      <c r="BS270" s="44">
        <v>887</v>
      </c>
      <c r="BT270" s="92">
        <v>-981</v>
      </c>
      <c r="BU270" s="117">
        <v>1152</v>
      </c>
      <c r="BV270" s="130">
        <v>-679</v>
      </c>
      <c r="BW270" s="48">
        <v>16650</v>
      </c>
      <c r="BX270" s="46">
        <v>14245</v>
      </c>
      <c r="BY270" s="130">
        <v>928</v>
      </c>
      <c r="BZ270" s="46">
        <v>1477</v>
      </c>
      <c r="CA270" s="129">
        <v>22</v>
      </c>
      <c r="CB270" s="44">
        <v>4699</v>
      </c>
      <c r="CC270" s="116">
        <v>4928</v>
      </c>
      <c r="CD270" s="47">
        <v>3402</v>
      </c>
      <c r="CE270" s="130">
        <v>30778</v>
      </c>
      <c r="CF270" s="46">
        <v>16791</v>
      </c>
      <c r="CG270" s="46">
        <v>13403</v>
      </c>
      <c r="CH270" s="46">
        <v>52</v>
      </c>
      <c r="CI270" s="130">
        <v>2824</v>
      </c>
      <c r="CJ270" s="44">
        <v>842</v>
      </c>
      <c r="CK270" s="117">
        <v>-4994</v>
      </c>
      <c r="CL270" s="117">
        <v>1482</v>
      </c>
      <c r="CM270" s="117">
        <v>620</v>
      </c>
      <c r="CN270" s="48">
        <v>16791</v>
      </c>
      <c r="CO270" s="46">
        <v>14163</v>
      </c>
      <c r="CP270" s="130">
        <v>998</v>
      </c>
      <c r="CQ270" s="46">
        <v>1630</v>
      </c>
      <c r="CR270" s="129">
        <v>22</v>
      </c>
      <c r="CS270" s="44">
        <v>9169</v>
      </c>
      <c r="CT270">
        <v>4858</v>
      </c>
      <c r="CU270">
        <v>15956</v>
      </c>
      <c r="CV270">
        <v>13672</v>
      </c>
      <c r="CW270">
        <v>3310</v>
      </c>
      <c r="CX270">
        <v>51</v>
      </c>
      <c r="CY270">
        <v>13507</v>
      </c>
      <c r="CZ270">
        <v>893</v>
      </c>
      <c r="DA270">
        <v>1556</v>
      </c>
      <c r="DB270">
        <v>1392</v>
      </c>
      <c r="DC270">
        <v>-6181</v>
      </c>
      <c r="DD270">
        <v>837</v>
      </c>
      <c r="DE270">
        <v>13235</v>
      </c>
      <c r="DF270">
        <v>31551</v>
      </c>
      <c r="DG270">
        <v>555</v>
      </c>
      <c r="DH270">
        <v>1258</v>
      </c>
      <c r="DI270">
        <v>22</v>
      </c>
      <c r="DJ270" s="174">
        <v>4829</v>
      </c>
      <c r="DK270" s="34">
        <v>15530</v>
      </c>
      <c r="DL270" s="34">
        <v>13544</v>
      </c>
      <c r="DM270">
        <v>3514</v>
      </c>
      <c r="DN270" s="173">
        <v>171</v>
      </c>
      <c r="DO270" s="34">
        <v>13132</v>
      </c>
      <c r="DP270" s="173">
        <v>923</v>
      </c>
      <c r="DQ270" s="34">
        <v>1475</v>
      </c>
      <c r="DR270" s="173">
        <v>170</v>
      </c>
      <c r="DS270" s="173">
        <v>-2490</v>
      </c>
      <c r="DT270">
        <v>1310</v>
      </c>
      <c r="DU270">
        <v>13562</v>
      </c>
      <c r="DV270" s="173">
        <v>32589</v>
      </c>
      <c r="DW270" s="173">
        <v>-940</v>
      </c>
      <c r="DX270" s="173">
        <v>319</v>
      </c>
      <c r="DY270" s="57">
        <v>21.5</v>
      </c>
      <c r="DZ270" s="184">
        <v>330</v>
      </c>
      <c r="EA270" s="116">
        <v>4792</v>
      </c>
      <c r="EB270" s="48">
        <v>15777</v>
      </c>
      <c r="EC270" s="46">
        <v>13483</v>
      </c>
      <c r="ED270" s="90">
        <v>3967</v>
      </c>
      <c r="EE270" s="186">
        <v>182</v>
      </c>
      <c r="EF270" s="46">
        <v>13357</v>
      </c>
      <c r="EG270" s="130">
        <v>815</v>
      </c>
      <c r="EH270" s="46">
        <v>1605</v>
      </c>
      <c r="EI270" s="130">
        <v>2111</v>
      </c>
      <c r="EJ270" s="48">
        <v>-581</v>
      </c>
      <c r="EK270" s="44">
        <v>1401</v>
      </c>
      <c r="EL270" s="44">
        <v>13234</v>
      </c>
      <c r="EM270" s="130">
        <v>31298</v>
      </c>
      <c r="EN270" s="117">
        <v>910</v>
      </c>
      <c r="EO270" s="117">
        <v>1228</v>
      </c>
      <c r="EP270" s="129">
        <v>21.75</v>
      </c>
    </row>
    <row r="271" spans="1:146" ht="15" x14ac:dyDescent="0.25">
      <c r="A271" s="27">
        <v>889</v>
      </c>
      <c r="B271" s="27" t="s">
        <v>394</v>
      </c>
      <c r="C271" s="27">
        <v>17</v>
      </c>
      <c r="D271" s="27" t="s">
        <v>117</v>
      </c>
      <c r="E271" s="27">
        <v>2</v>
      </c>
      <c r="F271" s="27" t="s">
        <v>744</v>
      </c>
      <c r="G271" s="29" t="s">
        <v>130</v>
      </c>
      <c r="H271" s="27" t="s">
        <v>98</v>
      </c>
      <c r="I271" s="31" t="s">
        <v>117</v>
      </c>
      <c r="J271" s="118">
        <v>52.13825720306842</v>
      </c>
      <c r="K271" s="118">
        <v>-693.27063287434851</v>
      </c>
      <c r="L271" s="118">
        <v>-1200.1890432293428</v>
      </c>
      <c r="M271" s="118">
        <v>-2106.7219668568873</v>
      </c>
      <c r="N271" s="22">
        <v>-2405</v>
      </c>
      <c r="O271" s="119">
        <v>-3456</v>
      </c>
      <c r="P271" s="119">
        <v>-3857</v>
      </c>
      <c r="Q271" s="120">
        <v>-4885</v>
      </c>
      <c r="R271" s="22">
        <v>-6069</v>
      </c>
      <c r="S271" s="22">
        <v>-5077</v>
      </c>
      <c r="T271" s="121">
        <v>-4668</v>
      </c>
      <c r="U271" s="121">
        <v>-3626</v>
      </c>
      <c r="V271" s="121">
        <v>-922</v>
      </c>
      <c r="W271" s="106">
        <v>2102</v>
      </c>
      <c r="X271" s="121">
        <v>3450</v>
      </c>
      <c r="Y271" s="121">
        <v>4045</v>
      </c>
      <c r="Z271" s="121">
        <v>4125</v>
      </c>
      <c r="AA271" s="121">
        <v>4092</v>
      </c>
      <c r="AB271" s="122">
        <v>18</v>
      </c>
      <c r="AC271" s="123">
        <v>18</v>
      </c>
      <c r="AD271" s="124">
        <v>19</v>
      </c>
      <c r="AE271" s="125">
        <v>19</v>
      </c>
      <c r="AF271" s="126">
        <v>19</v>
      </c>
      <c r="AG271" s="123">
        <v>19</v>
      </c>
      <c r="AH271" s="123">
        <v>19</v>
      </c>
      <c r="AI271" s="131">
        <v>19</v>
      </c>
      <c r="AJ271" s="131">
        <v>19</v>
      </c>
      <c r="AK271" s="22">
        <v>19.5</v>
      </c>
      <c r="AL271" s="128">
        <v>19.5</v>
      </c>
      <c r="AM271" s="128">
        <v>19.5</v>
      </c>
      <c r="AN271" s="128">
        <v>19.5</v>
      </c>
      <c r="AO271" s="77">
        <v>19.5</v>
      </c>
      <c r="AP271" s="77">
        <v>19.5</v>
      </c>
      <c r="AQ271" s="129">
        <v>19.5</v>
      </c>
      <c r="AR271" s="129">
        <v>19.5</v>
      </c>
      <c r="AS271" s="129">
        <v>20.5</v>
      </c>
      <c r="AT271" s="116">
        <v>2945</v>
      </c>
      <c r="AU271" s="47">
        <v>3397</v>
      </c>
      <c r="AV271" s="47">
        <v>23109</v>
      </c>
      <c r="AW271" s="46">
        <v>9476</v>
      </c>
      <c r="AX271" s="46">
        <v>12035</v>
      </c>
      <c r="AY271" s="92">
        <v>7</v>
      </c>
      <c r="AZ271" s="47">
        <v>1732</v>
      </c>
      <c r="BA271" s="44">
        <v>1137</v>
      </c>
      <c r="BB271" s="23">
        <v>-1682</v>
      </c>
      <c r="BC271" s="47">
        <v>595</v>
      </c>
      <c r="BD271" s="44">
        <v>595</v>
      </c>
      <c r="BE271" s="47">
        <v>4045</v>
      </c>
      <c r="BF271" s="44">
        <v>9476</v>
      </c>
      <c r="BG271" s="46">
        <v>6539</v>
      </c>
      <c r="BH271" s="130">
        <v>685</v>
      </c>
      <c r="BI271" s="46">
        <v>2252</v>
      </c>
      <c r="BJ271" s="129">
        <v>19.5</v>
      </c>
      <c r="BK271" s="44">
        <v>6237</v>
      </c>
      <c r="BL271" s="116">
        <v>2907</v>
      </c>
      <c r="BM271" s="47">
        <v>3277</v>
      </c>
      <c r="BN271" s="130">
        <v>23668</v>
      </c>
      <c r="BO271" s="46">
        <v>9696</v>
      </c>
      <c r="BP271" s="46">
        <v>12118</v>
      </c>
      <c r="BQ271" s="46">
        <v>9</v>
      </c>
      <c r="BR271" s="130">
        <v>1377</v>
      </c>
      <c r="BS271" s="44">
        <v>1297</v>
      </c>
      <c r="BT271" s="92">
        <v>-1237</v>
      </c>
      <c r="BU271" s="117">
        <v>80</v>
      </c>
      <c r="BV271" s="130">
        <v>4125</v>
      </c>
      <c r="BW271" s="48">
        <v>9696</v>
      </c>
      <c r="BX271" s="46">
        <v>6506</v>
      </c>
      <c r="BY271" s="130">
        <v>796</v>
      </c>
      <c r="BZ271" s="46">
        <v>2394</v>
      </c>
      <c r="CA271" s="129">
        <v>19.5</v>
      </c>
      <c r="CB271" s="44">
        <v>6506</v>
      </c>
      <c r="CC271" s="116">
        <v>2861</v>
      </c>
      <c r="CD271" s="47">
        <v>3257</v>
      </c>
      <c r="CE271" s="130">
        <v>24076</v>
      </c>
      <c r="CF271" s="46">
        <v>10241</v>
      </c>
      <c r="CG271" s="46">
        <v>11955</v>
      </c>
      <c r="CH271" s="46">
        <v>56</v>
      </c>
      <c r="CI271" s="130">
        <v>1391</v>
      </c>
      <c r="CJ271" s="44">
        <v>1232</v>
      </c>
      <c r="CK271" s="117">
        <v>-2811</v>
      </c>
      <c r="CL271" s="117">
        <v>159</v>
      </c>
      <c r="CM271" s="117">
        <v>4092</v>
      </c>
      <c r="CN271" s="48">
        <v>10241</v>
      </c>
      <c r="CO271" s="46">
        <v>6820</v>
      </c>
      <c r="CP271" s="130">
        <v>901</v>
      </c>
      <c r="CQ271" s="46">
        <v>2520</v>
      </c>
      <c r="CR271" s="129">
        <v>20.5</v>
      </c>
      <c r="CS271" s="44">
        <v>6733</v>
      </c>
      <c r="CT271">
        <v>2824</v>
      </c>
      <c r="CU271">
        <v>10307</v>
      </c>
      <c r="CV271">
        <v>12433</v>
      </c>
      <c r="CW271">
        <v>3484</v>
      </c>
      <c r="CX271">
        <v>6</v>
      </c>
      <c r="CY271">
        <v>6745</v>
      </c>
      <c r="CZ271">
        <v>877</v>
      </c>
      <c r="DA271">
        <v>2685</v>
      </c>
      <c r="DB271">
        <v>2482</v>
      </c>
      <c r="DC271">
        <v>-1511</v>
      </c>
      <c r="DD271">
        <v>1737</v>
      </c>
      <c r="DE271">
        <v>6933</v>
      </c>
      <c r="DF271">
        <v>23710</v>
      </c>
      <c r="DG271">
        <v>195</v>
      </c>
      <c r="DH271">
        <v>4286</v>
      </c>
      <c r="DI271">
        <v>20.5</v>
      </c>
      <c r="DJ271" s="174">
        <v>2768</v>
      </c>
      <c r="DK271" s="34">
        <v>10398</v>
      </c>
      <c r="DL271" s="34">
        <v>11940</v>
      </c>
      <c r="DM271">
        <v>3990</v>
      </c>
      <c r="DN271" s="173">
        <v>-3</v>
      </c>
      <c r="DO271" s="34">
        <v>6762</v>
      </c>
      <c r="DP271" s="173">
        <v>1011</v>
      </c>
      <c r="DQ271" s="34">
        <v>2625</v>
      </c>
      <c r="DR271" s="173">
        <v>2500</v>
      </c>
      <c r="DS271" s="173">
        <v>-3839</v>
      </c>
      <c r="DT271">
        <v>1273</v>
      </c>
      <c r="DU271">
        <v>9388</v>
      </c>
      <c r="DV271" s="173">
        <v>23825</v>
      </c>
      <c r="DW271" s="173">
        <v>779</v>
      </c>
      <c r="DX271" s="173">
        <v>5064</v>
      </c>
      <c r="DY271" s="57">
        <v>20.5</v>
      </c>
      <c r="DZ271" s="184">
        <v>340</v>
      </c>
      <c r="EA271" s="116">
        <v>2702</v>
      </c>
      <c r="EB271" s="48">
        <v>9874</v>
      </c>
      <c r="EC271" s="46">
        <v>11540</v>
      </c>
      <c r="ED271" s="90">
        <v>4266</v>
      </c>
      <c r="EE271" s="186">
        <v>-50</v>
      </c>
      <c r="EF271" s="46">
        <v>6335</v>
      </c>
      <c r="EG271" s="130">
        <v>856</v>
      </c>
      <c r="EH271" s="46">
        <v>2683</v>
      </c>
      <c r="EI271" s="130">
        <v>1567</v>
      </c>
      <c r="EJ271" s="48">
        <v>-385</v>
      </c>
      <c r="EK271" s="44">
        <v>1053</v>
      </c>
      <c r="EL271" s="44">
        <v>9172</v>
      </c>
      <c r="EM271" s="130">
        <v>24063</v>
      </c>
      <c r="EN271" s="117">
        <v>25</v>
      </c>
      <c r="EO271" s="117">
        <v>5089</v>
      </c>
      <c r="EP271" s="129">
        <v>20.5</v>
      </c>
    </row>
    <row r="272" spans="1:146" ht="15" x14ac:dyDescent="0.25">
      <c r="A272" s="27">
        <v>890</v>
      </c>
      <c r="B272" s="27" t="s">
        <v>395</v>
      </c>
      <c r="C272" s="27">
        <v>19</v>
      </c>
      <c r="D272" s="27" t="s">
        <v>113</v>
      </c>
      <c r="E272" s="27">
        <v>1</v>
      </c>
      <c r="F272" s="27" t="s">
        <v>103</v>
      </c>
      <c r="G272" s="29" t="s">
        <v>130</v>
      </c>
      <c r="H272" s="27" t="s">
        <v>98</v>
      </c>
      <c r="I272" s="31" t="s">
        <v>113</v>
      </c>
      <c r="J272" s="118">
        <v>60.547653526143968</v>
      </c>
      <c r="K272" s="118">
        <v>22.873557998765499</v>
      </c>
      <c r="L272" s="118">
        <v>-648.36445650912503</v>
      </c>
      <c r="M272" s="118">
        <v>-1406.7238169240782</v>
      </c>
      <c r="N272" s="22">
        <v>-1310</v>
      </c>
      <c r="O272" s="119">
        <v>-907</v>
      </c>
      <c r="P272" s="119">
        <v>-1072</v>
      </c>
      <c r="Q272" s="120">
        <v>-1984</v>
      </c>
      <c r="R272" s="22">
        <v>-2881</v>
      </c>
      <c r="S272" s="22">
        <v>-3437</v>
      </c>
      <c r="T272" s="121">
        <v>-3511</v>
      </c>
      <c r="U272" s="121">
        <v>-3935</v>
      </c>
      <c r="V272" s="121">
        <v>-2326</v>
      </c>
      <c r="W272" s="106">
        <v>-1870</v>
      </c>
      <c r="X272" s="121">
        <v>-1032</v>
      </c>
      <c r="Y272" s="121">
        <v>-243</v>
      </c>
      <c r="Z272" s="121">
        <v>1023</v>
      </c>
      <c r="AA272" s="121">
        <v>1040</v>
      </c>
      <c r="AB272" s="122">
        <v>19</v>
      </c>
      <c r="AC272" s="123">
        <v>19</v>
      </c>
      <c r="AD272" s="124">
        <v>19</v>
      </c>
      <c r="AE272" s="125">
        <v>19</v>
      </c>
      <c r="AF272" s="126">
        <v>19.25</v>
      </c>
      <c r="AG272" s="123">
        <v>19.5</v>
      </c>
      <c r="AH272" s="123">
        <v>19.5</v>
      </c>
      <c r="AI272" s="127">
        <v>19.5</v>
      </c>
      <c r="AJ272" s="127">
        <v>19.5</v>
      </c>
      <c r="AK272" s="22">
        <v>20.5</v>
      </c>
      <c r="AL272" s="128">
        <v>20.5</v>
      </c>
      <c r="AM272" s="128">
        <v>20.5</v>
      </c>
      <c r="AN272" s="128">
        <v>20.5</v>
      </c>
      <c r="AO272" s="77">
        <v>20.75</v>
      </c>
      <c r="AP272" s="77">
        <v>20.75</v>
      </c>
      <c r="AQ272" s="129">
        <v>20.75</v>
      </c>
      <c r="AR272" s="129">
        <v>20.75</v>
      </c>
      <c r="AS272" s="129">
        <v>20.75</v>
      </c>
      <c r="AT272" s="116">
        <v>1279</v>
      </c>
      <c r="AU272" s="47">
        <v>2666</v>
      </c>
      <c r="AV272" s="47">
        <v>12427</v>
      </c>
      <c r="AW272" s="46">
        <v>4325</v>
      </c>
      <c r="AX272" s="46">
        <v>6730</v>
      </c>
      <c r="AY272" s="92">
        <v>9</v>
      </c>
      <c r="AZ272" s="47">
        <v>1230</v>
      </c>
      <c r="BA272" s="44">
        <v>441</v>
      </c>
      <c r="BB272" s="23">
        <v>-1672</v>
      </c>
      <c r="BC272" s="47">
        <v>790</v>
      </c>
      <c r="BD272" s="44">
        <v>790</v>
      </c>
      <c r="BE272" s="47">
        <v>-243</v>
      </c>
      <c r="BF272" s="44">
        <v>4325</v>
      </c>
      <c r="BG272" s="46">
        <v>3748</v>
      </c>
      <c r="BH272" s="130">
        <v>95</v>
      </c>
      <c r="BI272" s="46">
        <v>482</v>
      </c>
      <c r="BJ272" s="129">
        <v>20.75</v>
      </c>
      <c r="BK272" s="44">
        <v>3801</v>
      </c>
      <c r="BL272" s="116">
        <v>1260</v>
      </c>
      <c r="BM272" s="47">
        <v>2352</v>
      </c>
      <c r="BN272" s="130">
        <v>11979</v>
      </c>
      <c r="BO272" s="46">
        <v>4418</v>
      </c>
      <c r="BP272" s="46">
        <v>6781</v>
      </c>
      <c r="BQ272" s="46">
        <v>236</v>
      </c>
      <c r="BR272" s="130">
        <v>1518</v>
      </c>
      <c r="BS272" s="44">
        <v>430</v>
      </c>
      <c r="BT272" s="92">
        <v>-1104</v>
      </c>
      <c r="BU272" s="117">
        <v>1266</v>
      </c>
      <c r="BV272" s="130">
        <v>1023</v>
      </c>
      <c r="BW272" s="48">
        <v>4418</v>
      </c>
      <c r="BX272" s="46">
        <v>3762</v>
      </c>
      <c r="BY272" s="130">
        <v>113</v>
      </c>
      <c r="BZ272" s="46">
        <v>543</v>
      </c>
      <c r="CA272" s="129">
        <v>20.75</v>
      </c>
      <c r="CB272" s="44">
        <v>3827</v>
      </c>
      <c r="CC272" s="116">
        <v>1250</v>
      </c>
      <c r="CD272" s="47">
        <v>2514</v>
      </c>
      <c r="CE272" s="130">
        <v>12958</v>
      </c>
      <c r="CF272" s="46">
        <v>4252</v>
      </c>
      <c r="CG272" s="46">
        <v>6707</v>
      </c>
      <c r="CH272" s="46">
        <v>84</v>
      </c>
      <c r="CI272" s="130">
        <v>471</v>
      </c>
      <c r="CJ272" s="44">
        <v>527</v>
      </c>
      <c r="CK272" s="117">
        <v>-1420</v>
      </c>
      <c r="CL272" s="117">
        <v>17</v>
      </c>
      <c r="CM272" s="117">
        <v>1040</v>
      </c>
      <c r="CN272" s="48">
        <v>4252</v>
      </c>
      <c r="CO272" s="46">
        <v>3571</v>
      </c>
      <c r="CP272" s="130">
        <v>134</v>
      </c>
      <c r="CQ272" s="46">
        <v>547</v>
      </c>
      <c r="CR272" s="129">
        <v>20.75</v>
      </c>
      <c r="CS272" s="44">
        <v>4281</v>
      </c>
      <c r="CT272">
        <v>1241</v>
      </c>
      <c r="CU272">
        <v>4459</v>
      </c>
      <c r="CV272">
        <v>7162</v>
      </c>
      <c r="CW272">
        <v>2724</v>
      </c>
      <c r="CX272">
        <v>19</v>
      </c>
      <c r="CY272">
        <v>3713</v>
      </c>
      <c r="CZ272">
        <v>130</v>
      </c>
      <c r="DA272">
        <v>616</v>
      </c>
      <c r="DB272">
        <v>1205</v>
      </c>
      <c r="DC272">
        <v>-1004</v>
      </c>
      <c r="DD272">
        <v>521</v>
      </c>
      <c r="DE272">
        <v>5160</v>
      </c>
      <c r="DF272">
        <v>13102</v>
      </c>
      <c r="DG272">
        <v>693</v>
      </c>
      <c r="DH272">
        <v>1734</v>
      </c>
      <c r="DI272">
        <v>20.75</v>
      </c>
      <c r="DJ272" s="174">
        <v>1242</v>
      </c>
      <c r="DK272" s="34">
        <v>4636</v>
      </c>
      <c r="DL272" s="34">
        <v>6856</v>
      </c>
      <c r="DM272">
        <v>2751</v>
      </c>
      <c r="DN272" s="173">
        <v>-30</v>
      </c>
      <c r="DO272" s="34">
        <v>3843</v>
      </c>
      <c r="DP272" s="173">
        <v>160</v>
      </c>
      <c r="DQ272" s="34">
        <v>633</v>
      </c>
      <c r="DR272" s="173">
        <v>1975</v>
      </c>
      <c r="DS272" s="173">
        <v>-483</v>
      </c>
      <c r="DT272">
        <v>551</v>
      </c>
      <c r="DU272">
        <v>5106</v>
      </c>
      <c r="DV272" s="173">
        <v>12238</v>
      </c>
      <c r="DW272" s="173">
        <v>1424</v>
      </c>
      <c r="DX272" s="173">
        <v>3158</v>
      </c>
      <c r="DY272" s="57">
        <v>20.75</v>
      </c>
      <c r="DZ272" s="184">
        <v>330</v>
      </c>
      <c r="EA272" s="116">
        <v>1232</v>
      </c>
      <c r="EB272" s="48">
        <v>4550</v>
      </c>
      <c r="EC272" s="46">
        <v>6896</v>
      </c>
      <c r="ED272" s="90">
        <v>3013</v>
      </c>
      <c r="EE272" s="186">
        <v>-39</v>
      </c>
      <c r="EF272" s="46">
        <v>3780</v>
      </c>
      <c r="EG272" s="130">
        <v>149</v>
      </c>
      <c r="EH272" s="46">
        <v>621</v>
      </c>
      <c r="EI272" s="130">
        <v>1283</v>
      </c>
      <c r="EJ272" s="48">
        <v>-595</v>
      </c>
      <c r="EK272" s="44">
        <v>566</v>
      </c>
      <c r="EL272" s="44">
        <v>4452</v>
      </c>
      <c r="EM272" s="130">
        <v>13134</v>
      </c>
      <c r="EN272" s="117">
        <v>720</v>
      </c>
      <c r="EO272" s="117">
        <v>3877</v>
      </c>
      <c r="EP272" s="129">
        <v>21</v>
      </c>
    </row>
    <row r="273" spans="1:146" ht="15" x14ac:dyDescent="0.25">
      <c r="A273" s="27">
        <v>892</v>
      </c>
      <c r="B273" s="27" t="s">
        <v>396</v>
      </c>
      <c r="C273" s="27">
        <v>13</v>
      </c>
      <c r="D273" s="27" t="s">
        <v>111</v>
      </c>
      <c r="E273" s="27">
        <v>2</v>
      </c>
      <c r="F273" s="27" t="s">
        <v>744</v>
      </c>
      <c r="G273" s="29" t="s">
        <v>130</v>
      </c>
      <c r="H273" s="27" t="s">
        <v>98</v>
      </c>
      <c r="I273" s="31" t="s">
        <v>111</v>
      </c>
      <c r="J273" s="118">
        <v>59.706713893836415</v>
      </c>
      <c r="K273" s="118">
        <v>105.79020574429043</v>
      </c>
      <c r="L273" s="118">
        <v>627.5091536278976</v>
      </c>
      <c r="M273" s="118">
        <v>74.339063495987943</v>
      </c>
      <c r="N273" s="22">
        <v>438</v>
      </c>
      <c r="O273" s="119">
        <v>402</v>
      </c>
      <c r="P273" s="119">
        <v>15</v>
      </c>
      <c r="Q273" s="120">
        <v>440</v>
      </c>
      <c r="R273" s="22">
        <v>632</v>
      </c>
      <c r="S273" s="22">
        <v>1181</v>
      </c>
      <c r="T273" s="121">
        <v>891</v>
      </c>
      <c r="U273" s="121">
        <v>1600</v>
      </c>
      <c r="V273" s="121">
        <v>2334</v>
      </c>
      <c r="W273" s="106">
        <v>2464</v>
      </c>
      <c r="X273" s="121">
        <v>1973</v>
      </c>
      <c r="Y273" s="121">
        <v>2343</v>
      </c>
      <c r="Z273" s="121">
        <v>3085</v>
      </c>
      <c r="AA273" s="121">
        <v>3221</v>
      </c>
      <c r="AB273" s="122">
        <v>18.5</v>
      </c>
      <c r="AC273" s="123">
        <v>18.5</v>
      </c>
      <c r="AD273" s="124">
        <v>18.5</v>
      </c>
      <c r="AE273" s="125">
        <v>18.5</v>
      </c>
      <c r="AF273" s="126">
        <v>18.5</v>
      </c>
      <c r="AG273" s="123">
        <v>19</v>
      </c>
      <c r="AH273" s="123">
        <v>19</v>
      </c>
      <c r="AI273" s="127">
        <v>19</v>
      </c>
      <c r="AJ273" s="127">
        <v>19</v>
      </c>
      <c r="AK273" s="22">
        <v>19</v>
      </c>
      <c r="AL273" s="128">
        <v>19</v>
      </c>
      <c r="AM273" s="128">
        <v>19</v>
      </c>
      <c r="AN273" s="128">
        <v>19.5</v>
      </c>
      <c r="AO273" s="77">
        <v>19.5</v>
      </c>
      <c r="AP273" s="77">
        <v>19.5</v>
      </c>
      <c r="AQ273" s="129">
        <v>19.5</v>
      </c>
      <c r="AR273" s="129">
        <v>20.5</v>
      </c>
      <c r="AS273" s="129">
        <v>20.5</v>
      </c>
      <c r="AT273" s="116">
        <v>3594</v>
      </c>
      <c r="AU273" s="47">
        <v>3414</v>
      </c>
      <c r="AV273" s="47">
        <v>20468</v>
      </c>
      <c r="AW273" s="46">
        <v>9147</v>
      </c>
      <c r="AX273" s="46">
        <v>8948</v>
      </c>
      <c r="AY273" s="92">
        <v>231</v>
      </c>
      <c r="AZ273" s="47">
        <v>1169</v>
      </c>
      <c r="BA273" s="44">
        <v>913</v>
      </c>
      <c r="BB273" s="23">
        <v>-2343</v>
      </c>
      <c r="BC273" s="47">
        <v>256</v>
      </c>
      <c r="BD273" s="44">
        <v>370</v>
      </c>
      <c r="BE273" s="47">
        <v>2343</v>
      </c>
      <c r="BF273" s="44">
        <v>9147</v>
      </c>
      <c r="BG273" s="46">
        <v>8398</v>
      </c>
      <c r="BH273" s="130">
        <v>377</v>
      </c>
      <c r="BI273" s="46">
        <v>372</v>
      </c>
      <c r="BJ273" s="129">
        <v>19.5</v>
      </c>
      <c r="BK273" s="44">
        <v>10006</v>
      </c>
      <c r="BL273" s="116">
        <v>3611</v>
      </c>
      <c r="BM273" s="47">
        <v>4151</v>
      </c>
      <c r="BN273" s="130">
        <v>21462</v>
      </c>
      <c r="BO273" s="46">
        <v>9734</v>
      </c>
      <c r="BP273" s="46">
        <v>9235</v>
      </c>
      <c r="BQ273" s="46">
        <v>215</v>
      </c>
      <c r="BR273" s="130">
        <v>1752</v>
      </c>
      <c r="BS273" s="44">
        <v>1025</v>
      </c>
      <c r="BT273" s="92">
        <v>-2451</v>
      </c>
      <c r="BU273" s="117">
        <v>742</v>
      </c>
      <c r="BV273" s="130">
        <v>3085</v>
      </c>
      <c r="BW273" s="48">
        <v>9734</v>
      </c>
      <c r="BX273" s="46">
        <v>8785</v>
      </c>
      <c r="BY273" s="130">
        <v>462</v>
      </c>
      <c r="BZ273" s="46">
        <v>487</v>
      </c>
      <c r="CA273" s="129">
        <v>20.5</v>
      </c>
      <c r="CB273" s="44">
        <v>10925</v>
      </c>
      <c r="CC273" s="116">
        <v>3666</v>
      </c>
      <c r="CD273" s="47">
        <v>3336</v>
      </c>
      <c r="CE273" s="130">
        <v>21641</v>
      </c>
      <c r="CF273" s="46">
        <v>10403</v>
      </c>
      <c r="CG273" s="46">
        <v>9007</v>
      </c>
      <c r="CH273" s="46">
        <v>264</v>
      </c>
      <c r="CI273" s="130">
        <v>1189</v>
      </c>
      <c r="CJ273" s="44">
        <v>1069</v>
      </c>
      <c r="CK273" s="117">
        <v>-749</v>
      </c>
      <c r="CL273" s="117">
        <v>135</v>
      </c>
      <c r="CM273" s="117">
        <v>3221</v>
      </c>
      <c r="CN273" s="48">
        <v>10403</v>
      </c>
      <c r="CO273" s="46">
        <v>9279</v>
      </c>
      <c r="CP273" s="130">
        <v>549</v>
      </c>
      <c r="CQ273" s="46">
        <v>575</v>
      </c>
      <c r="CR273" s="129">
        <v>20.5</v>
      </c>
      <c r="CS273" s="44">
        <v>11008</v>
      </c>
      <c r="CT273">
        <v>3717</v>
      </c>
      <c r="CU273">
        <v>10459</v>
      </c>
      <c r="CV273">
        <v>9585</v>
      </c>
      <c r="CW273">
        <v>3153</v>
      </c>
      <c r="CX273">
        <v>180</v>
      </c>
      <c r="CY273">
        <v>9353</v>
      </c>
      <c r="CZ273">
        <v>585</v>
      </c>
      <c r="DA273">
        <v>521</v>
      </c>
      <c r="DB273">
        <v>1287</v>
      </c>
      <c r="DC273">
        <v>-1968</v>
      </c>
      <c r="DD273">
        <v>1060</v>
      </c>
      <c r="DE273">
        <v>12294</v>
      </c>
      <c r="DF273">
        <v>22018</v>
      </c>
      <c r="DG273">
        <v>242</v>
      </c>
      <c r="DH273">
        <v>3463</v>
      </c>
      <c r="DI273">
        <v>20.5</v>
      </c>
      <c r="DJ273" s="174">
        <v>3747</v>
      </c>
      <c r="DK273" s="34">
        <v>10848</v>
      </c>
      <c r="DL273" s="34">
        <v>9118</v>
      </c>
      <c r="DM273">
        <v>3392</v>
      </c>
      <c r="DN273" s="173">
        <v>263</v>
      </c>
      <c r="DO273" s="34">
        <v>9652</v>
      </c>
      <c r="DP273" s="173">
        <v>601</v>
      </c>
      <c r="DQ273" s="34">
        <v>595</v>
      </c>
      <c r="DR273" s="173">
        <v>1606</v>
      </c>
      <c r="DS273" s="173">
        <v>-3523</v>
      </c>
      <c r="DT273">
        <v>1461</v>
      </c>
      <c r="DU273">
        <v>14359</v>
      </c>
      <c r="DV273" s="173">
        <v>22015</v>
      </c>
      <c r="DW273" s="173">
        <v>160</v>
      </c>
      <c r="DX273" s="173">
        <v>3623</v>
      </c>
      <c r="DY273" s="57">
        <v>20.5</v>
      </c>
      <c r="DZ273" s="184">
        <v>320</v>
      </c>
      <c r="EA273" s="116">
        <v>3783</v>
      </c>
      <c r="EB273" s="48">
        <v>10655</v>
      </c>
      <c r="EC273" s="46">
        <v>9070</v>
      </c>
      <c r="ED273" s="90">
        <v>3012</v>
      </c>
      <c r="EE273" s="186">
        <v>-36</v>
      </c>
      <c r="EF273" s="46">
        <v>9494</v>
      </c>
      <c r="EG273" s="130">
        <v>532</v>
      </c>
      <c r="EH273" s="46">
        <v>629</v>
      </c>
      <c r="EI273" s="130">
        <v>-365</v>
      </c>
      <c r="EJ273" s="48">
        <v>-936</v>
      </c>
      <c r="EK273" s="44">
        <v>1282</v>
      </c>
      <c r="EL273" s="44">
        <v>15100</v>
      </c>
      <c r="EM273" s="130">
        <v>23066</v>
      </c>
      <c r="EN273" s="117">
        <v>-1632</v>
      </c>
      <c r="EO273" s="117">
        <v>1992</v>
      </c>
      <c r="EP273" s="129">
        <v>20.5</v>
      </c>
    </row>
    <row r="274" spans="1:146" ht="15" x14ac:dyDescent="0.25">
      <c r="A274" s="27">
        <v>893</v>
      </c>
      <c r="B274" s="27" t="s">
        <v>397</v>
      </c>
      <c r="C274" s="27">
        <v>15</v>
      </c>
      <c r="D274" s="27" t="s">
        <v>115</v>
      </c>
      <c r="E274" s="27">
        <v>3</v>
      </c>
      <c r="F274" s="27" t="s">
        <v>743</v>
      </c>
      <c r="G274" s="29" t="s">
        <v>130</v>
      </c>
      <c r="H274" s="27" t="s">
        <v>98</v>
      </c>
      <c r="I274" s="31" t="s">
        <v>115</v>
      </c>
      <c r="J274" s="118">
        <v>3045.5469723650417</v>
      </c>
      <c r="K274" s="118">
        <v>3671.2060588018626</v>
      </c>
      <c r="L274" s="118">
        <v>3384.1092683320635</v>
      </c>
      <c r="M274" s="118">
        <v>5236.531090379146</v>
      </c>
      <c r="N274" s="22">
        <v>6796</v>
      </c>
      <c r="O274" s="119">
        <v>5827</v>
      </c>
      <c r="P274" s="119">
        <v>5101</v>
      </c>
      <c r="Q274" s="120">
        <v>6090</v>
      </c>
      <c r="R274" s="22">
        <v>7325</v>
      </c>
      <c r="S274" s="22">
        <v>8894</v>
      </c>
      <c r="T274" s="121">
        <v>8966</v>
      </c>
      <c r="U274" s="121">
        <v>7598</v>
      </c>
      <c r="V274" s="121">
        <v>8391</v>
      </c>
      <c r="W274" s="106">
        <v>9771</v>
      </c>
      <c r="X274" s="121">
        <v>10328</v>
      </c>
      <c r="Y274" s="121">
        <v>11112</v>
      </c>
      <c r="Z274" s="121">
        <v>11053</v>
      </c>
      <c r="AA274" s="121">
        <v>9956</v>
      </c>
      <c r="AB274" s="122">
        <v>17</v>
      </c>
      <c r="AC274" s="123">
        <v>17</v>
      </c>
      <c r="AD274" s="124">
        <v>17.5</v>
      </c>
      <c r="AE274" s="125">
        <v>18.5</v>
      </c>
      <c r="AF274" s="126">
        <v>18.5</v>
      </c>
      <c r="AG274" s="123">
        <v>18.5</v>
      </c>
      <c r="AH274" s="123">
        <v>18.5</v>
      </c>
      <c r="AI274" s="127">
        <v>19</v>
      </c>
      <c r="AJ274" s="127">
        <v>19</v>
      </c>
      <c r="AK274" s="22">
        <v>19</v>
      </c>
      <c r="AL274" s="128">
        <v>19</v>
      </c>
      <c r="AM274" s="128">
        <v>19</v>
      </c>
      <c r="AN274" s="128">
        <v>19.75</v>
      </c>
      <c r="AO274" s="77">
        <v>19.75</v>
      </c>
      <c r="AP274" s="77">
        <v>19.75</v>
      </c>
      <c r="AQ274" s="129">
        <v>20</v>
      </c>
      <c r="AR274" s="129">
        <v>20</v>
      </c>
      <c r="AS274" s="129">
        <v>20.5</v>
      </c>
      <c r="AT274" s="116">
        <v>7524</v>
      </c>
      <c r="AU274" s="47">
        <v>14550</v>
      </c>
      <c r="AV274" s="47">
        <v>53896</v>
      </c>
      <c r="AW274" s="46">
        <v>25738</v>
      </c>
      <c r="AX274" s="46">
        <v>17162</v>
      </c>
      <c r="AY274" s="92">
        <v>312</v>
      </c>
      <c r="AZ274" s="47">
        <v>3618</v>
      </c>
      <c r="BA274" s="44">
        <v>2938</v>
      </c>
      <c r="BB274" s="23">
        <v>-5537</v>
      </c>
      <c r="BC274" s="47">
        <v>680</v>
      </c>
      <c r="BD274" s="44">
        <v>760</v>
      </c>
      <c r="BE274" s="47">
        <v>11112</v>
      </c>
      <c r="BF274" s="44">
        <v>25738</v>
      </c>
      <c r="BG274" s="46">
        <v>21337</v>
      </c>
      <c r="BH274" s="130">
        <v>3009</v>
      </c>
      <c r="BI274" s="46">
        <v>1392</v>
      </c>
      <c r="BJ274" s="129">
        <v>20</v>
      </c>
      <c r="BK274" s="44">
        <v>16996</v>
      </c>
      <c r="BL274" s="116">
        <v>7533</v>
      </c>
      <c r="BM274" s="47">
        <v>6087</v>
      </c>
      <c r="BN274" s="130">
        <v>49065</v>
      </c>
      <c r="BO274" s="46">
        <v>27379</v>
      </c>
      <c r="BP274" s="46">
        <v>16861</v>
      </c>
      <c r="BQ274" s="46">
        <v>65</v>
      </c>
      <c r="BR274" s="130">
        <v>1178</v>
      </c>
      <c r="BS274" s="44">
        <v>1709</v>
      </c>
      <c r="BT274" s="92">
        <v>-2863</v>
      </c>
      <c r="BU274" s="117">
        <v>-60</v>
      </c>
      <c r="BV274" s="130">
        <v>11053</v>
      </c>
      <c r="BW274" s="48">
        <v>27379</v>
      </c>
      <c r="BX274" s="46">
        <v>21681</v>
      </c>
      <c r="BY274" s="130">
        <v>3792</v>
      </c>
      <c r="BZ274" s="46">
        <v>1906</v>
      </c>
      <c r="CA274" s="129">
        <v>20</v>
      </c>
      <c r="CB274" s="44">
        <v>16480</v>
      </c>
      <c r="CC274" s="116">
        <v>7564</v>
      </c>
      <c r="CD274" s="47">
        <v>5784</v>
      </c>
      <c r="CE274" s="130">
        <v>49027</v>
      </c>
      <c r="CF274" s="46">
        <v>27920</v>
      </c>
      <c r="CG274" s="46">
        <v>15816</v>
      </c>
      <c r="CH274" s="46">
        <v>119</v>
      </c>
      <c r="CI274" s="130">
        <v>418</v>
      </c>
      <c r="CJ274" s="44">
        <v>1728</v>
      </c>
      <c r="CK274" s="117">
        <v>-4970</v>
      </c>
      <c r="CL274" s="117">
        <v>-1248</v>
      </c>
      <c r="CM274" s="117">
        <v>9956</v>
      </c>
      <c r="CN274" s="48">
        <v>27920</v>
      </c>
      <c r="CO274" s="46">
        <v>21085</v>
      </c>
      <c r="CP274" s="130">
        <v>4746</v>
      </c>
      <c r="CQ274" s="46">
        <v>2089</v>
      </c>
      <c r="CR274" s="129">
        <v>20.5</v>
      </c>
      <c r="CS274" s="44">
        <v>19869</v>
      </c>
      <c r="CT274">
        <v>7516</v>
      </c>
      <c r="CU274">
        <v>27922</v>
      </c>
      <c r="CV274">
        <v>16556</v>
      </c>
      <c r="CW274">
        <v>5152</v>
      </c>
      <c r="CX274">
        <v>233</v>
      </c>
      <c r="CY274">
        <v>21882</v>
      </c>
      <c r="CZ274">
        <v>3836</v>
      </c>
      <c r="DA274">
        <v>2204</v>
      </c>
      <c r="DB274">
        <v>1622</v>
      </c>
      <c r="DC274">
        <v>-6895</v>
      </c>
      <c r="DD274">
        <v>1810</v>
      </c>
      <c r="DE274">
        <v>28002</v>
      </c>
      <c r="DF274">
        <v>48078</v>
      </c>
      <c r="DG274">
        <v>-125</v>
      </c>
      <c r="DH274">
        <v>9831</v>
      </c>
      <c r="DI274">
        <v>21</v>
      </c>
      <c r="DJ274" s="174">
        <v>7521</v>
      </c>
      <c r="DK274" s="34">
        <v>26971</v>
      </c>
      <c r="DL274" s="34">
        <v>16008</v>
      </c>
      <c r="DM274">
        <v>5828</v>
      </c>
      <c r="DN274" s="173">
        <v>95</v>
      </c>
      <c r="DO274" s="34">
        <v>21339</v>
      </c>
      <c r="DP274" s="173">
        <v>3444</v>
      </c>
      <c r="DQ274" s="34">
        <v>2188</v>
      </c>
      <c r="DR274" s="173">
        <v>605</v>
      </c>
      <c r="DS274" s="173">
        <v>-3977</v>
      </c>
      <c r="DT274">
        <v>2009</v>
      </c>
      <c r="DU274">
        <v>33145</v>
      </c>
      <c r="DV274" s="173">
        <v>48297</v>
      </c>
      <c r="DW274" s="173">
        <v>-1335</v>
      </c>
      <c r="DX274" s="173">
        <v>8496</v>
      </c>
      <c r="DY274" s="57">
        <v>21</v>
      </c>
      <c r="DZ274" s="184">
        <v>330</v>
      </c>
      <c r="EA274" s="116">
        <v>7455</v>
      </c>
      <c r="EB274" s="48">
        <v>26305</v>
      </c>
      <c r="EC274" s="46">
        <v>17303</v>
      </c>
      <c r="ED274" s="90">
        <v>5304</v>
      </c>
      <c r="EE274" s="186">
        <v>189</v>
      </c>
      <c r="EF274" s="46">
        <v>21112</v>
      </c>
      <c r="EG274" s="130">
        <v>2737</v>
      </c>
      <c r="EH274" s="46">
        <v>2456</v>
      </c>
      <c r="EI274" s="130">
        <v>-356</v>
      </c>
      <c r="EJ274" s="48">
        <v>-5660</v>
      </c>
      <c r="EK274" s="44">
        <v>2143</v>
      </c>
      <c r="EL274" s="44">
        <v>37589</v>
      </c>
      <c r="EM274" s="130">
        <v>49457</v>
      </c>
      <c r="EN274" s="117">
        <v>-2430</v>
      </c>
      <c r="EO274" s="117">
        <v>6066</v>
      </c>
      <c r="EP274" s="129">
        <v>21.25</v>
      </c>
    </row>
    <row r="275" spans="1:146" ht="15" x14ac:dyDescent="0.25">
      <c r="A275" s="27">
        <v>895</v>
      </c>
      <c r="B275" s="27" t="s">
        <v>398</v>
      </c>
      <c r="C275" s="27">
        <v>2</v>
      </c>
      <c r="D275" s="27" t="s">
        <v>122</v>
      </c>
      <c r="E275" s="27">
        <v>4</v>
      </c>
      <c r="F275" s="27" t="s">
        <v>100</v>
      </c>
      <c r="G275" s="29" t="s">
        <v>132</v>
      </c>
      <c r="H275" s="27" t="s">
        <v>99</v>
      </c>
      <c r="I275" s="31" t="s">
        <v>122</v>
      </c>
      <c r="J275" s="118">
        <v>1479.381001155451</v>
      </c>
      <c r="K275" s="118">
        <v>2323.8525799186978</v>
      </c>
      <c r="L275" s="118">
        <v>12410.75528152136</v>
      </c>
      <c r="M275" s="118">
        <v>27243.248516162017</v>
      </c>
      <c r="N275" s="22">
        <v>18705</v>
      </c>
      <c r="O275" s="119">
        <v>18462</v>
      </c>
      <c r="P275" s="119">
        <v>11477</v>
      </c>
      <c r="Q275" s="120">
        <v>8849</v>
      </c>
      <c r="R275" s="22">
        <v>5653</v>
      </c>
      <c r="S275" s="22">
        <v>3001</v>
      </c>
      <c r="T275" s="121">
        <v>31</v>
      </c>
      <c r="U275" s="121">
        <v>-3772</v>
      </c>
      <c r="V275" s="121">
        <v>-3707</v>
      </c>
      <c r="W275" s="106">
        <v>-2809</v>
      </c>
      <c r="X275" s="121">
        <v>4516</v>
      </c>
      <c r="Y275" s="121">
        <v>658</v>
      </c>
      <c r="Z275" s="121">
        <v>497</v>
      </c>
      <c r="AA275" s="121">
        <v>4016</v>
      </c>
      <c r="AB275" s="122">
        <v>17</v>
      </c>
      <c r="AC275" s="123">
        <v>17</v>
      </c>
      <c r="AD275" s="124">
        <v>17</v>
      </c>
      <c r="AE275" s="125">
        <v>17</v>
      </c>
      <c r="AF275" s="126">
        <v>18</v>
      </c>
      <c r="AG275" s="123">
        <v>18</v>
      </c>
      <c r="AH275" s="123">
        <v>18</v>
      </c>
      <c r="AI275" s="127">
        <v>18.5</v>
      </c>
      <c r="AJ275" s="127">
        <v>18.5</v>
      </c>
      <c r="AK275" s="22">
        <v>19.25</v>
      </c>
      <c r="AL275" s="128">
        <v>19.25</v>
      </c>
      <c r="AM275" s="128">
        <v>19.25</v>
      </c>
      <c r="AN275" s="128">
        <v>20.25</v>
      </c>
      <c r="AO275" s="77">
        <v>20.25</v>
      </c>
      <c r="AP275" s="77">
        <v>20.25</v>
      </c>
      <c r="AQ275" s="129">
        <v>20.25</v>
      </c>
      <c r="AR275" s="129">
        <v>20.5</v>
      </c>
      <c r="AS275" s="129">
        <v>20.75</v>
      </c>
      <c r="AT275" s="116">
        <v>15463</v>
      </c>
      <c r="AU275" s="47">
        <v>26883</v>
      </c>
      <c r="AV275" s="47">
        <v>105810</v>
      </c>
      <c r="AW275" s="46">
        <v>56322</v>
      </c>
      <c r="AX275" s="46">
        <v>22753</v>
      </c>
      <c r="AY275" s="92">
        <v>364</v>
      </c>
      <c r="AZ275" s="47">
        <v>412</v>
      </c>
      <c r="BA275" s="44">
        <v>4646</v>
      </c>
      <c r="BB275" s="23">
        <v>-5695</v>
      </c>
      <c r="BC275" s="47">
        <v>-4234</v>
      </c>
      <c r="BD275" s="44">
        <v>-3858</v>
      </c>
      <c r="BE275" s="47">
        <v>658</v>
      </c>
      <c r="BF275" s="44">
        <v>56322</v>
      </c>
      <c r="BG275" s="46">
        <v>49544</v>
      </c>
      <c r="BH275" s="130">
        <v>2966</v>
      </c>
      <c r="BI275" s="46">
        <v>3812</v>
      </c>
      <c r="BJ275" s="129">
        <v>20.25</v>
      </c>
      <c r="BK275" s="44">
        <v>33301</v>
      </c>
      <c r="BL275" s="116">
        <v>15567</v>
      </c>
      <c r="BM275" s="47">
        <v>26268</v>
      </c>
      <c r="BN275" s="130">
        <v>104750</v>
      </c>
      <c r="BO275" s="46">
        <v>59508</v>
      </c>
      <c r="BP275" s="46">
        <v>24733</v>
      </c>
      <c r="BQ275" s="46">
        <v>523</v>
      </c>
      <c r="BR275" s="130">
        <v>5932</v>
      </c>
      <c r="BS275" s="44">
        <v>4944</v>
      </c>
      <c r="BT275" s="92">
        <v>-3953</v>
      </c>
      <c r="BU275" s="117">
        <v>-160</v>
      </c>
      <c r="BV275" s="130">
        <v>497</v>
      </c>
      <c r="BW275" s="48">
        <v>59508</v>
      </c>
      <c r="BX275" s="46">
        <v>51161</v>
      </c>
      <c r="BY275" s="130">
        <v>4095</v>
      </c>
      <c r="BZ275" s="46">
        <v>4252</v>
      </c>
      <c r="CA275" s="129">
        <v>20.5</v>
      </c>
      <c r="CB275" s="44">
        <v>32130</v>
      </c>
      <c r="CC275" s="116">
        <v>15510</v>
      </c>
      <c r="CD275" s="47">
        <v>27694</v>
      </c>
      <c r="CE275" s="130">
        <v>105660</v>
      </c>
      <c r="CF275" s="46">
        <v>61894</v>
      </c>
      <c r="CG275" s="46">
        <v>24317</v>
      </c>
      <c r="CH275" s="46">
        <v>993</v>
      </c>
      <c r="CI275" s="130">
        <v>8482</v>
      </c>
      <c r="CJ275" s="44">
        <v>5510</v>
      </c>
      <c r="CK275" s="117">
        <v>-4506</v>
      </c>
      <c r="CL275" s="117">
        <v>3519</v>
      </c>
      <c r="CM275" s="117">
        <v>4016</v>
      </c>
      <c r="CN275" s="48">
        <v>61894</v>
      </c>
      <c r="CO275" s="46">
        <v>53532</v>
      </c>
      <c r="CP275" s="130">
        <v>3928</v>
      </c>
      <c r="CQ275" s="46">
        <v>4434</v>
      </c>
      <c r="CR275" s="129">
        <v>20.75</v>
      </c>
      <c r="CS275" s="44">
        <v>30749</v>
      </c>
      <c r="CT275">
        <v>15404</v>
      </c>
      <c r="CU275">
        <v>61750</v>
      </c>
      <c r="CV275">
        <v>24321</v>
      </c>
      <c r="CW275">
        <v>27617</v>
      </c>
      <c r="CX275">
        <v>397</v>
      </c>
      <c r="CY275">
        <v>53681</v>
      </c>
      <c r="CZ275">
        <v>3263</v>
      </c>
      <c r="DA275">
        <v>4806</v>
      </c>
      <c r="DB275">
        <v>8790</v>
      </c>
      <c r="DC275">
        <v>-8461</v>
      </c>
      <c r="DD275">
        <v>5418</v>
      </c>
      <c r="DE275">
        <v>29650</v>
      </c>
      <c r="DF275">
        <v>104983</v>
      </c>
      <c r="DG275">
        <v>3682</v>
      </c>
      <c r="DH275">
        <v>7697</v>
      </c>
      <c r="DI275">
        <v>20.75</v>
      </c>
      <c r="DJ275" s="174">
        <v>15752</v>
      </c>
      <c r="DK275" s="34">
        <v>61806</v>
      </c>
      <c r="DL275" s="34">
        <v>24751</v>
      </c>
      <c r="DM275">
        <v>26742</v>
      </c>
      <c r="DN275" s="173">
        <v>125</v>
      </c>
      <c r="DO275" s="34">
        <v>52754</v>
      </c>
      <c r="DP275" s="173">
        <v>4223</v>
      </c>
      <c r="DQ275" s="34">
        <v>4829</v>
      </c>
      <c r="DR275" s="173">
        <v>7335</v>
      </c>
      <c r="DS275" s="173">
        <v>-8905</v>
      </c>
      <c r="DT275">
        <v>5859</v>
      </c>
      <c r="DU275">
        <v>30177</v>
      </c>
      <c r="DV275" s="173">
        <v>106030</v>
      </c>
      <c r="DW275" s="173">
        <v>1702</v>
      </c>
      <c r="DX275" s="173">
        <v>9399</v>
      </c>
      <c r="DY275" s="57">
        <v>20.75</v>
      </c>
      <c r="DZ275" s="184">
        <v>220</v>
      </c>
      <c r="EA275" s="116">
        <v>15700</v>
      </c>
      <c r="EB275" s="48">
        <v>64447</v>
      </c>
      <c r="EC275" s="46">
        <v>24707</v>
      </c>
      <c r="ED275" s="90">
        <v>26804</v>
      </c>
      <c r="EE275" s="186">
        <v>661</v>
      </c>
      <c r="EF275" s="46">
        <v>55425</v>
      </c>
      <c r="EG275" s="130">
        <v>3962</v>
      </c>
      <c r="EH275" s="46">
        <v>5060</v>
      </c>
      <c r="EI275" s="130">
        <v>6606</v>
      </c>
      <c r="EJ275" s="48">
        <v>-11526</v>
      </c>
      <c r="EK275" s="44">
        <v>6026</v>
      </c>
      <c r="EL275" s="44">
        <v>36385</v>
      </c>
      <c r="EM275" s="130">
        <v>109012</v>
      </c>
      <c r="EN275" s="117">
        <v>2870</v>
      </c>
      <c r="EO275" s="117">
        <v>12269</v>
      </c>
      <c r="EP275" s="129">
        <v>20.75</v>
      </c>
    </row>
    <row r="276" spans="1:146" ht="15" x14ac:dyDescent="0.25">
      <c r="A276" s="27">
        <v>785</v>
      </c>
      <c r="B276" s="27" t="s">
        <v>399</v>
      </c>
      <c r="C276" s="27">
        <v>17</v>
      </c>
      <c r="D276" s="27" t="s">
        <v>117</v>
      </c>
      <c r="E276" s="27">
        <v>2</v>
      </c>
      <c r="F276" s="27" t="s">
        <v>744</v>
      </c>
      <c r="G276" s="29" t="s">
        <v>130</v>
      </c>
      <c r="H276" s="27" t="s">
        <v>98</v>
      </c>
      <c r="I276" s="31" t="s">
        <v>117</v>
      </c>
      <c r="J276" s="118">
        <v>242.35880203103738</v>
      </c>
      <c r="K276" s="118">
        <v>-316.86605345348676</v>
      </c>
      <c r="L276" s="118">
        <v>-1730.8219512154101</v>
      </c>
      <c r="M276" s="118">
        <v>-1933.1520267486078</v>
      </c>
      <c r="N276" s="22">
        <v>630</v>
      </c>
      <c r="O276" s="119">
        <v>-138</v>
      </c>
      <c r="P276" s="119">
        <v>-678</v>
      </c>
      <c r="Q276" s="120">
        <v>-2474</v>
      </c>
      <c r="R276" s="22">
        <v>-3294</v>
      </c>
      <c r="S276" s="22">
        <v>-3324</v>
      </c>
      <c r="T276" s="121">
        <v>-3669</v>
      </c>
      <c r="U276" s="121">
        <v>-3215</v>
      </c>
      <c r="V276" s="121">
        <v>-2378</v>
      </c>
      <c r="W276" s="106">
        <v>-2399</v>
      </c>
      <c r="X276" s="121">
        <v>-2171</v>
      </c>
      <c r="Y276" s="121">
        <v>-650</v>
      </c>
      <c r="Z276" s="121">
        <v>1125</v>
      </c>
      <c r="AA276" s="121">
        <v>1952</v>
      </c>
      <c r="AB276" s="122">
        <v>18</v>
      </c>
      <c r="AC276" s="123">
        <v>19</v>
      </c>
      <c r="AD276" s="124">
        <v>19</v>
      </c>
      <c r="AE276" s="125">
        <v>19</v>
      </c>
      <c r="AF276" s="126">
        <v>19</v>
      </c>
      <c r="AG276" s="123">
        <v>19</v>
      </c>
      <c r="AH276" s="123">
        <v>19</v>
      </c>
      <c r="AI276" s="131">
        <v>19.5</v>
      </c>
      <c r="AJ276" s="131">
        <v>19.5</v>
      </c>
      <c r="AK276" s="22">
        <v>19.5</v>
      </c>
      <c r="AL276" s="128">
        <v>19.5</v>
      </c>
      <c r="AM276" s="128">
        <v>20.5</v>
      </c>
      <c r="AN276" s="128">
        <v>20.5</v>
      </c>
      <c r="AO276" s="77">
        <v>21</v>
      </c>
      <c r="AP276" s="77">
        <v>21</v>
      </c>
      <c r="AQ276" s="129">
        <v>21.5</v>
      </c>
      <c r="AR276" s="129">
        <v>21.5</v>
      </c>
      <c r="AS276" s="129">
        <v>21.5</v>
      </c>
      <c r="AT276" s="116">
        <v>3193</v>
      </c>
      <c r="AU276" s="47">
        <v>4110</v>
      </c>
      <c r="AV276" s="47">
        <v>25141</v>
      </c>
      <c r="AW276" s="46">
        <v>11228</v>
      </c>
      <c r="AX276" s="46">
        <v>12894</v>
      </c>
      <c r="AY276" s="92">
        <v>41</v>
      </c>
      <c r="AZ276" s="47">
        <v>2877</v>
      </c>
      <c r="BA276" s="44">
        <v>1419</v>
      </c>
      <c r="BB276" s="23">
        <v>-888</v>
      </c>
      <c r="BC276" s="47">
        <v>1458</v>
      </c>
      <c r="BD276" s="44">
        <v>1521</v>
      </c>
      <c r="BE276" s="47">
        <v>-650</v>
      </c>
      <c r="BF276" s="44">
        <v>11228</v>
      </c>
      <c r="BG276" s="46">
        <v>8324</v>
      </c>
      <c r="BH276" s="130">
        <v>561</v>
      </c>
      <c r="BI276" s="46">
        <v>2343</v>
      </c>
      <c r="BJ276" s="129">
        <v>21.5</v>
      </c>
      <c r="BK276" s="44">
        <v>16508</v>
      </c>
      <c r="BL276" s="116">
        <v>3139</v>
      </c>
      <c r="BM276" s="47">
        <v>4099</v>
      </c>
      <c r="BN276" s="130">
        <v>25216</v>
      </c>
      <c r="BO276" s="46">
        <v>11341</v>
      </c>
      <c r="BP276" s="46">
        <v>13144</v>
      </c>
      <c r="BQ276" s="46">
        <v>11</v>
      </c>
      <c r="BR276" s="130">
        <v>3184</v>
      </c>
      <c r="BS276" s="44">
        <v>1467</v>
      </c>
      <c r="BT276" s="92">
        <v>-892</v>
      </c>
      <c r="BU276" s="117">
        <v>1775</v>
      </c>
      <c r="BV276" s="130">
        <v>1125</v>
      </c>
      <c r="BW276" s="48">
        <v>11341</v>
      </c>
      <c r="BX276" s="46">
        <v>8187</v>
      </c>
      <c r="BY276" s="130">
        <v>621</v>
      </c>
      <c r="BZ276" s="46">
        <v>2533</v>
      </c>
      <c r="CA276" s="129">
        <v>21.5</v>
      </c>
      <c r="CB276" s="44">
        <v>13455</v>
      </c>
      <c r="CC276" s="116">
        <v>3074</v>
      </c>
      <c r="CD276" s="47">
        <v>3804</v>
      </c>
      <c r="CE276" s="130">
        <v>25868</v>
      </c>
      <c r="CF276" s="46">
        <v>11509</v>
      </c>
      <c r="CG276" s="46">
        <v>13085</v>
      </c>
      <c r="CH276" s="46">
        <v>56</v>
      </c>
      <c r="CI276" s="130">
        <v>2408</v>
      </c>
      <c r="CJ276" s="44">
        <v>1448</v>
      </c>
      <c r="CK276" s="117">
        <v>-2050</v>
      </c>
      <c r="CL276" s="117">
        <v>1018</v>
      </c>
      <c r="CM276" s="117">
        <v>1952</v>
      </c>
      <c r="CN276" s="48">
        <v>11509</v>
      </c>
      <c r="CO276" s="46">
        <v>8293</v>
      </c>
      <c r="CP276" s="130">
        <v>668</v>
      </c>
      <c r="CQ276" s="46">
        <v>2548</v>
      </c>
      <c r="CR276" s="129">
        <v>21.5</v>
      </c>
      <c r="CS276" s="44">
        <v>13296</v>
      </c>
      <c r="CT276">
        <v>3040</v>
      </c>
      <c r="CU276">
        <v>11408</v>
      </c>
      <c r="CV276">
        <v>13176</v>
      </c>
      <c r="CW276">
        <v>2810</v>
      </c>
      <c r="CX276">
        <v>754</v>
      </c>
      <c r="CY276">
        <v>8106</v>
      </c>
      <c r="CZ276">
        <v>602</v>
      </c>
      <c r="DA276">
        <v>2700</v>
      </c>
      <c r="DB276">
        <v>1491</v>
      </c>
      <c r="DC276">
        <v>-1679</v>
      </c>
      <c r="DD276">
        <v>1416</v>
      </c>
      <c r="DE276">
        <v>10873</v>
      </c>
      <c r="DF276">
        <v>25897</v>
      </c>
      <c r="DG276">
        <v>741</v>
      </c>
      <c r="DH276">
        <v>2693</v>
      </c>
      <c r="DI276">
        <v>21.5</v>
      </c>
      <c r="DJ276" s="174">
        <v>2941</v>
      </c>
      <c r="DK276" s="34">
        <v>11332</v>
      </c>
      <c r="DL276" s="34">
        <v>13212</v>
      </c>
      <c r="DM276">
        <v>2851</v>
      </c>
      <c r="DN276" s="173">
        <v>-73</v>
      </c>
      <c r="DO276" s="34">
        <v>7950</v>
      </c>
      <c r="DP276" s="173">
        <v>693</v>
      </c>
      <c r="DQ276" s="34">
        <v>2689</v>
      </c>
      <c r="DR276" s="173">
        <v>2077</v>
      </c>
      <c r="DS276" s="173">
        <v>-2139</v>
      </c>
      <c r="DT276">
        <v>2035</v>
      </c>
      <c r="DU276">
        <v>10389</v>
      </c>
      <c r="DV276" s="173">
        <v>25245</v>
      </c>
      <c r="DW276" s="173">
        <v>97</v>
      </c>
      <c r="DX276" s="173">
        <v>2790</v>
      </c>
      <c r="DY276" s="57">
        <v>21.5</v>
      </c>
      <c r="DZ276" s="184">
        <v>340</v>
      </c>
      <c r="EA276" s="116">
        <v>2869</v>
      </c>
      <c r="EB276" s="48">
        <v>10824</v>
      </c>
      <c r="EC276" s="46">
        <v>13128</v>
      </c>
      <c r="ED276" s="90">
        <v>2818</v>
      </c>
      <c r="EE276" s="186">
        <v>-82</v>
      </c>
      <c r="EF276" s="46">
        <v>7502</v>
      </c>
      <c r="EG276" s="130">
        <v>619</v>
      </c>
      <c r="EH276" s="46">
        <v>2703</v>
      </c>
      <c r="EI276" s="130">
        <v>818</v>
      </c>
      <c r="EJ276" s="48">
        <v>-550</v>
      </c>
      <c r="EK276" s="44">
        <v>995</v>
      </c>
      <c r="EL276" s="44">
        <v>10066</v>
      </c>
      <c r="EM276" s="130">
        <v>25870</v>
      </c>
      <c r="EN276" s="117">
        <v>-122</v>
      </c>
      <c r="EO276" s="117">
        <v>2581</v>
      </c>
      <c r="EP276" s="129">
        <v>21.5</v>
      </c>
    </row>
    <row r="277" spans="1:146" ht="15" x14ac:dyDescent="0.25">
      <c r="A277" s="27">
        <v>905</v>
      </c>
      <c r="B277" s="27" t="s">
        <v>400</v>
      </c>
      <c r="C277" s="27">
        <v>15</v>
      </c>
      <c r="D277" s="27" t="s">
        <v>115</v>
      </c>
      <c r="E277" s="27">
        <v>6</v>
      </c>
      <c r="F277" s="27" t="s">
        <v>102</v>
      </c>
      <c r="G277" s="29" t="s">
        <v>141</v>
      </c>
      <c r="H277" s="27" t="s">
        <v>97</v>
      </c>
      <c r="I277" s="31" t="s">
        <v>115</v>
      </c>
      <c r="J277" s="118">
        <v>1462.2258326563767</v>
      </c>
      <c r="K277" s="118">
        <v>4054.1699673547237</v>
      </c>
      <c r="L277" s="118">
        <v>-6199.2387814448348</v>
      </c>
      <c r="M277" s="118">
        <v>-265.23236002980298</v>
      </c>
      <c r="N277" s="177">
        <v>4122</v>
      </c>
      <c r="O277" s="119">
        <v>-4353</v>
      </c>
      <c r="P277" s="119">
        <v>-1255</v>
      </c>
      <c r="Q277" s="120">
        <v>-9580</v>
      </c>
      <c r="R277" s="177">
        <v>-392</v>
      </c>
      <c r="S277" s="177">
        <v>3460</v>
      </c>
      <c r="T277" s="121">
        <v>14811</v>
      </c>
      <c r="U277" s="121">
        <v>21094</v>
      </c>
      <c r="V277" s="121">
        <v>28675</v>
      </c>
      <c r="W277" s="106">
        <v>31933</v>
      </c>
      <c r="X277" s="121">
        <v>30048</v>
      </c>
      <c r="Y277" s="121">
        <v>23151</v>
      </c>
      <c r="Z277" s="121">
        <v>-3715</v>
      </c>
      <c r="AA277" s="121">
        <v>-21283</v>
      </c>
      <c r="AB277" s="122">
        <v>18</v>
      </c>
      <c r="AC277" s="123">
        <v>18</v>
      </c>
      <c r="AD277" s="124">
        <v>18</v>
      </c>
      <c r="AE277" s="125">
        <v>18</v>
      </c>
      <c r="AF277" s="126">
        <v>18.5</v>
      </c>
      <c r="AG277" s="123">
        <v>19</v>
      </c>
      <c r="AH277" s="123">
        <v>19</v>
      </c>
      <c r="AI277" s="131">
        <v>19</v>
      </c>
      <c r="AJ277" s="131">
        <v>19</v>
      </c>
      <c r="AK277" s="177">
        <v>19</v>
      </c>
      <c r="AL277" s="128">
        <v>19</v>
      </c>
      <c r="AM277" s="128">
        <v>19</v>
      </c>
      <c r="AN277" s="128">
        <v>19.5</v>
      </c>
      <c r="AO277" s="77">
        <v>19.5</v>
      </c>
      <c r="AP277" s="77">
        <v>19.5</v>
      </c>
      <c r="AQ277" s="129">
        <v>19.5</v>
      </c>
      <c r="AR277" s="129">
        <v>19.5</v>
      </c>
      <c r="AS277" s="129">
        <v>19.5</v>
      </c>
      <c r="AT277" s="116">
        <v>66321</v>
      </c>
      <c r="AU277" s="47">
        <v>129824</v>
      </c>
      <c r="AV277" s="47">
        <v>496814</v>
      </c>
      <c r="AW277" s="46">
        <v>272853</v>
      </c>
      <c r="AX277" s="46">
        <v>102562</v>
      </c>
      <c r="AY277" s="92">
        <v>11386</v>
      </c>
      <c r="AZ277" s="47">
        <v>18835</v>
      </c>
      <c r="BA277" s="44">
        <v>25933</v>
      </c>
      <c r="BB277" s="23">
        <v>-42463</v>
      </c>
      <c r="BC277" s="47">
        <v>-7098</v>
      </c>
      <c r="BD277" s="44">
        <v>-5707</v>
      </c>
      <c r="BE277" s="47">
        <v>23151</v>
      </c>
      <c r="BF277" s="44">
        <v>272853</v>
      </c>
      <c r="BG277" s="46">
        <v>220512</v>
      </c>
      <c r="BH277" s="130">
        <v>38149</v>
      </c>
      <c r="BI277" s="46">
        <v>14192</v>
      </c>
      <c r="BJ277" s="129">
        <v>19.5</v>
      </c>
      <c r="BK277" s="44">
        <v>176225</v>
      </c>
      <c r="BL277" s="116">
        <v>66965</v>
      </c>
      <c r="BM277" s="47">
        <v>122363</v>
      </c>
      <c r="BN277" s="130">
        <v>503274</v>
      </c>
      <c r="BO277" s="46">
        <v>274070</v>
      </c>
      <c r="BP277" s="46">
        <v>100372</v>
      </c>
      <c r="BQ277" s="46">
        <v>12182</v>
      </c>
      <c r="BR277" s="130">
        <v>3097</v>
      </c>
      <c r="BS277" s="44">
        <v>30619</v>
      </c>
      <c r="BT277" s="92">
        <v>-43882</v>
      </c>
      <c r="BU277" s="117">
        <v>-25681</v>
      </c>
      <c r="BV277" s="130">
        <v>-3715</v>
      </c>
      <c r="BW277" s="48">
        <v>274070</v>
      </c>
      <c r="BX277" s="46">
        <v>225524</v>
      </c>
      <c r="BY277" s="130">
        <v>31768</v>
      </c>
      <c r="BZ277" s="46">
        <v>16778</v>
      </c>
      <c r="CA277" s="129">
        <v>19.5</v>
      </c>
      <c r="CB277" s="44">
        <v>212857</v>
      </c>
      <c r="CC277" s="116">
        <v>67619</v>
      </c>
      <c r="CD277" s="47">
        <v>123498</v>
      </c>
      <c r="CE277" s="130">
        <v>500499</v>
      </c>
      <c r="CF277" s="46">
        <v>278217</v>
      </c>
      <c r="CG277" s="46">
        <v>99697</v>
      </c>
      <c r="CH277" s="46">
        <v>25091</v>
      </c>
      <c r="CI277" s="130">
        <v>11592</v>
      </c>
      <c r="CJ277" s="44">
        <v>30908</v>
      </c>
      <c r="CK277" s="117">
        <v>-38765</v>
      </c>
      <c r="CL277" s="117">
        <v>-17568</v>
      </c>
      <c r="CM277" s="117">
        <v>-21283</v>
      </c>
      <c r="CN277" s="48">
        <v>278217</v>
      </c>
      <c r="CO277" s="46">
        <v>227656</v>
      </c>
      <c r="CP277" s="130">
        <v>31282</v>
      </c>
      <c r="CQ277" s="46">
        <v>19279</v>
      </c>
      <c r="CR277" s="129">
        <v>19.5</v>
      </c>
      <c r="CS277" s="44">
        <v>247347</v>
      </c>
      <c r="CT277">
        <v>67620</v>
      </c>
      <c r="CU277">
        <v>283863</v>
      </c>
      <c r="CV277">
        <v>107627</v>
      </c>
      <c r="CW277">
        <v>119019</v>
      </c>
      <c r="CX277">
        <v>14108</v>
      </c>
      <c r="CY277">
        <v>232485</v>
      </c>
      <c r="CZ277">
        <v>31309</v>
      </c>
      <c r="DA277">
        <v>20069</v>
      </c>
      <c r="DB277">
        <v>26142</v>
      </c>
      <c r="DC277">
        <v>-35622</v>
      </c>
      <c r="DD277">
        <v>31292</v>
      </c>
      <c r="DE277">
        <v>266372</v>
      </c>
      <c r="DF277">
        <v>496578</v>
      </c>
      <c r="DG277">
        <v>-3477</v>
      </c>
      <c r="DH277">
        <v>-24516</v>
      </c>
      <c r="DI277">
        <v>20</v>
      </c>
      <c r="DJ277" s="174">
        <v>67392</v>
      </c>
      <c r="DK277" s="34">
        <v>279720</v>
      </c>
      <c r="DL277" s="34">
        <v>100863</v>
      </c>
      <c r="DM277">
        <v>115859</v>
      </c>
      <c r="DN277" s="173">
        <v>11604</v>
      </c>
      <c r="DO277" s="34">
        <v>227407</v>
      </c>
      <c r="DP277" s="173">
        <v>32031</v>
      </c>
      <c r="DQ277" s="34">
        <v>20282</v>
      </c>
      <c r="DR277" s="173">
        <v>31965</v>
      </c>
      <c r="DS277" s="173">
        <v>-30110</v>
      </c>
      <c r="DT277">
        <v>31999</v>
      </c>
      <c r="DU277">
        <v>258521</v>
      </c>
      <c r="DV277" s="173">
        <v>476081</v>
      </c>
      <c r="DW277" s="173">
        <v>745</v>
      </c>
      <c r="DX277" s="173">
        <v>-23687</v>
      </c>
      <c r="DY277" s="57">
        <v>20</v>
      </c>
      <c r="DZ277" s="184">
        <v>130</v>
      </c>
      <c r="EA277" s="116">
        <v>67552</v>
      </c>
      <c r="EB277" s="48">
        <v>269946</v>
      </c>
      <c r="EC277" s="46">
        <v>104845</v>
      </c>
      <c r="ED277" s="90">
        <v>122938</v>
      </c>
      <c r="EE277" s="186">
        <v>13917</v>
      </c>
      <c r="EF277" s="46">
        <v>223855</v>
      </c>
      <c r="EG277" s="130">
        <v>24859</v>
      </c>
      <c r="EH277" s="46">
        <v>21232</v>
      </c>
      <c r="EI277" s="130">
        <v>21319</v>
      </c>
      <c r="EJ277" s="48">
        <v>-26462</v>
      </c>
      <c r="EK277" s="44">
        <v>31204</v>
      </c>
      <c r="EL277" s="44">
        <v>252068</v>
      </c>
      <c r="EM277" s="130">
        <v>490327</v>
      </c>
      <c r="EN277" s="117">
        <v>-9246</v>
      </c>
      <c r="EO277" s="117">
        <v>-32932</v>
      </c>
      <c r="EP277" s="129">
        <v>20</v>
      </c>
    </row>
    <row r="278" spans="1:146" ht="15" x14ac:dyDescent="0.25">
      <c r="A278" s="27">
        <v>908</v>
      </c>
      <c r="B278" s="27" t="s">
        <v>401</v>
      </c>
      <c r="C278" s="27">
        <v>6</v>
      </c>
      <c r="D278" s="27" t="s">
        <v>114</v>
      </c>
      <c r="E278" s="27">
        <v>5</v>
      </c>
      <c r="F278" s="27" t="s">
        <v>101</v>
      </c>
      <c r="G278" s="29" t="s">
        <v>141</v>
      </c>
      <c r="H278" s="27" t="s">
        <v>97</v>
      </c>
      <c r="I278" s="31" t="s">
        <v>114</v>
      </c>
      <c r="J278" s="118">
        <v>-819.74795357340474</v>
      </c>
      <c r="K278" s="118">
        <v>1202.8800500527268</v>
      </c>
      <c r="L278" s="118">
        <v>1041.5878285761378</v>
      </c>
      <c r="M278" s="118">
        <v>2164.7468014861083</v>
      </c>
      <c r="N278" s="22">
        <v>5476</v>
      </c>
      <c r="O278" s="119">
        <v>2517</v>
      </c>
      <c r="P278" s="119">
        <v>2997</v>
      </c>
      <c r="Q278" s="120">
        <v>1336</v>
      </c>
      <c r="R278" s="22">
        <v>-1003</v>
      </c>
      <c r="S278" s="22">
        <v>3348</v>
      </c>
      <c r="T278" s="121">
        <v>6906</v>
      </c>
      <c r="U278" s="121">
        <v>10084</v>
      </c>
      <c r="V278" s="121">
        <v>13450</v>
      </c>
      <c r="W278" s="106">
        <v>13137</v>
      </c>
      <c r="X278" s="121">
        <v>7317</v>
      </c>
      <c r="Y278" s="121">
        <v>5854</v>
      </c>
      <c r="Z278" s="121">
        <v>9861</v>
      </c>
      <c r="AA278" s="121">
        <v>7339</v>
      </c>
      <c r="AB278" s="122">
        <v>17.5</v>
      </c>
      <c r="AC278" s="123">
        <v>17.5</v>
      </c>
      <c r="AD278" s="124">
        <v>17.5</v>
      </c>
      <c r="AE278" s="125">
        <v>17.5</v>
      </c>
      <c r="AF278" s="126">
        <v>17.5</v>
      </c>
      <c r="AG278" s="123">
        <v>18.5</v>
      </c>
      <c r="AH278" s="123">
        <v>18.5</v>
      </c>
      <c r="AI278" s="131">
        <v>18.5</v>
      </c>
      <c r="AJ278" s="131">
        <v>18.75</v>
      </c>
      <c r="AK278" s="22">
        <v>18.75</v>
      </c>
      <c r="AL278" s="128">
        <v>18.75</v>
      </c>
      <c r="AM278" s="128">
        <v>18.75</v>
      </c>
      <c r="AN278" s="128">
        <v>18.75</v>
      </c>
      <c r="AO278" s="77">
        <v>18.75</v>
      </c>
      <c r="AP278" s="77">
        <v>18.75</v>
      </c>
      <c r="AQ278" s="129">
        <v>19.75</v>
      </c>
      <c r="AR278" s="129">
        <v>19.75</v>
      </c>
      <c r="AS278" s="129">
        <v>19.75</v>
      </c>
      <c r="AT278" s="116">
        <v>21129</v>
      </c>
      <c r="AU278" s="47">
        <v>24319</v>
      </c>
      <c r="AV278" s="47">
        <v>127116</v>
      </c>
      <c r="AW278" s="46">
        <v>76295</v>
      </c>
      <c r="AX278" s="46">
        <v>32608</v>
      </c>
      <c r="AY278" s="92">
        <v>2087</v>
      </c>
      <c r="AZ278" s="47">
        <v>7727</v>
      </c>
      <c r="BA278" s="44">
        <v>9380</v>
      </c>
      <c r="BB278" s="23">
        <v>-13683</v>
      </c>
      <c r="BC278" s="47">
        <v>-1653</v>
      </c>
      <c r="BD278" s="44">
        <v>-1462</v>
      </c>
      <c r="BE278" s="47">
        <v>5854</v>
      </c>
      <c r="BF278" s="44">
        <v>76295</v>
      </c>
      <c r="BG278" s="46">
        <v>69883</v>
      </c>
      <c r="BH278" s="130">
        <v>2590</v>
      </c>
      <c r="BI278" s="46">
        <v>3822</v>
      </c>
      <c r="BJ278" s="129">
        <v>19.75</v>
      </c>
      <c r="BK278" s="44">
        <v>42978</v>
      </c>
      <c r="BL278" s="116">
        <v>21162</v>
      </c>
      <c r="BM278" s="47">
        <v>26341</v>
      </c>
      <c r="BN278" s="130">
        <v>130674</v>
      </c>
      <c r="BO278" s="46">
        <v>77293</v>
      </c>
      <c r="BP278" s="46">
        <v>33532</v>
      </c>
      <c r="BQ278" s="46">
        <v>10418</v>
      </c>
      <c r="BR278" s="130">
        <v>8094</v>
      </c>
      <c r="BS278" s="44">
        <v>8907</v>
      </c>
      <c r="BT278" s="92">
        <v>-12122</v>
      </c>
      <c r="BU278" s="117">
        <v>4007</v>
      </c>
      <c r="BV278" s="130">
        <v>9861</v>
      </c>
      <c r="BW278" s="48">
        <v>77293</v>
      </c>
      <c r="BX278" s="46">
        <v>69104</v>
      </c>
      <c r="BY278" s="130">
        <v>3185</v>
      </c>
      <c r="BZ278" s="46">
        <v>5004</v>
      </c>
      <c r="CA278" s="129">
        <v>19.75</v>
      </c>
      <c r="CB278" s="44">
        <v>51074</v>
      </c>
      <c r="CC278" s="116">
        <v>21332</v>
      </c>
      <c r="CD278" s="47">
        <v>25353</v>
      </c>
      <c r="CE278" s="130">
        <v>132633</v>
      </c>
      <c r="CF278" s="46">
        <v>78285</v>
      </c>
      <c r="CG278" s="46">
        <v>33663</v>
      </c>
      <c r="CH278" s="46">
        <v>3943</v>
      </c>
      <c r="CI278" s="130">
        <v>6362</v>
      </c>
      <c r="CJ278" s="44">
        <v>9254</v>
      </c>
      <c r="CK278" s="117">
        <v>-6993</v>
      </c>
      <c r="CL278" s="117">
        <v>-2522</v>
      </c>
      <c r="CM278" s="117">
        <v>7339</v>
      </c>
      <c r="CN278" s="48">
        <v>78285</v>
      </c>
      <c r="CO278" s="46">
        <v>69569</v>
      </c>
      <c r="CP278" s="130">
        <v>3852</v>
      </c>
      <c r="CQ278" s="46">
        <v>4864</v>
      </c>
      <c r="CR278" s="129">
        <v>19.75</v>
      </c>
      <c r="CS278" s="44">
        <v>51521</v>
      </c>
      <c r="CT278">
        <v>21346</v>
      </c>
      <c r="CU278">
        <v>79763</v>
      </c>
      <c r="CV278">
        <v>36823</v>
      </c>
      <c r="CW278">
        <v>25975</v>
      </c>
      <c r="CX278">
        <v>2198</v>
      </c>
      <c r="CY278">
        <v>71105</v>
      </c>
      <c r="CZ278">
        <v>3741</v>
      </c>
      <c r="DA278">
        <v>4917</v>
      </c>
      <c r="DB278">
        <v>8682</v>
      </c>
      <c r="DC278">
        <v>-9668</v>
      </c>
      <c r="DD278">
        <v>8526</v>
      </c>
      <c r="DE278">
        <v>58402</v>
      </c>
      <c r="DF278">
        <v>135693</v>
      </c>
      <c r="DG278">
        <v>434</v>
      </c>
      <c r="DH278">
        <v>7773</v>
      </c>
      <c r="DI278">
        <v>19.75</v>
      </c>
      <c r="DJ278" s="174">
        <v>21136</v>
      </c>
      <c r="DK278" s="34">
        <v>80085</v>
      </c>
      <c r="DL278" s="34">
        <v>35530</v>
      </c>
      <c r="DM278">
        <v>25824</v>
      </c>
      <c r="DN278" s="173">
        <v>2807</v>
      </c>
      <c r="DO278" s="34">
        <v>70685</v>
      </c>
      <c r="DP278" s="173">
        <v>4794</v>
      </c>
      <c r="DQ278" s="34">
        <v>4606</v>
      </c>
      <c r="DR278" s="173">
        <v>9392</v>
      </c>
      <c r="DS278" s="173">
        <v>-8772</v>
      </c>
      <c r="DT278">
        <v>8280</v>
      </c>
      <c r="DU278">
        <v>59505</v>
      </c>
      <c r="DV278" s="173">
        <v>134854</v>
      </c>
      <c r="DW278" s="173">
        <v>1484</v>
      </c>
      <c r="DX278" s="173">
        <v>9257</v>
      </c>
      <c r="DY278" s="57">
        <v>19.75</v>
      </c>
      <c r="DZ278" s="184">
        <v>130</v>
      </c>
      <c r="EA278" s="116">
        <v>21137</v>
      </c>
      <c r="EB278" s="48">
        <v>77385</v>
      </c>
      <c r="EC278" s="46">
        <v>36269</v>
      </c>
      <c r="ED278" s="90">
        <v>25682</v>
      </c>
      <c r="EE278" s="186">
        <v>2762</v>
      </c>
      <c r="EF278" s="46">
        <v>68013</v>
      </c>
      <c r="EG278" s="130">
        <v>4408</v>
      </c>
      <c r="EH278" s="46">
        <v>4964</v>
      </c>
      <c r="EI278" s="130">
        <v>2228</v>
      </c>
      <c r="EJ278" s="48">
        <v>-8546</v>
      </c>
      <c r="EK278" s="44">
        <v>7895</v>
      </c>
      <c r="EL278" s="44">
        <v>59454</v>
      </c>
      <c r="EM278" s="130">
        <v>139870</v>
      </c>
      <c r="EN278" s="117">
        <v>-5296</v>
      </c>
      <c r="EO278" s="117">
        <v>3961</v>
      </c>
      <c r="EP278" s="129">
        <v>19.75</v>
      </c>
    </row>
    <row r="279" spans="1:146" ht="15" x14ac:dyDescent="0.25">
      <c r="A279" s="27">
        <v>911</v>
      </c>
      <c r="B279" s="27" t="s">
        <v>402</v>
      </c>
      <c r="C279" s="27">
        <v>12</v>
      </c>
      <c r="D279" s="27" t="s">
        <v>116</v>
      </c>
      <c r="E279" s="27">
        <v>2</v>
      </c>
      <c r="F279" s="27" t="s">
        <v>744</v>
      </c>
      <c r="G279" s="29" t="s">
        <v>130</v>
      </c>
      <c r="H279" s="27" t="s">
        <v>98</v>
      </c>
      <c r="I279" s="31" t="s">
        <v>116</v>
      </c>
      <c r="J279" s="132">
        <v>2061.6476025652023</v>
      </c>
      <c r="K279" s="132">
        <v>2020.2733726556705</v>
      </c>
      <c r="L279" s="132">
        <v>1527.9873119028277</v>
      </c>
      <c r="M279" s="132">
        <v>1030.6556133561396</v>
      </c>
      <c r="N279" s="132">
        <v>1392</v>
      </c>
      <c r="O279" s="132">
        <v>1976</v>
      </c>
      <c r="P279" s="132">
        <v>2392</v>
      </c>
      <c r="Q279" s="132">
        <v>2808</v>
      </c>
      <c r="R279" s="132">
        <v>3098</v>
      </c>
      <c r="S279" s="132">
        <v>4039</v>
      </c>
      <c r="T279" s="132">
        <v>5261</v>
      </c>
      <c r="U279" s="132">
        <v>6398</v>
      </c>
      <c r="V279" s="132">
        <v>6343</v>
      </c>
      <c r="W279" s="106">
        <v>5996</v>
      </c>
      <c r="X279" s="132">
        <v>5746</v>
      </c>
      <c r="Y279" s="132">
        <v>6066</v>
      </c>
      <c r="Z279" s="132">
        <v>5624</v>
      </c>
      <c r="AA279" s="132">
        <v>4266</v>
      </c>
      <c r="AB279" s="133">
        <v>18.25</v>
      </c>
      <c r="AC279" s="134">
        <v>18.25</v>
      </c>
      <c r="AD279" s="135">
        <v>18.25</v>
      </c>
      <c r="AE279" s="136">
        <v>18.25</v>
      </c>
      <c r="AF279" s="137">
        <v>18.75</v>
      </c>
      <c r="AG279" s="134">
        <v>18.75</v>
      </c>
      <c r="AH279" s="134">
        <v>18.75</v>
      </c>
      <c r="AI279" s="138">
        <v>18.75</v>
      </c>
      <c r="AJ279" s="138">
        <v>18.75</v>
      </c>
      <c r="AK279" s="139">
        <v>18.75</v>
      </c>
      <c r="AL279" s="140">
        <v>18.75</v>
      </c>
      <c r="AM279" s="140">
        <v>18.75</v>
      </c>
      <c r="AN279" s="140">
        <v>18.25</v>
      </c>
      <c r="AO279" s="83">
        <v>18.25</v>
      </c>
      <c r="AP279" s="83">
        <v>18.75</v>
      </c>
      <c r="AQ279" s="129">
        <v>19.25</v>
      </c>
      <c r="AR279" s="129">
        <v>20</v>
      </c>
      <c r="AS279" s="129">
        <v>20</v>
      </c>
      <c r="AT279" s="116">
        <v>2379</v>
      </c>
      <c r="AU279" s="47">
        <v>7456</v>
      </c>
      <c r="AV279" s="47">
        <v>22305</v>
      </c>
      <c r="AW279" s="46">
        <v>6481</v>
      </c>
      <c r="AX279" s="46">
        <v>9138</v>
      </c>
      <c r="AY279" s="92">
        <v>231</v>
      </c>
      <c r="AZ279" s="47">
        <v>1001</v>
      </c>
      <c r="BA279" s="44">
        <v>714</v>
      </c>
      <c r="BB279" s="23">
        <v>-2124</v>
      </c>
      <c r="BC279" s="47">
        <v>287</v>
      </c>
      <c r="BD279" s="44">
        <v>320</v>
      </c>
      <c r="BE279" s="47">
        <v>6066</v>
      </c>
      <c r="BF279" s="44">
        <v>6481</v>
      </c>
      <c r="BG279" s="46">
        <v>5278</v>
      </c>
      <c r="BH279" s="130">
        <v>864</v>
      </c>
      <c r="BI279" s="46">
        <v>339</v>
      </c>
      <c r="BJ279" s="129">
        <v>19.25</v>
      </c>
      <c r="BK279" s="44">
        <v>0</v>
      </c>
      <c r="BL279" s="116">
        <v>2362</v>
      </c>
      <c r="BM279" s="47">
        <v>7005</v>
      </c>
      <c r="BN279" s="130">
        <v>22809</v>
      </c>
      <c r="BO279" s="46">
        <v>6641</v>
      </c>
      <c r="BP279" s="46">
        <v>9246</v>
      </c>
      <c r="BQ279" s="46">
        <v>247</v>
      </c>
      <c r="BR279" s="130">
        <v>330</v>
      </c>
      <c r="BS279" s="44">
        <v>805</v>
      </c>
      <c r="BT279" s="92">
        <v>-2509</v>
      </c>
      <c r="BU279" s="117">
        <v>-443</v>
      </c>
      <c r="BV279" s="130">
        <v>5624</v>
      </c>
      <c r="BW279" s="48">
        <v>6641</v>
      </c>
      <c r="BX279" s="46">
        <v>5282</v>
      </c>
      <c r="BY279" s="130">
        <v>973</v>
      </c>
      <c r="BZ279" s="46">
        <v>386</v>
      </c>
      <c r="CA279" s="129">
        <v>20</v>
      </c>
      <c r="CB279" s="44">
        <v>2343</v>
      </c>
      <c r="CC279" s="116">
        <v>2324</v>
      </c>
      <c r="CD279" s="47">
        <v>6846</v>
      </c>
      <c r="CE279" s="130">
        <v>23253</v>
      </c>
      <c r="CF279" s="46">
        <v>6902</v>
      </c>
      <c r="CG279" s="46">
        <v>9396</v>
      </c>
      <c r="CH279" s="46">
        <v>81</v>
      </c>
      <c r="CI279" s="130">
        <v>-452</v>
      </c>
      <c r="CJ279" s="44">
        <v>940</v>
      </c>
      <c r="CK279" s="117">
        <v>-3493</v>
      </c>
      <c r="CL279" s="117">
        <v>-1358</v>
      </c>
      <c r="CM279" s="117">
        <v>4266</v>
      </c>
      <c r="CN279" s="48">
        <v>6902</v>
      </c>
      <c r="CO279" s="46">
        <v>5413</v>
      </c>
      <c r="CP279" s="130">
        <v>1090</v>
      </c>
      <c r="CQ279" s="46">
        <v>399</v>
      </c>
      <c r="CR279" s="129">
        <v>20</v>
      </c>
      <c r="CS279" s="44">
        <v>2336</v>
      </c>
      <c r="CT279">
        <v>2245</v>
      </c>
      <c r="CU279">
        <v>6448</v>
      </c>
      <c r="CV279">
        <v>9697</v>
      </c>
      <c r="CW279">
        <v>5977</v>
      </c>
      <c r="CX279">
        <v>163</v>
      </c>
      <c r="CY279">
        <v>5057</v>
      </c>
      <c r="CZ279">
        <v>990</v>
      </c>
      <c r="DA279">
        <v>401</v>
      </c>
      <c r="DB279">
        <v>322</v>
      </c>
      <c r="DC279">
        <v>-2690</v>
      </c>
      <c r="DD279">
        <v>1067</v>
      </c>
      <c r="DE279">
        <v>5329</v>
      </c>
      <c r="DF279">
        <v>21922</v>
      </c>
      <c r="DG279">
        <v>-702</v>
      </c>
      <c r="DH279">
        <v>3564</v>
      </c>
      <c r="DI279">
        <v>21</v>
      </c>
      <c r="DJ279" s="174">
        <v>2218</v>
      </c>
      <c r="DK279" s="34">
        <v>6718</v>
      </c>
      <c r="DL279" s="34">
        <v>10160</v>
      </c>
      <c r="DM279">
        <v>5236</v>
      </c>
      <c r="DN279" s="173">
        <v>216</v>
      </c>
      <c r="DO279" s="34">
        <v>5276</v>
      </c>
      <c r="DP279" s="173">
        <v>1052</v>
      </c>
      <c r="DQ279" s="34">
        <v>390</v>
      </c>
      <c r="DR279" s="173">
        <v>1803</v>
      </c>
      <c r="DS279" s="173">
        <v>-1043</v>
      </c>
      <c r="DT279">
        <v>1496</v>
      </c>
      <c r="DU279">
        <v>5006</v>
      </c>
      <c r="DV279" s="173">
        <v>20401</v>
      </c>
      <c r="DW279" s="173">
        <v>474</v>
      </c>
      <c r="DX279" s="173">
        <v>4047</v>
      </c>
      <c r="DY279" s="57">
        <v>21</v>
      </c>
      <c r="DZ279" s="184">
        <v>340</v>
      </c>
      <c r="EA279" s="116">
        <v>2143</v>
      </c>
      <c r="EB279" s="48">
        <v>6290</v>
      </c>
      <c r="EC279" s="46">
        <v>9606</v>
      </c>
      <c r="ED279" s="90">
        <v>5498</v>
      </c>
      <c r="EE279" s="186">
        <v>103</v>
      </c>
      <c r="EF279" s="46">
        <v>5061</v>
      </c>
      <c r="EG279" s="130">
        <v>837</v>
      </c>
      <c r="EH279" s="46">
        <v>392</v>
      </c>
      <c r="EI279" s="130">
        <v>1252</v>
      </c>
      <c r="EJ279" s="48">
        <v>-412</v>
      </c>
      <c r="EK279" s="44">
        <v>1174</v>
      </c>
      <c r="EL279" s="44">
        <v>4684</v>
      </c>
      <c r="EM279" s="130">
        <v>20245</v>
      </c>
      <c r="EN279" s="117">
        <v>111</v>
      </c>
      <c r="EO279" s="117">
        <v>4157</v>
      </c>
      <c r="EP279" s="129">
        <v>21</v>
      </c>
    </row>
    <row r="280" spans="1:146" ht="15" x14ac:dyDescent="0.25">
      <c r="A280" s="27">
        <v>92</v>
      </c>
      <c r="B280" s="27" t="s">
        <v>403</v>
      </c>
      <c r="C280" s="27">
        <v>1</v>
      </c>
      <c r="D280" s="27" t="s">
        <v>121</v>
      </c>
      <c r="E280" s="27">
        <v>7</v>
      </c>
      <c r="F280" s="27" t="s">
        <v>104</v>
      </c>
      <c r="G280" s="29" t="s">
        <v>141</v>
      </c>
      <c r="H280" s="27" t="s">
        <v>97</v>
      </c>
      <c r="I280" s="31" t="s">
        <v>121</v>
      </c>
      <c r="J280" s="118">
        <v>313.83867077717957</v>
      </c>
      <c r="K280" s="118">
        <v>328.63920830579252</v>
      </c>
      <c r="L280" s="118">
        <v>43904.11269936576</v>
      </c>
      <c r="M280" s="118">
        <v>71876.960440517811</v>
      </c>
      <c r="N280" s="22">
        <v>95062</v>
      </c>
      <c r="O280" s="119">
        <v>144161</v>
      </c>
      <c r="P280" s="119">
        <v>163815</v>
      </c>
      <c r="Q280" s="120">
        <v>138822</v>
      </c>
      <c r="R280" s="22">
        <v>133918</v>
      </c>
      <c r="S280" s="22">
        <v>140105</v>
      </c>
      <c r="T280" s="121">
        <v>145352</v>
      </c>
      <c r="U280" s="121">
        <v>131005</v>
      </c>
      <c r="V280" s="121">
        <v>340041</v>
      </c>
      <c r="W280" s="106">
        <v>331638</v>
      </c>
      <c r="X280" s="121">
        <v>336482</v>
      </c>
      <c r="Y280" s="121">
        <v>376801</v>
      </c>
      <c r="Z280" s="121">
        <v>354153</v>
      </c>
      <c r="AA280" s="121">
        <v>362861</v>
      </c>
      <c r="AB280" s="122">
        <v>17.75</v>
      </c>
      <c r="AC280" s="123">
        <v>17.75</v>
      </c>
      <c r="AD280" s="124">
        <v>17.75</v>
      </c>
      <c r="AE280" s="125">
        <v>17.75</v>
      </c>
      <c r="AF280" s="126">
        <v>17.75</v>
      </c>
      <c r="AG280" s="123">
        <v>17.75</v>
      </c>
      <c r="AH280" s="123">
        <v>17.75</v>
      </c>
      <c r="AI280" s="127">
        <v>18.5</v>
      </c>
      <c r="AJ280" s="127">
        <v>18.5</v>
      </c>
      <c r="AK280" s="22">
        <v>18.5</v>
      </c>
      <c r="AL280" s="128">
        <v>18.5</v>
      </c>
      <c r="AM280" s="128">
        <v>18.5</v>
      </c>
      <c r="AN280" s="128">
        <v>19</v>
      </c>
      <c r="AO280" s="77">
        <v>19</v>
      </c>
      <c r="AP280" s="77">
        <v>19</v>
      </c>
      <c r="AQ280" s="129">
        <v>19</v>
      </c>
      <c r="AR280" s="129">
        <v>19</v>
      </c>
      <c r="AS280" s="129">
        <v>19</v>
      </c>
      <c r="AT280" s="116">
        <v>208098</v>
      </c>
      <c r="AU280" s="47">
        <v>381125</v>
      </c>
      <c r="AV280" s="47">
        <v>1357711</v>
      </c>
      <c r="AW280" s="46">
        <v>915235</v>
      </c>
      <c r="AX280" s="46">
        <v>147059</v>
      </c>
      <c r="AY280" s="92">
        <v>22739</v>
      </c>
      <c r="AZ280" s="47">
        <v>108447</v>
      </c>
      <c r="BA280" s="44">
        <v>72852</v>
      </c>
      <c r="BB280" s="23">
        <v>-116227</v>
      </c>
      <c r="BC280" s="47">
        <v>35595</v>
      </c>
      <c r="BD280" s="44">
        <v>35227</v>
      </c>
      <c r="BE280" s="47">
        <v>376801</v>
      </c>
      <c r="BF280" s="44">
        <v>915235</v>
      </c>
      <c r="BG280" s="46">
        <v>786436</v>
      </c>
      <c r="BH280" s="130">
        <v>64246</v>
      </c>
      <c r="BI280" s="46">
        <v>64553</v>
      </c>
      <c r="BJ280" s="129">
        <v>19</v>
      </c>
      <c r="BK280" s="44">
        <v>996877</v>
      </c>
      <c r="BL280" s="116">
        <v>210803</v>
      </c>
      <c r="BM280" s="47">
        <v>386447</v>
      </c>
      <c r="BN280" s="130">
        <v>1392882</v>
      </c>
      <c r="BO280" s="46">
        <v>923458</v>
      </c>
      <c r="BP280" s="46">
        <v>140232</v>
      </c>
      <c r="BQ280" s="46">
        <v>22650</v>
      </c>
      <c r="BR280" s="130">
        <v>79905</v>
      </c>
      <c r="BS280" s="44">
        <v>77832</v>
      </c>
      <c r="BT280" s="92">
        <v>-111909</v>
      </c>
      <c r="BU280" s="117">
        <v>1071</v>
      </c>
      <c r="BV280" s="130">
        <v>354153</v>
      </c>
      <c r="BW280" s="48">
        <v>923458</v>
      </c>
      <c r="BX280" s="46">
        <v>784199</v>
      </c>
      <c r="BY280" s="130">
        <v>70359</v>
      </c>
      <c r="BZ280" s="46">
        <v>68900</v>
      </c>
      <c r="CA280" s="129">
        <v>19</v>
      </c>
      <c r="CB280" s="44">
        <v>1117975</v>
      </c>
      <c r="CC280" s="116">
        <v>214605</v>
      </c>
      <c r="CD280" s="47">
        <v>384233</v>
      </c>
      <c r="CE280" s="130">
        <v>1399831</v>
      </c>
      <c r="CF280" s="46">
        <v>934027</v>
      </c>
      <c r="CG280" s="46">
        <v>150502</v>
      </c>
      <c r="CH280" s="46">
        <v>48958</v>
      </c>
      <c r="CI280" s="130">
        <v>98435</v>
      </c>
      <c r="CJ280" s="44">
        <v>98084</v>
      </c>
      <c r="CK280" s="117">
        <v>-98694</v>
      </c>
      <c r="CL280" s="117">
        <v>662</v>
      </c>
      <c r="CM280" s="117">
        <v>362861</v>
      </c>
      <c r="CN280" s="48">
        <v>934027</v>
      </c>
      <c r="CO280" s="46">
        <v>786218</v>
      </c>
      <c r="CP280" s="130">
        <v>75658</v>
      </c>
      <c r="CQ280" s="46">
        <v>72151</v>
      </c>
      <c r="CR280" s="129">
        <v>19</v>
      </c>
      <c r="CS280" s="44">
        <v>1140065</v>
      </c>
      <c r="CT280">
        <v>219341</v>
      </c>
      <c r="CU280">
        <v>953810</v>
      </c>
      <c r="CV280">
        <v>189353</v>
      </c>
      <c r="CW280">
        <v>379286</v>
      </c>
      <c r="CX280">
        <v>27515</v>
      </c>
      <c r="CY280">
        <v>813747</v>
      </c>
      <c r="CZ280">
        <v>66169</v>
      </c>
      <c r="DA280">
        <v>73894</v>
      </c>
      <c r="DB280">
        <v>178843</v>
      </c>
      <c r="DC280">
        <v>-76588</v>
      </c>
      <c r="DD280">
        <v>116138</v>
      </c>
      <c r="DE280">
        <v>1097502</v>
      </c>
      <c r="DF280">
        <v>1369321</v>
      </c>
      <c r="DG280">
        <v>64823</v>
      </c>
      <c r="DH280">
        <v>425062</v>
      </c>
      <c r="DI280">
        <v>19</v>
      </c>
      <c r="DJ280" s="174">
        <v>223027</v>
      </c>
      <c r="DK280" s="34">
        <v>977010</v>
      </c>
      <c r="DL280" s="34">
        <v>168934</v>
      </c>
      <c r="DM280">
        <v>330259</v>
      </c>
      <c r="DN280" s="173">
        <v>26774</v>
      </c>
      <c r="DO280" s="34">
        <v>818980</v>
      </c>
      <c r="DP280" s="173">
        <v>80699</v>
      </c>
      <c r="DQ280" s="34">
        <v>77331</v>
      </c>
      <c r="DR280" s="173">
        <v>164005</v>
      </c>
      <c r="DS280" s="173">
        <v>-60062</v>
      </c>
      <c r="DT280">
        <v>123573</v>
      </c>
      <c r="DU280">
        <v>1007413</v>
      </c>
      <c r="DV280" s="173">
        <v>1338972</v>
      </c>
      <c r="DW280" s="173">
        <v>41651</v>
      </c>
      <c r="DX280" s="173">
        <v>467108</v>
      </c>
      <c r="DY280" s="57">
        <v>19</v>
      </c>
      <c r="DZ280" s="184">
        <v>110</v>
      </c>
      <c r="EA280" s="116">
        <v>228166</v>
      </c>
      <c r="EB280" s="48">
        <v>982746</v>
      </c>
      <c r="EC280" s="46">
        <v>173387</v>
      </c>
      <c r="ED280" s="90">
        <v>242988</v>
      </c>
      <c r="EE280" s="186">
        <v>29037</v>
      </c>
      <c r="EF280" s="46">
        <v>825742</v>
      </c>
      <c r="EG280" s="130">
        <v>77930</v>
      </c>
      <c r="EH280" s="46">
        <v>79074</v>
      </c>
      <c r="EI280" s="130">
        <v>112649</v>
      </c>
      <c r="EJ280" s="48">
        <v>-64172</v>
      </c>
      <c r="EK280" s="44">
        <v>108702</v>
      </c>
      <c r="EL280" s="44">
        <v>911655</v>
      </c>
      <c r="EM280" s="130">
        <v>1315509</v>
      </c>
      <c r="EN280" s="117">
        <v>5159</v>
      </c>
      <c r="EO280" s="117">
        <v>467268</v>
      </c>
      <c r="EP280" s="129">
        <v>19</v>
      </c>
    </row>
    <row r="281" spans="1:146" ht="15" x14ac:dyDescent="0.25">
      <c r="A281" s="27">
        <v>915</v>
      </c>
      <c r="B281" s="27" t="s">
        <v>404</v>
      </c>
      <c r="C281" s="27">
        <v>11</v>
      </c>
      <c r="D281" s="27" t="s">
        <v>118</v>
      </c>
      <c r="E281" s="27">
        <v>5</v>
      </c>
      <c r="F281" s="27" t="s">
        <v>101</v>
      </c>
      <c r="G281" s="29" t="s">
        <v>141</v>
      </c>
      <c r="H281" s="27" t="s">
        <v>97</v>
      </c>
      <c r="I281" s="31" t="s">
        <v>118</v>
      </c>
      <c r="J281" s="118">
        <v>-925.03359553831069</v>
      </c>
      <c r="K281" s="118">
        <v>500.86364500237983</v>
      </c>
      <c r="L281" s="118">
        <v>-985.91762491737768</v>
      </c>
      <c r="M281" s="118">
        <v>1485.4357665080654</v>
      </c>
      <c r="N281" s="22">
        <v>3266</v>
      </c>
      <c r="O281" s="119">
        <v>-1747</v>
      </c>
      <c r="P281" s="119">
        <v>-6497</v>
      </c>
      <c r="Q281" s="120">
        <v>-18233</v>
      </c>
      <c r="R281" s="22">
        <v>-13840</v>
      </c>
      <c r="S281" s="22">
        <v>-15322</v>
      </c>
      <c r="T281" s="121">
        <v>-11762</v>
      </c>
      <c r="U281" s="121">
        <v>-11350</v>
      </c>
      <c r="V281" s="121">
        <v>-9447</v>
      </c>
      <c r="W281" s="106">
        <v>-8192</v>
      </c>
      <c r="X281" s="121">
        <v>16222</v>
      </c>
      <c r="Y281" s="121">
        <v>9919</v>
      </c>
      <c r="Z281" s="121">
        <v>15760</v>
      </c>
      <c r="AA281" s="121">
        <v>18997</v>
      </c>
      <c r="AB281" s="122">
        <v>18.25</v>
      </c>
      <c r="AC281" s="123">
        <v>18.25</v>
      </c>
      <c r="AD281" s="124">
        <v>18.25</v>
      </c>
      <c r="AE281" s="125">
        <v>18.25</v>
      </c>
      <c r="AF281" s="126">
        <v>18.25</v>
      </c>
      <c r="AG281" s="123">
        <v>18.25</v>
      </c>
      <c r="AH281" s="123">
        <v>18.25</v>
      </c>
      <c r="AI281" s="127">
        <v>18.25</v>
      </c>
      <c r="AJ281" s="127">
        <v>19</v>
      </c>
      <c r="AK281" s="22">
        <v>19</v>
      </c>
      <c r="AL281" s="128">
        <v>19</v>
      </c>
      <c r="AM281" s="128">
        <v>19</v>
      </c>
      <c r="AN281" s="128">
        <v>20</v>
      </c>
      <c r="AO281" s="77">
        <v>20</v>
      </c>
      <c r="AP281" s="77">
        <v>20</v>
      </c>
      <c r="AQ281" s="129">
        <v>20</v>
      </c>
      <c r="AR281" s="129">
        <v>20.5</v>
      </c>
      <c r="AS281" s="129">
        <v>20.75</v>
      </c>
      <c r="AT281" s="116">
        <v>22107</v>
      </c>
      <c r="AU281" s="47">
        <v>48860</v>
      </c>
      <c r="AV281" s="47">
        <v>171001</v>
      </c>
      <c r="AW281" s="46">
        <v>74469</v>
      </c>
      <c r="AX281" s="46">
        <v>43774</v>
      </c>
      <c r="AY281" s="92">
        <v>2019</v>
      </c>
      <c r="AZ281" s="47">
        <v>-1879</v>
      </c>
      <c r="BA281" s="44">
        <v>4424</v>
      </c>
      <c r="BB281" s="23">
        <v>-6278</v>
      </c>
      <c r="BC281" s="47">
        <v>-6303</v>
      </c>
      <c r="BD281" s="44">
        <v>-6303</v>
      </c>
      <c r="BE281" s="47">
        <v>9919</v>
      </c>
      <c r="BF281" s="44">
        <v>74469</v>
      </c>
      <c r="BG281" s="46">
        <v>67268</v>
      </c>
      <c r="BH281" s="130">
        <v>3860</v>
      </c>
      <c r="BI281" s="46">
        <v>3341</v>
      </c>
      <c r="BJ281" s="129">
        <v>20</v>
      </c>
      <c r="BK281" s="44">
        <v>52172</v>
      </c>
      <c r="BL281" s="116">
        <v>21860</v>
      </c>
      <c r="BM281" s="47">
        <v>48488</v>
      </c>
      <c r="BN281" s="130">
        <v>167775</v>
      </c>
      <c r="BO281" s="46">
        <v>77945</v>
      </c>
      <c r="BP281" s="46">
        <v>46038</v>
      </c>
      <c r="BQ281" s="46">
        <v>6158</v>
      </c>
      <c r="BR281" s="130">
        <v>6371</v>
      </c>
      <c r="BS281" s="44">
        <v>5013</v>
      </c>
      <c r="BT281" s="92">
        <v>-3925</v>
      </c>
      <c r="BU281" s="117">
        <v>5841</v>
      </c>
      <c r="BV281" s="130">
        <v>15760</v>
      </c>
      <c r="BW281" s="48">
        <v>77945</v>
      </c>
      <c r="BX281" s="46">
        <v>68180</v>
      </c>
      <c r="BY281" s="130">
        <v>4631</v>
      </c>
      <c r="BZ281" s="46">
        <v>5134</v>
      </c>
      <c r="CA281" s="129">
        <v>20.5</v>
      </c>
      <c r="CB281" s="44">
        <v>53057</v>
      </c>
      <c r="CC281" s="116">
        <v>21638</v>
      </c>
      <c r="CD281" s="47">
        <v>49165</v>
      </c>
      <c r="CE281" s="130">
        <v>169163</v>
      </c>
      <c r="CF281" s="46">
        <v>80009</v>
      </c>
      <c r="CG281" s="46">
        <v>46872</v>
      </c>
      <c r="CH281" s="46">
        <v>2411</v>
      </c>
      <c r="CI281" s="130">
        <v>8285</v>
      </c>
      <c r="CJ281" s="44">
        <v>5048</v>
      </c>
      <c r="CK281" s="117">
        <v>-8882</v>
      </c>
      <c r="CL281" s="117">
        <v>3237</v>
      </c>
      <c r="CM281" s="117">
        <v>18997</v>
      </c>
      <c r="CN281" s="48">
        <v>80009</v>
      </c>
      <c r="CO281" s="46">
        <v>69485</v>
      </c>
      <c r="CP281" s="130">
        <v>5310</v>
      </c>
      <c r="CQ281" s="46">
        <v>5214</v>
      </c>
      <c r="CR281" s="129">
        <v>20.75</v>
      </c>
      <c r="CS281" s="44">
        <v>51338</v>
      </c>
      <c r="CT281">
        <v>21468</v>
      </c>
      <c r="CU281">
        <v>80302</v>
      </c>
      <c r="CV281">
        <v>49508</v>
      </c>
      <c r="CW281">
        <v>50378</v>
      </c>
      <c r="CX281">
        <v>3242</v>
      </c>
      <c r="CY281">
        <v>70996</v>
      </c>
      <c r="CZ281">
        <v>4056</v>
      </c>
      <c r="DA281">
        <v>5250</v>
      </c>
      <c r="DB281">
        <v>9173</v>
      </c>
      <c r="DC281">
        <v>-10111</v>
      </c>
      <c r="DD281">
        <v>5487</v>
      </c>
      <c r="DE281">
        <v>51621</v>
      </c>
      <c r="DF281">
        <v>172707</v>
      </c>
      <c r="DG281">
        <v>1500</v>
      </c>
      <c r="DH281">
        <v>20497</v>
      </c>
      <c r="DI281">
        <v>20.75</v>
      </c>
      <c r="DJ281" s="174">
        <v>21155</v>
      </c>
      <c r="DK281" s="34">
        <v>79953</v>
      </c>
      <c r="DL281" s="34">
        <v>47701</v>
      </c>
      <c r="DM281">
        <v>44766</v>
      </c>
      <c r="DN281" s="173">
        <v>1473</v>
      </c>
      <c r="DO281" s="34">
        <v>69890</v>
      </c>
      <c r="DP281" s="173">
        <v>4308</v>
      </c>
      <c r="DQ281" s="34">
        <v>5755</v>
      </c>
      <c r="DR281" s="173">
        <v>6580</v>
      </c>
      <c r="DS281" s="173">
        <v>-10815</v>
      </c>
      <c r="DT281">
        <v>5949</v>
      </c>
      <c r="DU281">
        <v>60307</v>
      </c>
      <c r="DV281" s="173">
        <v>167313</v>
      </c>
      <c r="DW281" s="173">
        <v>631</v>
      </c>
      <c r="DX281" s="173">
        <v>21128</v>
      </c>
      <c r="DY281" s="57">
        <v>21</v>
      </c>
      <c r="DZ281" s="184">
        <v>140</v>
      </c>
      <c r="EA281" s="116">
        <v>20829</v>
      </c>
      <c r="EB281" s="48">
        <v>78325</v>
      </c>
      <c r="EC281" s="46">
        <v>48229</v>
      </c>
      <c r="ED281" s="90">
        <v>45968</v>
      </c>
      <c r="EE281" s="186">
        <v>2221</v>
      </c>
      <c r="EF281" s="46">
        <v>68660</v>
      </c>
      <c r="EG281" s="130">
        <v>3883</v>
      </c>
      <c r="EH281" s="46">
        <v>5782</v>
      </c>
      <c r="EI281" s="130">
        <v>4562</v>
      </c>
      <c r="EJ281" s="48">
        <v>-10814</v>
      </c>
      <c r="EK281" s="44">
        <v>9169</v>
      </c>
      <c r="EL281" s="44">
        <v>73587</v>
      </c>
      <c r="EM281" s="130">
        <v>170181</v>
      </c>
      <c r="EN281" s="117">
        <v>-3660</v>
      </c>
      <c r="EO281" s="117">
        <v>17468</v>
      </c>
      <c r="EP281" s="129">
        <v>21</v>
      </c>
    </row>
    <row r="282" spans="1:146" ht="15" x14ac:dyDescent="0.25">
      <c r="A282" s="27">
        <v>918</v>
      </c>
      <c r="B282" s="27" t="s">
        <v>405</v>
      </c>
      <c r="C282" s="27">
        <v>2</v>
      </c>
      <c r="D282" s="27" t="s">
        <v>122</v>
      </c>
      <c r="E282" s="27">
        <v>2</v>
      </c>
      <c r="F282" s="27" t="s">
        <v>744</v>
      </c>
      <c r="G282" s="29" t="s">
        <v>130</v>
      </c>
      <c r="H282" s="27" t="s">
        <v>98</v>
      </c>
      <c r="I282" s="31" t="s">
        <v>122</v>
      </c>
      <c r="J282" s="118">
        <v>194.42524298950676</v>
      </c>
      <c r="K282" s="118">
        <v>392.38243243470521</v>
      </c>
      <c r="L282" s="118">
        <v>-163.47866452058872</v>
      </c>
      <c r="M282" s="118">
        <v>163.98322829997323</v>
      </c>
      <c r="N282" s="177">
        <v>893</v>
      </c>
      <c r="O282" s="119">
        <v>1115</v>
      </c>
      <c r="P282" s="119">
        <v>1241</v>
      </c>
      <c r="Q282" s="120">
        <v>1023</v>
      </c>
      <c r="R282" s="177">
        <v>766</v>
      </c>
      <c r="S282" s="177">
        <v>348</v>
      </c>
      <c r="T282" s="121">
        <v>200</v>
      </c>
      <c r="U282" s="121">
        <v>481</v>
      </c>
      <c r="V282" s="121">
        <v>452</v>
      </c>
      <c r="W282" s="106">
        <v>795</v>
      </c>
      <c r="X282" s="121">
        <v>843</v>
      </c>
      <c r="Y282" s="121">
        <v>529</v>
      </c>
      <c r="Z282" s="121">
        <v>721</v>
      </c>
      <c r="AA282" s="121">
        <v>-61</v>
      </c>
      <c r="AB282" s="122">
        <v>19.25</v>
      </c>
      <c r="AC282" s="123">
        <v>18.75</v>
      </c>
      <c r="AD282" s="124">
        <v>18.75</v>
      </c>
      <c r="AE282" s="125">
        <v>18.75</v>
      </c>
      <c r="AF282" s="126">
        <v>19.5</v>
      </c>
      <c r="AG282" s="123">
        <v>19.5</v>
      </c>
      <c r="AH282" s="123">
        <v>19.5</v>
      </c>
      <c r="AI282" s="131">
        <v>19.5</v>
      </c>
      <c r="AJ282" s="131">
        <v>19.5</v>
      </c>
      <c r="AK282" s="177">
        <v>19.5</v>
      </c>
      <c r="AL282" s="128">
        <v>19.5</v>
      </c>
      <c r="AM282" s="128">
        <v>20.5</v>
      </c>
      <c r="AN282" s="128">
        <v>20.5</v>
      </c>
      <c r="AO282" s="77">
        <v>20.5</v>
      </c>
      <c r="AP282" s="77">
        <v>20.5</v>
      </c>
      <c r="AQ282" s="129">
        <v>20.5</v>
      </c>
      <c r="AR282" s="129">
        <v>21.5</v>
      </c>
      <c r="AS282" s="129">
        <v>21.5</v>
      </c>
      <c r="AT282" s="116">
        <v>2330</v>
      </c>
      <c r="AU282" s="47">
        <v>5570</v>
      </c>
      <c r="AV282" s="47">
        <v>18549</v>
      </c>
      <c r="AW282" s="46">
        <v>7197</v>
      </c>
      <c r="AX282" s="46">
        <v>5659</v>
      </c>
      <c r="AY282" s="92">
        <v>17</v>
      </c>
      <c r="AZ282" s="47">
        <v>-245</v>
      </c>
      <c r="BA282" s="44">
        <v>370</v>
      </c>
      <c r="BB282" s="23">
        <v>-457</v>
      </c>
      <c r="BC282" s="47">
        <v>-615</v>
      </c>
      <c r="BD282" s="44">
        <v>-315</v>
      </c>
      <c r="BE282" s="47">
        <v>529</v>
      </c>
      <c r="BF282" s="44">
        <v>7197</v>
      </c>
      <c r="BG282" s="46">
        <v>6363</v>
      </c>
      <c r="BH282" s="130">
        <v>259</v>
      </c>
      <c r="BI282" s="46">
        <v>575</v>
      </c>
      <c r="BJ282" s="129">
        <v>20.5</v>
      </c>
      <c r="BK282" s="44">
        <v>5495</v>
      </c>
      <c r="BL282" s="116">
        <v>2339</v>
      </c>
      <c r="BM282" s="47">
        <v>5920</v>
      </c>
      <c r="BN282" s="130">
        <v>18300</v>
      </c>
      <c r="BO282" s="46">
        <v>7594</v>
      </c>
      <c r="BP282" s="46">
        <v>5467</v>
      </c>
      <c r="BQ282" s="46">
        <v>16</v>
      </c>
      <c r="BR282" s="130">
        <v>563</v>
      </c>
      <c r="BS282" s="44">
        <v>370</v>
      </c>
      <c r="BT282" s="92">
        <v>-432</v>
      </c>
      <c r="BU282" s="117">
        <v>193</v>
      </c>
      <c r="BV282" s="130">
        <v>721</v>
      </c>
      <c r="BW282" s="48">
        <v>7594</v>
      </c>
      <c r="BX282" s="46">
        <v>6637</v>
      </c>
      <c r="BY282" s="130">
        <v>292</v>
      </c>
      <c r="BZ282" s="46">
        <v>665</v>
      </c>
      <c r="CA282" s="129">
        <v>21.5</v>
      </c>
      <c r="CB282" s="44">
        <v>5131</v>
      </c>
      <c r="CC282" s="116">
        <v>2276</v>
      </c>
      <c r="CD282" s="47">
        <v>5479</v>
      </c>
      <c r="CE282" s="130">
        <v>18847</v>
      </c>
      <c r="CF282" s="46">
        <v>7735</v>
      </c>
      <c r="CG282" s="46">
        <v>5399</v>
      </c>
      <c r="CH282" s="46">
        <v>10</v>
      </c>
      <c r="CI282" s="130">
        <v>-354</v>
      </c>
      <c r="CJ282" s="44">
        <v>391</v>
      </c>
      <c r="CK282" s="117">
        <v>-1019</v>
      </c>
      <c r="CL282" s="117">
        <v>-783</v>
      </c>
      <c r="CM282" s="117">
        <v>-61</v>
      </c>
      <c r="CN282" s="48">
        <v>7735</v>
      </c>
      <c r="CO282" s="46">
        <v>6672</v>
      </c>
      <c r="CP282" s="130">
        <v>362</v>
      </c>
      <c r="CQ282" s="46">
        <v>701</v>
      </c>
      <c r="CR282" s="129">
        <v>21.5</v>
      </c>
      <c r="CS282" s="44">
        <v>4767</v>
      </c>
      <c r="CT282">
        <v>2277</v>
      </c>
      <c r="CU282">
        <v>7722</v>
      </c>
      <c r="CV282">
        <v>5719</v>
      </c>
      <c r="CW282">
        <v>9108</v>
      </c>
      <c r="CX282">
        <v>1463</v>
      </c>
      <c r="CY282">
        <v>6676</v>
      </c>
      <c r="CZ282">
        <v>339</v>
      </c>
      <c r="DA282">
        <v>707</v>
      </c>
      <c r="DB282">
        <v>-405</v>
      </c>
      <c r="DC282">
        <v>-710</v>
      </c>
      <c r="DD282">
        <v>992</v>
      </c>
      <c r="DE282">
        <v>4423</v>
      </c>
      <c r="DF282">
        <v>22833</v>
      </c>
      <c r="DG282">
        <v>61</v>
      </c>
      <c r="DH282">
        <v>0</v>
      </c>
      <c r="DI282">
        <v>21.5</v>
      </c>
      <c r="DJ282" s="174">
        <v>2316</v>
      </c>
      <c r="DK282" s="34">
        <v>8127</v>
      </c>
      <c r="DL282" s="34">
        <v>5239</v>
      </c>
      <c r="DM282">
        <v>8559</v>
      </c>
      <c r="DN282" s="173">
        <v>-71</v>
      </c>
      <c r="DO282" s="34">
        <v>7006</v>
      </c>
      <c r="DP282" s="173">
        <v>386</v>
      </c>
      <c r="DQ282" s="34">
        <v>735</v>
      </c>
      <c r="DR282" s="173">
        <v>727</v>
      </c>
      <c r="DS282" s="173">
        <v>-402</v>
      </c>
      <c r="DT282">
        <v>395</v>
      </c>
      <c r="DU282">
        <v>8450</v>
      </c>
      <c r="DV282" s="173">
        <v>21127</v>
      </c>
      <c r="DW282" s="173">
        <v>332</v>
      </c>
      <c r="DX282" s="173">
        <v>332</v>
      </c>
      <c r="DY282" s="57">
        <v>22.25</v>
      </c>
      <c r="DZ282" s="184">
        <v>320</v>
      </c>
      <c r="EA282" s="116">
        <v>2285</v>
      </c>
      <c r="EB282" s="48">
        <v>8355</v>
      </c>
      <c r="EC282" s="46">
        <v>5301</v>
      </c>
      <c r="ED282" s="90">
        <v>7553</v>
      </c>
      <c r="EE282" s="186">
        <v>-98</v>
      </c>
      <c r="EF282" s="46">
        <v>7146</v>
      </c>
      <c r="EG282" s="130">
        <v>447</v>
      </c>
      <c r="EH282" s="46">
        <v>762</v>
      </c>
      <c r="EI282" s="130">
        <v>-981</v>
      </c>
      <c r="EJ282" s="48">
        <v>-5486</v>
      </c>
      <c r="EK282" s="44">
        <v>378</v>
      </c>
      <c r="EL282" s="44">
        <v>13422</v>
      </c>
      <c r="EM282" s="130">
        <v>22092</v>
      </c>
      <c r="EN282" s="117">
        <v>-1362</v>
      </c>
      <c r="EO282" s="117">
        <v>-1030</v>
      </c>
      <c r="EP282" s="129">
        <v>22.25</v>
      </c>
    </row>
    <row r="283" spans="1:146" ht="15" x14ac:dyDescent="0.25">
      <c r="A283" s="32">
        <v>921</v>
      </c>
      <c r="B283" s="32" t="s">
        <v>406</v>
      </c>
      <c r="C283" s="32">
        <v>11</v>
      </c>
      <c r="D283" s="32" t="s">
        <v>118</v>
      </c>
      <c r="E283" s="27">
        <v>2</v>
      </c>
      <c r="F283" s="27" t="s">
        <v>744</v>
      </c>
      <c r="G283" s="43" t="s">
        <v>130</v>
      </c>
      <c r="H283" s="32" t="s">
        <v>98</v>
      </c>
      <c r="I283" s="33" t="s">
        <v>118</v>
      </c>
      <c r="J283" s="118">
        <v>-25.060001042765144</v>
      </c>
      <c r="K283" s="118">
        <v>571.8389499691375</v>
      </c>
      <c r="L283" s="118">
        <v>-859.60849214478287</v>
      </c>
      <c r="M283" s="118">
        <v>-1371.404352367161</v>
      </c>
      <c r="N283" s="22">
        <v>-597</v>
      </c>
      <c r="O283" s="119">
        <v>-548</v>
      </c>
      <c r="P283" s="119">
        <v>-1288</v>
      </c>
      <c r="Q283" s="120">
        <v>-1365</v>
      </c>
      <c r="R283" s="22">
        <v>-1756</v>
      </c>
      <c r="S283" s="22">
        <v>-1281</v>
      </c>
      <c r="T283" s="121">
        <v>-389</v>
      </c>
      <c r="U283" s="121">
        <v>406</v>
      </c>
      <c r="V283" s="121">
        <v>1386</v>
      </c>
      <c r="W283" s="106">
        <v>1481</v>
      </c>
      <c r="X283" s="121">
        <v>1397</v>
      </c>
      <c r="Y283" s="121">
        <v>1066</v>
      </c>
      <c r="Z283" s="121">
        <v>984</v>
      </c>
      <c r="AA283" s="121">
        <v>979</v>
      </c>
      <c r="AB283" s="122">
        <v>19</v>
      </c>
      <c r="AC283" s="123">
        <v>19</v>
      </c>
      <c r="AD283" s="124">
        <v>19</v>
      </c>
      <c r="AE283" s="125">
        <v>19</v>
      </c>
      <c r="AF283" s="126">
        <v>19</v>
      </c>
      <c r="AG283" s="123">
        <v>19.5</v>
      </c>
      <c r="AH283" s="123">
        <v>19.5</v>
      </c>
      <c r="AI283" s="127">
        <v>19.5</v>
      </c>
      <c r="AJ283" s="127">
        <v>20</v>
      </c>
      <c r="AK283" s="22">
        <v>20</v>
      </c>
      <c r="AL283" s="128">
        <v>20</v>
      </c>
      <c r="AM283" s="128">
        <v>20</v>
      </c>
      <c r="AN283" s="128">
        <v>20</v>
      </c>
      <c r="AO283" s="77">
        <v>20</v>
      </c>
      <c r="AP283" s="77">
        <v>20</v>
      </c>
      <c r="AQ283" s="129">
        <v>20</v>
      </c>
      <c r="AR283" s="129">
        <v>20.5</v>
      </c>
      <c r="AS283" s="129">
        <v>21</v>
      </c>
      <c r="AT283" s="116">
        <v>2288</v>
      </c>
      <c r="AU283" s="47">
        <v>2952</v>
      </c>
      <c r="AV283" s="47">
        <v>19004</v>
      </c>
      <c r="AW283" s="46">
        <v>5697</v>
      </c>
      <c r="AX283" s="46">
        <v>10367</v>
      </c>
      <c r="AY283" s="92">
        <v>220</v>
      </c>
      <c r="AZ283" s="47">
        <v>189</v>
      </c>
      <c r="BA283" s="44">
        <v>520</v>
      </c>
      <c r="BB283" s="23">
        <v>-3619</v>
      </c>
      <c r="BC283" s="47">
        <v>-331</v>
      </c>
      <c r="BD283" s="44">
        <v>-331</v>
      </c>
      <c r="BE283" s="47">
        <v>1066</v>
      </c>
      <c r="BF283" s="44">
        <v>5697</v>
      </c>
      <c r="BG283" s="46">
        <v>4905</v>
      </c>
      <c r="BH283" s="130">
        <v>376</v>
      </c>
      <c r="BI283" s="46">
        <v>416</v>
      </c>
      <c r="BJ283" s="129">
        <v>20</v>
      </c>
      <c r="BK283" s="44">
        <v>4625</v>
      </c>
      <c r="BL283" s="116">
        <v>2244</v>
      </c>
      <c r="BM283" s="47">
        <v>2835</v>
      </c>
      <c r="BN283" s="130">
        <v>18832</v>
      </c>
      <c r="BO283" s="46">
        <v>6078</v>
      </c>
      <c r="BP283" s="46">
        <v>10258</v>
      </c>
      <c r="BQ283" s="46">
        <v>222</v>
      </c>
      <c r="BR283" s="130">
        <v>485</v>
      </c>
      <c r="BS283" s="44">
        <v>567</v>
      </c>
      <c r="BT283" s="92">
        <v>-623</v>
      </c>
      <c r="BU283" s="117">
        <v>-82</v>
      </c>
      <c r="BV283" s="130">
        <v>984</v>
      </c>
      <c r="BW283" s="48">
        <v>6078</v>
      </c>
      <c r="BX283" s="46">
        <v>5088</v>
      </c>
      <c r="BY283" s="130">
        <v>477</v>
      </c>
      <c r="BZ283" s="46">
        <v>513</v>
      </c>
      <c r="CA283" s="129">
        <v>20.5</v>
      </c>
      <c r="CB283" s="44">
        <v>5247</v>
      </c>
      <c r="CC283" s="116">
        <v>2191</v>
      </c>
      <c r="CD283" s="47">
        <v>2829</v>
      </c>
      <c r="CE283" s="130">
        <v>18749</v>
      </c>
      <c r="CF283" s="46">
        <v>6171</v>
      </c>
      <c r="CG283" s="46">
        <v>10213</v>
      </c>
      <c r="CH283" s="46">
        <v>461</v>
      </c>
      <c r="CI283" s="130">
        <v>612</v>
      </c>
      <c r="CJ283" s="44">
        <v>596</v>
      </c>
      <c r="CK283" s="117">
        <v>-1664</v>
      </c>
      <c r="CL283" s="117">
        <v>97</v>
      </c>
      <c r="CM283" s="117">
        <v>979</v>
      </c>
      <c r="CN283" s="48">
        <v>6171</v>
      </c>
      <c r="CO283" s="46">
        <v>5093</v>
      </c>
      <c r="CP283" s="130">
        <v>561</v>
      </c>
      <c r="CQ283" s="46">
        <v>517</v>
      </c>
      <c r="CR283" s="129">
        <v>21</v>
      </c>
      <c r="CS283" s="44">
        <v>5844</v>
      </c>
      <c r="CT283">
        <v>2148</v>
      </c>
      <c r="CU283">
        <v>5777</v>
      </c>
      <c r="CV283">
        <v>10247</v>
      </c>
      <c r="CW283">
        <v>3162</v>
      </c>
      <c r="CX283">
        <v>100</v>
      </c>
      <c r="CY283">
        <v>4724</v>
      </c>
      <c r="CZ283">
        <v>521</v>
      </c>
      <c r="DA283">
        <v>532</v>
      </c>
      <c r="DB283">
        <v>215</v>
      </c>
      <c r="DC283">
        <v>-993</v>
      </c>
      <c r="DD283">
        <v>647</v>
      </c>
      <c r="DE283">
        <v>6866</v>
      </c>
      <c r="DF283">
        <v>19019</v>
      </c>
      <c r="DG283">
        <v>-432</v>
      </c>
      <c r="DH283">
        <v>546</v>
      </c>
      <c r="DI283">
        <v>21</v>
      </c>
      <c r="DJ283" s="174">
        <v>2094</v>
      </c>
      <c r="DK283" s="34">
        <v>5942</v>
      </c>
      <c r="DL283" s="34">
        <v>10270</v>
      </c>
      <c r="DM283">
        <v>2719</v>
      </c>
      <c r="DN283" s="173">
        <v>154</v>
      </c>
      <c r="DO283" s="34">
        <v>4821</v>
      </c>
      <c r="DP283" s="173">
        <v>600</v>
      </c>
      <c r="DQ283" s="34">
        <v>521</v>
      </c>
      <c r="DR283" s="173">
        <v>934</v>
      </c>
      <c r="DS283" s="173">
        <v>-359</v>
      </c>
      <c r="DT283">
        <v>735</v>
      </c>
      <c r="DU283">
        <v>7337</v>
      </c>
      <c r="DV283" s="173">
        <v>18151</v>
      </c>
      <c r="DW283" s="173">
        <v>199</v>
      </c>
      <c r="DX283" s="173">
        <v>701</v>
      </c>
      <c r="DY283" s="57">
        <v>21</v>
      </c>
      <c r="DZ283" s="184">
        <v>340</v>
      </c>
      <c r="EA283" s="116">
        <v>2058</v>
      </c>
      <c r="EB283" s="48">
        <v>6026</v>
      </c>
      <c r="EC283" s="46">
        <v>9854</v>
      </c>
      <c r="ED283" s="90">
        <v>2734</v>
      </c>
      <c r="EE283" s="186">
        <v>149</v>
      </c>
      <c r="EF283" s="46">
        <v>4919</v>
      </c>
      <c r="EG283" s="130">
        <v>548</v>
      </c>
      <c r="EH283" s="46">
        <v>559</v>
      </c>
      <c r="EI283" s="130">
        <v>553</v>
      </c>
      <c r="EJ283" s="48">
        <v>-421</v>
      </c>
      <c r="EK283" s="44">
        <v>1677</v>
      </c>
      <c r="EL283" s="44">
        <v>6778</v>
      </c>
      <c r="EM283" s="130">
        <v>18210</v>
      </c>
      <c r="EN283" s="117">
        <v>-1124</v>
      </c>
      <c r="EO283" s="117">
        <v>-423</v>
      </c>
      <c r="EP283" s="129">
        <v>21.5</v>
      </c>
    </row>
    <row r="284" spans="1:146" ht="15" x14ac:dyDescent="0.25">
      <c r="A284" s="27">
        <v>922</v>
      </c>
      <c r="B284" s="27" t="s">
        <v>407</v>
      </c>
      <c r="C284" s="27">
        <v>6</v>
      </c>
      <c r="D284" s="27" t="s">
        <v>114</v>
      </c>
      <c r="E284" s="27">
        <v>2</v>
      </c>
      <c r="F284" s="27" t="s">
        <v>744</v>
      </c>
      <c r="G284" s="29" t="s">
        <v>130</v>
      </c>
      <c r="H284" s="27" t="s">
        <v>98</v>
      </c>
      <c r="I284" s="31" t="s">
        <v>114</v>
      </c>
      <c r="J284" s="118">
        <v>76.525506539987518</v>
      </c>
      <c r="K284" s="118">
        <v>103.60376270029079</v>
      </c>
      <c r="L284" s="118">
        <v>-80.057452995679256</v>
      </c>
      <c r="M284" s="118">
        <v>-459.48941509284816</v>
      </c>
      <c r="N284" s="22">
        <v>760</v>
      </c>
      <c r="O284" s="119">
        <v>1823</v>
      </c>
      <c r="P284" s="119">
        <v>3337</v>
      </c>
      <c r="Q284" s="120">
        <v>3374</v>
      </c>
      <c r="R284" s="22">
        <v>3421</v>
      </c>
      <c r="S284" s="22">
        <v>2068</v>
      </c>
      <c r="T284" s="121">
        <v>2530</v>
      </c>
      <c r="U284" s="121">
        <v>2771</v>
      </c>
      <c r="V284" s="121">
        <v>3502</v>
      </c>
      <c r="W284" s="106">
        <v>2892</v>
      </c>
      <c r="X284" s="121">
        <v>2334</v>
      </c>
      <c r="Y284" s="121">
        <v>2136</v>
      </c>
      <c r="Z284" s="121">
        <v>1835</v>
      </c>
      <c r="AA284" s="121">
        <v>542</v>
      </c>
      <c r="AB284" s="122">
        <v>17.5</v>
      </c>
      <c r="AC284" s="123">
        <v>17.5</v>
      </c>
      <c r="AD284" s="124">
        <v>17.5</v>
      </c>
      <c r="AE284" s="125">
        <v>17.5</v>
      </c>
      <c r="AF284" s="126">
        <v>18</v>
      </c>
      <c r="AG284" s="123">
        <v>18</v>
      </c>
      <c r="AH284" s="123">
        <v>18</v>
      </c>
      <c r="AI284" s="127">
        <v>19</v>
      </c>
      <c r="AJ284" s="127">
        <v>19</v>
      </c>
      <c r="AK284" s="22">
        <v>19</v>
      </c>
      <c r="AL284" s="128">
        <v>19.5</v>
      </c>
      <c r="AM284" s="128">
        <v>20.5</v>
      </c>
      <c r="AN284" s="128">
        <v>20.5</v>
      </c>
      <c r="AO284" s="77">
        <v>20.5</v>
      </c>
      <c r="AP284" s="77">
        <v>20.5</v>
      </c>
      <c r="AQ284" s="129">
        <v>20.5</v>
      </c>
      <c r="AR284" s="129">
        <v>21.5</v>
      </c>
      <c r="AS284" s="129">
        <v>21.5</v>
      </c>
      <c r="AT284" s="116">
        <v>4473</v>
      </c>
      <c r="AU284" s="47">
        <v>3371</v>
      </c>
      <c r="AV284" s="47">
        <v>25866</v>
      </c>
      <c r="AW284" s="46">
        <v>14364</v>
      </c>
      <c r="AX284" s="46">
        <v>8928</v>
      </c>
      <c r="AY284" s="92">
        <v>811</v>
      </c>
      <c r="AZ284" s="47">
        <v>587</v>
      </c>
      <c r="BA284" s="44">
        <v>1602</v>
      </c>
      <c r="BB284" s="23">
        <v>-2237</v>
      </c>
      <c r="BC284" s="47">
        <v>-238</v>
      </c>
      <c r="BD284" s="44">
        <v>-198</v>
      </c>
      <c r="BE284" s="47">
        <v>2136</v>
      </c>
      <c r="BF284" s="44">
        <v>14364</v>
      </c>
      <c r="BG284" s="46">
        <v>13260</v>
      </c>
      <c r="BH284" s="130">
        <v>279</v>
      </c>
      <c r="BI284" s="46">
        <v>825</v>
      </c>
      <c r="BJ284" s="129">
        <v>20.5</v>
      </c>
      <c r="BK284" s="44">
        <v>15114</v>
      </c>
      <c r="BL284" s="116">
        <v>4492</v>
      </c>
      <c r="BM284" s="47">
        <v>3185</v>
      </c>
      <c r="BN284" s="130">
        <v>25885</v>
      </c>
      <c r="BO284" s="46">
        <v>15751</v>
      </c>
      <c r="BP284" s="46">
        <v>8535</v>
      </c>
      <c r="BQ284" s="46">
        <v>36</v>
      </c>
      <c r="BR284" s="130">
        <v>1233</v>
      </c>
      <c r="BS284" s="44">
        <v>1669</v>
      </c>
      <c r="BT284" s="92">
        <v>-253</v>
      </c>
      <c r="BU284" s="117">
        <v>-396</v>
      </c>
      <c r="BV284" s="130">
        <v>1835</v>
      </c>
      <c r="BW284" s="48">
        <v>15751</v>
      </c>
      <c r="BX284" s="46">
        <v>14302</v>
      </c>
      <c r="BY284" s="130">
        <v>343</v>
      </c>
      <c r="BZ284" s="46">
        <v>1106</v>
      </c>
      <c r="CA284" s="129">
        <v>21.5</v>
      </c>
      <c r="CB284" s="44">
        <v>14365</v>
      </c>
      <c r="CC284" s="116">
        <v>4489</v>
      </c>
      <c r="CD284" s="47">
        <v>2992</v>
      </c>
      <c r="CE284" s="130">
        <v>26499</v>
      </c>
      <c r="CF284" s="46">
        <v>16029</v>
      </c>
      <c r="CG284" s="46">
        <v>8159</v>
      </c>
      <c r="CH284" s="46">
        <v>34</v>
      </c>
      <c r="CI284" s="130">
        <v>491</v>
      </c>
      <c r="CJ284" s="44">
        <v>1823</v>
      </c>
      <c r="CK284" s="117">
        <v>-725</v>
      </c>
      <c r="CL284" s="117">
        <v>-1293</v>
      </c>
      <c r="CM284" s="117">
        <v>542</v>
      </c>
      <c r="CN284" s="48">
        <v>16029</v>
      </c>
      <c r="CO284" s="46">
        <v>14477</v>
      </c>
      <c r="CP284" s="130">
        <v>435</v>
      </c>
      <c r="CQ284" s="46">
        <v>1117</v>
      </c>
      <c r="CR284" s="129">
        <v>21.5</v>
      </c>
      <c r="CS284" s="44">
        <v>14092</v>
      </c>
      <c r="CT284">
        <v>4462</v>
      </c>
      <c r="CU284">
        <v>16539</v>
      </c>
      <c r="CV284">
        <v>8517</v>
      </c>
      <c r="CW284">
        <v>3976</v>
      </c>
      <c r="CX284">
        <v>33</v>
      </c>
      <c r="CY284">
        <v>14963</v>
      </c>
      <c r="CZ284">
        <v>428</v>
      </c>
      <c r="DA284">
        <v>1148</v>
      </c>
      <c r="DB284">
        <v>2846</v>
      </c>
      <c r="DC284">
        <v>-975</v>
      </c>
      <c r="DD284">
        <v>1546</v>
      </c>
      <c r="DE284">
        <v>13914</v>
      </c>
      <c r="DF284">
        <v>26107</v>
      </c>
      <c r="DG284">
        <v>1339</v>
      </c>
      <c r="DH284">
        <v>1881</v>
      </c>
      <c r="DI284">
        <v>21.5</v>
      </c>
      <c r="DJ284" s="174">
        <v>4460</v>
      </c>
      <c r="DK284" s="34">
        <v>16762</v>
      </c>
      <c r="DL284" s="34">
        <v>7765</v>
      </c>
      <c r="DM284">
        <v>3175</v>
      </c>
      <c r="DN284" s="173">
        <v>44</v>
      </c>
      <c r="DO284" s="34">
        <v>15003</v>
      </c>
      <c r="DP284" s="173">
        <v>508</v>
      </c>
      <c r="DQ284" s="34">
        <v>1251</v>
      </c>
      <c r="DR284" s="173">
        <v>1968</v>
      </c>
      <c r="DS284" s="173">
        <v>-1244</v>
      </c>
      <c r="DT284">
        <v>1602</v>
      </c>
      <c r="DU284">
        <v>13901</v>
      </c>
      <c r="DV284" s="173">
        <v>25778</v>
      </c>
      <c r="DW284" s="173">
        <v>405</v>
      </c>
      <c r="DX284" s="173">
        <v>2286</v>
      </c>
      <c r="DY284" s="57">
        <v>21.5</v>
      </c>
      <c r="DZ284" s="184">
        <v>330</v>
      </c>
      <c r="EA284" s="116">
        <v>4393</v>
      </c>
      <c r="EB284" s="48">
        <v>16233</v>
      </c>
      <c r="EC284" s="46">
        <v>7554</v>
      </c>
      <c r="ED284" s="90">
        <v>2910</v>
      </c>
      <c r="EE284" s="186">
        <v>99</v>
      </c>
      <c r="EF284" s="46">
        <v>14493</v>
      </c>
      <c r="EG284" s="130">
        <v>506</v>
      </c>
      <c r="EH284" s="46">
        <v>1234</v>
      </c>
      <c r="EI284" s="130">
        <v>-138</v>
      </c>
      <c r="EJ284" s="48">
        <v>-1222</v>
      </c>
      <c r="EK284" s="44">
        <v>1532</v>
      </c>
      <c r="EL284" s="44">
        <v>14190</v>
      </c>
      <c r="EM284" s="130">
        <v>26934</v>
      </c>
      <c r="EN284" s="117">
        <v>-1631</v>
      </c>
      <c r="EO284" s="117">
        <v>655</v>
      </c>
      <c r="EP284" s="129">
        <v>21.5</v>
      </c>
    </row>
    <row r="285" spans="1:146" ht="15" x14ac:dyDescent="0.25">
      <c r="A285" s="27">
        <v>924</v>
      </c>
      <c r="B285" s="27" t="s">
        <v>408</v>
      </c>
      <c r="C285" s="27">
        <v>16</v>
      </c>
      <c r="D285" s="27" t="s">
        <v>110</v>
      </c>
      <c r="E285" s="27">
        <v>2</v>
      </c>
      <c r="F285" s="27" t="s">
        <v>744</v>
      </c>
      <c r="G285" s="29" t="s">
        <v>130</v>
      </c>
      <c r="H285" s="27" t="s">
        <v>98</v>
      </c>
      <c r="I285" s="31" t="s">
        <v>110</v>
      </c>
      <c r="J285" s="118">
        <v>2293.4105652291646</v>
      </c>
      <c r="K285" s="118">
        <v>1814.747726519704</v>
      </c>
      <c r="L285" s="118">
        <v>1652.1100016314228</v>
      </c>
      <c r="M285" s="118">
        <v>2188.4612991171816</v>
      </c>
      <c r="N285" s="22">
        <v>2539</v>
      </c>
      <c r="O285" s="119">
        <v>731</v>
      </c>
      <c r="P285" s="119">
        <v>245</v>
      </c>
      <c r="Q285" s="120">
        <v>-177</v>
      </c>
      <c r="R285" s="22">
        <v>308</v>
      </c>
      <c r="S285" s="22">
        <v>1035</v>
      </c>
      <c r="T285" s="121">
        <v>1152</v>
      </c>
      <c r="U285" s="121">
        <v>427</v>
      </c>
      <c r="V285" s="121">
        <v>38</v>
      </c>
      <c r="W285" s="106">
        <v>-450</v>
      </c>
      <c r="X285" s="121">
        <v>-1907</v>
      </c>
      <c r="Y285" s="121">
        <v>-2422</v>
      </c>
      <c r="Z285" s="121">
        <v>-1296</v>
      </c>
      <c r="AA285" s="121">
        <v>1987</v>
      </c>
      <c r="AB285" s="122">
        <v>19.25</v>
      </c>
      <c r="AC285" s="123">
        <v>19</v>
      </c>
      <c r="AD285" s="124">
        <v>19</v>
      </c>
      <c r="AE285" s="125">
        <v>19</v>
      </c>
      <c r="AF285" s="126">
        <v>19</v>
      </c>
      <c r="AG285" s="123">
        <v>19</v>
      </c>
      <c r="AH285" s="123">
        <v>19</v>
      </c>
      <c r="AI285" s="127">
        <v>19</v>
      </c>
      <c r="AJ285" s="127">
        <v>19.5</v>
      </c>
      <c r="AK285" s="22">
        <v>19.5</v>
      </c>
      <c r="AL285" s="128">
        <v>19.5</v>
      </c>
      <c r="AM285" s="128">
        <v>19.75</v>
      </c>
      <c r="AN285" s="128">
        <v>20.5</v>
      </c>
      <c r="AO285" s="77">
        <v>20.75</v>
      </c>
      <c r="AP285" s="77">
        <v>21</v>
      </c>
      <c r="AQ285" s="129">
        <v>21</v>
      </c>
      <c r="AR285" s="129">
        <v>22</v>
      </c>
      <c r="AS285" s="129">
        <v>22</v>
      </c>
      <c r="AT285" s="116">
        <v>3332</v>
      </c>
      <c r="AU285" s="47">
        <v>2908</v>
      </c>
      <c r="AV285" s="47">
        <v>22490</v>
      </c>
      <c r="AW285" s="46">
        <v>9938</v>
      </c>
      <c r="AX285" s="46">
        <v>10025</v>
      </c>
      <c r="AY285" s="92">
        <v>206</v>
      </c>
      <c r="AZ285" s="47">
        <v>488</v>
      </c>
      <c r="BA285" s="44">
        <v>1016</v>
      </c>
      <c r="BB285" s="23">
        <v>-3575</v>
      </c>
      <c r="BC285" s="47">
        <v>-528</v>
      </c>
      <c r="BD285" s="44">
        <v>-520</v>
      </c>
      <c r="BE285" s="47">
        <v>-2422</v>
      </c>
      <c r="BF285" s="44">
        <v>9938</v>
      </c>
      <c r="BG285" s="46">
        <v>8789</v>
      </c>
      <c r="BH285" s="130">
        <v>507</v>
      </c>
      <c r="BI285" s="46">
        <v>642</v>
      </c>
      <c r="BJ285" s="129">
        <v>21</v>
      </c>
      <c r="BK285" s="44">
        <v>12313</v>
      </c>
      <c r="BL285" s="116">
        <v>3342</v>
      </c>
      <c r="BM285" s="47">
        <v>3343</v>
      </c>
      <c r="BN285" s="130">
        <v>22063</v>
      </c>
      <c r="BO285" s="46">
        <v>10917</v>
      </c>
      <c r="BP285" s="46">
        <v>10209</v>
      </c>
      <c r="BQ285" s="46">
        <v>102</v>
      </c>
      <c r="BR285" s="130">
        <v>2345</v>
      </c>
      <c r="BS285" s="44">
        <v>1227</v>
      </c>
      <c r="BT285" s="92">
        <v>-2839</v>
      </c>
      <c r="BU285" s="117">
        <v>1126</v>
      </c>
      <c r="BV285" s="130">
        <v>-1296</v>
      </c>
      <c r="BW285" s="48">
        <v>10917</v>
      </c>
      <c r="BX285" s="46">
        <v>9560</v>
      </c>
      <c r="BY285" s="130">
        <v>639</v>
      </c>
      <c r="BZ285" s="46">
        <v>718</v>
      </c>
      <c r="CA285" s="129">
        <v>22</v>
      </c>
      <c r="CB285" s="44">
        <v>14317</v>
      </c>
      <c r="CC285" s="116">
        <v>3302</v>
      </c>
      <c r="CD285" s="47">
        <v>6516</v>
      </c>
      <c r="CE285" s="130">
        <v>22652</v>
      </c>
      <c r="CF285" s="46">
        <v>11165</v>
      </c>
      <c r="CG285" s="46">
        <v>9621</v>
      </c>
      <c r="CH285" s="46">
        <v>835</v>
      </c>
      <c r="CI285" s="130">
        <v>4907</v>
      </c>
      <c r="CJ285" s="44">
        <v>1621</v>
      </c>
      <c r="CK285" s="117">
        <v>-773</v>
      </c>
      <c r="CL285" s="117">
        <v>3293</v>
      </c>
      <c r="CM285" s="117">
        <v>1987</v>
      </c>
      <c r="CN285" s="48">
        <v>11165</v>
      </c>
      <c r="CO285" s="46">
        <v>9629</v>
      </c>
      <c r="CP285" s="130">
        <v>811</v>
      </c>
      <c r="CQ285" s="46">
        <v>725</v>
      </c>
      <c r="CR285" s="129">
        <v>22</v>
      </c>
      <c r="CS285" s="44">
        <v>13104</v>
      </c>
      <c r="CT285">
        <v>3259</v>
      </c>
      <c r="CU285">
        <v>10782</v>
      </c>
      <c r="CV285">
        <v>9883</v>
      </c>
      <c r="CW285">
        <v>3464</v>
      </c>
      <c r="CX285">
        <v>6</v>
      </c>
      <c r="CY285">
        <v>9273</v>
      </c>
      <c r="CZ285">
        <v>783</v>
      </c>
      <c r="DA285">
        <v>726</v>
      </c>
      <c r="DB285">
        <v>963</v>
      </c>
      <c r="DC285">
        <v>-1557</v>
      </c>
      <c r="DD285">
        <v>1225</v>
      </c>
      <c r="DE285">
        <v>14189</v>
      </c>
      <c r="DF285">
        <v>23057</v>
      </c>
      <c r="DG285">
        <v>-256</v>
      </c>
      <c r="DH285">
        <v>1732</v>
      </c>
      <c r="DI285">
        <v>22</v>
      </c>
      <c r="DJ285" s="174">
        <v>3216</v>
      </c>
      <c r="DK285" s="34">
        <v>10517</v>
      </c>
      <c r="DL285" s="34">
        <v>9768</v>
      </c>
      <c r="DM285">
        <v>3575</v>
      </c>
      <c r="DN285" s="173">
        <v>-93</v>
      </c>
      <c r="DO285" s="34">
        <v>9036</v>
      </c>
      <c r="DP285" s="173">
        <v>809</v>
      </c>
      <c r="DQ285" s="34">
        <v>672</v>
      </c>
      <c r="DR285" s="173">
        <v>814</v>
      </c>
      <c r="DS285" s="173">
        <v>-856</v>
      </c>
      <c r="DT285">
        <v>1198</v>
      </c>
      <c r="DU285">
        <v>15977</v>
      </c>
      <c r="DV285" s="173">
        <v>22953</v>
      </c>
      <c r="DW285" s="173">
        <v>-378</v>
      </c>
      <c r="DX285" s="173">
        <v>1354</v>
      </c>
      <c r="DY285" s="57">
        <v>22</v>
      </c>
      <c r="DZ285" s="184">
        <v>340</v>
      </c>
      <c r="EA285" s="116">
        <v>3166</v>
      </c>
      <c r="EB285" s="48">
        <v>10086</v>
      </c>
      <c r="EC285" s="46">
        <v>9525</v>
      </c>
      <c r="ED285" s="90">
        <v>6078</v>
      </c>
      <c r="EE285" s="186">
        <v>-48</v>
      </c>
      <c r="EF285" s="46">
        <v>8756</v>
      </c>
      <c r="EG285" s="130">
        <v>631</v>
      </c>
      <c r="EH285" s="46">
        <v>699</v>
      </c>
      <c r="EI285" s="130">
        <v>1756</v>
      </c>
      <c r="EJ285" s="48">
        <v>1356</v>
      </c>
      <c r="EK285" s="44">
        <v>1216</v>
      </c>
      <c r="EL285" s="44">
        <v>16965</v>
      </c>
      <c r="EM285" s="130">
        <v>23885</v>
      </c>
      <c r="EN285" s="117">
        <v>546</v>
      </c>
      <c r="EO285" s="117">
        <v>1899</v>
      </c>
      <c r="EP285" s="129">
        <v>22</v>
      </c>
    </row>
    <row r="286" spans="1:146" ht="15" x14ac:dyDescent="0.25">
      <c r="A286" s="27">
        <v>925</v>
      </c>
      <c r="B286" s="27" t="s">
        <v>409</v>
      </c>
      <c r="C286" s="27">
        <v>11</v>
      </c>
      <c r="D286" s="27" t="s">
        <v>118</v>
      </c>
      <c r="E286" s="27">
        <v>2</v>
      </c>
      <c r="F286" s="27" t="s">
        <v>744</v>
      </c>
      <c r="G286" s="29" t="s">
        <v>130</v>
      </c>
      <c r="H286" s="27" t="s">
        <v>98</v>
      </c>
      <c r="I286" s="31" t="s">
        <v>118</v>
      </c>
      <c r="J286" s="118">
        <v>-391.70968072885921</v>
      </c>
      <c r="K286" s="118">
        <v>-291.80605241072163</v>
      </c>
      <c r="L286" s="118">
        <v>-1565.3250315772832</v>
      </c>
      <c r="M286" s="118">
        <v>-1508.4775124332925</v>
      </c>
      <c r="N286" s="22">
        <v>-752</v>
      </c>
      <c r="O286" s="119">
        <v>-921</v>
      </c>
      <c r="P286" s="119">
        <v>-641</v>
      </c>
      <c r="Q286" s="120">
        <v>-1191</v>
      </c>
      <c r="R286" s="22">
        <v>-617</v>
      </c>
      <c r="S286" s="22">
        <v>-53</v>
      </c>
      <c r="T286" s="121">
        <v>849</v>
      </c>
      <c r="U286" s="121">
        <v>840</v>
      </c>
      <c r="V286" s="121">
        <v>763</v>
      </c>
      <c r="W286" s="106">
        <v>926</v>
      </c>
      <c r="X286" s="121">
        <v>-244</v>
      </c>
      <c r="Y286" s="121">
        <v>-974</v>
      </c>
      <c r="Z286" s="121">
        <v>95</v>
      </c>
      <c r="AA286" s="121">
        <v>784</v>
      </c>
      <c r="AB286" s="122">
        <v>18.25</v>
      </c>
      <c r="AC286" s="123">
        <v>18.25</v>
      </c>
      <c r="AD286" s="124">
        <v>18.5</v>
      </c>
      <c r="AE286" s="125">
        <v>18.5</v>
      </c>
      <c r="AF286" s="126">
        <v>18.5</v>
      </c>
      <c r="AG286" s="123">
        <v>18.5</v>
      </c>
      <c r="AH286" s="123">
        <v>18.5</v>
      </c>
      <c r="AI286" s="131">
        <v>18.5</v>
      </c>
      <c r="AJ286" s="131">
        <v>18.5</v>
      </c>
      <c r="AK286" s="22">
        <v>19</v>
      </c>
      <c r="AL286" s="128">
        <v>19</v>
      </c>
      <c r="AM286" s="128">
        <v>19.75</v>
      </c>
      <c r="AN286" s="128">
        <v>19.75</v>
      </c>
      <c r="AO286" s="77">
        <v>19.75</v>
      </c>
      <c r="AP286" s="77">
        <v>19.75</v>
      </c>
      <c r="AQ286" s="129">
        <v>19.75</v>
      </c>
      <c r="AR286" s="129">
        <v>20.75</v>
      </c>
      <c r="AS286" s="129">
        <v>20.75</v>
      </c>
      <c r="AT286" s="116">
        <v>3874</v>
      </c>
      <c r="AU286" s="47">
        <v>2079</v>
      </c>
      <c r="AV286" s="47">
        <v>24014</v>
      </c>
      <c r="AW286" s="46">
        <v>11404</v>
      </c>
      <c r="AX286" s="46">
        <v>10403</v>
      </c>
      <c r="AY286" s="92">
        <v>484</v>
      </c>
      <c r="AZ286" s="47">
        <v>311</v>
      </c>
      <c r="BA286" s="44">
        <v>1059</v>
      </c>
      <c r="BB286" s="23">
        <v>-660</v>
      </c>
      <c r="BC286" s="47">
        <v>-748</v>
      </c>
      <c r="BD286" s="44">
        <v>-730</v>
      </c>
      <c r="BE286" s="47">
        <v>-974</v>
      </c>
      <c r="BF286" s="44">
        <v>11404</v>
      </c>
      <c r="BG286" s="46">
        <v>9045</v>
      </c>
      <c r="BH286" s="130">
        <v>1693</v>
      </c>
      <c r="BI286" s="46">
        <v>666</v>
      </c>
      <c r="BJ286" s="129">
        <v>19.75</v>
      </c>
      <c r="BK286" s="44">
        <v>2207</v>
      </c>
      <c r="BL286" s="116">
        <v>3816</v>
      </c>
      <c r="BM286" s="47">
        <v>2595</v>
      </c>
      <c r="BN286" s="130">
        <v>24369</v>
      </c>
      <c r="BO286" s="46">
        <v>12198</v>
      </c>
      <c r="BP286" s="46">
        <v>10849</v>
      </c>
      <c r="BQ286" s="46">
        <v>486</v>
      </c>
      <c r="BR286" s="130">
        <v>1722</v>
      </c>
      <c r="BS286" s="44">
        <v>671</v>
      </c>
      <c r="BT286" s="92">
        <v>-1705</v>
      </c>
      <c r="BU286" s="117">
        <v>1069</v>
      </c>
      <c r="BV286" s="130">
        <v>95</v>
      </c>
      <c r="BW286" s="48">
        <v>12198</v>
      </c>
      <c r="BX286" s="46">
        <v>9240</v>
      </c>
      <c r="BY286" s="130">
        <v>2112</v>
      </c>
      <c r="BZ286" s="46">
        <v>846</v>
      </c>
      <c r="CA286" s="129">
        <v>20.75</v>
      </c>
      <c r="CB286" s="44">
        <v>1708</v>
      </c>
      <c r="CC286" s="116">
        <v>3757</v>
      </c>
      <c r="CD286" s="47">
        <v>2244</v>
      </c>
      <c r="CE286" s="130">
        <v>24410</v>
      </c>
      <c r="CF286" s="46">
        <v>12508</v>
      </c>
      <c r="CG286" s="46">
        <v>10578</v>
      </c>
      <c r="CH286" s="46">
        <v>907</v>
      </c>
      <c r="CI286" s="130">
        <v>1375</v>
      </c>
      <c r="CJ286" s="44">
        <v>704</v>
      </c>
      <c r="CK286" s="117">
        <v>-4221</v>
      </c>
      <c r="CL286" s="117">
        <v>689</v>
      </c>
      <c r="CM286" s="117">
        <v>784</v>
      </c>
      <c r="CN286" s="48">
        <v>12508</v>
      </c>
      <c r="CO286" s="46">
        <v>9662</v>
      </c>
      <c r="CP286" s="130">
        <v>2032</v>
      </c>
      <c r="CQ286" s="46">
        <v>814</v>
      </c>
      <c r="CR286" s="129">
        <v>20.75</v>
      </c>
      <c r="CS286" s="44">
        <v>4176</v>
      </c>
      <c r="CT286">
        <v>3721</v>
      </c>
      <c r="CU286">
        <v>12156</v>
      </c>
      <c r="CV286">
        <v>10717</v>
      </c>
      <c r="CW286">
        <v>2298</v>
      </c>
      <c r="CX286">
        <v>511</v>
      </c>
      <c r="CY286">
        <v>9260</v>
      </c>
      <c r="CZ286">
        <v>2079</v>
      </c>
      <c r="DA286">
        <v>817</v>
      </c>
      <c r="DB286">
        <v>1133</v>
      </c>
      <c r="DC286">
        <v>-2555</v>
      </c>
      <c r="DD286">
        <v>867</v>
      </c>
      <c r="DE286">
        <v>6769</v>
      </c>
      <c r="DF286">
        <v>24493</v>
      </c>
      <c r="DG286">
        <v>284</v>
      </c>
      <c r="DH286">
        <v>1452</v>
      </c>
      <c r="DI286">
        <v>21</v>
      </c>
      <c r="DJ286" s="174">
        <v>3685</v>
      </c>
      <c r="DK286" s="34">
        <v>13393</v>
      </c>
      <c r="DL286" s="34">
        <v>11732</v>
      </c>
      <c r="DM286">
        <v>2311</v>
      </c>
      <c r="DN286" s="173">
        <v>334</v>
      </c>
      <c r="DO286" s="34">
        <v>9562</v>
      </c>
      <c r="DP286" s="173">
        <v>3016</v>
      </c>
      <c r="DQ286" s="34">
        <v>815</v>
      </c>
      <c r="DR286" s="173">
        <v>3638</v>
      </c>
      <c r="DS286" s="173">
        <v>-1530</v>
      </c>
      <c r="DT286">
        <v>1086</v>
      </c>
      <c r="DU286">
        <v>8945</v>
      </c>
      <c r="DV286" s="173">
        <v>24132</v>
      </c>
      <c r="DW286" s="173">
        <v>2570</v>
      </c>
      <c r="DX286" s="173">
        <v>4023</v>
      </c>
      <c r="DY286" s="57">
        <v>21</v>
      </c>
      <c r="DZ286" s="184">
        <v>330</v>
      </c>
      <c r="EA286" s="116">
        <v>3676</v>
      </c>
      <c r="EB286" s="48">
        <v>13218</v>
      </c>
      <c r="EC286" s="46">
        <v>11598</v>
      </c>
      <c r="ED286" s="90">
        <v>2411</v>
      </c>
      <c r="EE286" s="186">
        <v>341</v>
      </c>
      <c r="EF286" s="46">
        <v>9153</v>
      </c>
      <c r="EG286" s="130">
        <v>3180</v>
      </c>
      <c r="EH286" s="46">
        <v>885</v>
      </c>
      <c r="EI286" s="130">
        <v>3580</v>
      </c>
      <c r="EJ286" s="48">
        <v>-1796</v>
      </c>
      <c r="EK286" s="44">
        <v>1977</v>
      </c>
      <c r="EL286" s="44">
        <v>8279</v>
      </c>
      <c r="EM286" s="130">
        <v>23988</v>
      </c>
      <c r="EN286" s="117">
        <v>1120</v>
      </c>
      <c r="EO286" s="117">
        <v>5142</v>
      </c>
      <c r="EP286" s="129">
        <v>21</v>
      </c>
    </row>
    <row r="287" spans="1:146" ht="15" x14ac:dyDescent="0.25">
      <c r="A287" s="27">
        <v>927</v>
      </c>
      <c r="B287" s="27" t="s">
        <v>410</v>
      </c>
      <c r="C287" s="27">
        <v>1</v>
      </c>
      <c r="D287" s="27" t="s">
        <v>121</v>
      </c>
      <c r="E287" s="27">
        <v>5</v>
      </c>
      <c r="F287" s="27" t="s">
        <v>101</v>
      </c>
      <c r="G287" s="29" t="s">
        <v>132</v>
      </c>
      <c r="H287" s="27" t="s">
        <v>99</v>
      </c>
      <c r="I287" s="31" t="s">
        <v>121</v>
      </c>
      <c r="J287" s="118">
        <v>427.02914528577651</v>
      </c>
      <c r="K287" s="118">
        <v>1237.1903870508752</v>
      </c>
      <c r="L287" s="118">
        <v>6223.2896549288307</v>
      </c>
      <c r="M287" s="118">
        <v>-547.61988855868003</v>
      </c>
      <c r="N287" s="22">
        <v>2135</v>
      </c>
      <c r="O287" s="119">
        <v>1531</v>
      </c>
      <c r="P287" s="119">
        <v>3723</v>
      </c>
      <c r="Q287" s="120">
        <v>-110</v>
      </c>
      <c r="R287" s="22">
        <v>7290</v>
      </c>
      <c r="S287" s="22">
        <v>16323</v>
      </c>
      <c r="T287" s="121">
        <v>14489</v>
      </c>
      <c r="U287" s="121">
        <v>13505</v>
      </c>
      <c r="V287" s="121">
        <v>13980</v>
      </c>
      <c r="W287" s="106">
        <v>16151</v>
      </c>
      <c r="X287" s="121">
        <v>12530</v>
      </c>
      <c r="Y287" s="121">
        <v>10616</v>
      </c>
      <c r="Z287" s="121">
        <v>10668</v>
      </c>
      <c r="AA287" s="121">
        <v>9415</v>
      </c>
      <c r="AB287" s="122">
        <v>18</v>
      </c>
      <c r="AC287" s="123">
        <v>18</v>
      </c>
      <c r="AD287" s="124">
        <v>18</v>
      </c>
      <c r="AE287" s="125">
        <v>18</v>
      </c>
      <c r="AF287" s="126">
        <v>18</v>
      </c>
      <c r="AG287" s="123">
        <v>18.75</v>
      </c>
      <c r="AH287" s="123">
        <v>18.75</v>
      </c>
      <c r="AI287" s="127">
        <v>18.75</v>
      </c>
      <c r="AJ287" s="127">
        <v>18.75</v>
      </c>
      <c r="AK287" s="22">
        <v>19.25</v>
      </c>
      <c r="AL287" s="128">
        <v>19.25</v>
      </c>
      <c r="AM287" s="128">
        <v>19.25</v>
      </c>
      <c r="AN287" s="128">
        <v>19.25</v>
      </c>
      <c r="AO287" s="77">
        <v>19.5</v>
      </c>
      <c r="AP287" s="77">
        <v>19.5</v>
      </c>
      <c r="AQ287" s="129">
        <v>19.5</v>
      </c>
      <c r="AR287" s="129">
        <v>20</v>
      </c>
      <c r="AS287" s="129">
        <v>20.5</v>
      </c>
      <c r="AT287" s="116">
        <v>28929</v>
      </c>
      <c r="AU287" s="47">
        <v>19627</v>
      </c>
      <c r="AV287" s="47">
        <v>152077</v>
      </c>
      <c r="AW287" s="46">
        <v>114135</v>
      </c>
      <c r="AX287" s="46">
        <v>24533</v>
      </c>
      <c r="AY287" s="92">
        <v>866</v>
      </c>
      <c r="AZ287" s="47">
        <v>5351</v>
      </c>
      <c r="BA287" s="44">
        <v>8122</v>
      </c>
      <c r="BB287" s="23">
        <v>-7912</v>
      </c>
      <c r="BC287" s="47">
        <v>-2355</v>
      </c>
      <c r="BD287" s="44">
        <v>-2165</v>
      </c>
      <c r="BE287" s="47">
        <v>10616</v>
      </c>
      <c r="BF287" s="44">
        <v>114135</v>
      </c>
      <c r="BG287" s="46">
        <v>104378</v>
      </c>
      <c r="BH287" s="130">
        <v>2962</v>
      </c>
      <c r="BI287" s="46">
        <v>6795</v>
      </c>
      <c r="BJ287" s="129">
        <v>19.5</v>
      </c>
      <c r="BK287" s="44">
        <v>76973</v>
      </c>
      <c r="BL287" s="116">
        <v>28995</v>
      </c>
      <c r="BM287" s="47">
        <v>19399</v>
      </c>
      <c r="BN287" s="130">
        <v>152750</v>
      </c>
      <c r="BO287" s="46">
        <v>118451</v>
      </c>
      <c r="BP287" s="46">
        <v>23768</v>
      </c>
      <c r="BQ287" s="46">
        <v>418</v>
      </c>
      <c r="BR287" s="130">
        <v>7973</v>
      </c>
      <c r="BS287" s="44">
        <v>8300</v>
      </c>
      <c r="BT287" s="92">
        <v>-16734</v>
      </c>
      <c r="BU287" s="117">
        <v>51</v>
      </c>
      <c r="BV287" s="130">
        <v>10668</v>
      </c>
      <c r="BW287" s="48">
        <v>118451</v>
      </c>
      <c r="BX287" s="46">
        <v>107844</v>
      </c>
      <c r="BY287" s="130">
        <v>3352</v>
      </c>
      <c r="BZ287" s="46">
        <v>7238</v>
      </c>
      <c r="CA287" s="129">
        <v>20</v>
      </c>
      <c r="CB287" s="44">
        <v>84798</v>
      </c>
      <c r="CC287" s="116">
        <v>28921</v>
      </c>
      <c r="CD287" s="47">
        <v>20623</v>
      </c>
      <c r="CE287" s="130">
        <v>154968</v>
      </c>
      <c r="CF287" s="46">
        <v>119854</v>
      </c>
      <c r="CG287" s="46">
        <v>22891</v>
      </c>
      <c r="CH287" s="46">
        <v>348</v>
      </c>
      <c r="CI287" s="130">
        <v>7906</v>
      </c>
      <c r="CJ287" s="44">
        <v>9348</v>
      </c>
      <c r="CK287" s="117">
        <v>-9372</v>
      </c>
      <c r="CL287" s="117">
        <v>-1253</v>
      </c>
      <c r="CM287" s="117">
        <v>9415</v>
      </c>
      <c r="CN287" s="48">
        <v>119854</v>
      </c>
      <c r="CO287" s="46">
        <v>109019</v>
      </c>
      <c r="CP287" s="130">
        <v>3523</v>
      </c>
      <c r="CQ287" s="46">
        <v>7312</v>
      </c>
      <c r="CR287" s="129">
        <v>20.5</v>
      </c>
      <c r="CS287" s="44">
        <v>81624</v>
      </c>
      <c r="CT287">
        <v>28967</v>
      </c>
      <c r="CU287">
        <v>124282</v>
      </c>
      <c r="CV287">
        <v>25635</v>
      </c>
      <c r="CW287">
        <v>20413</v>
      </c>
      <c r="CX287">
        <v>794</v>
      </c>
      <c r="CY287">
        <v>113836</v>
      </c>
      <c r="CZ287">
        <v>3126</v>
      </c>
      <c r="DA287">
        <v>7320</v>
      </c>
      <c r="DB287">
        <v>15889</v>
      </c>
      <c r="DC287">
        <v>-13754</v>
      </c>
      <c r="DD287">
        <v>9476</v>
      </c>
      <c r="DE287">
        <v>83648</v>
      </c>
      <c r="DF287">
        <v>154248</v>
      </c>
      <c r="DG287">
        <v>6987</v>
      </c>
      <c r="DH287">
        <v>16402</v>
      </c>
      <c r="DI287">
        <v>20.5</v>
      </c>
      <c r="DJ287" s="174">
        <v>29054</v>
      </c>
      <c r="DK287" s="34">
        <v>125799</v>
      </c>
      <c r="DL287" s="34">
        <v>24043</v>
      </c>
      <c r="DM287">
        <v>18399</v>
      </c>
      <c r="DN287" s="173">
        <v>1400</v>
      </c>
      <c r="DO287" s="34">
        <v>114644</v>
      </c>
      <c r="DP287" s="173">
        <v>3710</v>
      </c>
      <c r="DQ287" s="34">
        <v>7445</v>
      </c>
      <c r="DR287" s="173">
        <v>15223</v>
      </c>
      <c r="DS287" s="173">
        <v>-8664</v>
      </c>
      <c r="DT287">
        <v>9813</v>
      </c>
      <c r="DU287">
        <v>79941</v>
      </c>
      <c r="DV287" s="173">
        <v>152915</v>
      </c>
      <c r="DW287" s="173">
        <v>5106</v>
      </c>
      <c r="DX287" s="173">
        <v>21508</v>
      </c>
      <c r="DY287" s="57">
        <v>20.5</v>
      </c>
      <c r="DZ287" s="184">
        <v>220</v>
      </c>
      <c r="EA287" s="116">
        <v>29211</v>
      </c>
      <c r="EB287" s="48">
        <v>123107</v>
      </c>
      <c r="EC287" s="46">
        <v>22865</v>
      </c>
      <c r="ED287" s="90">
        <v>16210</v>
      </c>
      <c r="EE287" s="186">
        <v>-269</v>
      </c>
      <c r="EF287" s="46">
        <v>112303</v>
      </c>
      <c r="EG287" s="130">
        <v>3619</v>
      </c>
      <c r="EH287" s="46">
        <v>7185</v>
      </c>
      <c r="EI287" s="130">
        <v>4652</v>
      </c>
      <c r="EJ287" s="48">
        <v>-19633</v>
      </c>
      <c r="EK287" s="44">
        <v>9939</v>
      </c>
      <c r="EL287" s="44">
        <v>89999</v>
      </c>
      <c r="EM287" s="130">
        <v>157237</v>
      </c>
      <c r="EN287" s="117">
        <v>-5093</v>
      </c>
      <c r="EO287" s="117">
        <v>16416</v>
      </c>
      <c r="EP287" s="129">
        <v>20.5</v>
      </c>
    </row>
    <row r="288" spans="1:146" ht="15" x14ac:dyDescent="0.25">
      <c r="A288" s="27">
        <v>931</v>
      </c>
      <c r="B288" s="27" t="s">
        <v>411</v>
      </c>
      <c r="C288" s="27">
        <v>13</v>
      </c>
      <c r="D288" s="27" t="s">
        <v>111</v>
      </c>
      <c r="E288" s="27">
        <v>3</v>
      </c>
      <c r="F288" s="27" t="s">
        <v>743</v>
      </c>
      <c r="G288" s="29" t="s">
        <v>130</v>
      </c>
      <c r="H288" s="27" t="s">
        <v>98</v>
      </c>
      <c r="I288" s="31" t="s">
        <v>111</v>
      </c>
      <c r="J288" s="118">
        <v>1604.1764425898923</v>
      </c>
      <c r="K288" s="118">
        <v>1402.8554946154634</v>
      </c>
      <c r="L288" s="118">
        <v>5454.5026430732642</v>
      </c>
      <c r="M288" s="118">
        <v>2514.2413126731285</v>
      </c>
      <c r="N288" s="22">
        <v>2273</v>
      </c>
      <c r="O288" s="119">
        <v>6793</v>
      </c>
      <c r="P288" s="119">
        <v>5084</v>
      </c>
      <c r="Q288" s="120">
        <v>3707</v>
      </c>
      <c r="R288" s="22">
        <v>3835</v>
      </c>
      <c r="S288" s="22">
        <v>4137</v>
      </c>
      <c r="T288" s="121">
        <v>2456</v>
      </c>
      <c r="U288" s="121">
        <v>2163</v>
      </c>
      <c r="V288" s="121">
        <v>3158</v>
      </c>
      <c r="W288" s="106">
        <v>1696</v>
      </c>
      <c r="X288" s="121">
        <v>2799</v>
      </c>
      <c r="Y288" s="121">
        <v>2600</v>
      </c>
      <c r="Z288" s="121">
        <v>11331</v>
      </c>
      <c r="AA288" s="121">
        <v>11862</v>
      </c>
      <c r="AB288" s="122">
        <v>18</v>
      </c>
      <c r="AC288" s="123">
        <v>18</v>
      </c>
      <c r="AD288" s="124">
        <v>18</v>
      </c>
      <c r="AE288" s="125">
        <v>18</v>
      </c>
      <c r="AF288" s="126">
        <v>18.5</v>
      </c>
      <c r="AG288" s="123">
        <v>18.5</v>
      </c>
      <c r="AH288" s="123">
        <v>18.5</v>
      </c>
      <c r="AI288" s="127">
        <v>19</v>
      </c>
      <c r="AJ288" s="127">
        <v>19</v>
      </c>
      <c r="AK288" s="22">
        <v>19</v>
      </c>
      <c r="AL288" s="128">
        <v>19</v>
      </c>
      <c r="AM288" s="128">
        <v>19</v>
      </c>
      <c r="AN288" s="128">
        <v>19.5</v>
      </c>
      <c r="AO288" s="77">
        <v>19.5</v>
      </c>
      <c r="AP288" s="77">
        <v>20</v>
      </c>
      <c r="AQ288" s="129">
        <v>21</v>
      </c>
      <c r="AR288" s="129">
        <v>21</v>
      </c>
      <c r="AS288" s="129">
        <v>21</v>
      </c>
      <c r="AT288" s="116">
        <v>6895</v>
      </c>
      <c r="AU288" s="47">
        <v>32186</v>
      </c>
      <c r="AV288" s="47">
        <v>73781</v>
      </c>
      <c r="AW288" s="46">
        <v>20888</v>
      </c>
      <c r="AX288" s="46">
        <v>22488</v>
      </c>
      <c r="AY288" s="92">
        <v>0</v>
      </c>
      <c r="AZ288" s="47">
        <v>1562</v>
      </c>
      <c r="BA288" s="44">
        <v>2346</v>
      </c>
      <c r="BB288" s="23">
        <v>-2796</v>
      </c>
      <c r="BC288" s="47">
        <v>-784</v>
      </c>
      <c r="BD288" s="44">
        <v>16</v>
      </c>
      <c r="BE288" s="47">
        <v>2600</v>
      </c>
      <c r="BF288" s="44">
        <v>20888</v>
      </c>
      <c r="BG288" s="46">
        <v>17175</v>
      </c>
      <c r="BH288" s="130">
        <v>1835</v>
      </c>
      <c r="BI288" s="46">
        <v>1878</v>
      </c>
      <c r="BJ288" s="129">
        <v>21</v>
      </c>
      <c r="BK288" s="44">
        <v>25896</v>
      </c>
      <c r="BL288" s="116">
        <v>6780</v>
      </c>
      <c r="BM288" s="47">
        <v>30534</v>
      </c>
      <c r="BN288" s="130">
        <v>71717</v>
      </c>
      <c r="BO288" s="46">
        <v>21543</v>
      </c>
      <c r="BP288" s="46">
        <v>22820</v>
      </c>
      <c r="BQ288" s="46">
        <v>96</v>
      </c>
      <c r="BR288" s="130">
        <v>3115</v>
      </c>
      <c r="BS288" s="44">
        <v>2351</v>
      </c>
      <c r="BT288" s="92">
        <v>-856</v>
      </c>
      <c r="BU288" s="117">
        <v>764</v>
      </c>
      <c r="BV288" s="130">
        <v>11331</v>
      </c>
      <c r="BW288" s="48">
        <v>21543</v>
      </c>
      <c r="BX288" s="46">
        <v>17584</v>
      </c>
      <c r="BY288" s="130">
        <v>1914</v>
      </c>
      <c r="BZ288" s="46">
        <v>2045</v>
      </c>
      <c r="CA288" s="129">
        <v>21</v>
      </c>
      <c r="CB288" s="44">
        <v>26958</v>
      </c>
      <c r="CC288" s="116">
        <v>6666</v>
      </c>
      <c r="CD288" s="47">
        <v>30506</v>
      </c>
      <c r="CE288" s="130">
        <v>71024</v>
      </c>
      <c r="CF288" s="46">
        <v>21594</v>
      </c>
      <c r="CG288" s="46">
        <v>22486</v>
      </c>
      <c r="CH288" s="46">
        <v>0</v>
      </c>
      <c r="CI288" s="130">
        <v>3083</v>
      </c>
      <c r="CJ288" s="44">
        <v>2552</v>
      </c>
      <c r="CK288" s="117">
        <v>-1376</v>
      </c>
      <c r="CL288" s="117">
        <v>531</v>
      </c>
      <c r="CM288" s="117">
        <v>11862</v>
      </c>
      <c r="CN288" s="48">
        <v>21594</v>
      </c>
      <c r="CO288" s="46">
        <v>17455</v>
      </c>
      <c r="CP288" s="130">
        <v>2098</v>
      </c>
      <c r="CQ288" s="46">
        <v>2041</v>
      </c>
      <c r="CR288" s="129">
        <v>21</v>
      </c>
      <c r="CS288" s="44">
        <v>25015</v>
      </c>
      <c r="CT288">
        <v>6607</v>
      </c>
      <c r="CU288">
        <v>20539</v>
      </c>
      <c r="CV288">
        <v>23435</v>
      </c>
      <c r="CW288">
        <v>31413</v>
      </c>
      <c r="CX288">
        <v>150</v>
      </c>
      <c r="CY288">
        <v>16586</v>
      </c>
      <c r="CZ288">
        <v>2149</v>
      </c>
      <c r="DA288">
        <v>1804</v>
      </c>
      <c r="DB288">
        <v>3535</v>
      </c>
      <c r="DC288">
        <v>-1553</v>
      </c>
      <c r="DD288">
        <v>2503</v>
      </c>
      <c r="DE288">
        <v>22222</v>
      </c>
      <c r="DF288">
        <v>71287</v>
      </c>
      <c r="DG288">
        <v>1032</v>
      </c>
      <c r="DH288">
        <v>12265</v>
      </c>
      <c r="DI288">
        <v>21</v>
      </c>
      <c r="DJ288" s="174">
        <v>6411</v>
      </c>
      <c r="DK288" s="34">
        <v>21634</v>
      </c>
      <c r="DL288" s="34">
        <v>23922</v>
      </c>
      <c r="DM288">
        <v>31863</v>
      </c>
      <c r="DN288" s="173">
        <v>-117</v>
      </c>
      <c r="DO288" s="34">
        <v>17402</v>
      </c>
      <c r="DP288" s="173">
        <v>2334</v>
      </c>
      <c r="DQ288" s="34">
        <v>1898</v>
      </c>
      <c r="DR288" s="173">
        <v>5200</v>
      </c>
      <c r="DS288" s="173">
        <v>-3041</v>
      </c>
      <c r="DT288">
        <v>2455</v>
      </c>
      <c r="DU288">
        <v>20937</v>
      </c>
      <c r="DV288" s="173">
        <v>72102</v>
      </c>
      <c r="DW288" s="173">
        <v>2745</v>
      </c>
      <c r="DX288" s="173">
        <v>15010</v>
      </c>
      <c r="DY288" s="57">
        <v>21</v>
      </c>
      <c r="DZ288" s="184">
        <v>340</v>
      </c>
      <c r="EA288" s="116">
        <v>6264</v>
      </c>
      <c r="EB288" s="48">
        <v>19744</v>
      </c>
      <c r="EC288" s="46">
        <v>23575</v>
      </c>
      <c r="ED288" s="90">
        <v>31771</v>
      </c>
      <c r="EE288" s="186">
        <v>10736</v>
      </c>
      <c r="EF288" s="46">
        <v>15837</v>
      </c>
      <c r="EG288" s="130">
        <v>2229</v>
      </c>
      <c r="EH288" s="46">
        <v>1678</v>
      </c>
      <c r="EI288" s="130">
        <v>2849</v>
      </c>
      <c r="EJ288" s="48">
        <v>3062</v>
      </c>
      <c r="EK288" s="44">
        <v>2488</v>
      </c>
      <c r="EL288" s="44">
        <v>19791</v>
      </c>
      <c r="EM288" s="130">
        <v>72120</v>
      </c>
      <c r="EN288" s="117">
        <v>11218</v>
      </c>
      <c r="EO288" s="117">
        <v>26229</v>
      </c>
      <c r="EP288" s="129">
        <v>21</v>
      </c>
    </row>
    <row r="289" spans="1:146" ht="15" x14ac:dyDescent="0.25">
      <c r="A289" s="27">
        <v>934</v>
      </c>
      <c r="B289" s="27" t="s">
        <v>412</v>
      </c>
      <c r="C289" s="27">
        <v>14</v>
      </c>
      <c r="D289" s="27" t="s">
        <v>106</v>
      </c>
      <c r="E289" s="27">
        <v>2</v>
      </c>
      <c r="F289" s="27" t="s">
        <v>744</v>
      </c>
      <c r="G289" s="29" t="s">
        <v>130</v>
      </c>
      <c r="H289" s="27" t="s">
        <v>98</v>
      </c>
      <c r="I289" s="31" t="s">
        <v>106</v>
      </c>
      <c r="J289" s="118">
        <v>345.28981302548215</v>
      </c>
      <c r="K289" s="118">
        <v>522.55988751591474</v>
      </c>
      <c r="L289" s="118">
        <v>218.98068025288737</v>
      </c>
      <c r="M289" s="118">
        <v>-564.43868120483103</v>
      </c>
      <c r="N289" s="22">
        <v>-937</v>
      </c>
      <c r="O289" s="119">
        <v>-382</v>
      </c>
      <c r="P289" s="119">
        <v>-679</v>
      </c>
      <c r="Q289" s="120">
        <v>-916</v>
      </c>
      <c r="R289" s="22">
        <v>-984</v>
      </c>
      <c r="S289" s="22">
        <v>-448</v>
      </c>
      <c r="T289" s="121">
        <v>718</v>
      </c>
      <c r="U289" s="121">
        <v>85</v>
      </c>
      <c r="V289" s="121">
        <v>149</v>
      </c>
      <c r="W289" s="106">
        <v>-1187</v>
      </c>
      <c r="X289" s="121">
        <v>-2843</v>
      </c>
      <c r="Y289" s="121">
        <v>-3371</v>
      </c>
      <c r="Z289" s="121">
        <v>-3591</v>
      </c>
      <c r="AA289" s="121">
        <v>-2193</v>
      </c>
      <c r="AB289" s="122">
        <v>19</v>
      </c>
      <c r="AC289" s="123">
        <v>19</v>
      </c>
      <c r="AD289" s="124">
        <v>19</v>
      </c>
      <c r="AE289" s="125">
        <v>19</v>
      </c>
      <c r="AF289" s="126">
        <v>19</v>
      </c>
      <c r="AG289" s="123">
        <v>19.5</v>
      </c>
      <c r="AH289" s="123">
        <v>19.5</v>
      </c>
      <c r="AI289" s="127">
        <v>19.5</v>
      </c>
      <c r="AJ289" s="127">
        <v>19.75</v>
      </c>
      <c r="AK289" s="22">
        <v>19.75</v>
      </c>
      <c r="AL289" s="128">
        <v>19.75</v>
      </c>
      <c r="AM289" s="128">
        <v>19.75</v>
      </c>
      <c r="AN289" s="128">
        <v>19.75</v>
      </c>
      <c r="AO289" s="77">
        <v>19.75</v>
      </c>
      <c r="AP289" s="77">
        <v>20.5</v>
      </c>
      <c r="AQ289" s="129">
        <v>21</v>
      </c>
      <c r="AR289" s="129">
        <v>21.5</v>
      </c>
      <c r="AS289" s="129">
        <v>22</v>
      </c>
      <c r="AT289" s="116">
        <v>3171</v>
      </c>
      <c r="AU289" s="47">
        <v>1741</v>
      </c>
      <c r="AV289" s="47">
        <v>19555</v>
      </c>
      <c r="AW289" s="46">
        <v>10050</v>
      </c>
      <c r="AX289" s="46">
        <v>7948</v>
      </c>
      <c r="AY289" s="92">
        <v>40</v>
      </c>
      <c r="AZ289" s="47">
        <v>136</v>
      </c>
      <c r="BA289" s="44">
        <v>664</v>
      </c>
      <c r="BB289" s="23">
        <v>-1069</v>
      </c>
      <c r="BC289" s="47">
        <v>-528</v>
      </c>
      <c r="BD289" s="44">
        <v>-528</v>
      </c>
      <c r="BE289" s="47">
        <v>-3371</v>
      </c>
      <c r="BF289" s="44">
        <v>10050</v>
      </c>
      <c r="BG289" s="46">
        <v>9043</v>
      </c>
      <c r="BH289" s="130">
        <v>423</v>
      </c>
      <c r="BI289" s="46">
        <v>584</v>
      </c>
      <c r="BJ289" s="129">
        <v>21</v>
      </c>
      <c r="BK289" s="44">
        <v>9860</v>
      </c>
      <c r="BL289" s="116">
        <v>3106</v>
      </c>
      <c r="BM289" s="47">
        <v>1747</v>
      </c>
      <c r="BN289" s="130">
        <v>19675</v>
      </c>
      <c r="BO289" s="46">
        <v>10077</v>
      </c>
      <c r="BP289" s="46">
        <v>8739</v>
      </c>
      <c r="BQ289" s="46">
        <v>60</v>
      </c>
      <c r="BR289" s="130">
        <v>846</v>
      </c>
      <c r="BS289" s="44">
        <v>847</v>
      </c>
      <c r="BT289" s="92">
        <v>-4100</v>
      </c>
      <c r="BU289" s="117">
        <v>-221</v>
      </c>
      <c r="BV289" s="130">
        <v>-3591</v>
      </c>
      <c r="BW289" s="48">
        <v>10077</v>
      </c>
      <c r="BX289" s="46">
        <v>8849</v>
      </c>
      <c r="BY289" s="130">
        <v>550</v>
      </c>
      <c r="BZ289" s="46">
        <v>678</v>
      </c>
      <c r="CA289" s="129">
        <v>21.5</v>
      </c>
      <c r="CB289" s="44">
        <v>13522</v>
      </c>
      <c r="CC289" s="116">
        <v>3073</v>
      </c>
      <c r="CD289" s="47">
        <v>2182</v>
      </c>
      <c r="CE289" s="130">
        <v>18483</v>
      </c>
      <c r="CF289" s="46">
        <v>10529</v>
      </c>
      <c r="CG289" s="46">
        <v>8059</v>
      </c>
      <c r="CH289" s="46">
        <v>45</v>
      </c>
      <c r="CI289" s="130">
        <v>2216</v>
      </c>
      <c r="CJ289" s="44">
        <v>818</v>
      </c>
      <c r="CK289" s="117">
        <v>-1184</v>
      </c>
      <c r="CL289" s="117">
        <v>1398</v>
      </c>
      <c r="CM289" s="117">
        <v>-2193</v>
      </c>
      <c r="CN289" s="48">
        <v>10529</v>
      </c>
      <c r="CO289" s="46">
        <v>9148</v>
      </c>
      <c r="CP289" s="130">
        <v>615</v>
      </c>
      <c r="CQ289" s="46">
        <v>766</v>
      </c>
      <c r="CR289" s="129">
        <v>22</v>
      </c>
      <c r="CS289" s="44">
        <v>12814</v>
      </c>
      <c r="CT289">
        <v>3025</v>
      </c>
      <c r="CU289">
        <v>10629</v>
      </c>
      <c r="CV289">
        <v>8227</v>
      </c>
      <c r="CW289">
        <v>2004</v>
      </c>
      <c r="CX289">
        <v>9</v>
      </c>
      <c r="CY289">
        <v>9192</v>
      </c>
      <c r="CZ289">
        <v>571</v>
      </c>
      <c r="DA289">
        <v>866</v>
      </c>
      <c r="DB289">
        <v>2351</v>
      </c>
      <c r="DC289">
        <v>-454</v>
      </c>
      <c r="DD289">
        <v>868</v>
      </c>
      <c r="DE289">
        <v>10606</v>
      </c>
      <c r="DF289">
        <v>18442</v>
      </c>
      <c r="DG289">
        <v>1483</v>
      </c>
      <c r="DH289">
        <v>-711</v>
      </c>
      <c r="DI289">
        <v>22.25</v>
      </c>
      <c r="DJ289" s="174">
        <v>2974</v>
      </c>
      <c r="DK289" s="34">
        <v>10642</v>
      </c>
      <c r="DL289" s="34">
        <v>8130</v>
      </c>
      <c r="DM289">
        <v>3538</v>
      </c>
      <c r="DN289" s="173">
        <v>-35</v>
      </c>
      <c r="DO289" s="34">
        <v>9088</v>
      </c>
      <c r="DP289" s="173">
        <v>649</v>
      </c>
      <c r="DQ289" s="34">
        <v>905</v>
      </c>
      <c r="DR289" s="173">
        <v>1826</v>
      </c>
      <c r="DS289" s="173">
        <v>-641</v>
      </c>
      <c r="DT289">
        <v>864</v>
      </c>
      <c r="DU289">
        <v>9541</v>
      </c>
      <c r="DV289" s="173">
        <v>20449</v>
      </c>
      <c r="DW289" s="173">
        <v>962</v>
      </c>
      <c r="DX289" s="173">
        <v>251</v>
      </c>
      <c r="DY289" s="57">
        <v>22.25</v>
      </c>
      <c r="DZ289" s="184">
        <v>340</v>
      </c>
      <c r="EA289" s="116">
        <v>2901</v>
      </c>
      <c r="EB289" s="48">
        <v>9851</v>
      </c>
      <c r="EC289" s="46">
        <v>7815</v>
      </c>
      <c r="ED289" s="90">
        <v>3705</v>
      </c>
      <c r="EE289" s="186">
        <v>-25</v>
      </c>
      <c r="EF289" s="46">
        <v>8446</v>
      </c>
      <c r="EG289" s="130">
        <v>593</v>
      </c>
      <c r="EH289" s="46">
        <v>812</v>
      </c>
      <c r="EI289" s="130">
        <v>354</v>
      </c>
      <c r="EJ289" s="48">
        <v>-1259</v>
      </c>
      <c r="EK289" s="44">
        <v>857</v>
      </c>
      <c r="EL289" s="44">
        <v>9479</v>
      </c>
      <c r="EM289" s="130">
        <v>20992</v>
      </c>
      <c r="EN289" s="117">
        <v>-503</v>
      </c>
      <c r="EO289" s="117">
        <v>-253</v>
      </c>
      <c r="EP289" s="129">
        <v>22.25</v>
      </c>
    </row>
    <row r="290" spans="1:146" ht="15" x14ac:dyDescent="0.25">
      <c r="A290" s="32">
        <v>935</v>
      </c>
      <c r="B290" s="32" t="s">
        <v>413</v>
      </c>
      <c r="C290" s="32">
        <v>8</v>
      </c>
      <c r="D290" s="32" t="s">
        <v>112</v>
      </c>
      <c r="E290" s="32">
        <v>2</v>
      </c>
      <c r="F290" s="32" t="s">
        <v>744</v>
      </c>
      <c r="G290" s="43" t="s">
        <v>130</v>
      </c>
      <c r="H290" s="32" t="s">
        <v>98</v>
      </c>
      <c r="I290" s="33" t="s">
        <v>112</v>
      </c>
      <c r="J290" s="118">
        <v>88.63503724521631</v>
      </c>
      <c r="K290" s="118">
        <v>9.7548997347676405</v>
      </c>
      <c r="L290" s="118">
        <v>221.33531122334853</v>
      </c>
      <c r="M290" s="118">
        <v>-5.8865774261528827</v>
      </c>
      <c r="N290" s="22">
        <v>46</v>
      </c>
      <c r="O290" s="119">
        <v>-196</v>
      </c>
      <c r="P290" s="119">
        <v>-350</v>
      </c>
      <c r="Q290" s="120">
        <v>-427</v>
      </c>
      <c r="R290" s="22">
        <v>542</v>
      </c>
      <c r="S290" s="22">
        <v>594</v>
      </c>
      <c r="T290" s="121">
        <v>349</v>
      </c>
      <c r="U290" s="121">
        <v>248</v>
      </c>
      <c r="V290" s="121">
        <v>1868</v>
      </c>
      <c r="W290" s="106">
        <v>4562</v>
      </c>
      <c r="X290" s="121">
        <v>3832</v>
      </c>
      <c r="Y290" s="121">
        <v>3942</v>
      </c>
      <c r="Z290" s="121">
        <v>8265</v>
      </c>
      <c r="AA290" s="121">
        <v>8181</v>
      </c>
      <c r="AB290" s="122">
        <v>18.25</v>
      </c>
      <c r="AC290" s="123">
        <v>18.25</v>
      </c>
      <c r="AD290" s="124">
        <v>18.5</v>
      </c>
      <c r="AE290" s="125">
        <v>18.5</v>
      </c>
      <c r="AF290" s="126">
        <v>18.5</v>
      </c>
      <c r="AG290" s="123">
        <v>18.5</v>
      </c>
      <c r="AH290" s="123">
        <v>19</v>
      </c>
      <c r="AI290" s="131">
        <v>19</v>
      </c>
      <c r="AJ290" s="131">
        <v>19</v>
      </c>
      <c r="AK290" s="22">
        <v>19</v>
      </c>
      <c r="AL290" s="128">
        <v>19.5</v>
      </c>
      <c r="AM290" s="128">
        <v>20</v>
      </c>
      <c r="AN290" s="128">
        <v>20</v>
      </c>
      <c r="AO290" s="77">
        <v>20</v>
      </c>
      <c r="AP290" s="77">
        <v>20</v>
      </c>
      <c r="AQ290" s="129">
        <v>20</v>
      </c>
      <c r="AR290" s="129">
        <v>20</v>
      </c>
      <c r="AS290" s="129">
        <v>20</v>
      </c>
      <c r="AT290" s="116">
        <v>3435</v>
      </c>
      <c r="AU290" s="47">
        <v>7020</v>
      </c>
      <c r="AV290" s="47">
        <v>25209</v>
      </c>
      <c r="AW290" s="46">
        <v>10518</v>
      </c>
      <c r="AX290" s="46">
        <v>8550</v>
      </c>
      <c r="AY290" s="92">
        <v>320</v>
      </c>
      <c r="AZ290" s="47">
        <v>1034</v>
      </c>
      <c r="BA290" s="44">
        <v>925</v>
      </c>
      <c r="BB290" s="23">
        <v>-4033</v>
      </c>
      <c r="BC290" s="47">
        <v>109</v>
      </c>
      <c r="BD290" s="44">
        <v>109</v>
      </c>
      <c r="BE290" s="47">
        <v>3942</v>
      </c>
      <c r="BF290" s="44">
        <v>10518</v>
      </c>
      <c r="BG290" s="46">
        <v>8831</v>
      </c>
      <c r="BH290" s="130">
        <v>757</v>
      </c>
      <c r="BI290" s="46">
        <v>930</v>
      </c>
      <c r="BJ290" s="129">
        <v>20</v>
      </c>
      <c r="BK290" s="44">
        <v>12323</v>
      </c>
      <c r="BL290" s="116">
        <v>3399</v>
      </c>
      <c r="BM290" s="47">
        <v>8279</v>
      </c>
      <c r="BN290" s="130">
        <v>25117</v>
      </c>
      <c r="BO290" s="46">
        <v>10930</v>
      </c>
      <c r="BP290" s="46">
        <v>8797</v>
      </c>
      <c r="BQ290" s="46">
        <v>231</v>
      </c>
      <c r="BR290" s="130">
        <v>2961</v>
      </c>
      <c r="BS290" s="44">
        <v>946</v>
      </c>
      <c r="BT290" s="92">
        <v>-3657</v>
      </c>
      <c r="BU290" s="117">
        <v>2015</v>
      </c>
      <c r="BV290" s="130">
        <v>8265</v>
      </c>
      <c r="BW290" s="48">
        <v>10930</v>
      </c>
      <c r="BX290" s="46">
        <v>8912</v>
      </c>
      <c r="BY290" s="130">
        <v>965</v>
      </c>
      <c r="BZ290" s="46">
        <v>1053</v>
      </c>
      <c r="CA290" s="129">
        <v>20</v>
      </c>
      <c r="CB290" s="44">
        <v>14359</v>
      </c>
      <c r="CC290" s="116">
        <v>3347</v>
      </c>
      <c r="CD290" s="47">
        <v>8273</v>
      </c>
      <c r="CE290" s="130">
        <v>26666</v>
      </c>
      <c r="CF290" s="46">
        <v>11124</v>
      </c>
      <c r="CG290" s="46">
        <v>8643</v>
      </c>
      <c r="CH290" s="46">
        <v>472</v>
      </c>
      <c r="CI290" s="130">
        <v>1518</v>
      </c>
      <c r="CJ290" s="44">
        <v>1100</v>
      </c>
      <c r="CK290" s="117">
        <v>-1529</v>
      </c>
      <c r="CL290" s="117">
        <v>418</v>
      </c>
      <c r="CM290" s="117">
        <v>8181</v>
      </c>
      <c r="CN290" s="48">
        <v>11124</v>
      </c>
      <c r="CO290" s="46">
        <v>8756</v>
      </c>
      <c r="CP290" s="130">
        <v>1296</v>
      </c>
      <c r="CQ290" s="46">
        <v>1072</v>
      </c>
      <c r="CR290" s="129">
        <v>20</v>
      </c>
      <c r="CS290" s="44">
        <v>14753</v>
      </c>
      <c r="CT290">
        <v>3267</v>
      </c>
      <c r="CU290">
        <v>10731</v>
      </c>
      <c r="CV290">
        <v>9409</v>
      </c>
      <c r="CW290">
        <v>7897</v>
      </c>
      <c r="CX290">
        <v>241</v>
      </c>
      <c r="CY290">
        <v>8420</v>
      </c>
      <c r="CZ290">
        <v>1164</v>
      </c>
      <c r="DA290">
        <v>1147</v>
      </c>
      <c r="DB290">
        <v>2260</v>
      </c>
      <c r="DC290">
        <v>-2532</v>
      </c>
      <c r="DD290">
        <v>1160</v>
      </c>
      <c r="DE290">
        <v>16800</v>
      </c>
      <c r="DF290">
        <v>25858</v>
      </c>
      <c r="DG290">
        <v>1100</v>
      </c>
      <c r="DH290">
        <v>9251</v>
      </c>
      <c r="DI290">
        <v>20</v>
      </c>
      <c r="DJ290" s="174">
        <v>3207</v>
      </c>
      <c r="DK290" s="34">
        <v>10978</v>
      </c>
      <c r="DL290" s="34">
        <v>9347</v>
      </c>
      <c r="DM290">
        <v>7153</v>
      </c>
      <c r="DN290" s="173">
        <v>258</v>
      </c>
      <c r="DO290" s="34">
        <v>8400</v>
      </c>
      <c r="DP290" s="173">
        <v>1172</v>
      </c>
      <c r="DQ290" s="34">
        <v>1406</v>
      </c>
      <c r="DR290" s="173">
        <v>2152</v>
      </c>
      <c r="DS290" s="173">
        <v>-489</v>
      </c>
      <c r="DT290">
        <v>1290</v>
      </c>
      <c r="DU290">
        <v>16000</v>
      </c>
      <c r="DV290" s="173">
        <v>25584</v>
      </c>
      <c r="DW290" s="173">
        <v>862</v>
      </c>
      <c r="DX290" s="173">
        <v>10113</v>
      </c>
      <c r="DY290" s="57">
        <v>20</v>
      </c>
      <c r="DZ290" s="184">
        <v>340</v>
      </c>
      <c r="EA290" s="116">
        <v>3150</v>
      </c>
      <c r="EB290" s="48">
        <v>10463</v>
      </c>
      <c r="EC290" s="46">
        <v>9264</v>
      </c>
      <c r="ED290" s="90">
        <v>7722</v>
      </c>
      <c r="EE290" s="186">
        <v>277</v>
      </c>
      <c r="EF290" s="46">
        <v>8212</v>
      </c>
      <c r="EG290" s="130">
        <v>1000</v>
      </c>
      <c r="EH290" s="46">
        <v>1251</v>
      </c>
      <c r="EI290" s="130">
        <v>1065</v>
      </c>
      <c r="EJ290" s="48">
        <v>-4475</v>
      </c>
      <c r="EK290" s="44">
        <v>1760</v>
      </c>
      <c r="EL290" s="44">
        <v>18500</v>
      </c>
      <c r="EM290" s="130">
        <v>26661</v>
      </c>
      <c r="EN290" s="117">
        <v>-695</v>
      </c>
      <c r="EO290" s="117">
        <v>9418</v>
      </c>
      <c r="EP290" s="129">
        <v>20</v>
      </c>
    </row>
    <row r="291" spans="1:146" ht="15" x14ac:dyDescent="0.25">
      <c r="A291" s="27">
        <v>936</v>
      </c>
      <c r="B291" s="27" t="s">
        <v>414</v>
      </c>
      <c r="C291" s="27">
        <v>6</v>
      </c>
      <c r="D291" s="27" t="s">
        <v>114</v>
      </c>
      <c r="E291" s="27">
        <v>3</v>
      </c>
      <c r="F291" s="27" t="s">
        <v>743</v>
      </c>
      <c r="G291" s="29" t="s">
        <v>130</v>
      </c>
      <c r="H291" s="27" t="s">
        <v>98</v>
      </c>
      <c r="I291" s="31" t="s">
        <v>114</v>
      </c>
      <c r="J291" s="118">
        <v>4287.6148092833009</v>
      </c>
      <c r="K291" s="118">
        <v>6177.0379751519158</v>
      </c>
      <c r="L291" s="118">
        <v>7273.2868798280442</v>
      </c>
      <c r="M291" s="118">
        <v>8380.9725635035556</v>
      </c>
      <c r="N291" s="22">
        <v>10071</v>
      </c>
      <c r="O291" s="119">
        <v>11346</v>
      </c>
      <c r="P291" s="119">
        <v>12908</v>
      </c>
      <c r="Q291" s="120">
        <v>12991</v>
      </c>
      <c r="R291" s="22">
        <v>14112</v>
      </c>
      <c r="S291" s="22">
        <v>14296</v>
      </c>
      <c r="T291" s="121">
        <v>14387</v>
      </c>
      <c r="U291" s="121">
        <v>14600</v>
      </c>
      <c r="V291" s="121">
        <v>13615</v>
      </c>
      <c r="W291" s="106">
        <v>12931</v>
      </c>
      <c r="X291" s="121">
        <v>11891</v>
      </c>
      <c r="Y291" s="121">
        <v>12044</v>
      </c>
      <c r="Z291" s="121">
        <v>12181</v>
      </c>
      <c r="AA291" s="121">
        <v>14267</v>
      </c>
      <c r="AB291" s="122">
        <v>18.5</v>
      </c>
      <c r="AC291" s="123">
        <v>18.5</v>
      </c>
      <c r="AD291" s="124">
        <v>18.5</v>
      </c>
      <c r="AE291" s="125">
        <v>18.5</v>
      </c>
      <c r="AF291" s="126">
        <v>18.5</v>
      </c>
      <c r="AG291" s="123">
        <v>18.5</v>
      </c>
      <c r="AH291" s="123">
        <v>18.5</v>
      </c>
      <c r="AI291" s="127">
        <v>18.5</v>
      </c>
      <c r="AJ291" s="127">
        <v>18.5</v>
      </c>
      <c r="AK291" s="22">
        <v>18.75</v>
      </c>
      <c r="AL291" s="128">
        <v>19</v>
      </c>
      <c r="AM291" s="128">
        <v>19</v>
      </c>
      <c r="AN291" s="128">
        <v>19.75</v>
      </c>
      <c r="AO291" s="77">
        <v>19.75</v>
      </c>
      <c r="AP291" s="77">
        <v>19.75</v>
      </c>
      <c r="AQ291" s="129">
        <v>20.25</v>
      </c>
      <c r="AR291" s="129">
        <v>20.25</v>
      </c>
      <c r="AS291" s="129">
        <v>20.25</v>
      </c>
      <c r="AT291" s="116">
        <v>7280</v>
      </c>
      <c r="AU291" s="47">
        <v>34524</v>
      </c>
      <c r="AV291" s="47">
        <v>74417</v>
      </c>
      <c r="AW291" s="46">
        <v>21165</v>
      </c>
      <c r="AX291" s="46">
        <v>21230</v>
      </c>
      <c r="AY291" s="92">
        <v>607</v>
      </c>
      <c r="AZ291" s="47">
        <v>2689</v>
      </c>
      <c r="BA291" s="44">
        <v>2974</v>
      </c>
      <c r="BB291" s="23">
        <v>-2489</v>
      </c>
      <c r="BC291" s="47">
        <v>16</v>
      </c>
      <c r="BD291" s="44">
        <v>153</v>
      </c>
      <c r="BE291" s="47">
        <v>12044</v>
      </c>
      <c r="BF291" s="44">
        <v>21165</v>
      </c>
      <c r="BG291" s="46">
        <v>17770</v>
      </c>
      <c r="BH291" s="130">
        <v>1685</v>
      </c>
      <c r="BI291" s="46">
        <v>1710</v>
      </c>
      <c r="BJ291" s="129">
        <v>20.25</v>
      </c>
      <c r="BK291" s="44">
        <v>5171</v>
      </c>
      <c r="BL291" s="116">
        <v>7157</v>
      </c>
      <c r="BM291" s="47">
        <v>33904</v>
      </c>
      <c r="BN291" s="130">
        <v>74316</v>
      </c>
      <c r="BO291" s="46">
        <v>21834</v>
      </c>
      <c r="BP291" s="46">
        <v>22162</v>
      </c>
      <c r="BQ291" s="46">
        <v>275</v>
      </c>
      <c r="BR291" s="130">
        <v>3744</v>
      </c>
      <c r="BS291" s="44">
        <v>3255</v>
      </c>
      <c r="BT291" s="92">
        <v>-3229</v>
      </c>
      <c r="BU291" s="117">
        <v>137</v>
      </c>
      <c r="BV291" s="130">
        <v>12181</v>
      </c>
      <c r="BW291" s="48">
        <v>21834</v>
      </c>
      <c r="BX291" s="46">
        <v>18103</v>
      </c>
      <c r="BY291" s="130">
        <v>1870</v>
      </c>
      <c r="BZ291" s="46">
        <v>1861</v>
      </c>
      <c r="CA291" s="129">
        <v>20.25</v>
      </c>
      <c r="CB291" s="44">
        <v>5816</v>
      </c>
      <c r="CC291" s="116">
        <v>7002</v>
      </c>
      <c r="CD291" s="47">
        <v>33597</v>
      </c>
      <c r="CE291" s="130">
        <v>72192</v>
      </c>
      <c r="CF291" s="46">
        <v>22003</v>
      </c>
      <c r="CG291" s="46">
        <v>22546</v>
      </c>
      <c r="CH291" s="46">
        <v>472</v>
      </c>
      <c r="CI291" s="130">
        <v>6103</v>
      </c>
      <c r="CJ291" s="44">
        <v>3154</v>
      </c>
      <c r="CK291" s="117">
        <v>-2950</v>
      </c>
      <c r="CL291" s="117">
        <v>2086</v>
      </c>
      <c r="CM291" s="117">
        <v>14267</v>
      </c>
      <c r="CN291" s="48">
        <v>22003</v>
      </c>
      <c r="CO291" s="46">
        <v>17967</v>
      </c>
      <c r="CP291" s="130">
        <v>2170</v>
      </c>
      <c r="CQ291" s="46">
        <v>1866</v>
      </c>
      <c r="CR291" s="129">
        <v>20.25</v>
      </c>
      <c r="CS291" s="44">
        <v>4963</v>
      </c>
      <c r="CT291">
        <v>6917</v>
      </c>
      <c r="CU291">
        <v>21907</v>
      </c>
      <c r="CV291">
        <v>23806</v>
      </c>
      <c r="CW291">
        <v>33299</v>
      </c>
      <c r="CX291">
        <v>557</v>
      </c>
      <c r="CY291">
        <v>17935</v>
      </c>
      <c r="CZ291">
        <v>2086</v>
      </c>
      <c r="DA291">
        <v>1886</v>
      </c>
      <c r="DB291">
        <v>5969</v>
      </c>
      <c r="DC291">
        <v>-4494</v>
      </c>
      <c r="DD291">
        <v>3085</v>
      </c>
      <c r="DE291">
        <v>4901</v>
      </c>
      <c r="DF291">
        <v>73154</v>
      </c>
      <c r="DG291">
        <v>2331</v>
      </c>
      <c r="DH291">
        <v>16598</v>
      </c>
      <c r="DI291">
        <v>20.25</v>
      </c>
      <c r="DJ291" s="174">
        <v>6844</v>
      </c>
      <c r="DK291" s="34">
        <v>22428</v>
      </c>
      <c r="DL291" s="34">
        <v>23466</v>
      </c>
      <c r="DM291">
        <v>33997</v>
      </c>
      <c r="DN291" s="173">
        <v>402</v>
      </c>
      <c r="DO291" s="34">
        <v>18134</v>
      </c>
      <c r="DP291" s="173">
        <v>2414</v>
      </c>
      <c r="DQ291" s="34">
        <v>1880</v>
      </c>
      <c r="DR291" s="173">
        <v>5990</v>
      </c>
      <c r="DS291" s="173">
        <v>-6933</v>
      </c>
      <c r="DT291">
        <v>5665</v>
      </c>
      <c r="DU291">
        <v>5688</v>
      </c>
      <c r="DV291" s="173">
        <v>74303</v>
      </c>
      <c r="DW291" s="173">
        <v>462</v>
      </c>
      <c r="DX291" s="173">
        <v>17060</v>
      </c>
      <c r="DY291" s="57">
        <v>20.75</v>
      </c>
      <c r="DZ291" s="184">
        <v>340</v>
      </c>
      <c r="EA291" s="116">
        <v>6739</v>
      </c>
      <c r="EB291" s="48">
        <v>22002</v>
      </c>
      <c r="EC291" s="46">
        <v>23233</v>
      </c>
      <c r="ED291" s="90">
        <v>33391</v>
      </c>
      <c r="EE291" s="186">
        <v>490</v>
      </c>
      <c r="EF291" s="46">
        <v>17832</v>
      </c>
      <c r="EG291" s="130">
        <v>2297</v>
      </c>
      <c r="EH291" s="46">
        <v>1873</v>
      </c>
      <c r="EI291" s="130">
        <v>3050</v>
      </c>
      <c r="EJ291" s="48">
        <v>-6101</v>
      </c>
      <c r="EK291" s="44">
        <v>3655</v>
      </c>
      <c r="EL291" s="44">
        <v>7477</v>
      </c>
      <c r="EM291" s="130">
        <v>76066</v>
      </c>
      <c r="EN291" s="117">
        <v>-441</v>
      </c>
      <c r="EO291" s="117">
        <v>16618</v>
      </c>
      <c r="EP291" s="129">
        <v>20.75</v>
      </c>
    </row>
    <row r="292" spans="1:146" ht="15" x14ac:dyDescent="0.25">
      <c r="A292" s="27">
        <v>946</v>
      </c>
      <c r="B292" s="27" t="s">
        <v>560</v>
      </c>
      <c r="C292" s="27">
        <v>15</v>
      </c>
      <c r="D292" s="27" t="s">
        <v>115</v>
      </c>
      <c r="E292" s="27">
        <v>3</v>
      </c>
      <c r="F292" s="27" t="s">
        <v>743</v>
      </c>
      <c r="G292" s="29" t="s">
        <v>130</v>
      </c>
      <c r="H292" s="27" t="s">
        <v>98</v>
      </c>
      <c r="I292" s="31" t="s">
        <v>115</v>
      </c>
      <c r="J292" s="118">
        <v>844.30339083678541</v>
      </c>
      <c r="K292" s="118">
        <v>627.5091536278976</v>
      </c>
      <c r="L292" s="118">
        <v>578.3982791011365</v>
      </c>
      <c r="M292" s="118">
        <v>1195.1434054354972</v>
      </c>
      <c r="N292" s="22">
        <v>1759</v>
      </c>
      <c r="O292" s="119">
        <v>1903</v>
      </c>
      <c r="P292" s="119">
        <v>2869</v>
      </c>
      <c r="Q292" s="120">
        <v>2066</v>
      </c>
      <c r="R292" s="22">
        <v>2115</v>
      </c>
      <c r="S292" s="22">
        <v>3292</v>
      </c>
      <c r="T292" s="121">
        <v>3700</v>
      </c>
      <c r="U292" s="121">
        <v>4651</v>
      </c>
      <c r="V292" s="121">
        <v>4949</v>
      </c>
      <c r="W292" s="106">
        <v>5147</v>
      </c>
      <c r="X292" s="121">
        <v>4652</v>
      </c>
      <c r="Y292" s="121">
        <v>3945</v>
      </c>
      <c r="Z292" s="121">
        <v>5240</v>
      </c>
      <c r="AA292" s="121">
        <v>5608</v>
      </c>
      <c r="AB292" s="122">
        <v>19.25</v>
      </c>
      <c r="AC292" s="123">
        <v>19</v>
      </c>
      <c r="AD292" s="124">
        <v>19</v>
      </c>
      <c r="AE292" s="125">
        <v>19</v>
      </c>
      <c r="AF292" s="126">
        <v>19</v>
      </c>
      <c r="AG292" s="123">
        <v>19</v>
      </c>
      <c r="AH292" s="123">
        <v>19</v>
      </c>
      <c r="AI292" s="127">
        <v>19</v>
      </c>
      <c r="AJ292" s="127">
        <v>19</v>
      </c>
      <c r="AK292" s="22">
        <v>18.75</v>
      </c>
      <c r="AL292" s="128">
        <v>18.75</v>
      </c>
      <c r="AM292" s="128">
        <v>18.75</v>
      </c>
      <c r="AN292" s="128">
        <v>19</v>
      </c>
      <c r="AO292" s="77">
        <v>19</v>
      </c>
      <c r="AP292" s="77">
        <v>19</v>
      </c>
      <c r="AQ292" s="129">
        <v>19</v>
      </c>
      <c r="AR292" s="129">
        <v>20</v>
      </c>
      <c r="AS292" s="129">
        <v>21</v>
      </c>
      <c r="AT292" s="116">
        <v>6691</v>
      </c>
      <c r="AU292" s="47">
        <v>14281</v>
      </c>
      <c r="AV292" s="47">
        <v>51842</v>
      </c>
      <c r="AW292" s="46">
        <v>20522</v>
      </c>
      <c r="AX292" s="46">
        <v>17665</v>
      </c>
      <c r="AY292" s="92">
        <v>73</v>
      </c>
      <c r="AZ292" s="47">
        <v>652</v>
      </c>
      <c r="BA292" s="44">
        <v>1416</v>
      </c>
      <c r="BB292" s="23">
        <v>-1673</v>
      </c>
      <c r="BC292" s="47">
        <v>-764</v>
      </c>
      <c r="BD292" s="44">
        <v>-707</v>
      </c>
      <c r="BE292" s="47">
        <v>3945</v>
      </c>
      <c r="BF292" s="44">
        <v>20522</v>
      </c>
      <c r="BG292" s="46">
        <v>17572</v>
      </c>
      <c r="BH292" s="130">
        <v>1775</v>
      </c>
      <c r="BI292" s="46">
        <v>1175</v>
      </c>
      <c r="BJ292" s="129">
        <v>19</v>
      </c>
      <c r="BK292" s="44">
        <v>6148</v>
      </c>
      <c r="BL292" s="116">
        <v>6705</v>
      </c>
      <c r="BM292" s="47">
        <v>13203</v>
      </c>
      <c r="BN292" s="130">
        <v>50961</v>
      </c>
      <c r="BO292" s="46">
        <v>22866</v>
      </c>
      <c r="BP292" s="46">
        <v>17559</v>
      </c>
      <c r="BQ292" s="46">
        <v>54</v>
      </c>
      <c r="BR292" s="130">
        <v>2676</v>
      </c>
      <c r="BS292" s="44">
        <v>1425</v>
      </c>
      <c r="BT292" s="92">
        <v>-1443</v>
      </c>
      <c r="BU292" s="117">
        <v>1295</v>
      </c>
      <c r="BV292" s="130">
        <v>5240</v>
      </c>
      <c r="BW292" s="48">
        <v>22866</v>
      </c>
      <c r="BX292" s="46">
        <v>19173</v>
      </c>
      <c r="BY292" s="130">
        <v>2155</v>
      </c>
      <c r="BZ292" s="46">
        <v>1538</v>
      </c>
      <c r="CA292" s="129">
        <v>20</v>
      </c>
      <c r="CB292" s="44">
        <v>5104</v>
      </c>
      <c r="CC292" s="116">
        <v>6714</v>
      </c>
      <c r="CD292" s="47">
        <v>16079</v>
      </c>
      <c r="CE292" s="130">
        <v>55313</v>
      </c>
      <c r="CF292" s="46">
        <v>23852</v>
      </c>
      <c r="CG292" s="46">
        <v>17164</v>
      </c>
      <c r="CH292" s="46">
        <v>62</v>
      </c>
      <c r="CI292" s="130">
        <v>1799</v>
      </c>
      <c r="CJ292" s="44">
        <v>1485</v>
      </c>
      <c r="CK292" s="117">
        <v>-3360</v>
      </c>
      <c r="CL292" s="117">
        <v>368</v>
      </c>
      <c r="CM292" s="117">
        <v>5608</v>
      </c>
      <c r="CN292" s="48">
        <v>23852</v>
      </c>
      <c r="CO292" s="46">
        <v>19411</v>
      </c>
      <c r="CP292" s="130">
        <v>2778</v>
      </c>
      <c r="CQ292" s="46">
        <v>1663</v>
      </c>
      <c r="CR292" s="129">
        <v>21</v>
      </c>
      <c r="CS292" s="44">
        <v>6274</v>
      </c>
      <c r="CT292">
        <v>6684</v>
      </c>
      <c r="CU292">
        <v>23205</v>
      </c>
      <c r="CV292">
        <v>18522</v>
      </c>
      <c r="CW292">
        <v>17221</v>
      </c>
      <c r="CX292">
        <v>42</v>
      </c>
      <c r="CY292">
        <v>19123</v>
      </c>
      <c r="CZ292">
        <v>2391</v>
      </c>
      <c r="DA292">
        <v>1691</v>
      </c>
      <c r="DB292">
        <v>3036</v>
      </c>
      <c r="DC292">
        <v>-2228</v>
      </c>
      <c r="DD292">
        <v>1598</v>
      </c>
      <c r="DE292">
        <v>7398</v>
      </c>
      <c r="DF292">
        <v>55926</v>
      </c>
      <c r="DG292">
        <v>92</v>
      </c>
      <c r="DH292">
        <v>5700</v>
      </c>
      <c r="DI292">
        <v>21</v>
      </c>
      <c r="DJ292" s="174">
        <v>6616</v>
      </c>
      <c r="DK292" s="34">
        <v>22991</v>
      </c>
      <c r="DL292" s="34">
        <v>17850</v>
      </c>
      <c r="DM292">
        <v>15907</v>
      </c>
      <c r="DN292" s="173">
        <v>16</v>
      </c>
      <c r="DO292" s="34">
        <v>18915</v>
      </c>
      <c r="DP292" s="173">
        <v>2284</v>
      </c>
      <c r="DQ292" s="34">
        <v>1792</v>
      </c>
      <c r="DR292" s="173">
        <v>3282</v>
      </c>
      <c r="DS292" s="173">
        <v>-2400</v>
      </c>
      <c r="DT292">
        <v>1510</v>
      </c>
      <c r="DU292">
        <v>6243</v>
      </c>
      <c r="DV292" s="173">
        <v>53482</v>
      </c>
      <c r="DW292" s="173">
        <v>1826</v>
      </c>
      <c r="DX292" s="173">
        <v>7636</v>
      </c>
      <c r="DY292" s="57">
        <v>21</v>
      </c>
      <c r="DZ292" s="184">
        <v>330</v>
      </c>
      <c r="EA292" s="116">
        <v>6613</v>
      </c>
      <c r="EB292" s="48">
        <v>21815</v>
      </c>
      <c r="EC292" s="46">
        <v>18042</v>
      </c>
      <c r="ED292" s="90">
        <v>14038</v>
      </c>
      <c r="EE292" s="186">
        <v>8</v>
      </c>
      <c r="EF292" s="46">
        <v>18173</v>
      </c>
      <c r="EG292" s="130">
        <v>1864</v>
      </c>
      <c r="EH292" s="46">
        <v>1778</v>
      </c>
      <c r="EI292" s="130">
        <v>195</v>
      </c>
      <c r="EJ292" s="48">
        <v>-3339</v>
      </c>
      <c r="EK292" s="44">
        <v>2140</v>
      </c>
      <c r="EL292" s="44">
        <v>6613</v>
      </c>
      <c r="EM292" s="130">
        <v>53708</v>
      </c>
      <c r="EN292" s="117">
        <v>-1890</v>
      </c>
      <c r="EO292" s="117">
        <v>5746</v>
      </c>
      <c r="EP292" s="129">
        <v>21</v>
      </c>
    </row>
    <row r="293" spans="1:146" ht="15" x14ac:dyDescent="0.25">
      <c r="A293" s="27">
        <v>976</v>
      </c>
      <c r="B293" s="27" t="s">
        <v>415</v>
      </c>
      <c r="C293" s="27">
        <v>19</v>
      </c>
      <c r="D293" s="27" t="s">
        <v>113</v>
      </c>
      <c r="E293" s="27">
        <v>2</v>
      </c>
      <c r="F293" s="27" t="s">
        <v>744</v>
      </c>
      <c r="G293" s="29" t="s">
        <v>130</v>
      </c>
      <c r="H293" s="27" t="s">
        <v>98</v>
      </c>
      <c r="I293" s="31" t="s">
        <v>113</v>
      </c>
      <c r="J293" s="118">
        <v>198.62994115104453</v>
      </c>
      <c r="K293" s="118">
        <v>-0.33637585292302208</v>
      </c>
      <c r="L293" s="118">
        <v>-800.74271788325404</v>
      </c>
      <c r="M293" s="118">
        <v>-1020.0597739890644</v>
      </c>
      <c r="N293" s="22">
        <v>0</v>
      </c>
      <c r="O293" s="119">
        <v>-1444</v>
      </c>
      <c r="P293" s="119">
        <v>-1781</v>
      </c>
      <c r="Q293" s="120">
        <v>-3901</v>
      </c>
      <c r="R293" s="22">
        <v>-3707</v>
      </c>
      <c r="S293" s="22">
        <v>-2868</v>
      </c>
      <c r="T293" s="121">
        <v>-1544</v>
      </c>
      <c r="U293" s="121">
        <v>91</v>
      </c>
      <c r="V293" s="121">
        <v>1244</v>
      </c>
      <c r="W293" s="106">
        <v>4299</v>
      </c>
      <c r="X293" s="121">
        <v>5248</v>
      </c>
      <c r="Y293" s="121">
        <v>5969</v>
      </c>
      <c r="Z293" s="121">
        <v>6344</v>
      </c>
      <c r="AA293" s="121">
        <v>6791</v>
      </c>
      <c r="AB293" s="122">
        <v>18.5</v>
      </c>
      <c r="AC293" s="123">
        <v>18.5</v>
      </c>
      <c r="AD293" s="124">
        <v>18.5</v>
      </c>
      <c r="AE293" s="125">
        <v>18.5</v>
      </c>
      <c r="AF293" s="126">
        <v>18.5</v>
      </c>
      <c r="AG293" s="123">
        <v>18.5</v>
      </c>
      <c r="AH293" s="123">
        <v>18.5</v>
      </c>
      <c r="AI293" s="127">
        <v>18.5</v>
      </c>
      <c r="AJ293" s="127">
        <v>18.5</v>
      </c>
      <c r="AK293" s="22">
        <v>19.25</v>
      </c>
      <c r="AL293" s="128">
        <v>19.25</v>
      </c>
      <c r="AM293" s="128">
        <v>19.25</v>
      </c>
      <c r="AN293" s="128">
        <v>19.25</v>
      </c>
      <c r="AO293" s="77">
        <v>19.25</v>
      </c>
      <c r="AP293" s="77">
        <v>19.25</v>
      </c>
      <c r="AQ293" s="129">
        <v>19.25</v>
      </c>
      <c r="AR293" s="129">
        <v>19.25</v>
      </c>
      <c r="AS293" s="129">
        <v>19.25</v>
      </c>
      <c r="AT293" s="116">
        <v>4482</v>
      </c>
      <c r="AU293" s="47">
        <v>9145</v>
      </c>
      <c r="AV293" s="47">
        <v>38533</v>
      </c>
      <c r="AW293" s="46">
        <v>11872</v>
      </c>
      <c r="AX293" s="46">
        <v>19025</v>
      </c>
      <c r="AY293" s="92">
        <v>377</v>
      </c>
      <c r="AZ293" s="47">
        <v>1886</v>
      </c>
      <c r="BA293" s="44">
        <v>998</v>
      </c>
      <c r="BB293" s="23">
        <v>-1509</v>
      </c>
      <c r="BC293" s="47">
        <v>888</v>
      </c>
      <c r="BD293" s="44">
        <v>943</v>
      </c>
      <c r="BE293" s="47">
        <v>5969</v>
      </c>
      <c r="BF293" s="44">
        <v>11872</v>
      </c>
      <c r="BG293" s="46">
        <v>10373</v>
      </c>
      <c r="BH293" s="130">
        <v>723</v>
      </c>
      <c r="BI293" s="46">
        <v>776</v>
      </c>
      <c r="BJ293" s="129">
        <v>19.25</v>
      </c>
      <c r="BK293" s="44">
        <v>677</v>
      </c>
      <c r="BL293" s="116">
        <v>4348</v>
      </c>
      <c r="BM293" s="47">
        <v>8910</v>
      </c>
      <c r="BN293" s="130">
        <v>39556</v>
      </c>
      <c r="BO293" s="46">
        <v>12309</v>
      </c>
      <c r="BP293" s="46">
        <v>19253</v>
      </c>
      <c r="BQ293" s="46">
        <v>473</v>
      </c>
      <c r="BR293" s="130">
        <v>1389</v>
      </c>
      <c r="BS293" s="44">
        <v>1071</v>
      </c>
      <c r="BT293" s="92">
        <v>-1903</v>
      </c>
      <c r="BU293" s="117">
        <v>375</v>
      </c>
      <c r="BV293" s="130">
        <v>6344</v>
      </c>
      <c r="BW293" s="48">
        <v>12309</v>
      </c>
      <c r="BX293" s="46">
        <v>10651</v>
      </c>
      <c r="BY293" s="130">
        <v>806</v>
      </c>
      <c r="BZ293" s="46">
        <v>852</v>
      </c>
      <c r="CA293" s="129">
        <v>19.25</v>
      </c>
      <c r="CB293" s="44">
        <v>658</v>
      </c>
      <c r="CC293" s="116">
        <v>4291</v>
      </c>
      <c r="CD293" s="47">
        <v>8637</v>
      </c>
      <c r="CE293" s="130">
        <v>38491</v>
      </c>
      <c r="CF293" s="46">
        <v>12427</v>
      </c>
      <c r="CG293" s="46">
        <v>18959</v>
      </c>
      <c r="CH293" s="46">
        <v>416</v>
      </c>
      <c r="CI293" s="130">
        <v>1914</v>
      </c>
      <c r="CJ293" s="44">
        <v>1561</v>
      </c>
      <c r="CK293" s="117">
        <v>-5824</v>
      </c>
      <c r="CL293" s="117">
        <v>419</v>
      </c>
      <c r="CM293" s="117">
        <v>6791</v>
      </c>
      <c r="CN293" s="48">
        <v>12427</v>
      </c>
      <c r="CO293" s="46">
        <v>10661</v>
      </c>
      <c r="CP293" s="130">
        <v>846</v>
      </c>
      <c r="CQ293" s="46">
        <v>920</v>
      </c>
      <c r="CR293" s="129">
        <v>19.25</v>
      </c>
      <c r="CS293" s="44">
        <v>638</v>
      </c>
      <c r="CT293">
        <v>4200</v>
      </c>
      <c r="CU293">
        <v>12182</v>
      </c>
      <c r="CV293">
        <v>19154</v>
      </c>
      <c r="CW293">
        <v>8233</v>
      </c>
      <c r="CX293">
        <v>171</v>
      </c>
      <c r="CY293">
        <v>10517</v>
      </c>
      <c r="CZ293">
        <v>708</v>
      </c>
      <c r="DA293">
        <v>957</v>
      </c>
      <c r="DB293">
        <v>831</v>
      </c>
      <c r="DC293">
        <v>-2923</v>
      </c>
      <c r="DD293">
        <v>1372</v>
      </c>
      <c r="DE293">
        <v>679</v>
      </c>
      <c r="DF293">
        <v>38909</v>
      </c>
      <c r="DG293">
        <v>649</v>
      </c>
      <c r="DH293">
        <v>7441</v>
      </c>
      <c r="DI293">
        <v>19.25</v>
      </c>
      <c r="DJ293" s="174">
        <v>4118</v>
      </c>
      <c r="DK293" s="34">
        <v>12282</v>
      </c>
      <c r="DL293" s="34">
        <v>18636</v>
      </c>
      <c r="DM293">
        <v>8153</v>
      </c>
      <c r="DN293" s="173">
        <v>299</v>
      </c>
      <c r="DO293" s="34">
        <v>10452</v>
      </c>
      <c r="DP293" s="173">
        <v>762</v>
      </c>
      <c r="DQ293" s="34">
        <v>1068</v>
      </c>
      <c r="DR293" s="173">
        <v>1966</v>
      </c>
      <c r="DS293" s="173">
        <v>-1404</v>
      </c>
      <c r="DT293">
        <v>1584</v>
      </c>
      <c r="DU293">
        <v>653</v>
      </c>
      <c r="DV293" s="173">
        <v>37404</v>
      </c>
      <c r="DW293" s="173">
        <v>527</v>
      </c>
      <c r="DX293" s="173">
        <v>7968</v>
      </c>
      <c r="DY293" s="57">
        <v>19.25</v>
      </c>
      <c r="DZ293" s="184">
        <v>340</v>
      </c>
      <c r="EA293" s="116">
        <v>4022</v>
      </c>
      <c r="EB293" s="48">
        <v>12490</v>
      </c>
      <c r="EC293" s="46">
        <v>18432</v>
      </c>
      <c r="ED293" s="90">
        <v>8144</v>
      </c>
      <c r="EE293" s="186">
        <v>-153</v>
      </c>
      <c r="EF293" s="46">
        <v>10553</v>
      </c>
      <c r="EG293" s="130">
        <v>696</v>
      </c>
      <c r="EH293" s="46">
        <v>1241</v>
      </c>
      <c r="EI293" s="130">
        <v>697</v>
      </c>
      <c r="EJ293" s="48">
        <v>-2192</v>
      </c>
      <c r="EK293" s="44">
        <v>1461</v>
      </c>
      <c r="EL293" s="44">
        <v>577</v>
      </c>
      <c r="EM293" s="130">
        <v>38216</v>
      </c>
      <c r="EN293" s="117">
        <v>-498</v>
      </c>
      <c r="EO293" s="117">
        <v>7470</v>
      </c>
      <c r="EP293" s="129">
        <v>20</v>
      </c>
    </row>
    <row r="294" spans="1:146" ht="15" x14ac:dyDescent="0.25">
      <c r="A294" s="27">
        <v>977</v>
      </c>
      <c r="B294" s="27" t="s">
        <v>416</v>
      </c>
      <c r="C294" s="27">
        <v>17</v>
      </c>
      <c r="D294" s="27" t="s">
        <v>117</v>
      </c>
      <c r="E294" s="27">
        <v>4</v>
      </c>
      <c r="F294" s="27" t="s">
        <v>100</v>
      </c>
      <c r="G294" s="29" t="s">
        <v>132</v>
      </c>
      <c r="H294" s="27" t="s">
        <v>99</v>
      </c>
      <c r="I294" s="31" t="s">
        <v>117</v>
      </c>
      <c r="J294" s="106">
        <v>-4260.2001772700742</v>
      </c>
      <c r="K294" s="106">
        <v>-5086.3392720490165</v>
      </c>
      <c r="L294" s="106">
        <v>-4642.6595220435502</v>
      </c>
      <c r="M294" s="106">
        <v>-1014.1731965629115</v>
      </c>
      <c r="N294" s="106">
        <v>3301</v>
      </c>
      <c r="O294" s="106">
        <v>-4</v>
      </c>
      <c r="P294" s="106">
        <v>-2603</v>
      </c>
      <c r="Q294" s="106">
        <v>-6847</v>
      </c>
      <c r="R294" s="106">
        <v>-8602</v>
      </c>
      <c r="S294" s="106">
        <v>-9302</v>
      </c>
      <c r="T294" s="106">
        <v>-9855</v>
      </c>
      <c r="U294" s="106">
        <v>-8726</v>
      </c>
      <c r="V294" s="106">
        <v>-7685</v>
      </c>
      <c r="W294" s="106">
        <v>-6423</v>
      </c>
      <c r="X294" s="106">
        <v>-7590</v>
      </c>
      <c r="Y294" s="106">
        <v>-7476</v>
      </c>
      <c r="Z294" s="106">
        <v>-6753</v>
      </c>
      <c r="AA294" s="106">
        <v>-6194</v>
      </c>
      <c r="AB294" s="107">
        <v>18.75</v>
      </c>
      <c r="AC294" s="108">
        <v>18.75</v>
      </c>
      <c r="AD294" s="109">
        <v>18.75</v>
      </c>
      <c r="AE294" s="110">
        <v>18.75</v>
      </c>
      <c r="AF294" s="111">
        <v>18.75</v>
      </c>
      <c r="AG294" s="108">
        <v>18.75</v>
      </c>
      <c r="AH294" s="108">
        <v>19.5</v>
      </c>
      <c r="AI294" s="141">
        <v>19.5</v>
      </c>
      <c r="AJ294" s="141">
        <v>20.25</v>
      </c>
      <c r="AK294" s="113">
        <v>20.25</v>
      </c>
      <c r="AL294" s="142">
        <v>20.25</v>
      </c>
      <c r="AM294" s="142">
        <v>20.5</v>
      </c>
      <c r="AN294" s="142">
        <v>21</v>
      </c>
      <c r="AO294" s="77">
        <v>21</v>
      </c>
      <c r="AP294" s="77">
        <v>21</v>
      </c>
      <c r="AQ294" s="129">
        <v>21.5</v>
      </c>
      <c r="AR294" s="129">
        <v>21.5</v>
      </c>
      <c r="AS294" s="129">
        <v>21.5</v>
      </c>
      <c r="AT294" s="116">
        <v>14748</v>
      </c>
      <c r="AU294" s="47">
        <v>26254</v>
      </c>
      <c r="AV294" s="47">
        <v>100422</v>
      </c>
      <c r="AW294" s="46">
        <v>49929</v>
      </c>
      <c r="AX294" s="46">
        <v>28613</v>
      </c>
      <c r="AY294" s="92">
        <v>15</v>
      </c>
      <c r="AZ294" s="47">
        <v>3923</v>
      </c>
      <c r="BA294" s="44">
        <v>3646</v>
      </c>
      <c r="BB294" s="23">
        <v>-5386</v>
      </c>
      <c r="BC294" s="47">
        <v>277</v>
      </c>
      <c r="BD294" s="44">
        <v>114</v>
      </c>
      <c r="BE294" s="47">
        <v>-7476</v>
      </c>
      <c r="BF294" s="44">
        <v>49929</v>
      </c>
      <c r="BG294" s="46">
        <v>43856</v>
      </c>
      <c r="BH294" s="130">
        <v>2431</v>
      </c>
      <c r="BI294" s="46">
        <v>3642</v>
      </c>
      <c r="BJ294" s="129">
        <v>21.5</v>
      </c>
      <c r="BK294" s="44">
        <v>54666</v>
      </c>
      <c r="BL294" s="116">
        <v>14976</v>
      </c>
      <c r="BM294" s="47">
        <v>27957</v>
      </c>
      <c r="BN294" s="130">
        <v>103142</v>
      </c>
      <c r="BO294" s="46">
        <v>51334</v>
      </c>
      <c r="BP294" s="46">
        <v>29198</v>
      </c>
      <c r="BQ294" s="46">
        <v>57</v>
      </c>
      <c r="BR294" s="130">
        <v>4885</v>
      </c>
      <c r="BS294" s="44">
        <v>4010</v>
      </c>
      <c r="BT294" s="92">
        <v>-6084</v>
      </c>
      <c r="BU294" s="117">
        <v>723</v>
      </c>
      <c r="BV294" s="130">
        <v>-6753</v>
      </c>
      <c r="BW294" s="48">
        <v>51334</v>
      </c>
      <c r="BX294" s="46">
        <v>44623</v>
      </c>
      <c r="BY294" s="130">
        <v>2503</v>
      </c>
      <c r="BZ294" s="46">
        <v>4208</v>
      </c>
      <c r="CA294" s="129">
        <v>21.5</v>
      </c>
      <c r="CB294" s="44">
        <v>57416</v>
      </c>
      <c r="CC294" s="116">
        <v>15039</v>
      </c>
      <c r="CD294" s="47">
        <v>34477</v>
      </c>
      <c r="CE294" s="130">
        <v>113965</v>
      </c>
      <c r="CF294" s="46">
        <v>53353</v>
      </c>
      <c r="CG294" s="46">
        <v>30853</v>
      </c>
      <c r="CH294" s="46">
        <v>18</v>
      </c>
      <c r="CI294" s="130">
        <v>4323</v>
      </c>
      <c r="CJ294" s="44">
        <v>4063</v>
      </c>
      <c r="CK294" s="117">
        <v>-5336</v>
      </c>
      <c r="CL294" s="117">
        <v>159</v>
      </c>
      <c r="CM294" s="117">
        <v>-6194</v>
      </c>
      <c r="CN294" s="48">
        <v>53353</v>
      </c>
      <c r="CO294" s="46">
        <v>45824</v>
      </c>
      <c r="CP294" s="130">
        <v>4831</v>
      </c>
      <c r="CQ294" s="46">
        <v>2698</v>
      </c>
      <c r="CR294" s="129">
        <v>21.5</v>
      </c>
      <c r="CS294" s="44">
        <v>55183</v>
      </c>
      <c r="CT294">
        <v>15199</v>
      </c>
      <c r="CU294">
        <v>54011</v>
      </c>
      <c r="CV294">
        <v>34049</v>
      </c>
      <c r="CW294">
        <v>35095</v>
      </c>
      <c r="CX294">
        <v>2679</v>
      </c>
      <c r="CY294">
        <v>45923</v>
      </c>
      <c r="CZ294">
        <v>3053</v>
      </c>
      <c r="DA294">
        <v>5035</v>
      </c>
      <c r="DB294">
        <v>5729</v>
      </c>
      <c r="DC294">
        <v>-19613</v>
      </c>
      <c r="DD294">
        <v>4188</v>
      </c>
      <c r="DE294">
        <v>66317</v>
      </c>
      <c r="DF294">
        <v>117145</v>
      </c>
      <c r="DG294">
        <v>4185</v>
      </c>
      <c r="DH294">
        <v>-2008</v>
      </c>
      <c r="DI294">
        <v>21.5</v>
      </c>
      <c r="DJ294" s="174">
        <v>15251</v>
      </c>
      <c r="DK294" s="34">
        <v>54577</v>
      </c>
      <c r="DL294" s="34">
        <v>35298</v>
      </c>
      <c r="DM294">
        <v>37435</v>
      </c>
      <c r="DN294" s="173">
        <v>-320</v>
      </c>
      <c r="DO294" s="34">
        <v>45777</v>
      </c>
      <c r="DP294" s="173">
        <v>3934</v>
      </c>
      <c r="DQ294" s="34">
        <v>4866</v>
      </c>
      <c r="DR294" s="173">
        <v>8172</v>
      </c>
      <c r="DS294" s="173">
        <v>-12637</v>
      </c>
      <c r="DT294">
        <v>5066</v>
      </c>
      <c r="DU294">
        <v>72927</v>
      </c>
      <c r="DV294" s="173">
        <v>118818</v>
      </c>
      <c r="DW294" s="173">
        <v>3100</v>
      </c>
      <c r="DX294" s="173">
        <v>1092</v>
      </c>
      <c r="DY294" s="57">
        <v>21.5</v>
      </c>
      <c r="DZ294" s="184">
        <v>220</v>
      </c>
      <c r="EA294" s="116">
        <v>15212</v>
      </c>
      <c r="EB294" s="48">
        <v>53664</v>
      </c>
      <c r="EC294" s="46">
        <v>35920</v>
      </c>
      <c r="ED294" s="90">
        <v>37954</v>
      </c>
      <c r="EE294" s="186">
        <v>-170</v>
      </c>
      <c r="EF294" s="46">
        <v>45470</v>
      </c>
      <c r="EG294" s="130">
        <v>3206</v>
      </c>
      <c r="EH294" s="46">
        <v>4988</v>
      </c>
      <c r="EI294" s="130">
        <v>957</v>
      </c>
      <c r="EJ294" s="48">
        <v>-12492</v>
      </c>
      <c r="EK294" s="44">
        <v>8634</v>
      </c>
      <c r="EL294" s="44">
        <v>83145</v>
      </c>
      <c r="EM294" s="130">
        <v>126411</v>
      </c>
      <c r="EN294" s="117">
        <v>-7278</v>
      </c>
      <c r="EO294" s="117">
        <v>-6186</v>
      </c>
      <c r="EP294" s="129">
        <v>21.5</v>
      </c>
    </row>
    <row r="295" spans="1:146" ht="15" x14ac:dyDescent="0.25">
      <c r="A295" s="27">
        <v>980</v>
      </c>
      <c r="B295" s="27" t="s">
        <v>417</v>
      </c>
      <c r="C295" s="27">
        <v>6</v>
      </c>
      <c r="D295" s="27" t="s">
        <v>114</v>
      </c>
      <c r="E295" s="27">
        <v>5</v>
      </c>
      <c r="F295" s="27" t="s">
        <v>101</v>
      </c>
      <c r="G295" s="29" t="s">
        <v>141</v>
      </c>
      <c r="H295" s="27" t="s">
        <v>97</v>
      </c>
      <c r="I295" s="31" t="s">
        <v>114</v>
      </c>
      <c r="J295" s="118">
        <v>2947.157035385058</v>
      </c>
      <c r="K295" s="118">
        <v>984.57212150568557</v>
      </c>
      <c r="L295" s="118">
        <v>3497.9724945465064</v>
      </c>
      <c r="M295" s="118">
        <v>4847.8487923265939</v>
      </c>
      <c r="N295" s="22">
        <v>5556</v>
      </c>
      <c r="O295" s="119">
        <v>10737</v>
      </c>
      <c r="P295" s="119">
        <v>17822</v>
      </c>
      <c r="Q295" s="120">
        <v>18373</v>
      </c>
      <c r="R295" s="22">
        <v>19036</v>
      </c>
      <c r="S295" s="22">
        <v>22516</v>
      </c>
      <c r="T295" s="121">
        <v>24508</v>
      </c>
      <c r="U295" s="121">
        <v>23573</v>
      </c>
      <c r="V295" s="121">
        <v>25168</v>
      </c>
      <c r="W295" s="106">
        <v>30321</v>
      </c>
      <c r="X295" s="121">
        <v>25968</v>
      </c>
      <c r="Y295" s="121">
        <v>29681</v>
      </c>
      <c r="Z295" s="121">
        <v>32862</v>
      </c>
      <c r="AA295" s="121">
        <v>32481</v>
      </c>
      <c r="AB295" s="122">
        <v>17.5</v>
      </c>
      <c r="AC295" s="123">
        <v>17.5</v>
      </c>
      <c r="AD295" s="124">
        <v>17.5</v>
      </c>
      <c r="AE295" s="125">
        <v>17.5</v>
      </c>
      <c r="AF295" s="126">
        <v>17.75</v>
      </c>
      <c r="AG295" s="123">
        <v>17.75</v>
      </c>
      <c r="AH295" s="123">
        <v>18.25</v>
      </c>
      <c r="AI295" s="127">
        <v>18.25</v>
      </c>
      <c r="AJ295" s="127">
        <v>18.25</v>
      </c>
      <c r="AK295" s="22">
        <v>18.25</v>
      </c>
      <c r="AL295" s="128">
        <v>19</v>
      </c>
      <c r="AM295" s="128">
        <v>19</v>
      </c>
      <c r="AN295" s="128">
        <v>19.75</v>
      </c>
      <c r="AO295" s="77">
        <v>19.75</v>
      </c>
      <c r="AP295" s="77">
        <v>19.75</v>
      </c>
      <c r="AQ295" s="129">
        <v>19.75</v>
      </c>
      <c r="AR295" s="129">
        <v>20.5</v>
      </c>
      <c r="AS295" s="129">
        <v>20.5</v>
      </c>
      <c r="AT295" s="116">
        <v>31743</v>
      </c>
      <c r="AU295" s="47">
        <v>37332</v>
      </c>
      <c r="AV295" s="47">
        <v>175275</v>
      </c>
      <c r="AW295" s="46">
        <v>113843</v>
      </c>
      <c r="AX295" s="46">
        <v>36753</v>
      </c>
      <c r="AY295" s="92">
        <v>5726</v>
      </c>
      <c r="AZ295" s="47">
        <v>11559</v>
      </c>
      <c r="BA295" s="44">
        <v>13556</v>
      </c>
      <c r="BB295" s="23">
        <v>-24093</v>
      </c>
      <c r="BC295" s="47">
        <v>3534</v>
      </c>
      <c r="BD295" s="44">
        <v>3713</v>
      </c>
      <c r="BE295" s="47">
        <v>29681</v>
      </c>
      <c r="BF295" s="44">
        <v>113843</v>
      </c>
      <c r="BG295" s="46">
        <v>102649</v>
      </c>
      <c r="BH295" s="130">
        <v>4367</v>
      </c>
      <c r="BI295" s="46">
        <v>6827</v>
      </c>
      <c r="BJ295" s="129">
        <v>19.75</v>
      </c>
      <c r="BK295" s="44">
        <v>92540</v>
      </c>
      <c r="BL295" s="116">
        <v>32260</v>
      </c>
      <c r="BM295" s="47">
        <v>35198</v>
      </c>
      <c r="BN295" s="130">
        <v>177593</v>
      </c>
      <c r="BO295" s="46">
        <v>118049</v>
      </c>
      <c r="BP295" s="46">
        <v>37758</v>
      </c>
      <c r="BQ295" s="46">
        <v>153</v>
      </c>
      <c r="BR295" s="130">
        <v>12597</v>
      </c>
      <c r="BS295" s="44">
        <v>11656</v>
      </c>
      <c r="BT295" s="92">
        <v>-16676</v>
      </c>
      <c r="BU295" s="117">
        <v>3181</v>
      </c>
      <c r="BV295" s="130">
        <v>32862</v>
      </c>
      <c r="BW295" s="48">
        <v>118049</v>
      </c>
      <c r="BX295" s="46">
        <v>105664</v>
      </c>
      <c r="BY295" s="130">
        <v>5030</v>
      </c>
      <c r="BZ295" s="46">
        <v>7355</v>
      </c>
      <c r="CA295" s="129">
        <v>20.5</v>
      </c>
      <c r="CB295" s="44">
        <v>98085</v>
      </c>
      <c r="CC295" s="116">
        <v>32738</v>
      </c>
      <c r="CD295" s="47">
        <v>36368</v>
      </c>
      <c r="CE295" s="130">
        <v>182587</v>
      </c>
      <c r="CF295" s="46">
        <v>120315</v>
      </c>
      <c r="CG295" s="46">
        <v>38235</v>
      </c>
      <c r="CH295" s="46">
        <v>191</v>
      </c>
      <c r="CI295" s="130">
        <v>11659</v>
      </c>
      <c r="CJ295" s="44">
        <v>12407</v>
      </c>
      <c r="CK295" s="117">
        <v>-8758</v>
      </c>
      <c r="CL295" s="117">
        <v>-380</v>
      </c>
      <c r="CM295" s="117">
        <v>32481</v>
      </c>
      <c r="CN295" s="48">
        <v>120315</v>
      </c>
      <c r="CO295" s="46">
        <v>107307</v>
      </c>
      <c r="CP295" s="130">
        <v>5575</v>
      </c>
      <c r="CQ295" s="46">
        <v>7433</v>
      </c>
      <c r="CR295" s="129">
        <v>20.5</v>
      </c>
      <c r="CS295" s="44">
        <v>99061</v>
      </c>
      <c r="CT295">
        <v>32799</v>
      </c>
      <c r="CU295">
        <v>124584</v>
      </c>
      <c r="CV295">
        <v>42155</v>
      </c>
      <c r="CW295">
        <v>37501</v>
      </c>
      <c r="CX295">
        <v>22603</v>
      </c>
      <c r="CY295">
        <v>124584</v>
      </c>
      <c r="CZ295">
        <v>0</v>
      </c>
      <c r="DA295">
        <v>0</v>
      </c>
      <c r="DB295">
        <v>9902</v>
      </c>
      <c r="DC295">
        <v>686</v>
      </c>
      <c r="DD295">
        <v>13175</v>
      </c>
      <c r="DE295">
        <v>96014</v>
      </c>
      <c r="DF295">
        <v>193879</v>
      </c>
      <c r="DG295">
        <v>5668</v>
      </c>
      <c r="DH295">
        <v>38824</v>
      </c>
      <c r="DI295">
        <v>20.5</v>
      </c>
      <c r="DJ295" s="174">
        <v>32878</v>
      </c>
      <c r="DK295" s="34">
        <v>126193</v>
      </c>
      <c r="DL295" s="34">
        <v>41221</v>
      </c>
      <c r="DM295">
        <v>29405</v>
      </c>
      <c r="DN295" s="173">
        <v>3614</v>
      </c>
      <c r="DO295" s="34">
        <v>112635</v>
      </c>
      <c r="DP295" s="173">
        <v>6037</v>
      </c>
      <c r="DQ295" s="34">
        <v>7521</v>
      </c>
      <c r="DR295" s="173">
        <v>20421</v>
      </c>
      <c r="DS295" s="173">
        <v>-6604</v>
      </c>
      <c r="DT295">
        <v>11111</v>
      </c>
      <c r="DU295">
        <v>92647</v>
      </c>
      <c r="DV295" s="173">
        <v>180012</v>
      </c>
      <c r="DW295" s="173">
        <v>9649</v>
      </c>
      <c r="DX295" s="173">
        <v>48803</v>
      </c>
      <c r="DY295" s="57">
        <v>20.5</v>
      </c>
      <c r="DZ295" s="184">
        <v>120</v>
      </c>
      <c r="EA295" s="116">
        <v>32983</v>
      </c>
      <c r="EB295" s="48">
        <v>125360</v>
      </c>
      <c r="EC295" s="46">
        <v>40819</v>
      </c>
      <c r="ED295" s="90">
        <v>29073</v>
      </c>
      <c r="EE295" s="186">
        <v>1349</v>
      </c>
      <c r="EF295" s="46">
        <v>111980</v>
      </c>
      <c r="EG295" s="130">
        <v>5805</v>
      </c>
      <c r="EH295" s="46">
        <v>7575</v>
      </c>
      <c r="EI295" s="130">
        <v>12311</v>
      </c>
      <c r="EJ295" s="48">
        <v>-5834</v>
      </c>
      <c r="EK295" s="44">
        <v>10656</v>
      </c>
      <c r="EL295" s="44">
        <v>85642</v>
      </c>
      <c r="EM295" s="130">
        <v>184290</v>
      </c>
      <c r="EN295" s="117">
        <v>2465</v>
      </c>
      <c r="EO295" s="117">
        <v>51268</v>
      </c>
      <c r="EP295" s="129">
        <v>20.5</v>
      </c>
    </row>
    <row r="296" spans="1:146" ht="15" x14ac:dyDescent="0.25">
      <c r="A296" s="27">
        <v>981</v>
      </c>
      <c r="B296" s="27" t="s">
        <v>418</v>
      </c>
      <c r="C296" s="27">
        <v>5</v>
      </c>
      <c r="D296" s="27" t="s">
        <v>109</v>
      </c>
      <c r="E296" s="27">
        <v>2</v>
      </c>
      <c r="F296" s="27" t="s">
        <v>744</v>
      </c>
      <c r="G296" s="29" t="s">
        <v>130</v>
      </c>
      <c r="H296" s="27" t="s">
        <v>98</v>
      </c>
      <c r="I296" s="31" t="s">
        <v>109</v>
      </c>
      <c r="J296" s="118">
        <v>403.48283558116498</v>
      </c>
      <c r="K296" s="118">
        <v>513.81411533991616</v>
      </c>
      <c r="L296" s="118">
        <v>456.46203241654092</v>
      </c>
      <c r="M296" s="118">
        <v>873.90446589401131</v>
      </c>
      <c r="N296" s="22">
        <v>1781</v>
      </c>
      <c r="O296" s="119">
        <v>2619</v>
      </c>
      <c r="P296" s="119">
        <v>3275</v>
      </c>
      <c r="Q296" s="120">
        <v>3086</v>
      </c>
      <c r="R296" s="22">
        <v>3145</v>
      </c>
      <c r="S296" s="22">
        <v>3114</v>
      </c>
      <c r="T296" s="121">
        <v>3110</v>
      </c>
      <c r="U296" s="121">
        <v>2887</v>
      </c>
      <c r="V296" s="121">
        <v>2736</v>
      </c>
      <c r="W296" s="106">
        <v>2327</v>
      </c>
      <c r="X296" s="121">
        <v>1962</v>
      </c>
      <c r="Y296" s="121">
        <v>1935</v>
      </c>
      <c r="Z296" s="121">
        <v>1878</v>
      </c>
      <c r="AA296" s="121">
        <v>1813</v>
      </c>
      <c r="AB296" s="122">
        <v>18</v>
      </c>
      <c r="AC296" s="123">
        <v>18</v>
      </c>
      <c r="AD296" s="124">
        <v>18</v>
      </c>
      <c r="AE296" s="125">
        <v>18</v>
      </c>
      <c r="AF296" s="126">
        <v>18</v>
      </c>
      <c r="AG296" s="123">
        <v>18</v>
      </c>
      <c r="AH296" s="123">
        <v>18</v>
      </c>
      <c r="AI296" s="127">
        <v>18</v>
      </c>
      <c r="AJ296" s="127">
        <v>18.5</v>
      </c>
      <c r="AK296" s="22">
        <v>18.5</v>
      </c>
      <c r="AL296" s="128">
        <v>18.5</v>
      </c>
      <c r="AM296" s="128">
        <v>18.5</v>
      </c>
      <c r="AN296" s="128">
        <v>19.5</v>
      </c>
      <c r="AO296" s="77">
        <v>19.5</v>
      </c>
      <c r="AP296" s="77">
        <v>20.25</v>
      </c>
      <c r="AQ296" s="129">
        <v>20.25</v>
      </c>
      <c r="AR296" s="129">
        <v>20.25</v>
      </c>
      <c r="AS296" s="129">
        <v>21</v>
      </c>
      <c r="AT296" s="116">
        <v>2483</v>
      </c>
      <c r="AU296" s="47">
        <v>5802</v>
      </c>
      <c r="AV296" s="47">
        <v>18430</v>
      </c>
      <c r="AW296" s="46">
        <v>7507</v>
      </c>
      <c r="AX296" s="46">
        <v>5756</v>
      </c>
      <c r="AY296" s="92">
        <v>11</v>
      </c>
      <c r="AZ296" s="47">
        <v>637</v>
      </c>
      <c r="BA296" s="44">
        <v>677</v>
      </c>
      <c r="BB296" s="23">
        <v>-140</v>
      </c>
      <c r="BC296" s="47">
        <v>-40</v>
      </c>
      <c r="BD296" s="44">
        <v>-27</v>
      </c>
      <c r="BE296" s="47">
        <v>1935</v>
      </c>
      <c r="BF296" s="44">
        <v>7507</v>
      </c>
      <c r="BG296" s="46">
        <v>6996</v>
      </c>
      <c r="BH296" s="130">
        <v>221</v>
      </c>
      <c r="BI296" s="46">
        <v>290</v>
      </c>
      <c r="BJ296" s="129">
        <v>20.25</v>
      </c>
      <c r="BK296" s="44">
        <v>1870</v>
      </c>
      <c r="BL296" s="116">
        <v>2468</v>
      </c>
      <c r="BM296" s="47">
        <v>5693</v>
      </c>
      <c r="BN296" s="130">
        <v>17691</v>
      </c>
      <c r="BO296" s="46">
        <v>7183</v>
      </c>
      <c r="BP296" s="46">
        <v>5400</v>
      </c>
      <c r="BQ296" s="46">
        <v>9</v>
      </c>
      <c r="BR296" s="130">
        <v>588</v>
      </c>
      <c r="BS296" s="44">
        <v>659</v>
      </c>
      <c r="BT296" s="92">
        <v>-610</v>
      </c>
      <c r="BU296" s="117">
        <v>-58</v>
      </c>
      <c r="BV296" s="130">
        <v>1878</v>
      </c>
      <c r="BW296" s="48">
        <v>7183</v>
      </c>
      <c r="BX296" s="46">
        <v>6547</v>
      </c>
      <c r="BY296" s="130">
        <v>259</v>
      </c>
      <c r="BZ296" s="46">
        <v>377</v>
      </c>
      <c r="CA296" s="129">
        <v>20.25</v>
      </c>
      <c r="CB296" s="44">
        <v>1792</v>
      </c>
      <c r="CC296" s="116">
        <v>2411</v>
      </c>
      <c r="CD296" s="47">
        <v>5585</v>
      </c>
      <c r="CE296" s="130">
        <v>17634</v>
      </c>
      <c r="CF296" s="46">
        <v>7393</v>
      </c>
      <c r="CG296" s="46">
        <v>5293</v>
      </c>
      <c r="CH296" s="46">
        <v>26</v>
      </c>
      <c r="CI296" s="130">
        <v>657</v>
      </c>
      <c r="CJ296" s="44">
        <v>633</v>
      </c>
      <c r="CK296" s="117">
        <v>-1210</v>
      </c>
      <c r="CL296" s="117">
        <v>37</v>
      </c>
      <c r="CM296" s="117">
        <v>1813</v>
      </c>
      <c r="CN296" s="48">
        <v>7393</v>
      </c>
      <c r="CO296" s="46">
        <v>6694</v>
      </c>
      <c r="CP296" s="130">
        <v>304</v>
      </c>
      <c r="CQ296" s="46">
        <v>395</v>
      </c>
      <c r="CR296" s="129">
        <v>21</v>
      </c>
      <c r="CS296" s="44">
        <v>2513</v>
      </c>
      <c r="CT296">
        <v>2382</v>
      </c>
      <c r="CU296">
        <v>7343</v>
      </c>
      <c r="CV296">
        <v>5552</v>
      </c>
      <c r="CW296">
        <v>5256</v>
      </c>
      <c r="CX296">
        <v>9</v>
      </c>
      <c r="CY296">
        <v>6565</v>
      </c>
      <c r="CZ296">
        <v>316</v>
      </c>
      <c r="DA296">
        <v>462</v>
      </c>
      <c r="DB296">
        <v>507</v>
      </c>
      <c r="DC296">
        <v>-193</v>
      </c>
      <c r="DD296">
        <v>648</v>
      </c>
      <c r="DE296">
        <v>2284</v>
      </c>
      <c r="DF296">
        <v>17649</v>
      </c>
      <c r="DG296">
        <v>-128</v>
      </c>
      <c r="DH296">
        <v>1685</v>
      </c>
      <c r="DI296">
        <v>21</v>
      </c>
      <c r="DJ296" s="174">
        <v>2372</v>
      </c>
      <c r="DK296" s="34">
        <v>7969</v>
      </c>
      <c r="DL296" s="34">
        <v>5378</v>
      </c>
      <c r="DM296">
        <v>5143</v>
      </c>
      <c r="DN296" s="173">
        <v>15</v>
      </c>
      <c r="DO296" s="34">
        <v>7097</v>
      </c>
      <c r="DP296" s="173">
        <v>362</v>
      </c>
      <c r="DQ296" s="34">
        <v>510</v>
      </c>
      <c r="DR296" s="173">
        <v>865</v>
      </c>
      <c r="DS296" s="173">
        <v>-458</v>
      </c>
      <c r="DT296">
        <v>664</v>
      </c>
      <c r="DU296">
        <v>2253</v>
      </c>
      <c r="DV296" s="173">
        <v>17640</v>
      </c>
      <c r="DW296" s="173">
        <v>214</v>
      </c>
      <c r="DX296" s="173">
        <v>1899</v>
      </c>
      <c r="DY296" s="57">
        <v>21.5</v>
      </c>
      <c r="DZ296" s="184">
        <v>330</v>
      </c>
      <c r="EA296" s="116">
        <v>2357</v>
      </c>
      <c r="EB296" s="48">
        <v>7655</v>
      </c>
      <c r="EC296" s="46">
        <v>4840</v>
      </c>
      <c r="ED296" s="90">
        <v>4786</v>
      </c>
      <c r="EE296" s="186">
        <v>7</v>
      </c>
      <c r="EF296" s="46">
        <v>6846</v>
      </c>
      <c r="EG296" s="130">
        <v>289</v>
      </c>
      <c r="EH296" s="46">
        <v>520</v>
      </c>
      <c r="EI296" s="130">
        <v>-358</v>
      </c>
      <c r="EJ296" s="48">
        <v>-1188</v>
      </c>
      <c r="EK296" s="44">
        <v>620</v>
      </c>
      <c r="EL296" s="44">
        <v>2219</v>
      </c>
      <c r="EM296" s="130">
        <v>17646</v>
      </c>
      <c r="EN296" s="117">
        <v>-965</v>
      </c>
      <c r="EO296" s="117">
        <v>933</v>
      </c>
      <c r="EP296" s="129">
        <v>21.5</v>
      </c>
    </row>
    <row r="297" spans="1:146" ht="15" x14ac:dyDescent="0.25">
      <c r="A297" s="27">
        <v>989</v>
      </c>
      <c r="B297" s="27" t="s">
        <v>419</v>
      </c>
      <c r="C297" s="27">
        <v>14</v>
      </c>
      <c r="D297" s="27" t="s">
        <v>106</v>
      </c>
      <c r="E297" s="27">
        <v>3</v>
      </c>
      <c r="F297" s="27" t="s">
        <v>743</v>
      </c>
      <c r="G297" s="29">
        <v>3</v>
      </c>
      <c r="H297" s="27" t="s">
        <v>98</v>
      </c>
      <c r="I297" s="31" t="s">
        <v>106</v>
      </c>
      <c r="J297" s="118">
        <v>-1806.3383301966285</v>
      </c>
      <c r="K297" s="118">
        <v>-2469.1669483814435</v>
      </c>
      <c r="L297" s="118">
        <v>-1496.3679817280636</v>
      </c>
      <c r="M297" s="118">
        <v>-999.37265903429852</v>
      </c>
      <c r="N297" s="22">
        <v>643</v>
      </c>
      <c r="O297" s="119">
        <v>-1909</v>
      </c>
      <c r="P297" s="119">
        <v>-787</v>
      </c>
      <c r="Q297" s="120">
        <v>-4247</v>
      </c>
      <c r="R297" s="22">
        <v>-5318</v>
      </c>
      <c r="S297" s="22">
        <v>-7686</v>
      </c>
      <c r="T297" s="121">
        <v>-6585</v>
      </c>
      <c r="U297" s="121">
        <v>-6454</v>
      </c>
      <c r="V297" s="121">
        <v>-5877</v>
      </c>
      <c r="W297" s="106">
        <v>-5492</v>
      </c>
      <c r="X297" s="121">
        <v>-5929</v>
      </c>
      <c r="Y297" s="121">
        <v>-5325</v>
      </c>
      <c r="Z297" s="121">
        <v>-5141</v>
      </c>
      <c r="AA297" s="121">
        <v>-6012</v>
      </c>
      <c r="AB297" s="122">
        <v>19</v>
      </c>
      <c r="AC297" s="123">
        <v>19</v>
      </c>
      <c r="AD297" s="124">
        <v>19</v>
      </c>
      <c r="AE297" s="125">
        <v>19</v>
      </c>
      <c r="AF297" s="126">
        <v>19.5</v>
      </c>
      <c r="AG297" s="123">
        <v>19.5</v>
      </c>
      <c r="AH297" s="123">
        <v>19.5</v>
      </c>
      <c r="AI297" s="127">
        <v>19.5</v>
      </c>
      <c r="AJ297" s="127">
        <v>19.75</v>
      </c>
      <c r="AK297" s="22">
        <v>20.75</v>
      </c>
      <c r="AL297" s="128">
        <v>20.75</v>
      </c>
      <c r="AM297" s="128">
        <v>20.75</v>
      </c>
      <c r="AN297" s="128">
        <v>20.75</v>
      </c>
      <c r="AO297" s="77">
        <v>20.75</v>
      </c>
      <c r="AP297" s="77">
        <v>20.75</v>
      </c>
      <c r="AQ297" s="129">
        <v>21.25</v>
      </c>
      <c r="AR297" s="129">
        <v>21.25</v>
      </c>
      <c r="AS297" s="129">
        <v>21.25</v>
      </c>
      <c r="AT297" s="116">
        <v>6271</v>
      </c>
      <c r="AU297" s="47">
        <v>4981</v>
      </c>
      <c r="AV297" s="47">
        <v>40362</v>
      </c>
      <c r="AW297" s="46">
        <v>20286</v>
      </c>
      <c r="AX297" s="46">
        <v>16900</v>
      </c>
      <c r="AY297" s="92">
        <v>337</v>
      </c>
      <c r="AZ297" s="47">
        <v>1851</v>
      </c>
      <c r="BA297" s="44">
        <v>1247</v>
      </c>
      <c r="BB297" s="23">
        <v>-2310</v>
      </c>
      <c r="BC297" s="47">
        <v>604</v>
      </c>
      <c r="BD297" s="44">
        <v>604</v>
      </c>
      <c r="BE297" s="47">
        <v>-5325</v>
      </c>
      <c r="BF297" s="44">
        <v>20286</v>
      </c>
      <c r="BG297" s="46">
        <v>17562</v>
      </c>
      <c r="BH297" s="130">
        <v>1080</v>
      </c>
      <c r="BI297" s="46">
        <v>1644</v>
      </c>
      <c r="BJ297" s="129">
        <v>21.25</v>
      </c>
      <c r="BK297" s="44">
        <v>16200</v>
      </c>
      <c r="BL297" s="116">
        <v>6178</v>
      </c>
      <c r="BM297" s="47">
        <v>5394</v>
      </c>
      <c r="BN297" s="130">
        <v>41318</v>
      </c>
      <c r="BO297" s="46">
        <v>20372</v>
      </c>
      <c r="BP297" s="46">
        <v>16610</v>
      </c>
      <c r="BQ297" s="46">
        <v>248</v>
      </c>
      <c r="BR297" s="130">
        <v>1125</v>
      </c>
      <c r="BS297" s="44">
        <v>941</v>
      </c>
      <c r="BT297" s="92">
        <v>-1840</v>
      </c>
      <c r="BU297" s="117">
        <v>184</v>
      </c>
      <c r="BV297" s="130">
        <v>-5141</v>
      </c>
      <c r="BW297" s="48">
        <v>20372</v>
      </c>
      <c r="BX297" s="46">
        <v>17437</v>
      </c>
      <c r="BY297" s="130">
        <v>1138</v>
      </c>
      <c r="BZ297" s="46">
        <v>1797</v>
      </c>
      <c r="CA297" s="129">
        <v>21.25</v>
      </c>
      <c r="CB297" s="44">
        <v>14200</v>
      </c>
      <c r="CC297" s="116">
        <v>6062</v>
      </c>
      <c r="CD297" s="47">
        <v>5774</v>
      </c>
      <c r="CE297" s="130">
        <v>43414</v>
      </c>
      <c r="CF297" s="46">
        <v>20717</v>
      </c>
      <c r="CG297" s="46">
        <v>17009</v>
      </c>
      <c r="CH297" s="46">
        <v>70</v>
      </c>
      <c r="CI297" s="130">
        <v>101</v>
      </c>
      <c r="CJ297" s="44">
        <v>972</v>
      </c>
      <c r="CK297" s="117">
        <v>-2381</v>
      </c>
      <c r="CL297" s="117">
        <v>-871</v>
      </c>
      <c r="CM297" s="117">
        <v>-6012</v>
      </c>
      <c r="CN297" s="48">
        <v>20717</v>
      </c>
      <c r="CO297" s="46">
        <v>17635</v>
      </c>
      <c r="CP297" s="130">
        <v>1282</v>
      </c>
      <c r="CQ297" s="46">
        <v>1800</v>
      </c>
      <c r="CR297" s="129">
        <v>21.25</v>
      </c>
      <c r="CS297" s="44">
        <v>15300</v>
      </c>
      <c r="CT297">
        <v>5985</v>
      </c>
      <c r="CU297">
        <v>20636</v>
      </c>
      <c r="CV297">
        <v>18225</v>
      </c>
      <c r="CW297">
        <v>4316</v>
      </c>
      <c r="CX297">
        <v>377</v>
      </c>
      <c r="CY297">
        <v>17461</v>
      </c>
      <c r="CZ297">
        <v>1147</v>
      </c>
      <c r="DA297">
        <v>2028</v>
      </c>
      <c r="DB297">
        <v>2982</v>
      </c>
      <c r="DC297">
        <v>-1488</v>
      </c>
      <c r="DD297">
        <v>980</v>
      </c>
      <c r="DE297">
        <v>16200</v>
      </c>
      <c r="DF297">
        <v>40572</v>
      </c>
      <c r="DG297">
        <v>2002</v>
      </c>
      <c r="DH297">
        <v>-4010</v>
      </c>
      <c r="DI297">
        <v>22</v>
      </c>
      <c r="DJ297" s="174">
        <v>5906</v>
      </c>
      <c r="DK297" s="34">
        <v>21239</v>
      </c>
      <c r="DL297" s="34">
        <v>18301</v>
      </c>
      <c r="DM297">
        <v>4171</v>
      </c>
      <c r="DN297" s="173">
        <v>636</v>
      </c>
      <c r="DO297" s="34">
        <v>17738</v>
      </c>
      <c r="DP297" s="173">
        <v>1473</v>
      </c>
      <c r="DQ297" s="34">
        <v>2028</v>
      </c>
      <c r="DR297" s="173">
        <v>4104</v>
      </c>
      <c r="DS297" s="173">
        <v>-3443</v>
      </c>
      <c r="DT297">
        <v>1206</v>
      </c>
      <c r="DU297">
        <v>17500</v>
      </c>
      <c r="DV297" s="173">
        <v>40243</v>
      </c>
      <c r="DW297" s="173">
        <v>2898</v>
      </c>
      <c r="DX297" s="173">
        <v>-1112</v>
      </c>
      <c r="DY297" s="57">
        <v>22</v>
      </c>
      <c r="DZ297" s="184">
        <v>340</v>
      </c>
      <c r="EA297" s="116">
        <v>5703</v>
      </c>
      <c r="EB297" s="48">
        <v>20510</v>
      </c>
      <c r="EC297" s="46">
        <v>18423</v>
      </c>
      <c r="ED297" s="90">
        <v>3710</v>
      </c>
      <c r="EE297" s="186">
        <v>1052</v>
      </c>
      <c r="EF297" s="46">
        <v>16894</v>
      </c>
      <c r="EG297" s="130">
        <v>1550</v>
      </c>
      <c r="EH297" s="46">
        <v>2066</v>
      </c>
      <c r="EI297" s="130">
        <v>2493</v>
      </c>
      <c r="EJ297" s="48">
        <v>-5143</v>
      </c>
      <c r="EK297" s="44">
        <v>1491</v>
      </c>
      <c r="EL297" s="44">
        <v>20100</v>
      </c>
      <c r="EM297" s="130">
        <v>41202</v>
      </c>
      <c r="EN297" s="117">
        <v>1002</v>
      </c>
      <c r="EO297" s="117">
        <v>-110</v>
      </c>
      <c r="EP297" s="129">
        <v>22</v>
      </c>
    </row>
    <row r="298" spans="1:146" ht="15" x14ac:dyDescent="0.25">
      <c r="A298" s="27">
        <v>992</v>
      </c>
      <c r="B298" s="27" t="s">
        <v>420</v>
      </c>
      <c r="C298" s="27">
        <v>13</v>
      </c>
      <c r="D298" s="27" t="s">
        <v>111</v>
      </c>
      <c r="E298" s="27">
        <v>4</v>
      </c>
      <c r="F298" s="27" t="s">
        <v>100</v>
      </c>
      <c r="G298" s="29" t="s">
        <v>132</v>
      </c>
      <c r="H298" s="27" t="s">
        <v>99</v>
      </c>
      <c r="I298" s="31" t="s">
        <v>111</v>
      </c>
      <c r="J298" s="118">
        <v>-2913.1830742398324</v>
      </c>
      <c r="K298" s="118">
        <v>-1348.6989822948569</v>
      </c>
      <c r="L298" s="118">
        <v>9084.6708478185174</v>
      </c>
      <c r="M298" s="118">
        <v>11211.743553777247</v>
      </c>
      <c r="N298" s="22">
        <v>12930</v>
      </c>
      <c r="O298" s="119">
        <v>10028</v>
      </c>
      <c r="P298" s="119">
        <v>5716</v>
      </c>
      <c r="Q298" s="120">
        <v>456</v>
      </c>
      <c r="R298" s="22">
        <v>-3269</v>
      </c>
      <c r="S298" s="22">
        <v>-13352</v>
      </c>
      <c r="T298" s="121">
        <v>-2919</v>
      </c>
      <c r="U298" s="121">
        <v>-3684</v>
      </c>
      <c r="V298" s="121">
        <v>-2936</v>
      </c>
      <c r="W298" s="106">
        <v>-7315</v>
      </c>
      <c r="X298" s="121">
        <v>-9647</v>
      </c>
      <c r="Y298" s="121">
        <v>-7250</v>
      </c>
      <c r="Z298" s="121">
        <v>-5981</v>
      </c>
      <c r="AA298" s="121">
        <v>-5536</v>
      </c>
      <c r="AB298" s="122">
        <v>18</v>
      </c>
      <c r="AC298" s="123">
        <v>18</v>
      </c>
      <c r="AD298" s="124">
        <v>18</v>
      </c>
      <c r="AE298" s="125">
        <v>18</v>
      </c>
      <c r="AF298" s="126">
        <v>18.5</v>
      </c>
      <c r="AG298" s="123">
        <v>18.5</v>
      </c>
      <c r="AH298" s="123">
        <v>18.5</v>
      </c>
      <c r="AI298" s="127">
        <v>19</v>
      </c>
      <c r="AJ298" s="127">
        <v>19</v>
      </c>
      <c r="AK298" s="22">
        <v>19</v>
      </c>
      <c r="AL298" s="128">
        <v>19.75</v>
      </c>
      <c r="AM298" s="128">
        <v>19.75</v>
      </c>
      <c r="AN298" s="128">
        <v>19.75</v>
      </c>
      <c r="AO298" s="77">
        <v>20.5</v>
      </c>
      <c r="AP298" s="77">
        <v>21</v>
      </c>
      <c r="AQ298" s="129">
        <v>21</v>
      </c>
      <c r="AR298" s="129">
        <v>21</v>
      </c>
      <c r="AS298" s="129">
        <v>21.5</v>
      </c>
      <c r="AT298" s="116">
        <v>20077</v>
      </c>
      <c r="AU298" s="47">
        <v>17586</v>
      </c>
      <c r="AV298" s="47">
        <v>123882</v>
      </c>
      <c r="AW298" s="46">
        <v>71872</v>
      </c>
      <c r="AX298" s="46">
        <v>41855</v>
      </c>
      <c r="AY298" s="92">
        <v>683</v>
      </c>
      <c r="AZ298" s="47">
        <v>8114</v>
      </c>
      <c r="BA298" s="44">
        <v>5737</v>
      </c>
      <c r="BB298" s="23">
        <v>-18950</v>
      </c>
      <c r="BC298" s="47">
        <v>2377</v>
      </c>
      <c r="BD298" s="44">
        <v>2397</v>
      </c>
      <c r="BE298" s="47">
        <v>-7250</v>
      </c>
      <c r="BF298" s="44">
        <v>71872</v>
      </c>
      <c r="BG298" s="46">
        <v>60870</v>
      </c>
      <c r="BH298" s="130">
        <v>7628</v>
      </c>
      <c r="BI298" s="46">
        <v>3374</v>
      </c>
      <c r="BJ298" s="129">
        <v>21</v>
      </c>
      <c r="BK298" s="44">
        <v>71926</v>
      </c>
      <c r="BL298" s="116">
        <v>19909</v>
      </c>
      <c r="BM298" s="47">
        <v>17824</v>
      </c>
      <c r="BN298" s="130">
        <v>123513</v>
      </c>
      <c r="BO298" s="46">
        <v>71082</v>
      </c>
      <c r="BP298" s="46">
        <v>40355</v>
      </c>
      <c r="BQ298" s="46">
        <v>1021</v>
      </c>
      <c r="BR298" s="130">
        <v>6769</v>
      </c>
      <c r="BS298" s="44">
        <v>5520</v>
      </c>
      <c r="BT298" s="92">
        <v>-17086</v>
      </c>
      <c r="BU298" s="117">
        <v>1269</v>
      </c>
      <c r="BV298" s="130">
        <v>-5981</v>
      </c>
      <c r="BW298" s="48">
        <v>71082</v>
      </c>
      <c r="BX298" s="46">
        <v>60218</v>
      </c>
      <c r="BY298" s="130">
        <v>6899</v>
      </c>
      <c r="BZ298" s="46">
        <v>3965</v>
      </c>
      <c r="CA298" s="129">
        <v>21</v>
      </c>
      <c r="CB298" s="44">
        <v>80722</v>
      </c>
      <c r="CC298" s="116">
        <v>19646</v>
      </c>
      <c r="CD298" s="47">
        <v>19494</v>
      </c>
      <c r="CE298" s="130">
        <v>127201</v>
      </c>
      <c r="CF298" s="46">
        <v>73089</v>
      </c>
      <c r="CG298" s="46">
        <v>40389</v>
      </c>
      <c r="CH298" s="46">
        <v>1965</v>
      </c>
      <c r="CI298" s="130">
        <v>7188</v>
      </c>
      <c r="CJ298" s="44">
        <v>6764</v>
      </c>
      <c r="CK298" s="117">
        <v>-4846</v>
      </c>
      <c r="CL298" s="117">
        <v>444</v>
      </c>
      <c r="CM298" s="117">
        <v>-5536</v>
      </c>
      <c r="CN298" s="48">
        <v>73089</v>
      </c>
      <c r="CO298" s="46">
        <v>62121</v>
      </c>
      <c r="CP298" s="130">
        <v>6969</v>
      </c>
      <c r="CQ298" s="46">
        <v>3999</v>
      </c>
      <c r="CR298" s="129">
        <v>21.5</v>
      </c>
      <c r="CS298" s="44">
        <v>83050</v>
      </c>
      <c r="CT298">
        <v>19374</v>
      </c>
      <c r="CU298">
        <v>74434</v>
      </c>
      <c r="CV298">
        <v>44484</v>
      </c>
      <c r="CW298">
        <v>19284</v>
      </c>
      <c r="CX298">
        <v>2470</v>
      </c>
      <c r="CY298">
        <v>63116</v>
      </c>
      <c r="CZ298">
        <v>6789</v>
      </c>
      <c r="DA298">
        <v>4529</v>
      </c>
      <c r="DB298">
        <v>12765</v>
      </c>
      <c r="DC298">
        <v>-6264</v>
      </c>
      <c r="DD298">
        <v>6988</v>
      </c>
      <c r="DE298">
        <v>72004</v>
      </c>
      <c r="DF298">
        <v>127907</v>
      </c>
      <c r="DG298">
        <v>5797</v>
      </c>
      <c r="DH298">
        <v>260</v>
      </c>
      <c r="DI298">
        <v>21.5</v>
      </c>
      <c r="DJ298" s="174">
        <v>19144</v>
      </c>
      <c r="DK298" s="34">
        <v>76696</v>
      </c>
      <c r="DL298" s="34">
        <v>44660</v>
      </c>
      <c r="DM298">
        <v>22092</v>
      </c>
      <c r="DN298" s="173">
        <v>1678</v>
      </c>
      <c r="DO298" s="34">
        <v>62984</v>
      </c>
      <c r="DP298" s="173">
        <v>8990</v>
      </c>
      <c r="DQ298" s="34">
        <v>4722</v>
      </c>
      <c r="DR298" s="173">
        <v>16160</v>
      </c>
      <c r="DS298" s="173">
        <v>-4815</v>
      </c>
      <c r="DT298">
        <v>8580</v>
      </c>
      <c r="DU298">
        <v>68288</v>
      </c>
      <c r="DV298" s="173">
        <v>128966</v>
      </c>
      <c r="DW298" s="173">
        <v>7600</v>
      </c>
      <c r="DX298" s="173">
        <v>7861</v>
      </c>
      <c r="DY298" s="57">
        <v>21.5</v>
      </c>
      <c r="DZ298" s="184">
        <v>240</v>
      </c>
      <c r="EA298" s="116">
        <v>18851</v>
      </c>
      <c r="EB298" s="48">
        <v>75054</v>
      </c>
      <c r="EC298" s="46">
        <v>43160</v>
      </c>
      <c r="ED298" s="90">
        <v>17834</v>
      </c>
      <c r="EE298" s="186">
        <v>1818</v>
      </c>
      <c r="EF298" s="46">
        <v>61072</v>
      </c>
      <c r="EG298" s="130">
        <v>9155</v>
      </c>
      <c r="EH298" s="46">
        <v>4827</v>
      </c>
      <c r="EI298" s="130">
        <v>9530</v>
      </c>
      <c r="EJ298" s="48">
        <v>-10754</v>
      </c>
      <c r="EK298" s="44">
        <v>8840</v>
      </c>
      <c r="EL298" s="44">
        <v>64573</v>
      </c>
      <c r="EM298" s="130">
        <v>128336</v>
      </c>
      <c r="EN298" s="117">
        <v>610</v>
      </c>
      <c r="EO298" s="117">
        <v>8470</v>
      </c>
      <c r="EP298" s="129">
        <v>21.5</v>
      </c>
    </row>
    <row r="299" spans="1:146" ht="15" x14ac:dyDescent="0.25">
      <c r="J299" s="118"/>
      <c r="K299" s="118"/>
      <c r="L299" s="118"/>
      <c r="M299" s="118"/>
      <c r="O299" s="119"/>
      <c r="P299" s="119"/>
      <c r="Q299" s="120"/>
      <c r="T299" s="121"/>
      <c r="U299" s="121"/>
      <c r="V299" s="121"/>
      <c r="W299" s="106"/>
      <c r="X299" s="121"/>
      <c r="Y299" s="121"/>
      <c r="Z299" s="121"/>
      <c r="AA299" s="121"/>
      <c r="AC299" s="123"/>
      <c r="AD299" s="124"/>
      <c r="AE299" s="125"/>
      <c r="AF299" s="126"/>
      <c r="AG299" s="123"/>
      <c r="AH299" s="123"/>
      <c r="AI299" s="127"/>
      <c r="AJ299" s="127"/>
      <c r="AL299" s="128"/>
      <c r="AM299" s="128"/>
      <c r="AN299" s="128"/>
      <c r="AO299" s="77"/>
      <c r="AP299" s="77"/>
      <c r="AQ299" s="129"/>
      <c r="AR299" s="129"/>
      <c r="AS299" s="129"/>
      <c r="AT299" s="116"/>
      <c r="AU299" s="47"/>
      <c r="AV299" s="47"/>
      <c r="AW299" s="46"/>
      <c r="AX299" s="46"/>
      <c r="AZ299" s="47"/>
      <c r="BB299" s="23"/>
      <c r="BC299" s="47"/>
      <c r="BE299" s="47"/>
      <c r="BG299" s="46"/>
      <c r="BH299" s="130"/>
      <c r="BI299" s="46"/>
      <c r="BJ299" s="129"/>
      <c r="BL299" s="116"/>
      <c r="BM299" s="47"/>
      <c r="BN299" s="130"/>
      <c r="BO299" s="46"/>
      <c r="BP299" s="46"/>
      <c r="BQ299" s="46"/>
      <c r="BR299" s="130"/>
      <c r="BU299" s="117"/>
      <c r="BV299" s="130"/>
      <c r="BW299" s="48"/>
      <c r="BX299" s="46"/>
      <c r="BY299" s="130"/>
      <c r="BZ299" s="46"/>
      <c r="CA299" s="129"/>
      <c r="CC299" s="116"/>
      <c r="CD299" s="47"/>
      <c r="CE299" s="130"/>
      <c r="CF299" s="46"/>
      <c r="CG299" s="46"/>
      <c r="CH299" s="46"/>
      <c r="CI299" s="130"/>
      <c r="CK299" s="117"/>
      <c r="CL299" s="117"/>
      <c r="CM299" s="117"/>
      <c r="CN299" s="48"/>
      <c r="CO299" s="46"/>
      <c r="CP299" s="130"/>
      <c r="CQ299" s="46"/>
      <c r="CR299" s="129"/>
      <c r="DL299" s="34"/>
      <c r="DZ299" s="179"/>
    </row>
    <row r="300" spans="1:146" ht="15" x14ac:dyDescent="0.25">
      <c r="I300" s="31"/>
      <c r="J300" s="118"/>
      <c r="K300" s="118"/>
      <c r="L300" s="118"/>
      <c r="M300" s="118"/>
      <c r="O300" s="119"/>
      <c r="P300" s="119"/>
      <c r="Q300" s="120"/>
      <c r="T300" s="121"/>
      <c r="U300" s="121"/>
      <c r="V300" s="121"/>
      <c r="W300" s="106"/>
      <c r="X300" s="121"/>
      <c r="Y300" s="121"/>
      <c r="Z300" s="121"/>
      <c r="AA300" s="121"/>
      <c r="AC300" s="123"/>
      <c r="AD300" s="124"/>
      <c r="AE300" s="125"/>
      <c r="AF300" s="126"/>
      <c r="AG300" s="123"/>
      <c r="AH300" s="123"/>
      <c r="AI300" s="131"/>
      <c r="AJ300" s="131"/>
      <c r="AL300" s="128"/>
      <c r="AM300" s="128"/>
      <c r="AN300" s="128"/>
      <c r="AO300" s="77"/>
      <c r="AP300" s="77"/>
      <c r="AQ300" s="129"/>
      <c r="AR300" s="129"/>
      <c r="AS300" s="129"/>
      <c r="AT300" s="116"/>
      <c r="AU300" s="47"/>
      <c r="AV300" s="47"/>
      <c r="AW300" s="46"/>
      <c r="AX300" s="46"/>
      <c r="AZ300" s="47"/>
      <c r="BB300" s="23"/>
      <c r="BC300" s="47"/>
      <c r="BE300" s="47"/>
      <c r="BG300" s="46"/>
      <c r="BH300" s="130"/>
      <c r="BI300" s="46"/>
      <c r="BJ300" s="129"/>
      <c r="BL300" s="116"/>
      <c r="BM300" s="47"/>
      <c r="BN300" s="130"/>
      <c r="BO300" s="46"/>
      <c r="BP300" s="46"/>
      <c r="BQ300" s="46"/>
      <c r="BR300" s="130"/>
      <c r="BU300" s="117"/>
      <c r="BV300" s="130"/>
      <c r="BW300" s="48"/>
      <c r="BX300" s="46"/>
      <c r="BY300" s="130"/>
      <c r="BZ300" s="46"/>
      <c r="CA300" s="129"/>
      <c r="CC300" s="116"/>
      <c r="CD300" s="47"/>
      <c r="CE300" s="130"/>
      <c r="CF300" s="46"/>
      <c r="CG300" s="46"/>
      <c r="CH300" s="46"/>
      <c r="CI300" s="130"/>
      <c r="CK300" s="117"/>
      <c r="CL300" s="117"/>
      <c r="CM300" s="117"/>
      <c r="CN300" s="48"/>
      <c r="CO300" s="46"/>
      <c r="CP300" s="130"/>
      <c r="CQ300" s="46"/>
      <c r="CR300" s="129"/>
      <c r="DL300" s="34"/>
    </row>
    <row r="301" spans="1:146" x14ac:dyDescent="0.25">
      <c r="I301" s="31"/>
      <c r="T301" s="152"/>
      <c r="U301" s="152"/>
      <c r="V301" s="153"/>
      <c r="W301" s="153"/>
      <c r="X301" s="153"/>
      <c r="Y301" s="153"/>
      <c r="Z301" s="153"/>
      <c r="AA301" s="153"/>
      <c r="AC301" s="123"/>
      <c r="AD301" s="108"/>
      <c r="AF301" s="108"/>
      <c r="AI301" s="154"/>
      <c r="AL301" s="155"/>
      <c r="AM301" s="152"/>
      <c r="AN301" s="128"/>
      <c r="AP301" s="67"/>
      <c r="BB301" s="92"/>
      <c r="DL301" s="34"/>
      <c r="DZ301" s="179"/>
    </row>
    <row r="302" spans="1:146" x14ac:dyDescent="0.25">
      <c r="I302" s="31"/>
      <c r="T302" s="152"/>
      <c r="U302" s="152"/>
      <c r="V302" s="152"/>
      <c r="W302" s="152"/>
      <c r="X302" s="152"/>
      <c r="Y302" s="152"/>
      <c r="Z302" s="152"/>
      <c r="AA302" s="152"/>
      <c r="AC302" s="123"/>
      <c r="AD302" s="108"/>
      <c r="AF302" s="108"/>
      <c r="AL302" s="152"/>
      <c r="AM302" s="152"/>
      <c r="AN302" s="152"/>
      <c r="AP302" s="67"/>
      <c r="DL302" s="34"/>
      <c r="DZ302" s="179"/>
    </row>
    <row r="303" spans="1:146" x14ac:dyDescent="0.25">
      <c r="I303" s="31"/>
      <c r="T303" s="152"/>
      <c r="U303" s="152"/>
      <c r="V303" s="152"/>
      <c r="W303" s="152"/>
      <c r="X303" s="152"/>
      <c r="Y303" s="152"/>
      <c r="Z303" s="152"/>
      <c r="AA303" s="152"/>
      <c r="AC303" s="123"/>
      <c r="AD303" s="108"/>
      <c r="AF303" s="108"/>
      <c r="AL303" s="152"/>
      <c r="AM303" s="152"/>
      <c r="AN303" s="152"/>
      <c r="AP303" s="67"/>
      <c r="DL303" s="34"/>
      <c r="DZ303" s="179"/>
    </row>
    <row r="304" spans="1:146" x14ac:dyDescent="0.25">
      <c r="I304" s="31"/>
      <c r="T304" s="152"/>
      <c r="U304" s="152"/>
      <c r="V304" s="152"/>
      <c r="W304" s="152"/>
      <c r="X304" s="152"/>
      <c r="Y304" s="152"/>
      <c r="Z304" s="152"/>
      <c r="AA304" s="152"/>
      <c r="AC304" s="122"/>
      <c r="AD304" s="108"/>
      <c r="AF304" s="108"/>
      <c r="AL304" s="152"/>
      <c r="AM304" s="152"/>
      <c r="AN304" s="152"/>
      <c r="AP304" s="67"/>
      <c r="DL304" s="34"/>
      <c r="DZ304" s="179"/>
    </row>
    <row r="305" spans="1:130" x14ac:dyDescent="0.25">
      <c r="I305" s="31"/>
      <c r="AC305" s="122"/>
      <c r="AD305" s="108"/>
      <c r="AF305" s="108"/>
      <c r="AP305" s="67"/>
      <c r="AT305" s="89"/>
      <c r="BB305" s="158"/>
      <c r="BE305" s="44"/>
      <c r="BK305" s="45"/>
      <c r="BL305" s="89"/>
      <c r="BV305" s="44"/>
      <c r="CB305" s="45"/>
      <c r="DL305" s="34"/>
      <c r="DZ305" s="179"/>
    </row>
    <row r="306" spans="1:130" x14ac:dyDescent="0.25">
      <c r="I306" s="31"/>
      <c r="AC306" s="122"/>
      <c r="AD306" s="108"/>
      <c r="AF306" s="108"/>
      <c r="AP306" s="67"/>
      <c r="DL306" s="34"/>
      <c r="DZ306" s="179"/>
    </row>
    <row r="307" spans="1:130" x14ac:dyDescent="0.25">
      <c r="I307" s="31"/>
      <c r="AC307" s="122"/>
      <c r="AD307" s="108"/>
      <c r="AF307" s="108"/>
      <c r="AP307" s="67"/>
      <c r="AQ307" s="129"/>
      <c r="AR307" s="129"/>
      <c r="AT307" s="116"/>
      <c r="AU307" s="47"/>
      <c r="AV307" s="47"/>
      <c r="AW307" s="46"/>
      <c r="AX307" s="46"/>
      <c r="AZ307" s="47"/>
      <c r="BB307" s="23"/>
      <c r="BC307" s="47"/>
      <c r="BE307" s="47"/>
      <c r="BG307" s="46"/>
      <c r="BH307" s="130"/>
      <c r="BI307" s="46"/>
      <c r="BJ307" s="129"/>
      <c r="BL307" s="116"/>
      <c r="BM307" s="47"/>
      <c r="BN307" s="130"/>
      <c r="BO307" s="46"/>
      <c r="BP307" s="46"/>
      <c r="BQ307" s="46"/>
      <c r="BR307" s="130"/>
      <c r="BU307" s="117"/>
      <c r="BV307" s="130"/>
      <c r="BW307" s="48"/>
      <c r="BX307" s="46"/>
      <c r="BY307" s="130"/>
      <c r="BZ307" s="46"/>
      <c r="CA307" s="129"/>
      <c r="DL307" s="34"/>
      <c r="DZ307" s="179"/>
    </row>
    <row r="308" spans="1:130" x14ac:dyDescent="0.25">
      <c r="I308" s="31"/>
      <c r="AC308" s="122"/>
      <c r="AD308" s="108"/>
      <c r="AF308" s="108"/>
      <c r="AP308" s="67"/>
      <c r="AQ308" s="129"/>
      <c r="AR308" s="129"/>
      <c r="AT308" s="116"/>
      <c r="AU308" s="47"/>
      <c r="AV308" s="47"/>
      <c r="AW308" s="46"/>
      <c r="AX308" s="46"/>
      <c r="AZ308" s="47"/>
      <c r="BB308" s="23"/>
      <c r="BC308" s="47"/>
      <c r="BE308" s="47"/>
      <c r="BG308" s="46"/>
      <c r="BH308" s="130"/>
      <c r="BI308" s="46"/>
      <c r="BJ308" s="129"/>
      <c r="BL308" s="116"/>
      <c r="BM308" s="47"/>
      <c r="BN308" s="130"/>
      <c r="BO308" s="46"/>
      <c r="BP308" s="46"/>
      <c r="BQ308" s="46"/>
      <c r="BR308" s="130"/>
      <c r="BU308" s="117"/>
      <c r="BV308" s="130"/>
      <c r="BW308" s="48"/>
      <c r="BX308" s="46"/>
      <c r="BY308" s="130"/>
      <c r="BZ308" s="46"/>
      <c r="CA308" s="129"/>
      <c r="CC308" s="89"/>
      <c r="CM308" s="44"/>
      <c r="CS308" s="45"/>
      <c r="DL308" s="34"/>
      <c r="DZ308" s="179"/>
    </row>
    <row r="309" spans="1:130" x14ac:dyDescent="0.25">
      <c r="I309" s="31"/>
      <c r="AC309" s="122"/>
      <c r="AD309" s="108"/>
      <c r="AF309" s="108"/>
      <c r="AP309" s="67"/>
      <c r="DL309" s="34"/>
      <c r="DZ309" s="179"/>
    </row>
    <row r="310" spans="1:130" x14ac:dyDescent="0.25">
      <c r="I310" s="31"/>
      <c r="AC310" s="122"/>
      <c r="AD310" s="108"/>
      <c r="AF310" s="108"/>
      <c r="AP310" s="67"/>
      <c r="DL310" s="34"/>
      <c r="DZ310" s="179"/>
    </row>
    <row r="311" spans="1:130" x14ac:dyDescent="0.25">
      <c r="I311" s="31"/>
      <c r="AC311" s="122"/>
      <c r="AD311" s="108"/>
      <c r="AF311" s="108"/>
      <c r="AP311" s="67"/>
      <c r="AQ311" s="129"/>
      <c r="AR311" s="129"/>
      <c r="AT311" s="116"/>
      <c r="AU311" s="47"/>
      <c r="AV311" s="47"/>
      <c r="AW311" s="46"/>
      <c r="AX311" s="46"/>
      <c r="AZ311" s="47"/>
      <c r="BB311" s="23"/>
      <c r="BC311" s="47"/>
      <c r="BE311" s="47"/>
      <c r="BG311" s="46"/>
      <c r="BH311" s="130"/>
      <c r="BI311" s="46"/>
      <c r="BJ311" s="129"/>
      <c r="BL311" s="116"/>
      <c r="BM311" s="47"/>
      <c r="BN311" s="130"/>
      <c r="BO311" s="46"/>
      <c r="BP311" s="46"/>
      <c r="BQ311" s="46"/>
      <c r="BR311" s="130"/>
      <c r="BU311" s="117"/>
      <c r="BV311" s="130"/>
      <c r="BW311" s="48"/>
      <c r="BX311" s="46"/>
      <c r="BY311" s="130"/>
      <c r="BZ311" s="46"/>
      <c r="CA311" s="129"/>
      <c r="DL311" s="34"/>
      <c r="DZ311" s="179"/>
    </row>
    <row r="312" spans="1:130" x14ac:dyDescent="0.25">
      <c r="I312" s="31"/>
      <c r="AC312" s="122"/>
      <c r="AD312" s="108"/>
      <c r="AF312" s="108"/>
      <c r="AP312" s="67"/>
      <c r="AQ312" s="129"/>
      <c r="AR312" s="129"/>
      <c r="AT312" s="116"/>
      <c r="AU312" s="47"/>
      <c r="AV312" s="47"/>
      <c r="AW312" s="46"/>
      <c r="AX312" s="46"/>
      <c r="AZ312" s="47"/>
      <c r="BB312" s="23"/>
      <c r="BC312" s="47"/>
      <c r="BE312" s="47"/>
      <c r="BG312" s="46"/>
      <c r="BH312" s="130"/>
      <c r="BI312" s="46"/>
      <c r="BJ312" s="129"/>
      <c r="BL312" s="116"/>
      <c r="BM312" s="47"/>
      <c r="BN312" s="130"/>
      <c r="BO312" s="46"/>
      <c r="BP312" s="46"/>
      <c r="BQ312" s="46"/>
      <c r="BR312" s="130"/>
      <c r="BU312" s="117"/>
      <c r="BV312" s="130"/>
      <c r="BW312" s="48"/>
      <c r="BX312" s="46"/>
      <c r="BY312" s="130"/>
      <c r="BZ312" s="46"/>
      <c r="CA312" s="129"/>
      <c r="DL312" s="34"/>
      <c r="DZ312" s="179"/>
    </row>
    <row r="313" spans="1:130" x14ac:dyDescent="0.25">
      <c r="I313" s="31"/>
      <c r="J313" s="118"/>
      <c r="K313" s="118"/>
      <c r="L313" s="118"/>
      <c r="M313" s="118"/>
      <c r="O313" s="119"/>
      <c r="P313" s="119"/>
      <c r="Q313" s="120"/>
      <c r="AC313" s="123"/>
      <c r="AD313" s="124"/>
      <c r="AE313" s="125"/>
      <c r="AF313" s="126"/>
      <c r="AG313" s="123"/>
      <c r="AH313" s="123"/>
      <c r="AI313" s="131"/>
      <c r="AJ313" s="131"/>
      <c r="AP313" s="67"/>
      <c r="DL313" s="34"/>
      <c r="DZ313" s="179"/>
    </row>
    <row r="314" spans="1:130" ht="15" x14ac:dyDescent="0.25">
      <c r="I314" s="31"/>
      <c r="J314" s="118"/>
      <c r="K314" s="118"/>
      <c r="L314" s="118"/>
      <c r="M314" s="118"/>
      <c r="O314" s="119"/>
      <c r="P314" s="119"/>
      <c r="Q314" s="120"/>
      <c r="AC314" s="123"/>
      <c r="AD314" s="124"/>
      <c r="AE314" s="125"/>
      <c r="AF314" s="126"/>
      <c r="AG314" s="123"/>
      <c r="AH314" s="123"/>
      <c r="AI314" s="127"/>
      <c r="AJ314" s="127"/>
      <c r="AK314" s="73"/>
      <c r="AL314" s="73"/>
      <c r="AM314" s="73"/>
      <c r="AN314" s="73"/>
      <c r="AP314" s="67"/>
      <c r="AQ314"/>
      <c r="AR314"/>
      <c r="AT314"/>
      <c r="AU314"/>
      <c r="AV314"/>
      <c r="AW314"/>
      <c r="AX314"/>
      <c r="AY314" s="159"/>
      <c r="AZ314"/>
      <c r="BA314"/>
      <c r="BB314" s="159"/>
      <c r="BC314"/>
      <c r="BD314"/>
      <c r="BE314"/>
      <c r="BF314"/>
      <c r="BG314"/>
      <c r="BH314"/>
      <c r="BI314"/>
      <c r="BJ314"/>
      <c r="BK314"/>
      <c r="BL314"/>
      <c r="BM314"/>
      <c r="BN314"/>
      <c r="BO314"/>
      <c r="BP314"/>
      <c r="BQ314"/>
      <c r="BR314"/>
      <c r="BS314"/>
      <c r="BT314" s="159"/>
      <c r="BU314"/>
      <c r="BV314"/>
      <c r="BW314"/>
      <c r="BX314"/>
      <c r="BY314"/>
      <c r="BZ314"/>
      <c r="CA314"/>
      <c r="CB314"/>
      <c r="DL314" s="34"/>
      <c r="DZ314" s="179"/>
    </row>
    <row r="315" spans="1:130" x14ac:dyDescent="0.25">
      <c r="I315" s="31"/>
      <c r="J315" s="118"/>
      <c r="K315" s="118"/>
      <c r="L315" s="118"/>
      <c r="M315" s="118"/>
      <c r="O315" s="119"/>
      <c r="P315" s="119"/>
      <c r="Q315" s="120"/>
      <c r="AC315" s="123"/>
      <c r="AD315" s="124"/>
      <c r="AE315" s="125"/>
      <c r="AF315" s="126"/>
      <c r="AG315" s="123"/>
      <c r="AH315" s="123"/>
      <c r="AI315" s="127"/>
      <c r="AJ315" s="127"/>
      <c r="AK315" s="73"/>
      <c r="AL315" s="73"/>
      <c r="AM315" s="73"/>
      <c r="AN315" s="73"/>
      <c r="AP315" s="67"/>
      <c r="AQ315" s="129"/>
      <c r="AR315" s="129"/>
      <c r="AT315" s="116"/>
      <c r="AU315" s="47"/>
      <c r="AV315" s="47"/>
      <c r="AW315" s="46"/>
      <c r="AX315" s="46"/>
      <c r="AZ315" s="47"/>
      <c r="BB315" s="23"/>
      <c r="BC315" s="47"/>
      <c r="BE315" s="47"/>
      <c r="BG315" s="46"/>
      <c r="BH315" s="130"/>
      <c r="BI315" s="46"/>
      <c r="BJ315" s="129"/>
      <c r="BL315" s="116"/>
      <c r="BM315" s="47"/>
      <c r="BN315" s="130"/>
      <c r="BO315" s="46"/>
      <c r="BP315" s="46"/>
      <c r="BQ315" s="46"/>
      <c r="BR315" s="130"/>
      <c r="BU315" s="117"/>
      <c r="BV315" s="130"/>
      <c r="BW315" s="48"/>
      <c r="BX315" s="46"/>
      <c r="BY315" s="130"/>
      <c r="BZ315" s="46"/>
      <c r="CA315" s="129"/>
      <c r="DL315" s="34"/>
      <c r="DZ315" s="179"/>
    </row>
    <row r="316" spans="1:130" x14ac:dyDescent="0.25">
      <c r="I316" s="31"/>
      <c r="J316" s="118"/>
      <c r="K316" s="118"/>
      <c r="L316" s="118"/>
      <c r="M316" s="118"/>
      <c r="O316" s="119"/>
      <c r="P316" s="119"/>
      <c r="Q316" s="120"/>
      <c r="AC316" s="123"/>
      <c r="AD316" s="124"/>
      <c r="AE316" s="125"/>
      <c r="AF316" s="126"/>
      <c r="AG316" s="123"/>
      <c r="AH316" s="123"/>
      <c r="AI316" s="127"/>
      <c r="AJ316" s="127"/>
      <c r="AK316" s="73"/>
      <c r="AL316" s="73"/>
      <c r="AM316" s="73"/>
      <c r="AN316" s="73"/>
      <c r="AP316" s="67"/>
      <c r="AQ316" s="129"/>
      <c r="AR316" s="129"/>
      <c r="AT316" s="116"/>
      <c r="AU316" s="47"/>
      <c r="AV316" s="47"/>
      <c r="AW316" s="46"/>
      <c r="AX316" s="46"/>
      <c r="AZ316" s="47"/>
      <c r="BB316" s="23"/>
      <c r="BC316" s="47"/>
      <c r="BE316" s="47"/>
      <c r="BG316" s="46"/>
      <c r="BH316" s="130"/>
      <c r="BI316" s="46"/>
      <c r="BJ316" s="129"/>
      <c r="BL316" s="116"/>
      <c r="BM316" s="47"/>
      <c r="BN316" s="130"/>
      <c r="BO316" s="46"/>
      <c r="BP316" s="46"/>
      <c r="BQ316" s="46"/>
      <c r="BR316" s="130"/>
      <c r="BU316" s="117"/>
      <c r="BV316" s="130"/>
      <c r="BW316" s="48"/>
      <c r="BX316" s="46"/>
      <c r="BY316" s="130"/>
      <c r="BZ316" s="46"/>
      <c r="CA316" s="129"/>
      <c r="DL316" s="34"/>
      <c r="DZ316" s="179"/>
    </row>
    <row r="317" spans="1:130" x14ac:dyDescent="0.25">
      <c r="I317" s="31"/>
      <c r="AC317" s="122"/>
      <c r="AD317" s="108"/>
      <c r="AF317" s="108"/>
      <c r="AK317" s="73"/>
      <c r="AL317" s="73"/>
      <c r="AM317" s="73"/>
      <c r="AN317" s="73"/>
      <c r="AP317" s="67"/>
      <c r="AS317"/>
      <c r="CC317"/>
      <c r="CD317"/>
      <c r="CE317"/>
      <c r="CF317"/>
      <c r="CG317"/>
      <c r="CH317"/>
      <c r="CI317"/>
      <c r="CJ317"/>
      <c r="CK317"/>
      <c r="CL317"/>
      <c r="CM317"/>
      <c r="CN317"/>
      <c r="CO317"/>
      <c r="CP317"/>
      <c r="CQ317"/>
      <c r="CR317"/>
      <c r="CS317"/>
      <c r="DL317" s="34"/>
      <c r="DZ317" s="179"/>
    </row>
    <row r="318" spans="1:130" ht="15" x14ac:dyDescent="0.25">
      <c r="A318" s="32"/>
      <c r="B318" s="32"/>
      <c r="C318" s="32"/>
      <c r="D318" s="32"/>
      <c r="G318" s="43"/>
      <c r="H318" s="32"/>
      <c r="I318" s="33"/>
      <c r="J318" s="118"/>
      <c r="K318" s="118"/>
      <c r="L318" s="118"/>
      <c r="M318" s="118"/>
      <c r="N318" s="118"/>
      <c r="O318" s="118"/>
      <c r="P318" s="118"/>
      <c r="Q318" s="118"/>
      <c r="R318" s="118"/>
      <c r="S318" s="118"/>
      <c r="AC318" s="123"/>
      <c r="AD318" s="124"/>
      <c r="AE318" s="125"/>
      <c r="AF318" s="126"/>
      <c r="AG318" s="123"/>
      <c r="AH318" s="123"/>
      <c r="AI318" s="127"/>
      <c r="AJ318" s="127"/>
      <c r="AK318" s="73"/>
      <c r="AL318" s="73"/>
      <c r="AM318" s="73"/>
      <c r="AN318" s="73"/>
      <c r="AP318" s="67"/>
      <c r="AQ318"/>
      <c r="AR318"/>
      <c r="AS318"/>
      <c r="AT318"/>
      <c r="AU318"/>
      <c r="AV318"/>
      <c r="AW318"/>
      <c r="AX318"/>
      <c r="AY318" s="159"/>
      <c r="AZ318"/>
      <c r="BA318"/>
      <c r="BB318" s="159"/>
      <c r="BC318"/>
      <c r="BD318"/>
      <c r="BE318"/>
      <c r="BF318"/>
      <c r="BG318"/>
      <c r="BH318"/>
      <c r="BI318"/>
      <c r="BJ318"/>
      <c r="BK318"/>
      <c r="BL318"/>
      <c r="BM318"/>
      <c r="BN318"/>
      <c r="BO318"/>
      <c r="BP318"/>
      <c r="BQ318"/>
      <c r="BR318"/>
      <c r="BS318"/>
      <c r="BT318" s="159"/>
      <c r="BU318"/>
      <c r="BV318"/>
      <c r="BW318"/>
      <c r="BX318"/>
      <c r="BY318"/>
      <c r="BZ318"/>
      <c r="CA318"/>
      <c r="CB318"/>
      <c r="CC318"/>
      <c r="CD318"/>
      <c r="CE318"/>
      <c r="CF318"/>
      <c r="CG318"/>
      <c r="CH318"/>
      <c r="CI318"/>
      <c r="CJ318"/>
      <c r="CK318"/>
      <c r="CL318"/>
      <c r="CM318"/>
      <c r="CN318"/>
      <c r="CO318"/>
      <c r="CP318"/>
      <c r="CQ318"/>
      <c r="CR318"/>
      <c r="CS318"/>
      <c r="DL318" s="34"/>
      <c r="DZ318" s="179"/>
    </row>
    <row r="319" spans="1:130" ht="15" x14ac:dyDescent="0.25">
      <c r="I319" s="31"/>
      <c r="AC319" s="122"/>
      <c r="AD319" s="108"/>
      <c r="AF319" s="108"/>
      <c r="AK319" s="73"/>
      <c r="AL319" s="73"/>
      <c r="AM319" s="73"/>
      <c r="AN319" s="73"/>
      <c r="AP319" s="67"/>
      <c r="AQ319"/>
      <c r="AR319"/>
      <c r="AS319"/>
      <c r="AT319"/>
      <c r="AU319"/>
      <c r="AV319"/>
      <c r="AW319"/>
      <c r="AX319"/>
      <c r="AY319" s="159"/>
      <c r="AZ319"/>
      <c r="BA319"/>
      <c r="BB319" s="159"/>
      <c r="BC319"/>
      <c r="BD319"/>
      <c r="BE319"/>
      <c r="BF319"/>
      <c r="BG319"/>
      <c r="BH319"/>
      <c r="BI319"/>
      <c r="BJ319"/>
      <c r="BK319"/>
      <c r="BL319"/>
      <c r="BM319"/>
      <c r="BN319"/>
      <c r="BO319"/>
      <c r="BP319"/>
      <c r="BQ319"/>
      <c r="BR319"/>
      <c r="BS319"/>
      <c r="BT319" s="159"/>
      <c r="BU319"/>
      <c r="BV319"/>
      <c r="BW319"/>
      <c r="BX319"/>
      <c r="BY319"/>
      <c r="BZ319"/>
      <c r="CA319"/>
      <c r="CB319"/>
      <c r="CC319"/>
      <c r="CD319"/>
      <c r="CE319"/>
      <c r="CF319"/>
      <c r="CG319"/>
      <c r="CH319"/>
      <c r="CI319"/>
      <c r="CJ319"/>
      <c r="CK319"/>
      <c r="CL319"/>
      <c r="CM319"/>
      <c r="CN319"/>
      <c r="CO319"/>
      <c r="CP319"/>
      <c r="CQ319"/>
      <c r="CR319"/>
      <c r="CS319"/>
      <c r="DL319" s="34"/>
      <c r="DZ319" s="181"/>
    </row>
    <row r="320" spans="1:130" ht="15" x14ac:dyDescent="0.25">
      <c r="I320" s="31"/>
      <c r="AC320" s="122"/>
      <c r="AD320" s="108"/>
      <c r="AF320" s="108"/>
      <c r="AK320" s="73"/>
      <c r="AL320" s="73"/>
      <c r="AM320" s="73"/>
      <c r="AN320" s="73"/>
      <c r="AP320" s="67"/>
      <c r="AQ320"/>
      <c r="AR320"/>
      <c r="AS320"/>
      <c r="AT320"/>
      <c r="AU320"/>
      <c r="AV320"/>
      <c r="AW320"/>
      <c r="AX320"/>
      <c r="AY320" s="159"/>
      <c r="AZ320"/>
      <c r="BA320"/>
      <c r="BB320" s="159"/>
      <c r="BC320"/>
      <c r="BD320"/>
      <c r="BE320"/>
      <c r="BF320"/>
      <c r="BG320"/>
      <c r="BH320"/>
      <c r="BI320"/>
      <c r="BJ320"/>
      <c r="BK320"/>
      <c r="BL320"/>
      <c r="BM320"/>
      <c r="BN320"/>
      <c r="BO320"/>
      <c r="BP320"/>
      <c r="BQ320"/>
      <c r="BR320"/>
      <c r="BS320"/>
      <c r="BT320" s="159"/>
      <c r="BU320"/>
      <c r="BV320"/>
      <c r="BW320"/>
      <c r="BX320"/>
      <c r="BY320"/>
      <c r="BZ320"/>
      <c r="CA320"/>
      <c r="CB320"/>
      <c r="CC320"/>
      <c r="CD320"/>
      <c r="CE320"/>
      <c r="CF320"/>
      <c r="CG320"/>
      <c r="CH320"/>
      <c r="CI320"/>
      <c r="CJ320"/>
      <c r="CK320"/>
      <c r="CL320"/>
      <c r="CM320"/>
      <c r="CN320"/>
      <c r="CO320"/>
      <c r="CP320"/>
      <c r="CQ320"/>
      <c r="CR320"/>
      <c r="CS320"/>
      <c r="DL320" s="34"/>
      <c r="DZ320" s="179"/>
    </row>
    <row r="321" spans="9:130" ht="15" x14ac:dyDescent="0.25">
      <c r="I321" s="31"/>
      <c r="AC321" s="122"/>
      <c r="AD321" s="108"/>
      <c r="AF321" s="108"/>
      <c r="AK321" s="73"/>
      <c r="AL321" s="73"/>
      <c r="AM321" s="73"/>
      <c r="AN321" s="73"/>
      <c r="AP321" s="67"/>
      <c r="AQ321"/>
      <c r="AR321"/>
      <c r="AS321"/>
      <c r="AT321"/>
      <c r="AU321"/>
      <c r="AV321"/>
      <c r="AW321"/>
      <c r="AX321"/>
      <c r="AY321" s="159"/>
      <c r="AZ321"/>
      <c r="BA321"/>
      <c r="BB321" s="159"/>
      <c r="BC321"/>
      <c r="BD321"/>
      <c r="BE321"/>
      <c r="BF321"/>
      <c r="BG321"/>
      <c r="BH321"/>
      <c r="BI321"/>
      <c r="BJ321"/>
      <c r="BK321"/>
      <c r="BL321"/>
      <c r="BM321"/>
      <c r="BN321"/>
      <c r="BO321"/>
      <c r="BP321"/>
      <c r="BQ321"/>
      <c r="BR321"/>
      <c r="BS321"/>
      <c r="BT321" s="159"/>
      <c r="BU321"/>
      <c r="BV321"/>
      <c r="BW321"/>
      <c r="BX321"/>
      <c r="BY321"/>
      <c r="BZ321"/>
      <c r="CA321"/>
      <c r="CB321"/>
      <c r="CC321"/>
      <c r="CD321"/>
      <c r="CE321"/>
      <c r="CF321"/>
      <c r="CG321"/>
      <c r="CH321"/>
      <c r="CI321"/>
      <c r="CJ321"/>
      <c r="CK321"/>
      <c r="CL321"/>
      <c r="CM321"/>
      <c r="CN321"/>
      <c r="CO321"/>
      <c r="CP321"/>
      <c r="CQ321"/>
      <c r="CR321"/>
      <c r="CS321"/>
      <c r="DL321" s="34"/>
      <c r="DZ321" s="179"/>
    </row>
    <row r="322" spans="9:130" x14ac:dyDescent="0.25">
      <c r="I322" s="31"/>
      <c r="AC322" s="122"/>
      <c r="AD322" s="108"/>
      <c r="AF322" s="108"/>
      <c r="AK322" s="73"/>
      <c r="AL322" s="73"/>
      <c r="AM322" s="73"/>
      <c r="AN322" s="73"/>
      <c r="AP322" s="67"/>
      <c r="DL322" s="34"/>
      <c r="DZ322" s="179"/>
    </row>
    <row r="323" spans="9:130" x14ac:dyDescent="0.25">
      <c r="I323" s="31"/>
      <c r="AC323" s="122"/>
      <c r="AD323" s="108"/>
      <c r="AF323" s="108"/>
      <c r="AK323" s="73"/>
      <c r="AL323" s="73"/>
      <c r="AM323" s="73"/>
      <c r="AN323" s="73"/>
      <c r="AP323" s="67"/>
      <c r="DL323" s="34"/>
      <c r="DZ323" s="179"/>
    </row>
    <row r="324" spans="9:130" x14ac:dyDescent="0.25">
      <c r="I324" s="31"/>
      <c r="AC324" s="122"/>
      <c r="AD324" s="108"/>
      <c r="AF324" s="108"/>
      <c r="AK324" s="73"/>
      <c r="AL324" s="73"/>
      <c r="AM324" s="73"/>
      <c r="AN324" s="73"/>
      <c r="AP324" s="67"/>
      <c r="DL324" s="34"/>
      <c r="DZ324" s="179"/>
    </row>
    <row r="325" spans="9:130" x14ac:dyDescent="0.25">
      <c r="I325" s="31"/>
      <c r="AC325" s="122"/>
      <c r="AD325" s="108"/>
      <c r="AF325" s="108"/>
      <c r="AK325" s="73"/>
      <c r="AL325" s="73"/>
      <c r="AM325" s="73"/>
      <c r="AN325" s="73"/>
      <c r="AP325" s="67"/>
      <c r="DL325" s="34"/>
      <c r="DZ325" s="179"/>
    </row>
    <row r="326" spans="9:130" x14ac:dyDescent="0.25">
      <c r="I326" s="31"/>
      <c r="AC326" s="122"/>
      <c r="AD326" s="108"/>
      <c r="AF326" s="108"/>
      <c r="AK326" s="73"/>
      <c r="AL326" s="73"/>
      <c r="AM326" s="73"/>
      <c r="AN326" s="73"/>
      <c r="AP326" s="67"/>
      <c r="DL326" s="34"/>
      <c r="DZ326" s="179"/>
    </row>
    <row r="327" spans="9:130" x14ac:dyDescent="0.25">
      <c r="I327" s="31"/>
      <c r="AC327" s="122"/>
      <c r="AD327" s="108"/>
      <c r="AF327" s="108"/>
      <c r="AK327" s="73"/>
      <c r="AL327" s="73"/>
      <c r="AM327" s="73"/>
      <c r="AN327" s="73"/>
      <c r="AP327" s="67"/>
      <c r="DL327" s="34"/>
      <c r="DZ327" s="179"/>
    </row>
    <row r="328" spans="9:130" x14ac:dyDescent="0.25">
      <c r="I328" s="31"/>
      <c r="AC328" s="122"/>
      <c r="AD328" s="108"/>
      <c r="AF328" s="108"/>
      <c r="AK328" s="73"/>
      <c r="AL328" s="73"/>
      <c r="AM328" s="73"/>
      <c r="AN328" s="73"/>
      <c r="AP328" s="67"/>
      <c r="DL328" s="34"/>
      <c r="DZ328" s="179"/>
    </row>
    <row r="329" spans="9:130" x14ac:dyDescent="0.25">
      <c r="I329" s="31"/>
      <c r="AC329" s="122"/>
      <c r="AD329" s="108"/>
      <c r="AF329" s="108"/>
      <c r="AK329" s="73"/>
      <c r="AL329" s="73"/>
      <c r="AM329" s="73"/>
      <c r="AN329" s="73"/>
      <c r="AP329" s="67"/>
      <c r="DL329" s="34"/>
      <c r="DZ329" s="179"/>
    </row>
    <row r="330" spans="9:130" x14ac:dyDescent="0.25">
      <c r="I330" s="31"/>
      <c r="AC330" s="122"/>
      <c r="AD330" s="108"/>
      <c r="AF330" s="108"/>
      <c r="AG330" s="73"/>
      <c r="AH330" s="73"/>
      <c r="AI330" s="73"/>
      <c r="AJ330" s="73"/>
      <c r="AK330" s="73"/>
      <c r="AL330" s="73"/>
      <c r="AM330" s="73"/>
      <c r="AN330" s="73"/>
      <c r="AP330" s="67"/>
      <c r="DL330" s="34"/>
      <c r="DZ330" s="179"/>
    </row>
    <row r="331" spans="9:130" x14ac:dyDescent="0.25">
      <c r="I331" s="31"/>
      <c r="AC331" s="122"/>
      <c r="AD331" s="108"/>
      <c r="AF331" s="108"/>
      <c r="AG331" s="73"/>
      <c r="AH331" s="73"/>
      <c r="AI331" s="73"/>
      <c r="AJ331" s="73"/>
      <c r="AK331" s="73"/>
      <c r="AL331" s="73"/>
      <c r="AM331" s="73"/>
      <c r="AN331" s="73"/>
      <c r="AP331" s="67"/>
      <c r="DL331" s="34"/>
      <c r="DZ331" s="179"/>
    </row>
    <row r="332" spans="9:130" x14ac:dyDescent="0.25">
      <c r="I332" s="31"/>
      <c r="AC332" s="122"/>
      <c r="AD332" s="108"/>
      <c r="AF332" s="108"/>
      <c r="AG332" s="73"/>
      <c r="AH332" s="73"/>
      <c r="AI332" s="73"/>
      <c r="AJ332" s="73"/>
      <c r="AK332" s="73"/>
      <c r="AL332" s="73"/>
      <c r="AM332" s="73"/>
      <c r="AN332" s="73"/>
      <c r="AP332" s="67"/>
      <c r="DL332" s="34"/>
      <c r="DZ332" s="179"/>
    </row>
    <row r="333" spans="9:130" x14ac:dyDescent="0.25">
      <c r="I333" s="31"/>
      <c r="AC333" s="122"/>
      <c r="AD333" s="108"/>
      <c r="AF333" s="108"/>
      <c r="AG333" s="73"/>
      <c r="AH333" s="73"/>
      <c r="AI333" s="73"/>
      <c r="AJ333" s="73"/>
      <c r="AK333" s="73"/>
      <c r="AL333" s="73"/>
      <c r="AM333" s="73"/>
      <c r="AN333" s="73"/>
      <c r="AP333" s="67"/>
      <c r="DL333" s="34"/>
      <c r="DZ333" s="179"/>
    </row>
    <row r="334" spans="9:130" x14ac:dyDescent="0.25">
      <c r="I334" s="31"/>
      <c r="AC334" s="122"/>
      <c r="AD334" s="108"/>
      <c r="AF334" s="108"/>
      <c r="AG334" s="73"/>
      <c r="AH334" s="73"/>
      <c r="AI334" s="73"/>
      <c r="AJ334" s="73"/>
      <c r="AK334" s="73"/>
      <c r="AL334" s="73"/>
      <c r="AM334" s="73"/>
      <c r="AN334" s="73"/>
      <c r="AP334" s="67"/>
      <c r="DL334" s="34"/>
      <c r="DZ334" s="179"/>
    </row>
    <row r="335" spans="9:130" x14ac:dyDescent="0.25">
      <c r="I335" s="31"/>
      <c r="AC335" s="122"/>
      <c r="AD335" s="108"/>
      <c r="AF335" s="108"/>
      <c r="AG335" s="73"/>
      <c r="AH335" s="73"/>
      <c r="AI335" s="73"/>
      <c r="AJ335" s="73"/>
      <c r="AK335" s="73"/>
      <c r="AL335" s="73"/>
      <c r="AM335" s="73"/>
      <c r="AN335" s="73"/>
      <c r="AP335" s="67"/>
      <c r="DL335" s="34"/>
      <c r="DZ335" s="179"/>
    </row>
    <row r="336" spans="9:130" x14ac:dyDescent="0.25">
      <c r="I336" s="31"/>
      <c r="AC336" s="122"/>
      <c r="AD336" s="108"/>
      <c r="AF336" s="108"/>
      <c r="AG336" s="73"/>
      <c r="AH336" s="73"/>
      <c r="AI336" s="73"/>
      <c r="AJ336" s="73"/>
      <c r="AK336" s="73"/>
      <c r="AL336" s="73"/>
      <c r="AM336" s="73"/>
      <c r="AN336" s="73"/>
      <c r="AP336" s="67"/>
      <c r="DL336" s="34"/>
      <c r="DZ336" s="179"/>
    </row>
    <row r="337" spans="9:130" x14ac:dyDescent="0.25">
      <c r="I337" s="31"/>
      <c r="AC337" s="122"/>
      <c r="AD337" s="108"/>
      <c r="AF337" s="108"/>
      <c r="AG337" s="73"/>
      <c r="AH337" s="73"/>
      <c r="AI337" s="73"/>
      <c r="AJ337" s="73"/>
      <c r="AK337" s="73"/>
      <c r="AL337" s="73"/>
      <c r="AM337" s="73"/>
      <c r="AN337" s="73"/>
      <c r="AP337" s="67"/>
      <c r="DL337" s="34"/>
      <c r="DZ337" s="179"/>
    </row>
    <row r="338" spans="9:130" x14ac:dyDescent="0.25">
      <c r="I338" s="31"/>
      <c r="AC338" s="122"/>
      <c r="AD338" s="108"/>
      <c r="AF338" s="108"/>
      <c r="AG338" s="73"/>
      <c r="AH338" s="73"/>
      <c r="AI338" s="73"/>
      <c r="AJ338" s="73"/>
      <c r="AK338" s="73"/>
      <c r="AL338" s="73"/>
      <c r="AM338" s="73"/>
      <c r="AN338" s="73"/>
      <c r="AP338" s="67"/>
      <c r="DL338" s="34"/>
      <c r="DZ338" s="179"/>
    </row>
    <row r="339" spans="9:130" x14ac:dyDescent="0.25">
      <c r="I339" s="31"/>
      <c r="AC339" s="122"/>
      <c r="AD339" s="108"/>
      <c r="AF339" s="108"/>
      <c r="AG339" s="73"/>
      <c r="AH339" s="73"/>
      <c r="AI339" s="73"/>
      <c r="AJ339" s="73"/>
      <c r="AK339" s="73"/>
      <c r="AL339" s="73"/>
      <c r="AM339" s="73"/>
      <c r="AN339" s="73"/>
      <c r="AP339" s="67"/>
      <c r="DL339" s="34"/>
      <c r="DZ339" s="179"/>
    </row>
    <row r="340" spans="9:130" x14ac:dyDescent="0.25">
      <c r="I340" s="31"/>
      <c r="AC340" s="122"/>
      <c r="AD340" s="108"/>
      <c r="AF340" s="108"/>
      <c r="AG340" s="73"/>
      <c r="AH340" s="73"/>
      <c r="AI340" s="73"/>
      <c r="AJ340" s="73"/>
      <c r="AK340" s="73"/>
      <c r="AL340" s="73"/>
      <c r="AM340" s="73"/>
      <c r="AN340" s="73"/>
      <c r="AP340" s="67"/>
      <c r="DL340" s="34"/>
      <c r="DZ340" s="179"/>
    </row>
    <row r="341" spans="9:130" x14ac:dyDescent="0.25">
      <c r="I341" s="31"/>
      <c r="AC341" s="122"/>
      <c r="AD341" s="108"/>
      <c r="AF341" s="108"/>
      <c r="AG341" s="73"/>
      <c r="AH341" s="73"/>
      <c r="AI341" s="73"/>
      <c r="AJ341" s="73"/>
      <c r="AK341" s="73"/>
      <c r="AL341" s="73"/>
      <c r="AM341" s="73"/>
      <c r="AN341" s="73"/>
      <c r="AP341" s="67"/>
      <c r="DL341" s="34"/>
      <c r="DZ341" s="179"/>
    </row>
    <row r="342" spans="9:130" x14ac:dyDescent="0.25">
      <c r="I342" s="31"/>
      <c r="AC342" s="122"/>
      <c r="AD342" s="108"/>
      <c r="AF342" s="108"/>
      <c r="AG342" s="73"/>
      <c r="AH342" s="73"/>
      <c r="AI342" s="73"/>
      <c r="AJ342" s="73"/>
      <c r="AK342" s="73"/>
      <c r="AL342" s="73"/>
      <c r="AM342" s="73"/>
      <c r="AN342" s="73"/>
      <c r="AP342" s="67"/>
      <c r="DL342" s="34"/>
      <c r="DZ342" s="179"/>
    </row>
    <row r="343" spans="9:130" x14ac:dyDescent="0.25">
      <c r="I343" s="31"/>
      <c r="AC343" s="122"/>
      <c r="AD343" s="108"/>
      <c r="AF343" s="108"/>
      <c r="AG343" s="73"/>
      <c r="AH343" s="73"/>
      <c r="AI343" s="73"/>
      <c r="AJ343" s="73"/>
      <c r="AK343" s="73"/>
      <c r="AL343" s="73"/>
      <c r="AM343" s="73"/>
      <c r="AN343" s="73"/>
      <c r="AP343" s="67"/>
      <c r="DL343" s="34"/>
      <c r="DZ343" s="179"/>
    </row>
    <row r="344" spans="9:130" x14ac:dyDescent="0.25">
      <c r="I344" s="31"/>
      <c r="AC344" s="122"/>
      <c r="AD344" s="108"/>
      <c r="AF344" s="108"/>
      <c r="AG344" s="73"/>
      <c r="AH344" s="73"/>
      <c r="AI344" s="73"/>
      <c r="AJ344" s="73"/>
      <c r="AK344" s="73"/>
      <c r="AL344" s="73"/>
      <c r="AM344" s="73"/>
      <c r="AN344" s="73"/>
      <c r="AP344" s="67"/>
      <c r="DL344" s="34"/>
      <c r="DZ344" s="179"/>
    </row>
    <row r="345" spans="9:130" x14ac:dyDescent="0.25">
      <c r="I345" s="31"/>
      <c r="AC345" s="122"/>
      <c r="AD345" s="108"/>
      <c r="AF345" s="108"/>
      <c r="AG345" s="73"/>
      <c r="AH345" s="73"/>
      <c r="AI345" s="73"/>
      <c r="AJ345" s="73"/>
      <c r="AK345" s="73"/>
      <c r="AL345" s="73"/>
      <c r="AM345" s="73"/>
      <c r="AN345" s="73"/>
      <c r="AP345" s="67"/>
      <c r="DL345" s="34"/>
      <c r="DZ345" s="179"/>
    </row>
    <row r="346" spans="9:130" x14ac:dyDescent="0.25">
      <c r="I346" s="31"/>
      <c r="AC346" s="122"/>
      <c r="AD346" s="108"/>
      <c r="AF346" s="108"/>
      <c r="AG346" s="73"/>
      <c r="AH346" s="73"/>
      <c r="AI346" s="73"/>
      <c r="AJ346" s="73"/>
      <c r="AK346" s="73"/>
      <c r="AL346" s="73"/>
      <c r="AM346" s="73"/>
      <c r="AN346" s="73"/>
      <c r="AP346" s="67"/>
      <c r="DL346" s="34"/>
      <c r="DZ346" s="179"/>
    </row>
    <row r="347" spans="9:130" x14ac:dyDescent="0.25">
      <c r="I347" s="31"/>
      <c r="AC347" s="122"/>
      <c r="AD347" s="108"/>
      <c r="AF347" s="108"/>
      <c r="AG347" s="73"/>
      <c r="AH347" s="73"/>
      <c r="AI347" s="73"/>
      <c r="AJ347" s="73"/>
      <c r="AK347" s="73"/>
      <c r="AL347" s="73"/>
      <c r="AM347" s="73"/>
      <c r="AN347" s="73"/>
      <c r="AP347" s="67"/>
      <c r="DL347" s="34"/>
      <c r="DZ347" s="179"/>
    </row>
    <row r="348" spans="9:130" x14ac:dyDescent="0.25">
      <c r="I348" s="31"/>
      <c r="AC348" s="122"/>
      <c r="AD348" s="108"/>
      <c r="AF348" s="108"/>
      <c r="AG348" s="73"/>
      <c r="AH348" s="73"/>
      <c r="AI348" s="73"/>
      <c r="AJ348" s="73"/>
      <c r="AK348" s="73"/>
      <c r="AL348" s="73"/>
      <c r="AM348" s="73"/>
      <c r="AN348" s="73"/>
      <c r="AP348" s="67"/>
      <c r="DL348" s="34"/>
      <c r="DZ348" s="179"/>
    </row>
    <row r="349" spans="9:130" x14ac:dyDescent="0.25">
      <c r="I349" s="31"/>
      <c r="AC349" s="122"/>
      <c r="AD349" s="108"/>
      <c r="AF349" s="108"/>
      <c r="AG349" s="73"/>
      <c r="AH349" s="73"/>
      <c r="AI349" s="73"/>
      <c r="AJ349" s="73"/>
      <c r="AK349" s="73"/>
      <c r="AL349" s="73"/>
      <c r="AM349" s="73"/>
      <c r="AN349" s="73"/>
      <c r="AP349" s="67"/>
      <c r="DL349" s="34"/>
      <c r="DZ349" s="179"/>
    </row>
    <row r="350" spans="9:130" x14ac:dyDescent="0.25">
      <c r="I350" s="31"/>
      <c r="AC350" s="122"/>
      <c r="AD350" s="108"/>
      <c r="AF350" s="108"/>
      <c r="AG350" s="73"/>
      <c r="AH350" s="73"/>
      <c r="AI350" s="73"/>
      <c r="AJ350" s="73"/>
      <c r="AK350" s="73"/>
      <c r="AL350" s="73"/>
      <c r="AM350" s="73"/>
      <c r="AN350" s="73"/>
      <c r="AP350" s="67"/>
      <c r="DL350" s="34"/>
      <c r="DZ350" s="179"/>
    </row>
    <row r="351" spans="9:130" x14ac:dyDescent="0.25">
      <c r="I351" s="31"/>
      <c r="AC351" s="122"/>
      <c r="AD351" s="108"/>
      <c r="AF351" s="108"/>
      <c r="AG351" s="73"/>
      <c r="AH351" s="73"/>
      <c r="AI351" s="73"/>
      <c r="AJ351" s="73"/>
      <c r="AK351" s="73"/>
      <c r="AL351" s="73"/>
      <c r="AM351" s="73"/>
      <c r="AN351" s="73"/>
      <c r="AP351" s="67"/>
      <c r="DL351" s="34"/>
      <c r="DZ351" s="179"/>
    </row>
    <row r="352" spans="9:130" x14ac:dyDescent="0.25">
      <c r="I352" s="31"/>
      <c r="AC352" s="122"/>
      <c r="AD352" s="108"/>
      <c r="AF352" s="108"/>
      <c r="AG352" s="73"/>
      <c r="AH352" s="73"/>
      <c r="AI352" s="73"/>
      <c r="AJ352" s="73"/>
      <c r="AK352" s="73"/>
      <c r="AL352" s="73"/>
      <c r="AM352" s="73"/>
      <c r="AN352" s="73"/>
      <c r="AP352" s="67"/>
      <c r="DL352" s="34"/>
      <c r="DZ352" s="179"/>
    </row>
    <row r="353" spans="9:130" x14ac:dyDescent="0.25">
      <c r="I353" s="31"/>
      <c r="AC353" s="122"/>
      <c r="AD353" s="108"/>
      <c r="AF353" s="108"/>
      <c r="AG353" s="73"/>
      <c r="AH353" s="73"/>
      <c r="AI353" s="73"/>
      <c r="AJ353" s="73"/>
      <c r="AK353" s="73"/>
      <c r="AL353" s="73"/>
      <c r="AM353" s="73"/>
      <c r="AN353" s="73"/>
      <c r="AP353" s="67"/>
      <c r="DL353" s="34"/>
      <c r="DZ353" s="179"/>
    </row>
    <row r="354" spans="9:130" x14ac:dyDescent="0.25">
      <c r="I354" s="31"/>
      <c r="AC354" s="122"/>
      <c r="AD354" s="108"/>
      <c r="AF354" s="108"/>
      <c r="AG354" s="73"/>
      <c r="AH354" s="73"/>
      <c r="AI354" s="73"/>
      <c r="AJ354" s="73"/>
      <c r="AK354" s="73"/>
      <c r="AL354" s="73"/>
      <c r="AM354" s="73"/>
      <c r="AN354" s="73"/>
      <c r="AP354" s="67"/>
      <c r="DL354" s="34"/>
      <c r="DZ354" s="179"/>
    </row>
    <row r="355" spans="9:130" x14ac:dyDescent="0.25">
      <c r="I355" s="31"/>
      <c r="AC355" s="122"/>
      <c r="AD355" s="108"/>
      <c r="AF355" s="108"/>
      <c r="AG355" s="73"/>
      <c r="AH355" s="73"/>
      <c r="AI355" s="73"/>
      <c r="AJ355" s="73"/>
      <c r="AK355" s="73"/>
      <c r="AL355" s="73"/>
      <c r="AM355" s="73"/>
      <c r="AN355" s="73"/>
      <c r="AP355" s="67"/>
      <c r="DL355" s="34"/>
      <c r="DZ355" s="179"/>
    </row>
    <row r="356" spans="9:130" x14ac:dyDescent="0.25">
      <c r="I356" s="31"/>
      <c r="AC356" s="122"/>
      <c r="AD356" s="108"/>
      <c r="AF356" s="108"/>
      <c r="AG356" s="73"/>
      <c r="AH356" s="73"/>
      <c r="AI356" s="73"/>
      <c r="AJ356" s="73"/>
      <c r="AK356" s="73"/>
      <c r="AL356" s="73"/>
      <c r="AM356" s="73"/>
      <c r="AN356" s="73"/>
      <c r="AP356" s="67"/>
      <c r="DL356" s="34"/>
      <c r="DZ356" s="179"/>
    </row>
    <row r="357" spans="9:130" x14ac:dyDescent="0.25">
      <c r="I357" s="31"/>
      <c r="AC357" s="122"/>
      <c r="AD357" s="108"/>
      <c r="AF357" s="108"/>
      <c r="AG357" s="73"/>
      <c r="AH357" s="73"/>
      <c r="AI357" s="73"/>
      <c r="AJ357" s="73"/>
      <c r="AK357" s="73"/>
      <c r="AL357" s="73"/>
      <c r="AM357" s="73"/>
      <c r="AN357" s="73"/>
      <c r="AP357" s="67"/>
      <c r="DL357" s="34"/>
      <c r="DZ357" s="179"/>
    </row>
    <row r="358" spans="9:130" x14ac:dyDescent="0.25">
      <c r="I358" s="31"/>
      <c r="AC358" s="122"/>
      <c r="AD358" s="108"/>
      <c r="AF358" s="108"/>
      <c r="AG358" s="73"/>
      <c r="AH358" s="73"/>
      <c r="AI358" s="73"/>
      <c r="AJ358" s="73"/>
      <c r="AK358" s="73"/>
      <c r="AL358" s="73"/>
      <c r="AM358" s="73"/>
      <c r="AN358" s="73"/>
      <c r="AP358" s="67"/>
      <c r="DL358" s="34"/>
      <c r="DZ358" s="179"/>
    </row>
    <row r="359" spans="9:130" x14ac:dyDescent="0.25">
      <c r="I359" s="31"/>
      <c r="AC359" s="122"/>
      <c r="AD359" s="108"/>
      <c r="AF359" s="108"/>
      <c r="AG359" s="73"/>
      <c r="AH359" s="73"/>
      <c r="AI359" s="73"/>
      <c r="AJ359" s="73"/>
      <c r="AK359" s="73"/>
      <c r="AL359" s="73"/>
      <c r="AM359" s="73"/>
      <c r="AN359" s="73"/>
      <c r="AP359" s="67"/>
      <c r="DL359" s="34"/>
      <c r="DZ359" s="179"/>
    </row>
    <row r="360" spans="9:130" x14ac:dyDescent="0.25">
      <c r="I360" s="31"/>
      <c r="AC360" s="122"/>
      <c r="AD360" s="108"/>
      <c r="AF360" s="108"/>
      <c r="AG360" s="73"/>
      <c r="AH360" s="73"/>
      <c r="AI360" s="73"/>
      <c r="AJ360" s="73"/>
      <c r="AK360" s="73"/>
      <c r="AL360" s="73"/>
      <c r="AM360" s="73"/>
      <c r="AN360" s="73"/>
      <c r="AP360" s="67"/>
      <c r="DL360" s="34"/>
      <c r="DZ360" s="179"/>
    </row>
    <row r="361" spans="9:130" x14ac:dyDescent="0.25">
      <c r="I361" s="31"/>
      <c r="AC361" s="122"/>
      <c r="AD361" s="108"/>
      <c r="AF361" s="108"/>
      <c r="AG361" s="73"/>
      <c r="AH361" s="73"/>
      <c r="AI361" s="73"/>
      <c r="AJ361" s="73"/>
      <c r="AK361" s="73"/>
      <c r="AL361" s="73"/>
      <c r="AM361" s="73"/>
      <c r="AN361" s="73"/>
      <c r="AP361" s="67"/>
      <c r="DL361" s="34"/>
      <c r="DZ361" s="179"/>
    </row>
    <row r="362" spans="9:130" x14ac:dyDescent="0.25">
      <c r="I362" s="31"/>
      <c r="AC362" s="122"/>
      <c r="AD362" s="108"/>
      <c r="AF362" s="108"/>
      <c r="AG362" s="73"/>
      <c r="AH362" s="73"/>
      <c r="AI362" s="73"/>
      <c r="AJ362" s="73"/>
      <c r="AK362" s="73"/>
      <c r="AL362" s="73"/>
      <c r="AM362" s="73"/>
      <c r="AN362" s="73"/>
      <c r="AP362" s="67"/>
      <c r="DL362" s="34"/>
      <c r="DZ362" s="179"/>
    </row>
    <row r="363" spans="9:130" x14ac:dyDescent="0.25">
      <c r="I363" s="31"/>
      <c r="AC363" s="122"/>
      <c r="AD363" s="108"/>
      <c r="AF363" s="108"/>
      <c r="AG363" s="73"/>
      <c r="AH363" s="73"/>
      <c r="AI363" s="73"/>
      <c r="AJ363" s="73"/>
      <c r="AK363" s="73"/>
      <c r="AL363" s="73"/>
      <c r="AM363" s="73"/>
      <c r="AN363" s="73"/>
      <c r="AP363" s="67"/>
      <c r="DL363" s="34"/>
      <c r="DZ363" s="179"/>
    </row>
    <row r="364" spans="9:130" x14ac:dyDescent="0.25">
      <c r="I364" s="31"/>
      <c r="AC364" s="122"/>
      <c r="AD364" s="108"/>
      <c r="AF364" s="108"/>
      <c r="AG364" s="73"/>
      <c r="AH364" s="73"/>
      <c r="AI364" s="73"/>
      <c r="AJ364" s="73"/>
      <c r="AK364" s="73"/>
      <c r="AL364" s="73"/>
      <c r="AM364" s="73"/>
      <c r="AN364" s="73"/>
      <c r="AP364" s="67"/>
      <c r="DL364" s="34"/>
      <c r="DZ364" s="179"/>
    </row>
    <row r="365" spans="9:130" x14ac:dyDescent="0.25">
      <c r="I365" s="31"/>
      <c r="AC365" s="122"/>
      <c r="AD365" s="108"/>
      <c r="AF365" s="108"/>
      <c r="AG365" s="73"/>
      <c r="AH365" s="73"/>
      <c r="AI365" s="73"/>
      <c r="AJ365" s="73"/>
      <c r="AK365" s="73"/>
      <c r="AL365" s="73"/>
      <c r="AM365" s="73"/>
      <c r="AN365" s="73"/>
      <c r="AP365" s="67"/>
      <c r="DL365" s="34"/>
      <c r="DZ365" s="179"/>
    </row>
    <row r="366" spans="9:130" x14ac:dyDescent="0.25">
      <c r="I366" s="31"/>
      <c r="AC366" s="122"/>
      <c r="AD366" s="108"/>
      <c r="AF366" s="108"/>
      <c r="AG366" s="73"/>
      <c r="AH366" s="73"/>
      <c r="AI366" s="73"/>
      <c r="AJ366" s="73"/>
      <c r="AK366" s="73"/>
      <c r="AL366" s="73"/>
      <c r="AM366" s="73"/>
      <c r="AN366" s="73"/>
      <c r="AP366" s="67"/>
      <c r="DL366" s="34"/>
      <c r="DZ366" s="179"/>
    </row>
    <row r="367" spans="9:130" x14ac:dyDescent="0.25">
      <c r="I367" s="31"/>
      <c r="AC367" s="122"/>
      <c r="AD367" s="108"/>
      <c r="AF367" s="108"/>
      <c r="AG367" s="73"/>
      <c r="AH367" s="73"/>
      <c r="AI367" s="73"/>
      <c r="AJ367" s="73"/>
      <c r="AK367" s="73"/>
      <c r="AL367" s="73"/>
      <c r="AM367" s="73"/>
      <c r="AN367" s="73"/>
      <c r="AP367" s="67"/>
      <c r="DL367" s="34"/>
      <c r="DZ367" s="179"/>
    </row>
    <row r="368" spans="9:130" x14ac:dyDescent="0.25">
      <c r="I368" s="31"/>
      <c r="AC368" s="122"/>
      <c r="AD368" s="108"/>
      <c r="AF368" s="108"/>
      <c r="AG368" s="73"/>
      <c r="AH368" s="73"/>
      <c r="AI368" s="73"/>
      <c r="AJ368" s="73"/>
      <c r="AK368" s="73"/>
      <c r="AL368" s="73"/>
      <c r="AM368" s="73"/>
      <c r="AN368" s="73"/>
      <c r="AP368" s="67"/>
      <c r="DL368" s="34"/>
      <c r="DZ368" s="179"/>
    </row>
    <row r="369" spans="1:130" x14ac:dyDescent="0.25">
      <c r="I369" s="31"/>
      <c r="AC369" s="122"/>
      <c r="AD369" s="108"/>
      <c r="AF369" s="108"/>
      <c r="AG369" s="73"/>
      <c r="AH369" s="73"/>
      <c r="AI369" s="73"/>
      <c r="AJ369" s="73"/>
      <c r="AK369" s="73"/>
      <c r="AL369" s="73"/>
      <c r="AM369" s="73"/>
      <c r="AN369" s="73"/>
      <c r="AP369" s="67"/>
      <c r="DL369" s="34"/>
      <c r="DZ369" s="179"/>
    </row>
    <row r="370" spans="1:130" x14ac:dyDescent="0.25">
      <c r="A370" s="32"/>
      <c r="B370" s="32"/>
      <c r="C370" s="32"/>
      <c r="D370" s="32"/>
      <c r="E370" s="32"/>
      <c r="F370" s="32"/>
      <c r="G370" s="43"/>
      <c r="H370" s="32"/>
      <c r="I370" s="33"/>
      <c r="AC370" s="122"/>
      <c r="AD370" s="108"/>
      <c r="AF370" s="108"/>
      <c r="AG370" s="73"/>
      <c r="AH370" s="73"/>
      <c r="AI370" s="73"/>
      <c r="AJ370" s="73"/>
      <c r="AK370" s="73"/>
      <c r="AL370" s="73"/>
      <c r="AM370" s="73"/>
      <c r="AN370" s="73"/>
      <c r="AP370" s="67"/>
      <c r="DL370" s="34"/>
      <c r="DZ370" s="179"/>
    </row>
    <row r="371" spans="1:130" x14ac:dyDescent="0.25">
      <c r="I371" s="31"/>
      <c r="AC371" s="122"/>
      <c r="AD371" s="108"/>
      <c r="AF371" s="108"/>
      <c r="AG371" s="73"/>
      <c r="AH371" s="73"/>
      <c r="AI371" s="73"/>
      <c r="AJ371" s="73"/>
      <c r="AK371" s="73"/>
      <c r="AL371" s="73"/>
      <c r="AM371" s="73"/>
      <c r="AN371" s="73"/>
      <c r="AP371" s="67"/>
      <c r="DL371" s="34"/>
      <c r="DZ371" s="181"/>
    </row>
    <row r="372" spans="1:130" x14ac:dyDescent="0.25">
      <c r="I372" s="31"/>
      <c r="AC372" s="122"/>
      <c r="AD372" s="108"/>
      <c r="AF372" s="108"/>
      <c r="AG372" s="73"/>
      <c r="AH372" s="73"/>
      <c r="AI372" s="73"/>
      <c r="AJ372" s="73"/>
      <c r="AK372" s="73"/>
      <c r="AL372" s="73"/>
      <c r="AM372" s="73"/>
      <c r="AN372" s="73"/>
      <c r="AP372" s="67"/>
      <c r="DL372" s="34"/>
      <c r="DZ372" s="179"/>
    </row>
    <row r="373" spans="1:130" x14ac:dyDescent="0.25">
      <c r="I373" s="31"/>
      <c r="AC373" s="122"/>
      <c r="AD373" s="108"/>
      <c r="AF373" s="108"/>
      <c r="AG373" s="73"/>
      <c r="AH373" s="73"/>
      <c r="AI373" s="73"/>
      <c r="AJ373" s="73"/>
      <c r="AK373" s="73"/>
      <c r="AL373" s="73"/>
      <c r="AM373" s="73"/>
      <c r="AN373" s="73"/>
      <c r="AP373" s="67"/>
      <c r="DL373" s="34"/>
      <c r="DZ373" s="179"/>
    </row>
    <row r="374" spans="1:130" x14ac:dyDescent="0.25">
      <c r="I374" s="31"/>
      <c r="AC374" s="122"/>
      <c r="AD374" s="108"/>
      <c r="AF374" s="108"/>
      <c r="AG374" s="73"/>
      <c r="AH374" s="73"/>
      <c r="AI374" s="73"/>
      <c r="AJ374" s="73"/>
      <c r="AK374" s="73"/>
      <c r="AL374" s="73"/>
      <c r="AM374" s="73"/>
      <c r="AN374" s="73"/>
      <c r="AP374" s="67"/>
      <c r="DL374" s="34"/>
      <c r="DZ374" s="179"/>
    </row>
    <row r="375" spans="1:130" x14ac:dyDescent="0.25">
      <c r="I375" s="31"/>
      <c r="AC375" s="122"/>
      <c r="AD375" s="108"/>
      <c r="AF375" s="108"/>
      <c r="AG375" s="73"/>
      <c r="AH375" s="73"/>
      <c r="AI375" s="73"/>
      <c r="AJ375" s="73"/>
      <c r="AK375" s="73"/>
      <c r="AL375" s="73"/>
      <c r="AM375" s="73"/>
      <c r="AN375" s="73"/>
      <c r="AP375" s="67"/>
      <c r="DL375" s="34"/>
      <c r="DZ375" s="179"/>
    </row>
    <row r="376" spans="1:130" x14ac:dyDescent="0.25">
      <c r="I376" s="31"/>
      <c r="AC376" s="122"/>
      <c r="AD376" s="108"/>
      <c r="AF376" s="108"/>
      <c r="AG376" s="73"/>
      <c r="AH376" s="73"/>
      <c r="AI376" s="73"/>
      <c r="AJ376" s="73"/>
      <c r="AK376" s="73"/>
      <c r="AL376" s="73"/>
      <c r="AM376" s="73"/>
      <c r="AN376" s="73"/>
      <c r="AP376" s="67"/>
      <c r="DL376" s="34"/>
      <c r="DZ376" s="179"/>
    </row>
    <row r="377" spans="1:130" x14ac:dyDescent="0.25">
      <c r="I377" s="31"/>
      <c r="AC377" s="122"/>
      <c r="AD377" s="108"/>
      <c r="AF377" s="108"/>
      <c r="AG377" s="73"/>
      <c r="AH377" s="73"/>
      <c r="AI377" s="73"/>
      <c r="AJ377" s="73"/>
      <c r="AK377" s="73"/>
      <c r="AL377" s="73"/>
      <c r="AM377" s="73"/>
      <c r="AN377" s="73"/>
      <c r="AP377" s="67"/>
      <c r="DL377" s="34"/>
      <c r="DZ377" s="179"/>
    </row>
    <row r="378" spans="1:130" x14ac:dyDescent="0.25">
      <c r="I378" s="31"/>
      <c r="AC378" s="122"/>
      <c r="AD378" s="108"/>
      <c r="AF378" s="108"/>
      <c r="AG378" s="73"/>
      <c r="AH378" s="73"/>
      <c r="AI378" s="73"/>
      <c r="AJ378" s="73"/>
      <c r="AK378" s="73"/>
      <c r="AL378" s="73"/>
      <c r="AM378" s="73"/>
      <c r="AN378" s="73"/>
      <c r="AP378" s="67"/>
      <c r="DL378" s="34"/>
      <c r="DZ378" s="179"/>
    </row>
    <row r="379" spans="1:130" x14ac:dyDescent="0.25">
      <c r="I379" s="31"/>
      <c r="AC379" s="122"/>
      <c r="AD379" s="108"/>
      <c r="AF379" s="108"/>
      <c r="AG379" s="73"/>
      <c r="AH379" s="73"/>
      <c r="AI379" s="73"/>
      <c r="AJ379" s="73"/>
      <c r="AK379" s="73"/>
      <c r="AL379" s="73"/>
      <c r="AM379" s="73"/>
      <c r="AN379" s="73"/>
      <c r="AP379" s="67"/>
      <c r="DL379" s="34"/>
      <c r="DZ379" s="179"/>
    </row>
    <row r="380" spans="1:130" x14ac:dyDescent="0.25">
      <c r="I380" s="31"/>
      <c r="AC380" s="122"/>
      <c r="AD380" s="108"/>
      <c r="AF380" s="108"/>
      <c r="AG380" s="73"/>
      <c r="AH380" s="73"/>
      <c r="AI380" s="73"/>
      <c r="AJ380" s="73"/>
      <c r="AK380" s="73"/>
      <c r="AL380" s="73"/>
      <c r="AM380" s="73"/>
      <c r="AN380" s="73"/>
      <c r="AP380" s="67"/>
      <c r="DL380" s="34"/>
      <c r="DZ380" s="179"/>
    </row>
    <row r="381" spans="1:130" x14ac:dyDescent="0.25">
      <c r="I381" s="31"/>
      <c r="AC381" s="122"/>
      <c r="AD381" s="108"/>
      <c r="AF381" s="108"/>
      <c r="AG381" s="73"/>
      <c r="AH381" s="73"/>
      <c r="AI381" s="73"/>
      <c r="AJ381" s="73"/>
      <c r="AK381" s="73"/>
      <c r="AL381" s="73"/>
      <c r="AM381" s="73"/>
      <c r="AN381" s="73"/>
      <c r="AP381" s="67"/>
      <c r="DL381" s="34"/>
      <c r="DZ381" s="179"/>
    </row>
    <row r="382" spans="1:130" x14ac:dyDescent="0.25">
      <c r="I382" s="31"/>
      <c r="AC382" s="122"/>
      <c r="AD382" s="108"/>
      <c r="AF382" s="108"/>
      <c r="AG382" s="73"/>
      <c r="AH382" s="73"/>
      <c r="AI382" s="73"/>
      <c r="AJ382" s="73"/>
      <c r="AK382" s="73"/>
      <c r="AL382" s="73"/>
      <c r="AM382" s="73"/>
      <c r="AN382" s="73"/>
      <c r="AP382" s="67"/>
      <c r="DL382" s="34"/>
      <c r="DZ382" s="179"/>
    </row>
    <row r="383" spans="1:130" x14ac:dyDescent="0.25">
      <c r="I383" s="31"/>
      <c r="AC383" s="122"/>
      <c r="AD383" s="108"/>
      <c r="AF383" s="108"/>
      <c r="AG383" s="73"/>
      <c r="AH383" s="73"/>
      <c r="AI383" s="73"/>
      <c r="AJ383" s="73"/>
      <c r="AK383" s="73"/>
      <c r="AL383" s="73"/>
      <c r="AM383" s="73"/>
      <c r="AN383" s="73"/>
      <c r="AP383" s="67"/>
      <c r="DL383" s="34"/>
      <c r="DZ383" s="179"/>
    </row>
    <row r="384" spans="1:130" x14ac:dyDescent="0.25">
      <c r="I384" s="31"/>
      <c r="AC384" s="122"/>
      <c r="AD384" s="108"/>
      <c r="AF384" s="108"/>
      <c r="AG384" s="73"/>
      <c r="AH384" s="73"/>
      <c r="AI384" s="73"/>
      <c r="AJ384" s="73"/>
      <c r="AK384" s="73"/>
      <c r="AL384" s="73"/>
      <c r="AM384" s="73"/>
      <c r="AN384" s="73"/>
      <c r="AP384" s="67"/>
      <c r="DL384" s="34"/>
      <c r="DZ384" s="179"/>
    </row>
    <row r="385" spans="1:130" x14ac:dyDescent="0.25">
      <c r="I385" s="31"/>
      <c r="AC385" s="122"/>
      <c r="AD385" s="108"/>
      <c r="AF385" s="108"/>
      <c r="AG385" s="73"/>
      <c r="AH385" s="73"/>
      <c r="AI385" s="73"/>
      <c r="AJ385" s="73"/>
      <c r="AK385" s="73"/>
      <c r="AL385" s="73"/>
      <c r="AM385" s="73"/>
      <c r="AN385" s="73"/>
      <c r="AP385" s="67"/>
      <c r="DL385" s="34"/>
      <c r="DZ385" s="179"/>
    </row>
    <row r="386" spans="1:130" x14ac:dyDescent="0.25">
      <c r="I386" s="31"/>
      <c r="AC386" s="122"/>
      <c r="AD386" s="108"/>
      <c r="AF386" s="108"/>
      <c r="AG386" s="73"/>
      <c r="AH386" s="73"/>
      <c r="AI386" s="73"/>
      <c r="AJ386" s="73"/>
      <c r="AK386" s="73"/>
      <c r="AL386" s="73"/>
      <c r="AM386" s="73"/>
      <c r="AN386" s="73"/>
      <c r="AP386" s="67"/>
      <c r="DL386" s="34"/>
      <c r="DZ386" s="179"/>
    </row>
    <row r="387" spans="1:130" x14ac:dyDescent="0.25">
      <c r="I387" s="31"/>
      <c r="AC387" s="122"/>
      <c r="AD387" s="108"/>
      <c r="AF387" s="108"/>
      <c r="AG387" s="73"/>
      <c r="AH387" s="73"/>
      <c r="AI387" s="73"/>
      <c r="AJ387" s="73"/>
      <c r="AK387" s="73"/>
      <c r="AL387" s="73"/>
      <c r="AM387" s="73"/>
      <c r="AN387" s="73"/>
      <c r="AP387" s="67"/>
      <c r="DL387" s="34"/>
      <c r="DZ387" s="179"/>
    </row>
    <row r="388" spans="1:130" x14ac:dyDescent="0.25">
      <c r="I388" s="31"/>
      <c r="AC388" s="122"/>
      <c r="AD388" s="108"/>
      <c r="AF388" s="108"/>
      <c r="AG388" s="73"/>
      <c r="AH388" s="73"/>
      <c r="AI388" s="73"/>
      <c r="AJ388" s="73"/>
      <c r="AK388" s="73"/>
      <c r="AL388" s="73"/>
      <c r="AM388" s="73"/>
      <c r="AN388" s="73"/>
      <c r="AP388" s="67"/>
      <c r="DL388" s="34"/>
      <c r="DZ388" s="179"/>
    </row>
    <row r="389" spans="1:130" x14ac:dyDescent="0.25">
      <c r="I389" s="31"/>
      <c r="AC389" s="122"/>
      <c r="AD389" s="108"/>
      <c r="AF389" s="108"/>
      <c r="AG389" s="73"/>
      <c r="AH389" s="73"/>
      <c r="AI389" s="73"/>
      <c r="AJ389" s="73"/>
      <c r="AK389" s="73"/>
      <c r="AL389" s="73"/>
      <c r="AM389" s="73"/>
      <c r="AN389" s="73"/>
      <c r="AP389" s="67"/>
      <c r="DL389" s="34"/>
      <c r="DZ389" s="179"/>
    </row>
    <row r="390" spans="1:130" x14ac:dyDescent="0.25">
      <c r="A390" s="32"/>
      <c r="B390" s="32"/>
      <c r="C390" s="32"/>
      <c r="D390" s="32"/>
      <c r="E390" s="32"/>
      <c r="F390" s="32"/>
      <c r="G390" s="43"/>
      <c r="H390" s="32"/>
      <c r="I390" s="33"/>
      <c r="AC390" s="122"/>
      <c r="AD390" s="108"/>
      <c r="AF390" s="108"/>
      <c r="AG390" s="73"/>
      <c r="AH390" s="73"/>
      <c r="AI390" s="73"/>
      <c r="AJ390" s="73"/>
      <c r="AK390" s="73"/>
      <c r="AL390" s="73"/>
      <c r="AM390" s="73"/>
      <c r="AN390" s="73"/>
      <c r="AP390" s="67"/>
      <c r="DL390" s="34"/>
      <c r="DZ390" s="179"/>
    </row>
    <row r="391" spans="1:130" x14ac:dyDescent="0.25">
      <c r="I391" s="31"/>
      <c r="AC391" s="122"/>
      <c r="AD391" s="108"/>
      <c r="AF391" s="108"/>
      <c r="AG391" s="73"/>
      <c r="AH391" s="73"/>
      <c r="AI391" s="73"/>
      <c r="AJ391" s="73"/>
      <c r="AK391" s="73"/>
      <c r="AL391" s="73"/>
      <c r="AM391" s="73"/>
      <c r="AN391" s="73"/>
      <c r="AP391" s="67"/>
      <c r="DL391" s="34"/>
      <c r="DZ391" s="181"/>
    </row>
    <row r="392" spans="1:130" x14ac:dyDescent="0.25">
      <c r="I392" s="31"/>
      <c r="AC392" s="122"/>
      <c r="AD392" s="108"/>
      <c r="AF392" s="108"/>
      <c r="AG392" s="73"/>
      <c r="AH392" s="73"/>
      <c r="AI392" s="73"/>
      <c r="AJ392" s="73"/>
      <c r="AK392" s="73"/>
      <c r="AL392" s="73"/>
      <c r="AM392" s="73"/>
      <c r="AN392" s="73"/>
      <c r="AP392" s="67"/>
      <c r="DL392" s="34"/>
      <c r="DZ392" s="179"/>
    </row>
    <row r="393" spans="1:130" x14ac:dyDescent="0.25">
      <c r="I393" s="31"/>
      <c r="AC393" s="122"/>
      <c r="AD393" s="108"/>
      <c r="AF393" s="108"/>
      <c r="AG393" s="73"/>
      <c r="AH393" s="73"/>
      <c r="AI393" s="73"/>
      <c r="AJ393" s="73"/>
      <c r="AK393" s="73"/>
      <c r="AL393" s="73"/>
      <c r="AM393" s="73"/>
      <c r="AN393" s="73"/>
      <c r="AP393" s="67"/>
      <c r="DL393" s="34"/>
      <c r="DZ393" s="179"/>
    </row>
    <row r="394" spans="1:130" x14ac:dyDescent="0.25">
      <c r="I394" s="31"/>
      <c r="AC394" s="122"/>
      <c r="AD394" s="108"/>
      <c r="AF394" s="108"/>
      <c r="AG394" s="73"/>
      <c r="AH394" s="73"/>
      <c r="AI394" s="73"/>
      <c r="AJ394" s="73"/>
      <c r="AK394" s="73"/>
      <c r="AL394" s="73"/>
      <c r="AM394" s="73"/>
      <c r="AN394" s="73"/>
      <c r="AP394" s="67"/>
      <c r="DL394" s="34"/>
      <c r="DZ394" s="179"/>
    </row>
    <row r="395" spans="1:130" x14ac:dyDescent="0.25">
      <c r="I395" s="31"/>
      <c r="AC395" s="122"/>
      <c r="AD395" s="108"/>
      <c r="AF395" s="108"/>
      <c r="AG395" s="73"/>
      <c r="AH395" s="73"/>
      <c r="AI395" s="73"/>
      <c r="AJ395" s="73"/>
      <c r="AK395" s="73"/>
      <c r="AL395" s="73"/>
      <c r="AM395" s="73"/>
      <c r="AN395" s="73"/>
      <c r="AP395" s="67"/>
      <c r="DL395" s="34"/>
      <c r="DZ395" s="179"/>
    </row>
    <row r="396" spans="1:130" x14ac:dyDescent="0.25">
      <c r="I396" s="31"/>
      <c r="AC396" s="122"/>
      <c r="AD396" s="108"/>
      <c r="AF396" s="108"/>
      <c r="AG396" s="73"/>
      <c r="AH396" s="73"/>
      <c r="AI396" s="73"/>
      <c r="AJ396" s="73"/>
      <c r="AK396" s="73"/>
      <c r="AL396" s="73"/>
      <c r="AM396" s="73"/>
      <c r="AN396" s="73"/>
      <c r="AP396" s="67"/>
      <c r="DL396" s="34"/>
      <c r="DZ396" s="179"/>
    </row>
    <row r="397" spans="1:130" x14ac:dyDescent="0.25">
      <c r="I397" s="31"/>
      <c r="AC397" s="122"/>
      <c r="AD397" s="108"/>
      <c r="AF397" s="108"/>
      <c r="AG397" s="73"/>
      <c r="AH397" s="73"/>
      <c r="AI397" s="73"/>
      <c r="AJ397" s="73"/>
      <c r="AK397" s="73"/>
      <c r="AL397" s="73"/>
      <c r="AM397" s="73"/>
      <c r="AN397" s="73"/>
      <c r="DL397" s="34"/>
      <c r="DZ397" s="179"/>
    </row>
    <row r="398" spans="1:130" x14ac:dyDescent="0.25">
      <c r="I398" s="31"/>
      <c r="AC398" s="122"/>
      <c r="AD398" s="108"/>
      <c r="AF398" s="108"/>
      <c r="AG398" s="73"/>
      <c r="AH398" s="73"/>
      <c r="AI398" s="73"/>
      <c r="AJ398" s="73"/>
      <c r="AK398" s="73"/>
      <c r="AL398" s="73"/>
      <c r="AM398" s="73"/>
      <c r="AN398" s="73"/>
      <c r="DL398" s="34"/>
      <c r="DZ398" s="179"/>
    </row>
    <row r="399" spans="1:130" x14ac:dyDescent="0.25">
      <c r="A399" s="32"/>
      <c r="B399" s="32"/>
      <c r="C399" s="32"/>
      <c r="D399" s="32"/>
      <c r="E399" s="32"/>
      <c r="F399" s="32"/>
      <c r="G399" s="43"/>
      <c r="H399" s="32"/>
      <c r="I399" s="33"/>
      <c r="AC399" s="122"/>
      <c r="AD399" s="108"/>
      <c r="AF399" s="108"/>
      <c r="AG399" s="73"/>
      <c r="AH399" s="73"/>
      <c r="AI399" s="73"/>
      <c r="AJ399" s="73"/>
      <c r="AK399" s="73"/>
      <c r="AL399" s="73"/>
      <c r="AM399" s="73"/>
      <c r="AN399" s="73"/>
      <c r="DL399" s="34"/>
      <c r="DZ399" s="179"/>
    </row>
    <row r="400" spans="1:130" x14ac:dyDescent="0.25">
      <c r="I400" s="31"/>
      <c r="AC400" s="122"/>
      <c r="AD400" s="108"/>
      <c r="AF400" s="108"/>
      <c r="AG400" s="73"/>
      <c r="AH400" s="73"/>
      <c r="AI400" s="73"/>
      <c r="AJ400" s="73"/>
      <c r="AK400" s="73"/>
      <c r="AL400" s="73"/>
      <c r="AM400" s="73"/>
      <c r="AN400" s="73"/>
      <c r="DL400" s="34"/>
      <c r="DZ400" s="181"/>
    </row>
    <row r="401" spans="1:130" x14ac:dyDescent="0.25">
      <c r="I401" s="31"/>
      <c r="AC401" s="122"/>
      <c r="AD401" s="108"/>
      <c r="AF401" s="108"/>
      <c r="AG401" s="73"/>
      <c r="AH401" s="73"/>
      <c r="AI401" s="73"/>
      <c r="AJ401" s="73"/>
      <c r="AK401" s="73"/>
      <c r="AL401" s="73"/>
      <c r="AM401" s="73"/>
      <c r="AN401" s="73"/>
      <c r="DL401" s="34"/>
      <c r="DZ401" s="179"/>
    </row>
    <row r="402" spans="1:130" x14ac:dyDescent="0.25">
      <c r="I402" s="31"/>
      <c r="AC402" s="122"/>
      <c r="AD402" s="108"/>
      <c r="AF402" s="108"/>
      <c r="AG402" s="73"/>
      <c r="AH402" s="73"/>
      <c r="AI402" s="73"/>
      <c r="AJ402" s="73"/>
      <c r="AK402" s="73"/>
      <c r="AL402" s="73"/>
      <c r="AM402" s="73"/>
      <c r="AN402" s="73"/>
      <c r="DL402" s="34"/>
      <c r="DZ402" s="179"/>
    </row>
    <row r="403" spans="1:130" x14ac:dyDescent="0.25">
      <c r="A403" s="32"/>
      <c r="B403" s="32"/>
      <c r="C403" s="32"/>
      <c r="D403" s="32"/>
      <c r="E403" s="32"/>
      <c r="F403" s="32"/>
      <c r="G403" s="43"/>
      <c r="H403" s="32"/>
      <c r="I403" s="33"/>
      <c r="AC403" s="122"/>
      <c r="AD403" s="108"/>
      <c r="AF403" s="108"/>
      <c r="AG403" s="73"/>
      <c r="AH403" s="73"/>
      <c r="AI403" s="73"/>
      <c r="AJ403" s="73"/>
      <c r="AK403" s="73"/>
      <c r="AL403" s="73"/>
      <c r="AM403" s="73"/>
      <c r="AN403" s="73"/>
      <c r="DL403" s="34"/>
      <c r="DZ403" s="179"/>
    </row>
    <row r="404" spans="1:130" x14ac:dyDescent="0.25">
      <c r="AC404" s="122"/>
      <c r="AD404" s="108"/>
      <c r="AF404" s="108"/>
      <c r="AG404" s="73"/>
      <c r="AH404" s="73"/>
      <c r="AI404" s="73"/>
      <c r="AJ404" s="73"/>
      <c r="AK404" s="73"/>
      <c r="AL404" s="73"/>
      <c r="AM404" s="73"/>
      <c r="AN404" s="73"/>
      <c r="DL404" s="34"/>
      <c r="DZ404" s="181"/>
    </row>
    <row r="405" spans="1:130" x14ac:dyDescent="0.25">
      <c r="AC405" s="122"/>
      <c r="AD405" s="108"/>
      <c r="AF405" s="108"/>
      <c r="AG405" s="73"/>
      <c r="AH405" s="73"/>
      <c r="AI405" s="73"/>
      <c r="AJ405" s="73"/>
      <c r="AK405" s="73"/>
      <c r="AL405" s="73"/>
      <c r="AM405" s="73"/>
      <c r="AN405" s="73"/>
      <c r="DL405" s="34"/>
    </row>
    <row r="406" spans="1:130" x14ac:dyDescent="0.25">
      <c r="AC406" s="122"/>
      <c r="AD406" s="108"/>
      <c r="AF406" s="108"/>
      <c r="AG406" s="73"/>
      <c r="AH406" s="73"/>
      <c r="AI406" s="73"/>
      <c r="AJ406" s="73"/>
      <c r="AK406" s="73"/>
      <c r="AL406" s="73"/>
      <c r="AM406" s="73"/>
      <c r="AN406" s="73"/>
      <c r="DL406" s="34"/>
    </row>
    <row r="407" spans="1:130" x14ac:dyDescent="0.25">
      <c r="AC407" s="122"/>
      <c r="AD407" s="108"/>
      <c r="AF407" s="108"/>
      <c r="AG407" s="73"/>
      <c r="AH407" s="73"/>
      <c r="AI407" s="73"/>
      <c r="AJ407" s="73"/>
      <c r="AK407" s="73"/>
      <c r="AL407" s="73"/>
      <c r="AM407" s="73"/>
      <c r="AN407" s="73"/>
      <c r="DL407" s="34"/>
    </row>
    <row r="408" spans="1:130" x14ac:dyDescent="0.25">
      <c r="AC408" s="122"/>
      <c r="AD408" s="108"/>
      <c r="AF408" s="108"/>
      <c r="AG408" s="73"/>
      <c r="AH408" s="73"/>
      <c r="AI408" s="73"/>
      <c r="AJ408" s="73"/>
      <c r="AK408" s="73"/>
      <c r="AL408" s="73"/>
      <c r="AM408" s="73"/>
      <c r="AN408" s="73"/>
      <c r="DL408" s="34"/>
    </row>
    <row r="409" spans="1:130" x14ac:dyDescent="0.25">
      <c r="AC409" s="122"/>
      <c r="AD409" s="108"/>
      <c r="AF409" s="108"/>
      <c r="AG409" s="73"/>
      <c r="AH409" s="73"/>
      <c r="AI409" s="73"/>
      <c r="AJ409" s="73"/>
      <c r="AK409" s="73"/>
      <c r="AL409" s="73"/>
      <c r="AM409" s="73"/>
      <c r="AN409" s="73"/>
      <c r="DL409" s="34"/>
    </row>
    <row r="410" spans="1:130" x14ac:dyDescent="0.25">
      <c r="J410" s="73"/>
      <c r="K410" s="73"/>
      <c r="L410" s="73"/>
      <c r="M410" s="73"/>
      <c r="N410" s="73"/>
      <c r="O410" s="73"/>
      <c r="P410" s="73"/>
      <c r="Q410" s="73"/>
      <c r="R410" s="73"/>
      <c r="S410" s="73"/>
      <c r="T410" s="73"/>
      <c r="U410" s="73"/>
      <c r="V410" s="73"/>
      <c r="W410" s="73"/>
      <c r="X410" s="73"/>
      <c r="Y410" s="73"/>
      <c r="Z410" s="73"/>
      <c r="AA410" s="73"/>
      <c r="AB410" s="73"/>
      <c r="AC410" s="122"/>
      <c r="AD410" s="108"/>
      <c r="AF410" s="108"/>
      <c r="AG410" s="73"/>
      <c r="AH410" s="73"/>
      <c r="AI410" s="73"/>
      <c r="AJ410" s="73"/>
      <c r="AK410" s="73"/>
      <c r="AL410" s="73"/>
      <c r="AM410" s="73"/>
      <c r="AN410" s="73"/>
      <c r="AO410" s="73"/>
      <c r="AP410" s="73"/>
      <c r="DL410" s="34"/>
    </row>
    <row r="411" spans="1:130" x14ac:dyDescent="0.25">
      <c r="J411" s="73"/>
      <c r="K411" s="73"/>
      <c r="L411" s="73"/>
      <c r="M411" s="73"/>
      <c r="N411" s="73"/>
      <c r="O411" s="73"/>
      <c r="P411" s="73"/>
      <c r="Q411" s="73"/>
      <c r="R411" s="73"/>
      <c r="S411" s="73"/>
      <c r="T411" s="73"/>
      <c r="U411" s="73"/>
      <c r="V411" s="73"/>
      <c r="W411" s="73"/>
      <c r="X411" s="73"/>
      <c r="Y411" s="73"/>
      <c r="Z411" s="73"/>
      <c r="AA411" s="73"/>
      <c r="AB411" s="73"/>
      <c r="AC411" s="122"/>
      <c r="AD411" s="108"/>
      <c r="AF411" s="108"/>
      <c r="AG411" s="73"/>
      <c r="AH411" s="73"/>
      <c r="AI411" s="73"/>
      <c r="AJ411" s="73"/>
      <c r="AK411" s="73"/>
      <c r="AL411" s="73"/>
      <c r="AM411" s="73"/>
      <c r="AN411" s="73"/>
      <c r="AO411" s="73"/>
      <c r="AP411" s="73"/>
      <c r="DL411" s="34"/>
    </row>
    <row r="412" spans="1:130" x14ac:dyDescent="0.25">
      <c r="J412" s="73"/>
      <c r="K412" s="73"/>
      <c r="L412" s="73"/>
      <c r="M412" s="73"/>
      <c r="N412" s="73"/>
      <c r="O412" s="73"/>
      <c r="P412" s="73"/>
      <c r="Q412" s="73"/>
      <c r="R412" s="73"/>
      <c r="S412" s="73"/>
      <c r="T412" s="73"/>
      <c r="U412" s="73"/>
      <c r="V412" s="73"/>
      <c r="W412" s="73"/>
      <c r="X412" s="73"/>
      <c r="Y412" s="73"/>
      <c r="Z412" s="73"/>
      <c r="AA412" s="73"/>
      <c r="AB412" s="73"/>
      <c r="AC412" s="122"/>
      <c r="AD412" s="108"/>
      <c r="AF412" s="108"/>
      <c r="AG412" s="73"/>
      <c r="AH412" s="73"/>
      <c r="AI412" s="73"/>
      <c r="AJ412" s="73"/>
      <c r="AK412" s="73"/>
      <c r="AL412" s="73"/>
      <c r="AM412" s="73"/>
      <c r="AN412" s="73"/>
      <c r="AO412" s="73"/>
      <c r="AP412" s="73"/>
      <c r="DL412" s="34"/>
    </row>
    <row r="413" spans="1:130" x14ac:dyDescent="0.25">
      <c r="J413" s="73"/>
      <c r="K413" s="73"/>
      <c r="L413" s="73"/>
      <c r="M413" s="73"/>
      <c r="N413" s="73"/>
      <c r="O413" s="73"/>
      <c r="P413" s="73"/>
      <c r="Q413" s="73"/>
      <c r="R413" s="73"/>
      <c r="S413" s="73"/>
      <c r="T413" s="73"/>
      <c r="U413" s="73"/>
      <c r="V413" s="73"/>
      <c r="W413" s="73"/>
      <c r="X413" s="73"/>
      <c r="Y413" s="73"/>
      <c r="Z413" s="73"/>
      <c r="AA413" s="73"/>
      <c r="AB413" s="73"/>
      <c r="AC413" s="122"/>
      <c r="AD413" s="108"/>
      <c r="AF413" s="108"/>
      <c r="AG413" s="73"/>
      <c r="AH413" s="73"/>
      <c r="AI413" s="73"/>
      <c r="AJ413" s="73"/>
      <c r="AK413" s="73"/>
      <c r="AL413" s="73"/>
      <c r="AM413" s="73"/>
      <c r="AN413" s="73"/>
      <c r="AO413" s="73"/>
      <c r="AP413" s="73"/>
      <c r="DL413" s="34"/>
    </row>
    <row r="414" spans="1:130" x14ac:dyDescent="0.25">
      <c r="J414" s="73"/>
      <c r="K414" s="73"/>
      <c r="L414" s="73"/>
      <c r="M414" s="73"/>
      <c r="N414" s="73"/>
      <c r="O414" s="73"/>
      <c r="P414" s="73"/>
      <c r="Q414" s="73"/>
      <c r="R414" s="73"/>
      <c r="S414" s="73"/>
      <c r="T414" s="73"/>
      <c r="U414" s="73"/>
      <c r="V414" s="73"/>
      <c r="W414" s="73"/>
      <c r="X414" s="73"/>
      <c r="Y414" s="73"/>
      <c r="Z414" s="73"/>
      <c r="AA414" s="73"/>
      <c r="AB414" s="73"/>
      <c r="AC414" s="122"/>
      <c r="AD414" s="108"/>
      <c r="AF414" s="108"/>
      <c r="AG414" s="73"/>
      <c r="AH414" s="73"/>
      <c r="AI414" s="73"/>
      <c r="AJ414" s="73"/>
      <c r="AK414" s="73"/>
      <c r="AL414" s="73"/>
      <c r="AM414" s="73"/>
      <c r="AN414" s="73"/>
      <c r="AO414" s="73"/>
      <c r="AP414" s="73"/>
      <c r="DL414" s="34"/>
    </row>
    <row r="415" spans="1:130" x14ac:dyDescent="0.25">
      <c r="J415" s="73"/>
      <c r="K415" s="73"/>
      <c r="L415" s="73"/>
      <c r="M415" s="73"/>
      <c r="N415" s="73"/>
      <c r="O415" s="73"/>
      <c r="P415" s="73"/>
      <c r="Q415" s="73"/>
      <c r="R415" s="73"/>
      <c r="S415" s="73"/>
      <c r="T415" s="73"/>
      <c r="U415" s="73"/>
      <c r="V415" s="73"/>
      <c r="W415" s="73"/>
      <c r="X415" s="73"/>
      <c r="Y415" s="73"/>
      <c r="Z415" s="73"/>
      <c r="AA415" s="73"/>
      <c r="AB415" s="73"/>
      <c r="AC415" s="122"/>
      <c r="AD415" s="108"/>
      <c r="AF415" s="108"/>
      <c r="AG415" s="73"/>
      <c r="AH415" s="73"/>
      <c r="AI415" s="73"/>
      <c r="AJ415" s="73"/>
      <c r="AK415" s="73"/>
      <c r="AL415" s="73"/>
      <c r="AM415" s="73"/>
      <c r="AN415" s="73"/>
      <c r="AO415" s="73"/>
      <c r="AP415" s="73"/>
      <c r="DL415" s="34"/>
    </row>
    <row r="416" spans="1:130" x14ac:dyDescent="0.25">
      <c r="J416" s="73"/>
      <c r="K416" s="73"/>
      <c r="L416" s="73"/>
      <c r="M416" s="73"/>
      <c r="N416" s="73"/>
      <c r="O416" s="73"/>
      <c r="P416" s="73"/>
      <c r="Q416" s="73"/>
      <c r="R416" s="73"/>
      <c r="S416" s="73"/>
      <c r="T416" s="73"/>
      <c r="U416" s="73"/>
      <c r="V416" s="73"/>
      <c r="W416" s="73"/>
      <c r="X416" s="73"/>
      <c r="Y416" s="73"/>
      <c r="Z416" s="73"/>
      <c r="AA416" s="73"/>
      <c r="AB416" s="73"/>
      <c r="AC416" s="122"/>
      <c r="AD416" s="108"/>
      <c r="AF416" s="108"/>
      <c r="AG416" s="73"/>
      <c r="AH416" s="73"/>
      <c r="AI416" s="73"/>
      <c r="AJ416" s="73"/>
      <c r="AK416" s="73"/>
      <c r="AL416" s="73"/>
      <c r="AM416" s="73"/>
      <c r="AN416" s="73"/>
      <c r="AO416" s="73"/>
      <c r="AP416" s="73"/>
      <c r="DL416" s="34"/>
    </row>
    <row r="417" spans="10:116" x14ac:dyDescent="0.25">
      <c r="J417" s="73"/>
      <c r="K417" s="73"/>
      <c r="L417" s="73"/>
      <c r="M417" s="73"/>
      <c r="N417" s="73"/>
      <c r="O417" s="73"/>
      <c r="P417" s="73"/>
      <c r="Q417" s="73"/>
      <c r="R417" s="73"/>
      <c r="S417" s="73"/>
      <c r="T417" s="73"/>
      <c r="U417" s="73"/>
      <c r="V417" s="73"/>
      <c r="W417" s="73"/>
      <c r="X417" s="73"/>
      <c r="Y417" s="73"/>
      <c r="Z417" s="73"/>
      <c r="AA417" s="73"/>
      <c r="AB417" s="73"/>
      <c r="AC417" s="122"/>
      <c r="AD417" s="108"/>
      <c r="AF417" s="108"/>
      <c r="AG417" s="73"/>
      <c r="AH417" s="73"/>
      <c r="AI417" s="73"/>
      <c r="AJ417" s="73"/>
      <c r="AK417" s="73"/>
      <c r="AL417" s="73"/>
      <c r="AM417" s="73"/>
      <c r="AN417" s="73"/>
      <c r="AO417" s="73"/>
      <c r="AP417" s="73"/>
      <c r="DL417" s="34"/>
    </row>
    <row r="418" spans="10:116" x14ac:dyDescent="0.25">
      <c r="J418" s="73"/>
      <c r="K418" s="73"/>
      <c r="L418" s="73"/>
      <c r="M418" s="73"/>
      <c r="N418" s="73"/>
      <c r="O418" s="73"/>
      <c r="P418" s="73"/>
      <c r="Q418" s="73"/>
      <c r="R418" s="73"/>
      <c r="S418" s="73"/>
      <c r="T418" s="73"/>
      <c r="U418" s="73"/>
      <c r="V418" s="73"/>
      <c r="W418" s="73"/>
      <c r="X418" s="73"/>
      <c r="Y418" s="73"/>
      <c r="Z418" s="73"/>
      <c r="AA418" s="73"/>
      <c r="AB418" s="73"/>
      <c r="AC418" s="122"/>
      <c r="AD418" s="108"/>
      <c r="AF418" s="108"/>
      <c r="AG418" s="73"/>
      <c r="AH418" s="73"/>
      <c r="AI418" s="73"/>
      <c r="AJ418" s="73"/>
      <c r="AK418" s="73"/>
      <c r="AL418" s="73"/>
      <c r="AM418" s="73"/>
      <c r="AN418" s="73"/>
      <c r="AO418" s="73"/>
      <c r="AP418" s="73"/>
      <c r="DL418" s="34"/>
    </row>
    <row r="419" spans="10:116" x14ac:dyDescent="0.25">
      <c r="J419" s="73"/>
      <c r="K419" s="73"/>
      <c r="L419" s="73"/>
      <c r="M419" s="73"/>
      <c r="N419" s="73"/>
      <c r="O419" s="73"/>
      <c r="P419" s="73"/>
      <c r="Q419" s="73"/>
      <c r="R419" s="73"/>
      <c r="S419" s="73"/>
      <c r="T419" s="73"/>
      <c r="U419" s="73"/>
      <c r="V419" s="73"/>
      <c r="W419" s="73"/>
      <c r="X419" s="73"/>
      <c r="Y419" s="73"/>
      <c r="Z419" s="73"/>
      <c r="AA419" s="73"/>
      <c r="AB419" s="73"/>
      <c r="AC419" s="122"/>
      <c r="AD419" s="108"/>
      <c r="AF419" s="108"/>
      <c r="AG419" s="73"/>
      <c r="AH419" s="73"/>
      <c r="AI419" s="73"/>
      <c r="AJ419" s="73"/>
      <c r="AK419" s="73"/>
      <c r="AL419" s="73"/>
      <c r="AM419" s="73"/>
      <c r="AN419" s="73"/>
      <c r="AO419" s="73"/>
      <c r="AP419" s="73"/>
      <c r="DL419" s="34"/>
    </row>
    <row r="420" spans="10:116" x14ac:dyDescent="0.25">
      <c r="J420" s="73"/>
      <c r="K420" s="73"/>
      <c r="L420" s="73"/>
      <c r="M420" s="73"/>
      <c r="N420" s="73"/>
      <c r="O420" s="73"/>
      <c r="P420" s="73"/>
      <c r="Q420" s="73"/>
      <c r="R420" s="73"/>
      <c r="S420" s="73"/>
      <c r="T420" s="73"/>
      <c r="U420" s="73"/>
      <c r="V420" s="73"/>
      <c r="W420" s="73"/>
      <c r="X420" s="73"/>
      <c r="Y420" s="73"/>
      <c r="Z420" s="73"/>
      <c r="AA420" s="73"/>
      <c r="AB420" s="73"/>
      <c r="AC420" s="122"/>
      <c r="AD420" s="108"/>
      <c r="AF420" s="108"/>
      <c r="AG420" s="73"/>
      <c r="AH420" s="73"/>
      <c r="AI420" s="73"/>
      <c r="AJ420" s="73"/>
      <c r="AK420" s="73"/>
      <c r="AL420" s="73"/>
      <c r="AM420" s="73"/>
      <c r="AN420" s="73"/>
      <c r="AO420" s="73"/>
      <c r="AP420" s="73"/>
      <c r="DL420" s="34"/>
    </row>
    <row r="421" spans="10:116" x14ac:dyDescent="0.25">
      <c r="J421" s="73"/>
      <c r="K421" s="73"/>
      <c r="L421" s="73"/>
      <c r="M421" s="73"/>
      <c r="N421" s="73"/>
      <c r="O421" s="73"/>
      <c r="P421" s="73"/>
      <c r="Q421" s="73"/>
      <c r="R421" s="73"/>
      <c r="S421" s="73"/>
      <c r="T421" s="73"/>
      <c r="U421" s="73"/>
      <c r="V421" s="73"/>
      <c r="W421" s="73"/>
      <c r="X421" s="73"/>
      <c r="Y421" s="73"/>
      <c r="Z421" s="73"/>
      <c r="AA421" s="73"/>
      <c r="AB421" s="73"/>
      <c r="AC421" s="122"/>
      <c r="AD421" s="108"/>
      <c r="AF421" s="108"/>
      <c r="AG421" s="73"/>
      <c r="AH421" s="73"/>
      <c r="AI421" s="73"/>
      <c r="AJ421" s="73"/>
      <c r="AK421" s="73"/>
      <c r="AL421" s="73"/>
      <c r="AM421" s="73"/>
      <c r="AN421" s="73"/>
      <c r="AO421" s="73"/>
      <c r="AP421" s="73"/>
      <c r="DL421" s="34"/>
    </row>
    <row r="422" spans="10:116" x14ac:dyDescent="0.25">
      <c r="J422" s="73"/>
      <c r="K422" s="73"/>
      <c r="L422" s="73"/>
      <c r="M422" s="73"/>
      <c r="N422" s="73"/>
      <c r="O422" s="73"/>
      <c r="P422" s="73"/>
      <c r="Q422" s="73"/>
      <c r="R422" s="73"/>
      <c r="S422" s="73"/>
      <c r="T422" s="73"/>
      <c r="U422" s="73"/>
      <c r="V422" s="73"/>
      <c r="W422" s="73"/>
      <c r="X422" s="73"/>
      <c r="Y422" s="73"/>
      <c r="Z422" s="73"/>
      <c r="AA422" s="73"/>
      <c r="AB422" s="73"/>
      <c r="AC422" s="122"/>
      <c r="AD422" s="108"/>
      <c r="AF422" s="108"/>
      <c r="AG422" s="73"/>
      <c r="AH422" s="73"/>
      <c r="AI422" s="73"/>
      <c r="AJ422" s="73"/>
      <c r="AK422" s="73"/>
      <c r="AL422" s="73"/>
      <c r="AM422" s="73"/>
      <c r="AN422" s="73"/>
      <c r="AO422" s="73"/>
      <c r="AP422" s="73"/>
      <c r="DL422" s="34"/>
    </row>
    <row r="423" spans="10:116" x14ac:dyDescent="0.25">
      <c r="J423" s="73"/>
      <c r="K423" s="73"/>
      <c r="L423" s="73"/>
      <c r="M423" s="73"/>
      <c r="N423" s="73"/>
      <c r="O423" s="73"/>
      <c r="P423" s="73"/>
      <c r="Q423" s="73"/>
      <c r="R423" s="73"/>
      <c r="S423" s="73"/>
      <c r="T423" s="73"/>
      <c r="U423" s="73"/>
      <c r="V423" s="73"/>
      <c r="W423" s="73"/>
      <c r="X423" s="73"/>
      <c r="Y423" s="73"/>
      <c r="Z423" s="73"/>
      <c r="AA423" s="73"/>
      <c r="AB423" s="73"/>
      <c r="AC423" s="122"/>
      <c r="AD423" s="108"/>
      <c r="AF423" s="108"/>
      <c r="AG423" s="73"/>
      <c r="AH423" s="73"/>
      <c r="AI423" s="73"/>
      <c r="AJ423" s="73"/>
      <c r="AK423" s="73"/>
      <c r="AL423" s="73"/>
      <c r="AM423" s="73"/>
      <c r="AN423" s="73"/>
      <c r="AO423" s="73"/>
      <c r="AP423" s="73"/>
      <c r="DL423" s="34"/>
    </row>
    <row r="424" spans="10:116" x14ac:dyDescent="0.25">
      <c r="J424" s="73"/>
      <c r="K424" s="73"/>
      <c r="L424" s="73"/>
      <c r="M424" s="73"/>
      <c r="N424" s="73"/>
      <c r="O424" s="73"/>
      <c r="P424" s="73"/>
      <c r="Q424" s="73"/>
      <c r="R424" s="73"/>
      <c r="S424" s="73"/>
      <c r="T424" s="73"/>
      <c r="U424" s="73"/>
      <c r="V424" s="73"/>
      <c r="W424" s="73"/>
      <c r="X424" s="73"/>
      <c r="Y424" s="73"/>
      <c r="Z424" s="73"/>
      <c r="AA424" s="73"/>
      <c r="AB424" s="73"/>
      <c r="AC424" s="122"/>
      <c r="AD424" s="108"/>
      <c r="AF424" s="108"/>
      <c r="AG424" s="73"/>
      <c r="AH424" s="73"/>
      <c r="AI424" s="73"/>
      <c r="AJ424" s="73"/>
      <c r="AK424" s="73"/>
      <c r="AL424" s="73"/>
      <c r="AM424" s="73"/>
      <c r="AN424" s="73"/>
      <c r="AO424" s="73"/>
      <c r="AP424" s="73"/>
      <c r="DL424" s="34"/>
    </row>
    <row r="425" spans="10:116" x14ac:dyDescent="0.25">
      <c r="J425" s="73"/>
      <c r="K425" s="73"/>
      <c r="L425" s="73"/>
      <c r="M425" s="73"/>
      <c r="N425" s="73"/>
      <c r="O425" s="73"/>
      <c r="P425" s="73"/>
      <c r="Q425" s="73"/>
      <c r="R425" s="73"/>
      <c r="S425" s="73"/>
      <c r="T425" s="73"/>
      <c r="U425" s="73"/>
      <c r="V425" s="73"/>
      <c r="W425" s="73"/>
      <c r="X425" s="73"/>
      <c r="Y425" s="73"/>
      <c r="Z425" s="73"/>
      <c r="AA425" s="73"/>
      <c r="AB425" s="73"/>
      <c r="AC425" s="122"/>
      <c r="AD425" s="108"/>
      <c r="AF425" s="108"/>
      <c r="AG425" s="73"/>
      <c r="AH425" s="73"/>
      <c r="AI425" s="73"/>
      <c r="AJ425" s="73"/>
      <c r="AK425" s="73"/>
      <c r="AL425" s="73"/>
      <c r="AM425" s="73"/>
      <c r="AN425" s="73"/>
      <c r="AO425" s="73"/>
      <c r="AP425" s="73"/>
      <c r="DL425" s="34"/>
    </row>
    <row r="426" spans="10:116" x14ac:dyDescent="0.25">
      <c r="J426" s="73"/>
      <c r="K426" s="73"/>
      <c r="L426" s="73"/>
      <c r="M426" s="73"/>
      <c r="N426" s="73"/>
      <c r="O426" s="73"/>
      <c r="P426" s="73"/>
      <c r="Q426" s="73"/>
      <c r="R426" s="73"/>
      <c r="S426" s="73"/>
      <c r="T426" s="73"/>
      <c r="U426" s="73"/>
      <c r="V426" s="73"/>
      <c r="W426" s="73"/>
      <c r="X426" s="73"/>
      <c r="Y426" s="73"/>
      <c r="Z426" s="73"/>
      <c r="AA426" s="73"/>
      <c r="AB426" s="73"/>
      <c r="AC426" s="122"/>
      <c r="AD426" s="108"/>
      <c r="AF426" s="108"/>
      <c r="AG426" s="73"/>
      <c r="AH426" s="73"/>
      <c r="AI426" s="73"/>
      <c r="AJ426" s="73"/>
      <c r="AK426" s="73"/>
      <c r="AL426" s="73"/>
      <c r="AM426" s="73"/>
      <c r="AN426" s="73"/>
      <c r="AO426" s="73"/>
      <c r="AP426" s="73"/>
      <c r="DL426" s="34"/>
    </row>
    <row r="427" spans="10:116" x14ac:dyDescent="0.25">
      <c r="J427" s="73"/>
      <c r="K427" s="73"/>
      <c r="L427" s="73"/>
      <c r="M427" s="73"/>
      <c r="N427" s="73"/>
      <c r="O427" s="73"/>
      <c r="P427" s="73"/>
      <c r="Q427" s="73"/>
      <c r="R427" s="73"/>
      <c r="S427" s="73"/>
      <c r="T427" s="73"/>
      <c r="U427" s="73"/>
      <c r="V427" s="73"/>
      <c r="W427" s="73"/>
      <c r="X427" s="73"/>
      <c r="Y427" s="73"/>
      <c r="Z427" s="73"/>
      <c r="AA427" s="73"/>
      <c r="AB427" s="73"/>
      <c r="AC427" s="122"/>
      <c r="AD427" s="108"/>
      <c r="AF427" s="108"/>
      <c r="AG427" s="73"/>
      <c r="AH427" s="73"/>
      <c r="AI427" s="73"/>
      <c r="AJ427" s="73"/>
      <c r="AK427" s="73"/>
      <c r="AL427" s="73"/>
      <c r="AM427" s="73"/>
      <c r="AN427" s="73"/>
      <c r="AO427" s="73"/>
      <c r="AP427" s="73"/>
      <c r="DL427" s="34"/>
    </row>
    <row r="428" spans="10:116" x14ac:dyDescent="0.25">
      <c r="J428" s="73"/>
      <c r="K428" s="73"/>
      <c r="L428" s="73"/>
      <c r="M428" s="73"/>
      <c r="N428" s="73"/>
      <c r="O428" s="73"/>
      <c r="P428" s="73"/>
      <c r="Q428" s="73"/>
      <c r="R428" s="73"/>
      <c r="S428" s="73"/>
      <c r="T428" s="73"/>
      <c r="U428" s="73"/>
      <c r="V428" s="73"/>
      <c r="W428" s="73"/>
      <c r="X428" s="73"/>
      <c r="Y428" s="73"/>
      <c r="Z428" s="73"/>
      <c r="AA428" s="73"/>
      <c r="AB428" s="73"/>
      <c r="AC428" s="122"/>
      <c r="AD428" s="108"/>
      <c r="AF428" s="108"/>
      <c r="AG428" s="73"/>
      <c r="AH428" s="73"/>
      <c r="AI428" s="73"/>
      <c r="AJ428" s="73"/>
      <c r="AK428" s="73"/>
      <c r="AL428" s="73"/>
      <c r="AM428" s="73"/>
      <c r="AN428" s="73"/>
      <c r="AO428" s="73"/>
      <c r="AP428" s="73"/>
      <c r="DL428" s="34"/>
    </row>
    <row r="429" spans="10:116" x14ac:dyDescent="0.25">
      <c r="J429" s="73"/>
      <c r="K429" s="73"/>
      <c r="L429" s="73"/>
      <c r="M429" s="73"/>
      <c r="N429" s="73"/>
      <c r="O429" s="73"/>
      <c r="P429" s="73"/>
      <c r="Q429" s="73"/>
      <c r="R429" s="73"/>
      <c r="S429" s="73"/>
      <c r="T429" s="73"/>
      <c r="U429" s="73"/>
      <c r="V429" s="73"/>
      <c r="W429" s="73"/>
      <c r="X429" s="73"/>
      <c r="Y429" s="73"/>
      <c r="Z429" s="73"/>
      <c r="AA429" s="73"/>
      <c r="AB429" s="73"/>
      <c r="AC429" s="122"/>
      <c r="AD429" s="108"/>
      <c r="AF429" s="108"/>
      <c r="AG429" s="73"/>
      <c r="AH429" s="73"/>
      <c r="AI429" s="73"/>
      <c r="AJ429" s="73"/>
      <c r="AK429" s="73"/>
      <c r="AL429" s="73"/>
      <c r="AM429" s="73"/>
      <c r="AN429" s="73"/>
      <c r="AO429" s="73"/>
      <c r="AP429" s="73"/>
      <c r="DL429" s="34"/>
    </row>
    <row r="430" spans="10:116" x14ac:dyDescent="0.25">
      <c r="J430" s="73"/>
      <c r="K430" s="73"/>
      <c r="L430" s="73"/>
      <c r="M430" s="73"/>
      <c r="N430" s="73"/>
      <c r="O430" s="73"/>
      <c r="P430" s="73"/>
      <c r="Q430" s="73"/>
      <c r="R430" s="73"/>
      <c r="S430" s="73"/>
      <c r="T430" s="73"/>
      <c r="U430" s="73"/>
      <c r="V430" s="73"/>
      <c r="W430" s="73"/>
      <c r="X430" s="73"/>
      <c r="Y430" s="73"/>
      <c r="Z430" s="73"/>
      <c r="AA430" s="73"/>
      <c r="AB430" s="73"/>
      <c r="AC430" s="122"/>
      <c r="AD430" s="108"/>
      <c r="AF430" s="108"/>
      <c r="AG430" s="73"/>
      <c r="AH430" s="73"/>
      <c r="AI430" s="73"/>
      <c r="AJ430" s="73"/>
      <c r="AK430" s="73"/>
      <c r="AL430" s="73"/>
      <c r="AM430" s="73"/>
      <c r="AN430" s="73"/>
      <c r="AO430" s="73"/>
      <c r="AP430" s="73"/>
      <c r="DL430" s="34"/>
    </row>
    <row r="431" spans="10:116" x14ac:dyDescent="0.25">
      <c r="J431" s="73"/>
      <c r="K431" s="73"/>
      <c r="L431" s="73"/>
      <c r="M431" s="73"/>
      <c r="N431" s="73"/>
      <c r="O431" s="73"/>
      <c r="P431" s="73"/>
      <c r="Q431" s="73"/>
      <c r="R431" s="73"/>
      <c r="S431" s="73"/>
      <c r="T431" s="73"/>
      <c r="U431" s="73"/>
      <c r="V431" s="73"/>
      <c r="W431" s="73"/>
      <c r="X431" s="73"/>
      <c r="Y431" s="73"/>
      <c r="Z431" s="73"/>
      <c r="AA431" s="73"/>
      <c r="AB431" s="73"/>
      <c r="AC431" s="122"/>
      <c r="AD431" s="108"/>
      <c r="AF431" s="108"/>
      <c r="AG431" s="73"/>
      <c r="AH431" s="73"/>
      <c r="AI431" s="73"/>
      <c r="AJ431" s="73"/>
      <c r="AK431" s="73"/>
      <c r="AL431" s="73"/>
      <c r="AM431" s="73"/>
      <c r="AN431" s="73"/>
      <c r="AO431" s="73"/>
      <c r="AP431" s="73"/>
      <c r="DL431" s="34"/>
    </row>
    <row r="432" spans="10:116" x14ac:dyDescent="0.25">
      <c r="J432" s="73"/>
      <c r="K432" s="73"/>
      <c r="L432" s="73"/>
      <c r="M432" s="73"/>
      <c r="N432" s="73"/>
      <c r="O432" s="73"/>
      <c r="P432" s="73"/>
      <c r="Q432" s="73"/>
      <c r="R432" s="73"/>
      <c r="S432" s="73"/>
      <c r="T432" s="73"/>
      <c r="U432" s="73"/>
      <c r="V432" s="73"/>
      <c r="W432" s="73"/>
      <c r="X432" s="73"/>
      <c r="Y432" s="73"/>
      <c r="Z432" s="73"/>
      <c r="AA432" s="73"/>
      <c r="AB432" s="73"/>
      <c r="AC432" s="122"/>
      <c r="AD432" s="108"/>
      <c r="AF432" s="108"/>
      <c r="AG432" s="73"/>
      <c r="AH432" s="73"/>
      <c r="AI432" s="73"/>
      <c r="AJ432" s="73"/>
      <c r="AK432" s="73"/>
      <c r="AL432" s="73"/>
      <c r="AM432" s="73"/>
      <c r="AN432" s="73"/>
      <c r="AO432" s="73"/>
      <c r="AP432" s="73"/>
      <c r="DL432" s="34"/>
    </row>
    <row r="433" spans="10:116" x14ac:dyDescent="0.25">
      <c r="J433" s="73"/>
      <c r="K433" s="73"/>
      <c r="L433" s="73"/>
      <c r="M433" s="73"/>
      <c r="N433" s="73"/>
      <c r="O433" s="73"/>
      <c r="P433" s="73"/>
      <c r="Q433" s="73"/>
      <c r="R433" s="73"/>
      <c r="S433" s="73"/>
      <c r="T433" s="73"/>
      <c r="U433" s="73"/>
      <c r="V433" s="73"/>
      <c r="W433" s="73"/>
      <c r="X433" s="73"/>
      <c r="Y433" s="73"/>
      <c r="Z433" s="73"/>
      <c r="AA433" s="73"/>
      <c r="AB433" s="73"/>
      <c r="AC433" s="122"/>
      <c r="AD433" s="108"/>
      <c r="AF433" s="108"/>
      <c r="AG433" s="73"/>
      <c r="AH433" s="73"/>
      <c r="AI433" s="73"/>
      <c r="AJ433" s="73"/>
      <c r="AK433" s="73"/>
      <c r="AL433" s="73"/>
      <c r="AM433" s="73"/>
      <c r="AN433" s="73"/>
      <c r="AO433" s="73"/>
      <c r="AP433" s="73"/>
      <c r="DL433" s="34"/>
    </row>
    <row r="434" spans="10:116" x14ac:dyDescent="0.25">
      <c r="J434" s="73"/>
      <c r="K434" s="73"/>
      <c r="L434" s="73"/>
      <c r="M434" s="73"/>
      <c r="N434" s="73"/>
      <c r="O434" s="73"/>
      <c r="P434" s="73"/>
      <c r="Q434" s="73"/>
      <c r="R434" s="73"/>
      <c r="S434" s="73"/>
      <c r="T434" s="73"/>
      <c r="U434" s="73"/>
      <c r="V434" s="73"/>
      <c r="W434" s="73"/>
      <c r="X434" s="73"/>
      <c r="Y434" s="73"/>
      <c r="Z434" s="73"/>
      <c r="AA434" s="73"/>
      <c r="AB434" s="73"/>
      <c r="AC434" s="122"/>
      <c r="AD434" s="108"/>
      <c r="AF434" s="108"/>
      <c r="AG434" s="73"/>
      <c r="AH434" s="73"/>
      <c r="AI434" s="73"/>
      <c r="AJ434" s="73"/>
      <c r="AK434" s="73"/>
      <c r="AL434" s="73"/>
      <c r="AM434" s="73"/>
      <c r="AN434" s="73"/>
      <c r="AO434" s="73"/>
      <c r="AP434" s="73"/>
      <c r="DL434" s="34"/>
    </row>
    <row r="435" spans="10:116" x14ac:dyDescent="0.25">
      <c r="J435" s="73"/>
      <c r="K435" s="73"/>
      <c r="L435" s="73"/>
      <c r="M435" s="73"/>
      <c r="N435" s="73"/>
      <c r="O435" s="73"/>
      <c r="P435" s="73"/>
      <c r="Q435" s="73"/>
      <c r="R435" s="73"/>
      <c r="S435" s="73"/>
      <c r="T435" s="73"/>
      <c r="U435" s="73"/>
      <c r="V435" s="73"/>
      <c r="W435" s="73"/>
      <c r="X435" s="73"/>
      <c r="Y435" s="73"/>
      <c r="Z435" s="73"/>
      <c r="AA435" s="73"/>
      <c r="AB435" s="73"/>
      <c r="AC435" s="122"/>
      <c r="AD435" s="108"/>
      <c r="AF435" s="108"/>
      <c r="AG435" s="73"/>
      <c r="AH435" s="73"/>
      <c r="AI435" s="73"/>
      <c r="AJ435" s="73"/>
      <c r="AK435" s="73"/>
      <c r="AL435" s="73"/>
      <c r="AM435" s="73"/>
      <c r="AN435" s="73"/>
      <c r="AO435" s="73"/>
      <c r="AP435" s="73"/>
      <c r="DL435" s="34"/>
    </row>
    <row r="436" spans="10:116" x14ac:dyDescent="0.25">
      <c r="J436" s="73"/>
      <c r="K436" s="73"/>
      <c r="L436" s="73"/>
      <c r="M436" s="73"/>
      <c r="N436" s="73"/>
      <c r="O436" s="73"/>
      <c r="P436" s="73"/>
      <c r="Q436" s="73"/>
      <c r="R436" s="73"/>
      <c r="S436" s="73"/>
      <c r="T436" s="73"/>
      <c r="U436" s="73"/>
      <c r="V436" s="73"/>
      <c r="W436" s="73"/>
      <c r="X436" s="73"/>
      <c r="Y436" s="73"/>
      <c r="Z436" s="73"/>
      <c r="AA436" s="73"/>
      <c r="AB436" s="73"/>
      <c r="AC436" s="122"/>
      <c r="AD436" s="108"/>
      <c r="AF436" s="108"/>
      <c r="AG436" s="73"/>
      <c r="AH436" s="73"/>
      <c r="AI436" s="73"/>
      <c r="AJ436" s="73"/>
      <c r="AK436" s="73"/>
      <c r="AL436" s="73"/>
      <c r="AM436" s="73"/>
      <c r="AN436" s="73"/>
      <c r="AO436" s="73"/>
      <c r="AP436" s="73"/>
      <c r="DL436" s="34"/>
    </row>
    <row r="437" spans="10:116" x14ac:dyDescent="0.25">
      <c r="J437" s="73"/>
      <c r="K437" s="73"/>
      <c r="L437" s="73"/>
      <c r="M437" s="73"/>
      <c r="N437" s="73"/>
      <c r="O437" s="73"/>
      <c r="P437" s="73"/>
      <c r="Q437" s="73"/>
      <c r="R437" s="73"/>
      <c r="S437" s="73"/>
      <c r="T437" s="73"/>
      <c r="U437" s="73"/>
      <c r="V437" s="73"/>
      <c r="W437" s="73"/>
      <c r="X437" s="73"/>
      <c r="Y437" s="73"/>
      <c r="Z437" s="73"/>
      <c r="AA437" s="73"/>
      <c r="AB437" s="73"/>
      <c r="AC437" s="122"/>
      <c r="AD437" s="108"/>
      <c r="AF437" s="108"/>
      <c r="AG437" s="73"/>
      <c r="AH437" s="73"/>
      <c r="AI437" s="73"/>
      <c r="AJ437" s="73"/>
      <c r="AK437" s="73"/>
      <c r="AL437" s="73"/>
      <c r="AM437" s="73"/>
      <c r="AN437" s="73"/>
      <c r="AO437" s="73"/>
      <c r="AP437" s="73"/>
      <c r="DL437" s="34"/>
    </row>
    <row r="438" spans="10:116" x14ac:dyDescent="0.25">
      <c r="J438" s="73"/>
      <c r="K438" s="73"/>
      <c r="L438" s="73"/>
      <c r="M438" s="73"/>
      <c r="N438" s="73"/>
      <c r="O438" s="73"/>
      <c r="P438" s="73"/>
      <c r="Q438" s="73"/>
      <c r="R438" s="73"/>
      <c r="S438" s="73"/>
      <c r="T438" s="73"/>
      <c r="U438" s="73"/>
      <c r="V438" s="73"/>
      <c r="W438" s="73"/>
      <c r="X438" s="73"/>
      <c r="Y438" s="73"/>
      <c r="Z438" s="73"/>
      <c r="AA438" s="73"/>
      <c r="AB438" s="73"/>
      <c r="AC438" s="122"/>
      <c r="AD438" s="108"/>
      <c r="AF438" s="108"/>
      <c r="AG438" s="73"/>
      <c r="AH438" s="73"/>
      <c r="AI438" s="73"/>
      <c r="AJ438" s="73"/>
      <c r="AK438" s="73"/>
      <c r="AL438" s="73"/>
      <c r="AM438" s="73"/>
      <c r="AN438" s="73"/>
      <c r="AO438" s="73"/>
      <c r="AP438" s="73"/>
      <c r="DL438" s="34"/>
    </row>
    <row r="439" spans="10:116" x14ac:dyDescent="0.25">
      <c r="J439" s="73"/>
      <c r="K439" s="73"/>
      <c r="L439" s="73"/>
      <c r="M439" s="73"/>
      <c r="N439" s="73"/>
      <c r="O439" s="73"/>
      <c r="P439" s="73"/>
      <c r="Q439" s="73"/>
      <c r="R439" s="73"/>
      <c r="S439" s="73"/>
      <c r="T439" s="73"/>
      <c r="U439" s="73"/>
      <c r="V439" s="73"/>
      <c r="W439" s="73"/>
      <c r="X439" s="73"/>
      <c r="Y439" s="73"/>
      <c r="Z439" s="73"/>
      <c r="AA439" s="73"/>
      <c r="AB439" s="73"/>
      <c r="AC439" s="122"/>
      <c r="AD439" s="108"/>
      <c r="AF439" s="108"/>
      <c r="AG439" s="73"/>
      <c r="AH439" s="73"/>
      <c r="AI439" s="73"/>
      <c r="AJ439" s="73"/>
      <c r="AK439" s="73"/>
      <c r="AL439" s="73"/>
      <c r="AM439" s="73"/>
      <c r="AN439" s="73"/>
      <c r="AO439" s="73"/>
      <c r="AP439" s="73"/>
      <c r="DL439" s="34"/>
    </row>
    <row r="440" spans="10:116" x14ac:dyDescent="0.25">
      <c r="J440" s="73"/>
      <c r="K440" s="73"/>
      <c r="L440" s="73"/>
      <c r="M440" s="73"/>
      <c r="N440" s="73"/>
      <c r="O440" s="73"/>
      <c r="P440" s="73"/>
      <c r="Q440" s="73"/>
      <c r="R440" s="73"/>
      <c r="S440" s="73"/>
      <c r="T440" s="73"/>
      <c r="U440" s="73"/>
      <c r="V440" s="73"/>
      <c r="W440" s="73"/>
      <c r="X440" s="73"/>
      <c r="Y440" s="73"/>
      <c r="Z440" s="73"/>
      <c r="AA440" s="73"/>
      <c r="AB440" s="73"/>
      <c r="AC440" s="122"/>
      <c r="AD440" s="108"/>
      <c r="AF440" s="108"/>
      <c r="AG440" s="73"/>
      <c r="AH440" s="73"/>
      <c r="AI440" s="73"/>
      <c r="AJ440" s="73"/>
      <c r="AK440" s="73"/>
      <c r="AL440" s="73"/>
      <c r="AM440" s="73"/>
      <c r="AN440" s="73"/>
      <c r="AO440" s="73"/>
      <c r="AP440" s="73"/>
      <c r="DL440" s="34"/>
    </row>
    <row r="441" spans="10:116" x14ac:dyDescent="0.25">
      <c r="J441" s="73"/>
      <c r="K441" s="73"/>
      <c r="L441" s="73"/>
      <c r="M441" s="73"/>
      <c r="N441" s="73"/>
      <c r="O441" s="73"/>
      <c r="P441" s="73"/>
      <c r="Q441" s="73"/>
      <c r="R441" s="73"/>
      <c r="S441" s="73"/>
      <c r="T441" s="73"/>
      <c r="U441" s="73"/>
      <c r="V441" s="73"/>
      <c r="W441" s="73"/>
      <c r="X441" s="73"/>
      <c r="Y441" s="73"/>
      <c r="Z441" s="73"/>
      <c r="AA441" s="73"/>
      <c r="AB441" s="73"/>
      <c r="AC441" s="122"/>
      <c r="AD441" s="108"/>
      <c r="AF441" s="108"/>
      <c r="AG441" s="73"/>
      <c r="AH441" s="73"/>
      <c r="AI441" s="73"/>
      <c r="AJ441" s="73"/>
      <c r="AK441" s="73"/>
      <c r="AL441" s="73"/>
      <c r="AM441" s="73"/>
      <c r="AN441" s="73"/>
      <c r="AO441" s="73"/>
      <c r="AP441" s="73"/>
      <c r="DL441" s="34"/>
    </row>
    <row r="442" spans="10:116" x14ac:dyDescent="0.25">
      <c r="J442" s="73"/>
      <c r="K442" s="73"/>
      <c r="L442" s="73"/>
      <c r="M442" s="73"/>
      <c r="N442" s="73"/>
      <c r="O442" s="73"/>
      <c r="P442" s="73"/>
      <c r="Q442" s="73"/>
      <c r="R442" s="73"/>
      <c r="S442" s="73"/>
      <c r="T442" s="73"/>
      <c r="U442" s="73"/>
      <c r="V442" s="73"/>
      <c r="W442" s="73"/>
      <c r="X442" s="73"/>
      <c r="Y442" s="73"/>
      <c r="Z442" s="73"/>
      <c r="AA442" s="73"/>
      <c r="AB442" s="73"/>
      <c r="AC442" s="122"/>
      <c r="AD442" s="108"/>
      <c r="AF442" s="108"/>
      <c r="AG442" s="73"/>
      <c r="AH442" s="73"/>
      <c r="AI442" s="73"/>
      <c r="AJ442" s="73"/>
      <c r="AK442" s="73"/>
      <c r="AL442" s="73"/>
      <c r="AM442" s="73"/>
      <c r="AN442" s="73"/>
      <c r="AO442" s="73"/>
      <c r="AP442" s="73"/>
      <c r="DL442" s="34"/>
    </row>
    <row r="443" spans="10:116" x14ac:dyDescent="0.25">
      <c r="J443" s="73"/>
      <c r="K443" s="73"/>
      <c r="L443" s="73"/>
      <c r="M443" s="73"/>
      <c r="N443" s="73"/>
      <c r="O443" s="73"/>
      <c r="P443" s="73"/>
      <c r="Q443" s="73"/>
      <c r="R443" s="73"/>
      <c r="S443" s="73"/>
      <c r="T443" s="73"/>
      <c r="U443" s="73"/>
      <c r="V443" s="73"/>
      <c r="W443" s="73"/>
      <c r="X443" s="73"/>
      <c r="Y443" s="73"/>
      <c r="Z443" s="73"/>
      <c r="AA443" s="73"/>
      <c r="AB443" s="73"/>
      <c r="AC443" s="122"/>
      <c r="AD443" s="108"/>
      <c r="AF443" s="108"/>
      <c r="AG443" s="73"/>
      <c r="AH443" s="73"/>
      <c r="AI443" s="73"/>
      <c r="AJ443" s="73"/>
      <c r="AK443" s="73"/>
      <c r="AL443" s="73"/>
      <c r="AM443" s="73"/>
      <c r="AN443" s="73"/>
      <c r="AO443" s="73"/>
      <c r="AP443" s="73"/>
      <c r="DL443" s="34"/>
    </row>
    <row r="444" spans="10:116" x14ac:dyDescent="0.25">
      <c r="J444" s="73"/>
      <c r="K444" s="73"/>
      <c r="L444" s="73"/>
      <c r="M444" s="73"/>
      <c r="N444" s="73"/>
      <c r="O444" s="73"/>
      <c r="P444" s="73"/>
      <c r="Q444" s="73"/>
      <c r="R444" s="73"/>
      <c r="S444" s="73"/>
      <c r="T444" s="73"/>
      <c r="U444" s="73"/>
      <c r="V444" s="73"/>
      <c r="W444" s="73"/>
      <c r="X444" s="73"/>
      <c r="Y444" s="73"/>
      <c r="Z444" s="73"/>
      <c r="AA444" s="73"/>
      <c r="AB444" s="73"/>
      <c r="AC444" s="122"/>
      <c r="AD444" s="108"/>
      <c r="AF444" s="108"/>
      <c r="AG444" s="73"/>
      <c r="AH444" s="73"/>
      <c r="AI444" s="73"/>
      <c r="AJ444" s="73"/>
      <c r="AK444" s="73"/>
      <c r="AL444" s="73"/>
      <c r="AM444" s="73"/>
      <c r="AN444" s="73"/>
      <c r="AO444" s="73"/>
      <c r="AP444" s="73"/>
      <c r="DL444" s="34"/>
    </row>
    <row r="445" spans="10:116" x14ac:dyDescent="0.25">
      <c r="J445" s="73"/>
      <c r="K445" s="73"/>
      <c r="L445" s="73"/>
      <c r="M445" s="73"/>
      <c r="N445" s="73"/>
      <c r="O445" s="73"/>
      <c r="P445" s="73"/>
      <c r="Q445" s="73"/>
      <c r="R445" s="73"/>
      <c r="S445" s="73"/>
      <c r="T445" s="73"/>
      <c r="U445" s="73"/>
      <c r="V445" s="73"/>
      <c r="W445" s="73"/>
      <c r="X445" s="73"/>
      <c r="Y445" s="73"/>
      <c r="Z445" s="73"/>
      <c r="AA445" s="73"/>
      <c r="AB445" s="73"/>
      <c r="AC445" s="122"/>
      <c r="AD445" s="108"/>
      <c r="AF445" s="108"/>
      <c r="AG445" s="73"/>
      <c r="AH445" s="73"/>
      <c r="AI445" s="73"/>
      <c r="AJ445" s="73"/>
      <c r="AK445" s="73"/>
      <c r="AL445" s="73"/>
      <c r="AM445" s="73"/>
      <c r="AN445" s="73"/>
      <c r="AO445" s="73"/>
      <c r="AP445" s="73"/>
      <c r="DL445" s="34"/>
    </row>
    <row r="446" spans="10:116" x14ac:dyDescent="0.25">
      <c r="J446" s="73"/>
      <c r="K446" s="73"/>
      <c r="L446" s="73"/>
      <c r="M446" s="73"/>
      <c r="N446" s="73"/>
      <c r="O446" s="73"/>
      <c r="P446" s="73"/>
      <c r="Q446" s="73"/>
      <c r="R446" s="73"/>
      <c r="S446" s="73"/>
      <c r="T446" s="73"/>
      <c r="U446" s="73"/>
      <c r="V446" s="73"/>
      <c r="W446" s="73"/>
      <c r="X446" s="73"/>
      <c r="Y446" s="73"/>
      <c r="Z446" s="73"/>
      <c r="AA446" s="73"/>
      <c r="AB446" s="73"/>
      <c r="AC446" s="122"/>
      <c r="AD446" s="108"/>
      <c r="AF446" s="108"/>
      <c r="AG446" s="73"/>
      <c r="AH446" s="73"/>
      <c r="AI446" s="73"/>
      <c r="AJ446" s="73"/>
      <c r="AK446" s="73"/>
      <c r="AL446" s="73"/>
      <c r="AM446" s="73"/>
      <c r="AN446" s="73"/>
      <c r="AO446" s="73"/>
      <c r="AP446" s="73"/>
      <c r="DL446" s="34"/>
    </row>
    <row r="447" spans="10:116" x14ac:dyDescent="0.25">
      <c r="J447" s="73"/>
      <c r="K447" s="73"/>
      <c r="L447" s="73"/>
      <c r="M447" s="73"/>
      <c r="N447" s="73"/>
      <c r="O447" s="73"/>
      <c r="P447" s="73"/>
      <c r="Q447" s="73"/>
      <c r="R447" s="73"/>
      <c r="S447" s="73"/>
      <c r="T447" s="73"/>
      <c r="U447" s="73"/>
      <c r="V447" s="73"/>
      <c r="W447" s="73"/>
      <c r="X447" s="73"/>
      <c r="Y447" s="73"/>
      <c r="Z447" s="73"/>
      <c r="AA447" s="73"/>
      <c r="AB447" s="73"/>
      <c r="AC447" s="122"/>
      <c r="AD447" s="108"/>
      <c r="AF447" s="108"/>
      <c r="AG447" s="73"/>
      <c r="AH447" s="73"/>
      <c r="AI447" s="73"/>
      <c r="AJ447" s="73"/>
      <c r="AK447" s="73"/>
      <c r="AL447" s="73"/>
      <c r="AM447" s="73"/>
      <c r="AN447" s="73"/>
      <c r="AO447" s="73"/>
      <c r="AP447" s="73"/>
      <c r="DL447" s="34"/>
    </row>
    <row r="448" spans="10:116" x14ac:dyDescent="0.25">
      <c r="J448" s="73"/>
      <c r="K448" s="73"/>
      <c r="L448" s="73"/>
      <c r="M448" s="73"/>
      <c r="N448" s="73"/>
      <c r="O448" s="73"/>
      <c r="P448" s="73"/>
      <c r="Q448" s="73"/>
      <c r="R448" s="73"/>
      <c r="S448" s="73"/>
      <c r="T448" s="73"/>
      <c r="U448" s="73"/>
      <c r="V448" s="73"/>
      <c r="W448" s="73"/>
      <c r="X448" s="73"/>
      <c r="Y448" s="73"/>
      <c r="Z448" s="73"/>
      <c r="AA448" s="73"/>
      <c r="AB448" s="73"/>
      <c r="AC448" s="122"/>
      <c r="AD448" s="108"/>
      <c r="AF448" s="108"/>
      <c r="AG448" s="73"/>
      <c r="AH448" s="73"/>
      <c r="AI448" s="73"/>
      <c r="AJ448" s="73"/>
      <c r="AK448" s="73"/>
      <c r="AL448" s="73"/>
      <c r="AM448" s="73"/>
      <c r="AN448" s="73"/>
      <c r="AO448" s="73"/>
      <c r="AP448" s="73"/>
      <c r="DL448" s="34"/>
    </row>
    <row r="449" spans="10:116" x14ac:dyDescent="0.25">
      <c r="J449" s="73"/>
      <c r="K449" s="73"/>
      <c r="L449" s="73"/>
      <c r="M449" s="73"/>
      <c r="N449" s="73"/>
      <c r="O449" s="73"/>
      <c r="P449" s="73"/>
      <c r="Q449" s="73"/>
      <c r="R449" s="73"/>
      <c r="S449" s="73"/>
      <c r="T449" s="73"/>
      <c r="U449" s="73"/>
      <c r="V449" s="73"/>
      <c r="W449" s="73"/>
      <c r="X449" s="73"/>
      <c r="Y449" s="73"/>
      <c r="Z449" s="73"/>
      <c r="AA449" s="73"/>
      <c r="AB449" s="73"/>
      <c r="AC449" s="122"/>
      <c r="AD449" s="108"/>
      <c r="AF449" s="108"/>
      <c r="AG449" s="73"/>
      <c r="AH449" s="73"/>
      <c r="AI449" s="73"/>
      <c r="AJ449" s="73"/>
      <c r="AK449" s="73"/>
      <c r="AL449" s="73"/>
      <c r="AM449" s="73"/>
      <c r="AN449" s="73"/>
      <c r="AO449" s="73"/>
      <c r="AP449" s="73"/>
      <c r="DL449" s="34"/>
    </row>
    <row r="450" spans="10:116" x14ac:dyDescent="0.25">
      <c r="J450" s="73"/>
      <c r="K450" s="73"/>
      <c r="L450" s="73"/>
      <c r="M450" s="73"/>
      <c r="N450" s="73"/>
      <c r="O450" s="73"/>
      <c r="P450" s="73"/>
      <c r="Q450" s="73"/>
      <c r="R450" s="73"/>
      <c r="S450" s="73"/>
      <c r="T450" s="73"/>
      <c r="U450" s="73"/>
      <c r="V450" s="73"/>
      <c r="W450" s="73"/>
      <c r="X450" s="73"/>
      <c r="Y450" s="73"/>
      <c r="Z450" s="73"/>
      <c r="AA450" s="73"/>
      <c r="AB450" s="73"/>
      <c r="AC450" s="122"/>
      <c r="AD450" s="108"/>
      <c r="AF450" s="108"/>
      <c r="AG450" s="73"/>
      <c r="AH450" s="73"/>
      <c r="AI450" s="73"/>
      <c r="AJ450" s="73"/>
      <c r="AK450" s="73"/>
      <c r="AL450" s="73"/>
      <c r="AM450" s="73"/>
      <c r="AN450" s="73"/>
      <c r="AO450" s="73"/>
      <c r="AP450" s="73"/>
      <c r="DL450" s="34"/>
    </row>
    <row r="451" spans="10:116" x14ac:dyDescent="0.25">
      <c r="J451" s="73"/>
      <c r="K451" s="73"/>
      <c r="L451" s="73"/>
      <c r="M451" s="73"/>
      <c r="N451" s="73"/>
      <c r="O451" s="73"/>
      <c r="P451" s="73"/>
      <c r="Q451" s="73"/>
      <c r="R451" s="73"/>
      <c r="S451" s="73"/>
      <c r="T451" s="73"/>
      <c r="U451" s="73"/>
      <c r="V451" s="73"/>
      <c r="W451" s="73"/>
      <c r="X451" s="73"/>
      <c r="Y451" s="73"/>
      <c r="Z451" s="73"/>
      <c r="AA451" s="73"/>
      <c r="AB451" s="73"/>
      <c r="AC451" s="122"/>
      <c r="AD451" s="108"/>
      <c r="AF451" s="108"/>
      <c r="AG451" s="73"/>
      <c r="AH451" s="73"/>
      <c r="AI451" s="73"/>
      <c r="AJ451" s="73"/>
      <c r="AK451" s="73"/>
      <c r="AL451" s="73"/>
      <c r="AM451" s="73"/>
      <c r="AN451" s="73"/>
      <c r="AO451" s="73"/>
      <c r="AP451" s="73"/>
      <c r="DL451" s="34"/>
    </row>
    <row r="452" spans="10:116" x14ac:dyDescent="0.25">
      <c r="J452" s="73"/>
      <c r="K452" s="73"/>
      <c r="L452" s="73"/>
      <c r="M452" s="73"/>
      <c r="N452" s="73"/>
      <c r="O452" s="73"/>
      <c r="P452" s="73"/>
      <c r="Q452" s="73"/>
      <c r="R452" s="73"/>
      <c r="S452" s="73"/>
      <c r="T452" s="73"/>
      <c r="U452" s="73"/>
      <c r="V452" s="73"/>
      <c r="W452" s="73"/>
      <c r="X452" s="73"/>
      <c r="Y452" s="73"/>
      <c r="Z452" s="73"/>
      <c r="AA452" s="73"/>
      <c r="AB452" s="73"/>
      <c r="AC452" s="122"/>
      <c r="AD452" s="108"/>
      <c r="AF452" s="108"/>
      <c r="AG452" s="73"/>
      <c r="AH452" s="73"/>
      <c r="AI452" s="73"/>
      <c r="AJ452" s="73"/>
      <c r="AK452" s="73"/>
      <c r="AL452" s="73"/>
      <c r="AM452" s="73"/>
      <c r="AN452" s="73"/>
      <c r="AO452" s="73"/>
      <c r="AP452" s="73"/>
      <c r="DL452" s="34"/>
    </row>
    <row r="453" spans="10:116" x14ac:dyDescent="0.25">
      <c r="J453" s="73"/>
      <c r="K453" s="73"/>
      <c r="L453" s="73"/>
      <c r="M453" s="73"/>
      <c r="N453" s="73"/>
      <c r="O453" s="73"/>
      <c r="P453" s="73"/>
      <c r="Q453" s="73"/>
      <c r="R453" s="73"/>
      <c r="S453" s="73"/>
      <c r="T453" s="73"/>
      <c r="U453" s="73"/>
      <c r="V453" s="73"/>
      <c r="W453" s="73"/>
      <c r="X453" s="73"/>
      <c r="Y453" s="73"/>
      <c r="Z453" s="73"/>
      <c r="AA453" s="73"/>
      <c r="AB453" s="73"/>
      <c r="AC453" s="122"/>
      <c r="AD453" s="108"/>
      <c r="AF453" s="108"/>
      <c r="AG453" s="73"/>
      <c r="AH453" s="73"/>
      <c r="AI453" s="73"/>
      <c r="AJ453" s="73"/>
      <c r="AK453" s="73"/>
      <c r="AL453" s="73"/>
      <c r="AM453" s="73"/>
      <c r="AN453" s="73"/>
      <c r="AO453" s="73"/>
      <c r="AP453" s="73"/>
      <c r="DL453" s="34"/>
    </row>
    <row r="454" spans="10:116" x14ac:dyDescent="0.25">
      <c r="J454" s="73"/>
      <c r="K454" s="73"/>
      <c r="L454" s="73"/>
      <c r="M454" s="73"/>
      <c r="N454" s="73"/>
      <c r="O454" s="73"/>
      <c r="P454" s="73"/>
      <c r="Q454" s="73"/>
      <c r="R454" s="73"/>
      <c r="S454" s="73"/>
      <c r="T454" s="73"/>
      <c r="U454" s="73"/>
      <c r="V454" s="73"/>
      <c r="W454" s="73"/>
      <c r="X454" s="73"/>
      <c r="Y454" s="73"/>
      <c r="Z454" s="73"/>
      <c r="AA454" s="73"/>
      <c r="AB454" s="73"/>
      <c r="AC454" s="122"/>
      <c r="AD454" s="108"/>
      <c r="AF454" s="108"/>
      <c r="AG454" s="73"/>
      <c r="AH454" s="73"/>
      <c r="AI454" s="73"/>
      <c r="AJ454" s="73"/>
      <c r="AK454" s="73"/>
      <c r="AL454" s="73"/>
      <c r="AM454" s="73"/>
      <c r="AN454" s="73"/>
      <c r="AO454" s="73"/>
      <c r="AP454" s="73"/>
      <c r="DL454" s="34"/>
    </row>
    <row r="455" spans="10:116" x14ac:dyDescent="0.25">
      <c r="J455" s="73"/>
      <c r="K455" s="73"/>
      <c r="L455" s="73"/>
      <c r="M455" s="73"/>
      <c r="N455" s="73"/>
      <c r="O455" s="73"/>
      <c r="P455" s="73"/>
      <c r="Q455" s="73"/>
      <c r="R455" s="73"/>
      <c r="S455" s="73"/>
      <c r="T455" s="73"/>
      <c r="U455" s="73"/>
      <c r="V455" s="73"/>
      <c r="W455" s="73"/>
      <c r="X455" s="73"/>
      <c r="Y455" s="73"/>
      <c r="Z455" s="73"/>
      <c r="AA455" s="73"/>
      <c r="AB455" s="73"/>
      <c r="AC455" s="122"/>
      <c r="AD455" s="108"/>
      <c r="AF455" s="108"/>
      <c r="AG455" s="73"/>
      <c r="AH455" s="73"/>
      <c r="AI455" s="73"/>
      <c r="AJ455" s="73"/>
      <c r="AK455" s="73"/>
      <c r="AL455" s="73"/>
      <c r="AM455" s="73"/>
      <c r="AN455" s="73"/>
      <c r="AO455" s="73"/>
      <c r="AP455" s="73"/>
      <c r="DL455" s="34"/>
    </row>
    <row r="456" spans="10:116" x14ac:dyDescent="0.25">
      <c r="J456" s="73"/>
      <c r="K456" s="73"/>
      <c r="L456" s="73"/>
      <c r="M456" s="73"/>
      <c r="N456" s="73"/>
      <c r="O456" s="73"/>
      <c r="P456" s="73"/>
      <c r="Q456" s="73"/>
      <c r="R456" s="73"/>
      <c r="S456" s="73"/>
      <c r="T456" s="73"/>
      <c r="U456" s="73"/>
      <c r="V456" s="73"/>
      <c r="W456" s="73"/>
      <c r="X456" s="73"/>
      <c r="Y456" s="73"/>
      <c r="Z456" s="73"/>
      <c r="AA456" s="73"/>
      <c r="AB456" s="73"/>
      <c r="AC456" s="122"/>
      <c r="AD456" s="108"/>
      <c r="AF456" s="108"/>
      <c r="AG456" s="73"/>
      <c r="AH456" s="73"/>
      <c r="AI456" s="73"/>
      <c r="AJ456" s="73"/>
      <c r="AK456" s="73"/>
      <c r="AL456" s="73"/>
      <c r="AM456" s="73"/>
      <c r="AN456" s="73"/>
      <c r="AO456" s="73"/>
      <c r="AP456" s="73"/>
      <c r="DL456" s="34"/>
    </row>
    <row r="457" spans="10:116" x14ac:dyDescent="0.25">
      <c r="J457" s="73"/>
      <c r="K457" s="73"/>
      <c r="L457" s="73"/>
      <c r="M457" s="73"/>
      <c r="N457" s="73"/>
      <c r="O457" s="73"/>
      <c r="P457" s="73"/>
      <c r="Q457" s="73"/>
      <c r="R457" s="73"/>
      <c r="S457" s="73"/>
      <c r="T457" s="73"/>
      <c r="U457" s="73"/>
      <c r="V457" s="73"/>
      <c r="W457" s="73"/>
      <c r="X457" s="73"/>
      <c r="Y457" s="73"/>
      <c r="Z457" s="73"/>
      <c r="AA457" s="73"/>
      <c r="AB457" s="73"/>
      <c r="AC457" s="122"/>
      <c r="AD457" s="108"/>
      <c r="AF457" s="108"/>
      <c r="AG457" s="73"/>
      <c r="AH457" s="73"/>
      <c r="AI457" s="73"/>
      <c r="AJ457" s="73"/>
      <c r="AK457" s="73"/>
      <c r="AL457" s="73"/>
      <c r="AM457" s="73"/>
      <c r="AN457" s="73"/>
      <c r="AO457" s="73"/>
      <c r="AP457" s="73"/>
      <c r="DL457" s="34"/>
    </row>
    <row r="458" spans="10:116" x14ac:dyDescent="0.25">
      <c r="J458" s="73"/>
      <c r="K458" s="73"/>
      <c r="L458" s="73"/>
      <c r="M458" s="73"/>
      <c r="N458" s="73"/>
      <c r="O458" s="73"/>
      <c r="P458" s="73"/>
      <c r="Q458" s="73"/>
      <c r="R458" s="73"/>
      <c r="S458" s="73"/>
      <c r="T458" s="73"/>
      <c r="U458" s="73"/>
      <c r="V458" s="73"/>
      <c r="W458" s="73"/>
      <c r="X458" s="73"/>
      <c r="Y458" s="73"/>
      <c r="Z458" s="73"/>
      <c r="AA458" s="73"/>
      <c r="AB458" s="73"/>
      <c r="AC458" s="122"/>
      <c r="AD458" s="108"/>
      <c r="AF458" s="108"/>
      <c r="AG458" s="73"/>
      <c r="AH458" s="73"/>
      <c r="AI458" s="73"/>
      <c r="AJ458" s="73"/>
      <c r="AK458" s="73"/>
      <c r="AL458" s="73"/>
      <c r="AM458" s="73"/>
      <c r="AN458" s="73"/>
      <c r="AO458" s="73"/>
      <c r="AP458" s="73"/>
      <c r="DL458" s="34"/>
    </row>
    <row r="459" spans="10:116" x14ac:dyDescent="0.25">
      <c r="J459" s="73"/>
      <c r="K459" s="73"/>
      <c r="L459" s="73"/>
      <c r="M459" s="73"/>
      <c r="N459" s="73"/>
      <c r="O459" s="73"/>
      <c r="P459" s="73"/>
      <c r="Q459" s="73"/>
      <c r="R459" s="73"/>
      <c r="S459" s="73"/>
      <c r="T459" s="73"/>
      <c r="U459" s="73"/>
      <c r="V459" s="73"/>
      <c r="W459" s="73"/>
      <c r="X459" s="73"/>
      <c r="Y459" s="73"/>
      <c r="Z459" s="73"/>
      <c r="AA459" s="73"/>
      <c r="AB459" s="73"/>
      <c r="AC459" s="122"/>
      <c r="AD459" s="108"/>
      <c r="AF459" s="108"/>
      <c r="AG459" s="73"/>
      <c r="AH459" s="73"/>
      <c r="AI459" s="73"/>
      <c r="AJ459" s="73"/>
      <c r="AK459" s="73"/>
      <c r="AL459" s="73"/>
      <c r="AM459" s="73"/>
      <c r="AN459" s="73"/>
      <c r="AO459" s="73"/>
      <c r="AP459" s="73"/>
      <c r="DL459" s="34"/>
    </row>
    <row r="460" spans="10:116" x14ac:dyDescent="0.25">
      <c r="J460" s="73"/>
      <c r="K460" s="73"/>
      <c r="L460" s="73"/>
      <c r="M460" s="73"/>
      <c r="N460" s="73"/>
      <c r="O460" s="73"/>
      <c r="P460" s="73"/>
      <c r="Q460" s="73"/>
      <c r="R460" s="73"/>
      <c r="S460" s="73"/>
      <c r="T460" s="73"/>
      <c r="U460" s="73"/>
      <c r="V460" s="73"/>
      <c r="W460" s="73"/>
      <c r="X460" s="73"/>
      <c r="Y460" s="73"/>
      <c r="Z460" s="73"/>
      <c r="AA460" s="73"/>
      <c r="AB460" s="73"/>
      <c r="AC460" s="122"/>
      <c r="AD460" s="108"/>
      <c r="AF460" s="108"/>
      <c r="AG460" s="73"/>
      <c r="AH460" s="73"/>
      <c r="AI460" s="73"/>
      <c r="AJ460" s="73"/>
      <c r="AK460" s="73"/>
      <c r="AL460" s="73"/>
      <c r="AM460" s="73"/>
      <c r="AN460" s="73"/>
      <c r="AO460" s="73"/>
      <c r="AP460" s="73"/>
      <c r="DL460" s="34"/>
    </row>
    <row r="461" spans="10:116" x14ac:dyDescent="0.25">
      <c r="J461" s="73"/>
      <c r="K461" s="73"/>
      <c r="L461" s="73"/>
      <c r="M461" s="73"/>
      <c r="N461" s="73"/>
      <c r="O461" s="73"/>
      <c r="P461" s="73"/>
      <c r="Q461" s="73"/>
      <c r="R461" s="73"/>
      <c r="S461" s="73"/>
      <c r="T461" s="73"/>
      <c r="U461" s="73"/>
      <c r="V461" s="73"/>
      <c r="W461" s="73"/>
      <c r="X461" s="73"/>
      <c r="Y461" s="73"/>
      <c r="Z461" s="73"/>
      <c r="AA461" s="73"/>
      <c r="AB461" s="73"/>
      <c r="AC461" s="122"/>
      <c r="AD461" s="108"/>
      <c r="AF461" s="108"/>
      <c r="AG461" s="73"/>
      <c r="AH461" s="73"/>
      <c r="AI461" s="73"/>
      <c r="AJ461" s="73"/>
      <c r="AK461" s="73"/>
      <c r="AL461" s="73"/>
      <c r="AM461" s="73"/>
      <c r="AN461" s="73"/>
      <c r="AO461" s="73"/>
      <c r="AP461" s="73"/>
      <c r="DL461" s="34"/>
    </row>
    <row r="462" spans="10:116" x14ac:dyDescent="0.25">
      <c r="J462" s="73"/>
      <c r="K462" s="73"/>
      <c r="L462" s="73"/>
      <c r="M462" s="73"/>
      <c r="N462" s="73"/>
      <c r="O462" s="73"/>
      <c r="P462" s="73"/>
      <c r="Q462" s="73"/>
      <c r="R462" s="73"/>
      <c r="S462" s="73"/>
      <c r="T462" s="73"/>
      <c r="U462" s="73"/>
      <c r="V462" s="73"/>
      <c r="W462" s="73"/>
      <c r="X462" s="73"/>
      <c r="Y462" s="73"/>
      <c r="Z462" s="73"/>
      <c r="AA462" s="73"/>
      <c r="AB462" s="73"/>
      <c r="AC462" s="122"/>
      <c r="AD462" s="108"/>
      <c r="AF462" s="108"/>
      <c r="AG462" s="73"/>
      <c r="AH462" s="73"/>
      <c r="AI462" s="73"/>
      <c r="AJ462" s="73"/>
      <c r="AK462" s="73"/>
      <c r="AL462" s="73"/>
      <c r="AM462" s="73"/>
      <c r="AN462" s="73"/>
      <c r="AO462" s="73"/>
      <c r="AP462" s="73"/>
      <c r="DL462" s="34"/>
    </row>
    <row r="463" spans="10:116" x14ac:dyDescent="0.25">
      <c r="J463" s="73"/>
      <c r="K463" s="73"/>
      <c r="L463" s="73"/>
      <c r="M463" s="73"/>
      <c r="N463" s="73"/>
      <c r="O463" s="73"/>
      <c r="P463" s="73"/>
      <c r="Q463" s="73"/>
      <c r="R463" s="73"/>
      <c r="S463" s="73"/>
      <c r="T463" s="73"/>
      <c r="U463" s="73"/>
      <c r="V463" s="73"/>
      <c r="W463" s="73"/>
      <c r="X463" s="73"/>
      <c r="Y463" s="73"/>
      <c r="Z463" s="73"/>
      <c r="AA463" s="73"/>
      <c r="AB463" s="73"/>
      <c r="AC463" s="122"/>
      <c r="AD463" s="108"/>
      <c r="AF463" s="108"/>
      <c r="AG463" s="73"/>
      <c r="AH463" s="73"/>
      <c r="AI463" s="73"/>
      <c r="AJ463" s="73"/>
      <c r="AK463" s="73"/>
      <c r="AL463" s="73"/>
      <c r="AM463" s="73"/>
      <c r="AN463" s="73"/>
      <c r="AO463" s="73"/>
      <c r="AP463" s="73"/>
      <c r="DL463" s="34"/>
    </row>
    <row r="464" spans="10:116" x14ac:dyDescent="0.25">
      <c r="J464" s="73"/>
      <c r="K464" s="73"/>
      <c r="L464" s="73"/>
      <c r="M464" s="73"/>
      <c r="N464" s="73"/>
      <c r="O464" s="73"/>
      <c r="P464" s="73"/>
      <c r="Q464" s="73"/>
      <c r="R464" s="73"/>
      <c r="S464" s="73"/>
      <c r="T464" s="73"/>
      <c r="U464" s="73"/>
      <c r="V464" s="73"/>
      <c r="W464" s="73"/>
      <c r="X464" s="73"/>
      <c r="Y464" s="73"/>
      <c r="Z464" s="73"/>
      <c r="AA464" s="73"/>
      <c r="AB464" s="73"/>
      <c r="AC464" s="122"/>
      <c r="AD464" s="108"/>
      <c r="AF464" s="108"/>
      <c r="AG464" s="73"/>
      <c r="AH464" s="73"/>
      <c r="AI464" s="73"/>
      <c r="AJ464" s="73"/>
      <c r="AK464" s="73"/>
      <c r="AL464" s="73"/>
      <c r="AM464" s="73"/>
      <c r="AN464" s="73"/>
      <c r="AO464" s="73"/>
      <c r="AP464" s="73"/>
      <c r="DL464" s="34"/>
    </row>
    <row r="465" spans="10:116" x14ac:dyDescent="0.25">
      <c r="J465" s="73"/>
      <c r="K465" s="73"/>
      <c r="L465" s="73"/>
      <c r="M465" s="73"/>
      <c r="N465" s="73"/>
      <c r="O465" s="73"/>
      <c r="P465" s="73"/>
      <c r="Q465" s="73"/>
      <c r="R465" s="73"/>
      <c r="S465" s="73"/>
      <c r="T465" s="73"/>
      <c r="U465" s="73"/>
      <c r="V465" s="73"/>
      <c r="W465" s="73"/>
      <c r="X465" s="73"/>
      <c r="Y465" s="73"/>
      <c r="Z465" s="73"/>
      <c r="AA465" s="73"/>
      <c r="AB465" s="73"/>
      <c r="AC465" s="122"/>
      <c r="AD465" s="108"/>
      <c r="AF465" s="108"/>
      <c r="AG465" s="73"/>
      <c r="AH465" s="73"/>
      <c r="AI465" s="73"/>
      <c r="AJ465" s="73"/>
      <c r="AK465" s="73"/>
      <c r="AL465" s="73"/>
      <c r="AM465" s="73"/>
      <c r="AN465" s="73"/>
      <c r="AO465" s="73"/>
      <c r="AP465" s="73"/>
      <c r="DL465" s="34"/>
    </row>
    <row r="466" spans="10:116" x14ac:dyDescent="0.25">
      <c r="J466" s="73"/>
      <c r="K466" s="73"/>
      <c r="L466" s="73"/>
      <c r="M466" s="73"/>
      <c r="N466" s="73"/>
      <c r="O466" s="73"/>
      <c r="P466" s="73"/>
      <c r="Q466" s="73"/>
      <c r="R466" s="73"/>
      <c r="S466" s="73"/>
      <c r="T466" s="73"/>
      <c r="U466" s="73"/>
      <c r="V466" s="73"/>
      <c r="W466" s="73"/>
      <c r="X466" s="73"/>
      <c r="Y466" s="73"/>
      <c r="Z466" s="73"/>
      <c r="AA466" s="73"/>
      <c r="AB466" s="73"/>
      <c r="AC466" s="122"/>
      <c r="AD466" s="108"/>
      <c r="AF466" s="108"/>
      <c r="AG466" s="73"/>
      <c r="AH466" s="73"/>
      <c r="AI466" s="73"/>
      <c r="AJ466" s="73"/>
      <c r="AK466" s="73"/>
      <c r="AL466" s="73"/>
      <c r="AM466" s="73"/>
      <c r="AN466" s="73"/>
      <c r="AO466" s="73"/>
      <c r="AP466" s="73"/>
      <c r="DL466" s="34"/>
    </row>
    <row r="467" spans="10:116" x14ac:dyDescent="0.25">
      <c r="J467" s="73"/>
      <c r="K467" s="73"/>
      <c r="L467" s="73"/>
      <c r="M467" s="73"/>
      <c r="N467" s="73"/>
      <c r="O467" s="73"/>
      <c r="P467" s="73"/>
      <c r="Q467" s="73"/>
      <c r="R467" s="73"/>
      <c r="S467" s="73"/>
      <c r="T467" s="73"/>
      <c r="U467" s="73"/>
      <c r="V467" s="73"/>
      <c r="W467" s="73"/>
      <c r="X467" s="73"/>
      <c r="Y467" s="73"/>
      <c r="Z467" s="73"/>
      <c r="AA467" s="73"/>
      <c r="AB467" s="73"/>
      <c r="AC467" s="122"/>
      <c r="AD467" s="108"/>
      <c r="AF467" s="108"/>
      <c r="AG467" s="73"/>
      <c r="AH467" s="73"/>
      <c r="AI467" s="73"/>
      <c r="AJ467" s="73"/>
      <c r="AK467" s="73"/>
      <c r="AL467" s="73"/>
      <c r="AM467" s="73"/>
      <c r="AN467" s="73"/>
      <c r="AO467" s="73"/>
      <c r="AP467" s="73"/>
      <c r="DL467" s="34"/>
    </row>
    <row r="468" spans="10:116" x14ac:dyDescent="0.25">
      <c r="J468" s="73"/>
      <c r="K468" s="73"/>
      <c r="L468" s="73"/>
      <c r="M468" s="73"/>
      <c r="N468" s="73"/>
      <c r="O468" s="73"/>
      <c r="P468" s="73"/>
      <c r="Q468" s="73"/>
      <c r="R468" s="73"/>
      <c r="S468" s="73"/>
      <c r="T468" s="73"/>
      <c r="U468" s="73"/>
      <c r="V468" s="73"/>
      <c r="W468" s="73"/>
      <c r="X468" s="73"/>
      <c r="Y468" s="73"/>
      <c r="Z468" s="73"/>
      <c r="AA468" s="73"/>
      <c r="AB468" s="73"/>
      <c r="AC468" s="122"/>
      <c r="AD468" s="108"/>
      <c r="AF468" s="108"/>
      <c r="AG468" s="73"/>
      <c r="AH468" s="73"/>
      <c r="AI468" s="73"/>
      <c r="AJ468" s="73"/>
      <c r="AK468" s="73"/>
      <c r="AL468" s="73"/>
      <c r="AM468" s="73"/>
      <c r="AN468" s="73"/>
      <c r="AO468" s="73"/>
      <c r="AP468" s="73"/>
      <c r="DL468" s="34"/>
    </row>
    <row r="469" spans="10:116" x14ac:dyDescent="0.25">
      <c r="J469" s="73"/>
      <c r="K469" s="73"/>
      <c r="L469" s="73"/>
      <c r="M469" s="73"/>
      <c r="N469" s="73"/>
      <c r="O469" s="73"/>
      <c r="P469" s="73"/>
      <c r="Q469" s="73"/>
      <c r="R469" s="73"/>
      <c r="S469" s="73"/>
      <c r="T469" s="73"/>
      <c r="U469" s="73"/>
      <c r="V469" s="73"/>
      <c r="W469" s="73"/>
      <c r="X469" s="73"/>
      <c r="Y469" s="73"/>
      <c r="Z469" s="73"/>
      <c r="AA469" s="73"/>
      <c r="AB469" s="73"/>
      <c r="AC469" s="122"/>
      <c r="AD469" s="108"/>
      <c r="AF469" s="108"/>
      <c r="AG469" s="73"/>
      <c r="AH469" s="73"/>
      <c r="AI469" s="73"/>
      <c r="AJ469" s="73"/>
      <c r="AK469" s="73"/>
      <c r="AL469" s="73"/>
      <c r="AM469" s="73"/>
      <c r="AN469" s="73"/>
      <c r="AO469" s="73"/>
      <c r="AP469" s="73"/>
      <c r="DL469" s="34"/>
    </row>
    <row r="470" spans="10:116" x14ac:dyDescent="0.25">
      <c r="J470" s="73"/>
      <c r="K470" s="73"/>
      <c r="L470" s="73"/>
      <c r="M470" s="73"/>
      <c r="N470" s="73"/>
      <c r="O470" s="73"/>
      <c r="P470" s="73"/>
      <c r="Q470" s="73"/>
      <c r="R470" s="73"/>
      <c r="S470" s="73"/>
      <c r="T470" s="73"/>
      <c r="U470" s="73"/>
      <c r="V470" s="73"/>
      <c r="W470" s="73"/>
      <c r="X470" s="73"/>
      <c r="Y470" s="73"/>
      <c r="Z470" s="73"/>
      <c r="AA470" s="73"/>
      <c r="AB470" s="73"/>
      <c r="AC470" s="122"/>
      <c r="AD470" s="108"/>
      <c r="AF470" s="108"/>
      <c r="AG470" s="73"/>
      <c r="AH470" s="73"/>
      <c r="AI470" s="73"/>
      <c r="AJ470" s="73"/>
      <c r="AK470" s="73"/>
      <c r="AL470" s="73"/>
      <c r="AM470" s="73"/>
      <c r="AN470" s="73"/>
      <c r="AO470" s="73"/>
      <c r="AP470" s="73"/>
      <c r="DL470" s="34"/>
    </row>
    <row r="471" spans="10:116" x14ac:dyDescent="0.25">
      <c r="J471" s="73"/>
      <c r="K471" s="73"/>
      <c r="L471" s="73"/>
      <c r="M471" s="73"/>
      <c r="N471" s="73"/>
      <c r="O471" s="73"/>
      <c r="P471" s="73"/>
      <c r="Q471" s="73"/>
      <c r="R471" s="73"/>
      <c r="S471" s="73"/>
      <c r="T471" s="73"/>
      <c r="U471" s="73"/>
      <c r="V471" s="73"/>
      <c r="W471" s="73"/>
      <c r="X471" s="73"/>
      <c r="Y471" s="73"/>
      <c r="Z471" s="73"/>
      <c r="AA471" s="73"/>
      <c r="AB471" s="73"/>
      <c r="AC471" s="122"/>
      <c r="AD471" s="108"/>
      <c r="AF471" s="108"/>
      <c r="AG471" s="73"/>
      <c r="AH471" s="73"/>
      <c r="AI471" s="73"/>
      <c r="AJ471" s="73"/>
      <c r="AK471" s="73"/>
      <c r="AL471" s="73"/>
      <c r="AM471" s="73"/>
      <c r="AN471" s="73"/>
      <c r="AO471" s="73"/>
      <c r="AP471" s="73"/>
      <c r="DL471" s="34"/>
    </row>
    <row r="472" spans="10:116" x14ac:dyDescent="0.25">
      <c r="J472" s="73"/>
      <c r="K472" s="73"/>
      <c r="L472" s="73"/>
      <c r="M472" s="73"/>
      <c r="N472" s="73"/>
      <c r="O472" s="73"/>
      <c r="P472" s="73"/>
      <c r="Q472" s="73"/>
      <c r="R472" s="73"/>
      <c r="S472" s="73"/>
      <c r="T472" s="73"/>
      <c r="U472" s="73"/>
      <c r="V472" s="73"/>
      <c r="W472" s="73"/>
      <c r="X472" s="73"/>
      <c r="Y472" s="73"/>
      <c r="Z472" s="73"/>
      <c r="AA472" s="73"/>
      <c r="AB472" s="73"/>
      <c r="AC472" s="122"/>
      <c r="AD472" s="108"/>
      <c r="AF472" s="108"/>
      <c r="AG472" s="73"/>
      <c r="AH472" s="73"/>
      <c r="AI472" s="73"/>
      <c r="AJ472" s="73"/>
      <c r="AK472" s="73"/>
      <c r="AL472" s="73"/>
      <c r="AM472" s="73"/>
      <c r="AN472" s="73"/>
      <c r="AO472" s="73"/>
      <c r="AP472" s="73"/>
      <c r="DL472" s="34"/>
    </row>
    <row r="473" spans="10:116" x14ac:dyDescent="0.25">
      <c r="J473" s="73"/>
      <c r="K473" s="73"/>
      <c r="L473" s="73"/>
      <c r="M473" s="73"/>
      <c r="N473" s="73"/>
      <c r="O473" s="73"/>
      <c r="P473" s="73"/>
      <c r="Q473" s="73"/>
      <c r="R473" s="73"/>
      <c r="S473" s="73"/>
      <c r="T473" s="73"/>
      <c r="U473" s="73"/>
      <c r="V473" s="73"/>
      <c r="W473" s="73"/>
      <c r="X473" s="73"/>
      <c r="Y473" s="73"/>
      <c r="Z473" s="73"/>
      <c r="AA473" s="73"/>
      <c r="AB473" s="73"/>
      <c r="AC473" s="122"/>
      <c r="AD473" s="108"/>
      <c r="AF473" s="108"/>
      <c r="AG473" s="73"/>
      <c r="AH473" s="73"/>
      <c r="AI473" s="73"/>
      <c r="AJ473" s="73"/>
      <c r="AK473" s="73"/>
      <c r="AL473" s="73"/>
      <c r="AM473" s="73"/>
      <c r="AN473" s="73"/>
      <c r="AO473" s="73"/>
      <c r="AP473" s="73"/>
      <c r="DL473" s="34"/>
    </row>
    <row r="474" spans="10:116" x14ac:dyDescent="0.25">
      <c r="J474" s="73"/>
      <c r="K474" s="73"/>
      <c r="L474" s="73"/>
      <c r="M474" s="73"/>
      <c r="N474" s="73"/>
      <c r="O474" s="73"/>
      <c r="P474" s="73"/>
      <c r="Q474" s="73"/>
      <c r="R474" s="73"/>
      <c r="S474" s="73"/>
      <c r="T474" s="73"/>
      <c r="U474" s="73"/>
      <c r="V474" s="73"/>
      <c r="W474" s="73"/>
      <c r="X474" s="73"/>
      <c r="Y474" s="73"/>
      <c r="Z474" s="73"/>
      <c r="AA474" s="73"/>
      <c r="AB474" s="73"/>
      <c r="AC474" s="122"/>
      <c r="AD474" s="108"/>
      <c r="AF474" s="108"/>
      <c r="AG474" s="73"/>
      <c r="AH474" s="73"/>
      <c r="AI474" s="73"/>
      <c r="AJ474" s="73"/>
      <c r="AK474" s="73"/>
      <c r="AL474" s="73"/>
      <c r="AM474" s="73"/>
      <c r="AN474" s="73"/>
      <c r="AO474" s="73"/>
      <c r="AP474" s="73"/>
      <c r="DL474" s="34"/>
    </row>
    <row r="475" spans="10:116" x14ac:dyDescent="0.25">
      <c r="J475" s="73"/>
      <c r="K475" s="73"/>
      <c r="L475" s="73"/>
      <c r="M475" s="73"/>
      <c r="N475" s="73"/>
      <c r="O475" s="73"/>
      <c r="P475" s="73"/>
      <c r="Q475" s="73"/>
      <c r="R475" s="73"/>
      <c r="S475" s="73"/>
      <c r="T475" s="73"/>
      <c r="U475" s="73"/>
      <c r="V475" s="73"/>
      <c r="W475" s="73"/>
      <c r="X475" s="73"/>
      <c r="Y475" s="73"/>
      <c r="Z475" s="73"/>
      <c r="AA475" s="73"/>
      <c r="AB475" s="73"/>
      <c r="AC475" s="122"/>
      <c r="AD475" s="108"/>
      <c r="AF475" s="108"/>
      <c r="AG475" s="73"/>
      <c r="AH475" s="73"/>
      <c r="AI475" s="73"/>
      <c r="AJ475" s="73"/>
      <c r="AK475" s="73"/>
      <c r="AL475" s="73"/>
      <c r="AM475" s="73"/>
      <c r="AN475" s="73"/>
      <c r="AO475" s="73"/>
      <c r="AP475" s="73"/>
      <c r="DL475" s="34"/>
    </row>
    <row r="476" spans="10:116" x14ac:dyDescent="0.25">
      <c r="J476" s="73"/>
      <c r="K476" s="73"/>
      <c r="L476" s="73"/>
      <c r="M476" s="73"/>
      <c r="N476" s="73"/>
      <c r="O476" s="73"/>
      <c r="P476" s="73"/>
      <c r="Q476" s="73"/>
      <c r="R476" s="73"/>
      <c r="S476" s="73"/>
      <c r="T476" s="73"/>
      <c r="U476" s="73"/>
      <c r="V476" s="73"/>
      <c r="W476" s="73"/>
      <c r="X476" s="73"/>
      <c r="Y476" s="73"/>
      <c r="Z476" s="73"/>
      <c r="AA476" s="73"/>
      <c r="AB476" s="73"/>
      <c r="AC476" s="122"/>
      <c r="AD476" s="108"/>
      <c r="AF476" s="108"/>
      <c r="AG476" s="73"/>
      <c r="AH476" s="73"/>
      <c r="AI476" s="73"/>
      <c r="AJ476" s="73"/>
      <c r="AK476" s="73"/>
      <c r="AL476" s="73"/>
      <c r="AM476" s="73"/>
      <c r="AN476" s="73"/>
      <c r="AO476" s="73"/>
      <c r="AP476" s="73"/>
      <c r="DL476" s="34"/>
    </row>
    <row r="477" spans="10:116" x14ac:dyDescent="0.25">
      <c r="J477" s="73"/>
      <c r="K477" s="73"/>
      <c r="L477" s="73"/>
      <c r="M477" s="73"/>
      <c r="N477" s="73"/>
      <c r="O477" s="73"/>
      <c r="P477" s="73"/>
      <c r="Q477" s="73"/>
      <c r="R477" s="73"/>
      <c r="S477" s="73"/>
      <c r="T477" s="73"/>
      <c r="U477" s="73"/>
      <c r="V477" s="73"/>
      <c r="W477" s="73"/>
      <c r="X477" s="73"/>
      <c r="Y477" s="73"/>
      <c r="Z477" s="73"/>
      <c r="AA477" s="73"/>
      <c r="AB477" s="73"/>
      <c r="AC477" s="122"/>
      <c r="AD477" s="108"/>
      <c r="AF477" s="108"/>
      <c r="AG477" s="73"/>
      <c r="AH477" s="73"/>
      <c r="AI477" s="73"/>
      <c r="AJ477" s="73"/>
      <c r="AK477" s="73"/>
      <c r="AL477" s="73"/>
      <c r="AM477" s="73"/>
      <c r="AN477" s="73"/>
      <c r="AO477" s="73"/>
      <c r="AP477" s="73"/>
      <c r="DL477" s="34"/>
    </row>
    <row r="478" spans="10:116" x14ac:dyDescent="0.25">
      <c r="J478" s="73"/>
      <c r="K478" s="73"/>
      <c r="L478" s="73"/>
      <c r="M478" s="73"/>
      <c r="N478" s="73"/>
      <c r="O478" s="73"/>
      <c r="P478" s="73"/>
      <c r="Q478" s="73"/>
      <c r="R478" s="73"/>
      <c r="S478" s="73"/>
      <c r="T478" s="73"/>
      <c r="U478" s="73"/>
      <c r="V478" s="73"/>
      <c r="W478" s="73"/>
      <c r="X478" s="73"/>
      <c r="Y478" s="73"/>
      <c r="Z478" s="73"/>
      <c r="AA478" s="73"/>
      <c r="AB478" s="73"/>
      <c r="AC478" s="122"/>
      <c r="AD478" s="108"/>
      <c r="AF478" s="108"/>
      <c r="AG478" s="73"/>
      <c r="AH478" s="73"/>
      <c r="AI478" s="73"/>
      <c r="AJ478" s="73"/>
      <c r="AK478" s="73"/>
      <c r="AL478" s="73"/>
      <c r="AM478" s="73"/>
      <c r="AN478" s="73"/>
      <c r="AO478" s="73"/>
      <c r="AP478" s="73"/>
      <c r="DL478" s="34"/>
    </row>
    <row r="479" spans="10:116" x14ac:dyDescent="0.25">
      <c r="J479" s="73"/>
      <c r="K479" s="73"/>
      <c r="L479" s="73"/>
      <c r="M479" s="73"/>
      <c r="N479" s="73"/>
      <c r="O479" s="73"/>
      <c r="P479" s="73"/>
      <c r="Q479" s="73"/>
      <c r="R479" s="73"/>
      <c r="S479" s="73"/>
      <c r="T479" s="73"/>
      <c r="U479" s="73"/>
      <c r="V479" s="73"/>
      <c r="W479" s="73"/>
      <c r="X479" s="73"/>
      <c r="Y479" s="73"/>
      <c r="Z479" s="73"/>
      <c r="AA479" s="73"/>
      <c r="AB479" s="73"/>
      <c r="AC479" s="122"/>
      <c r="AD479" s="108"/>
      <c r="AF479" s="108"/>
      <c r="AG479" s="73"/>
      <c r="AH479" s="73"/>
      <c r="AI479" s="73"/>
      <c r="AJ479" s="73"/>
      <c r="AK479" s="73"/>
      <c r="AL479" s="73"/>
      <c r="AM479" s="73"/>
      <c r="AN479" s="73"/>
      <c r="AO479" s="73"/>
      <c r="AP479" s="73"/>
      <c r="DL479" s="34"/>
    </row>
    <row r="480" spans="10:116" x14ac:dyDescent="0.25">
      <c r="J480" s="73"/>
      <c r="K480" s="73"/>
      <c r="L480" s="73"/>
      <c r="M480" s="73"/>
      <c r="N480" s="73"/>
      <c r="O480" s="73"/>
      <c r="P480" s="73"/>
      <c r="Q480" s="73"/>
      <c r="R480" s="73"/>
      <c r="S480" s="73"/>
      <c r="T480" s="73"/>
      <c r="U480" s="73"/>
      <c r="V480" s="73"/>
      <c r="W480" s="73"/>
      <c r="X480" s="73"/>
      <c r="Y480" s="73"/>
      <c r="Z480" s="73"/>
      <c r="AA480" s="73"/>
      <c r="AB480" s="73"/>
      <c r="AC480" s="122"/>
      <c r="AD480" s="108"/>
      <c r="AF480" s="108"/>
      <c r="AG480" s="73"/>
      <c r="AH480" s="73"/>
      <c r="AI480" s="73"/>
      <c r="AJ480" s="73"/>
      <c r="AK480" s="73"/>
      <c r="AL480" s="73"/>
      <c r="AM480" s="73"/>
      <c r="AN480" s="73"/>
      <c r="AO480" s="73"/>
      <c r="AP480" s="73"/>
      <c r="DL480" s="34"/>
    </row>
    <row r="481" spans="10:116" x14ac:dyDescent="0.25">
      <c r="J481" s="73"/>
      <c r="K481" s="73"/>
      <c r="L481" s="73"/>
      <c r="M481" s="73"/>
      <c r="N481" s="73"/>
      <c r="O481" s="73"/>
      <c r="P481" s="73"/>
      <c r="Q481" s="73"/>
      <c r="R481" s="73"/>
      <c r="S481" s="73"/>
      <c r="T481" s="73"/>
      <c r="U481" s="73"/>
      <c r="V481" s="73"/>
      <c r="W481" s="73"/>
      <c r="X481" s="73"/>
      <c r="Y481" s="73"/>
      <c r="Z481" s="73"/>
      <c r="AA481" s="73"/>
      <c r="AB481" s="73"/>
      <c r="AC481" s="122"/>
      <c r="AD481" s="108"/>
      <c r="AF481" s="108"/>
      <c r="AG481" s="73"/>
      <c r="AH481" s="73"/>
      <c r="AI481" s="73"/>
      <c r="AJ481" s="73"/>
      <c r="AK481" s="73"/>
      <c r="AL481" s="73"/>
      <c r="AM481" s="73"/>
      <c r="AN481" s="73"/>
      <c r="AO481" s="73"/>
      <c r="AP481" s="73"/>
      <c r="DL481" s="34"/>
    </row>
    <row r="482" spans="10:116" x14ac:dyDescent="0.25">
      <c r="J482" s="73"/>
      <c r="K482" s="73"/>
      <c r="L482" s="73"/>
      <c r="M482" s="73"/>
      <c r="N482" s="73"/>
      <c r="O482" s="73"/>
      <c r="P482" s="73"/>
      <c r="Q482" s="73"/>
      <c r="R482" s="73"/>
      <c r="S482" s="73"/>
      <c r="T482" s="73"/>
      <c r="U482" s="73"/>
      <c r="V482" s="73"/>
      <c r="W482" s="73"/>
      <c r="X482" s="73"/>
      <c r="Y482" s="73"/>
      <c r="Z482" s="73"/>
      <c r="AA482" s="73"/>
      <c r="AB482" s="73"/>
      <c r="AC482" s="122"/>
      <c r="AD482" s="108"/>
      <c r="AF482" s="108"/>
      <c r="AG482" s="73"/>
      <c r="AH482" s="73"/>
      <c r="AI482" s="73"/>
      <c r="AJ482" s="73"/>
      <c r="AK482" s="73"/>
      <c r="AL482" s="73"/>
      <c r="AM482" s="73"/>
      <c r="AN482" s="73"/>
      <c r="AO482" s="73"/>
      <c r="AP482" s="73"/>
      <c r="DL482" s="34"/>
    </row>
    <row r="483" spans="10:116" x14ac:dyDescent="0.25">
      <c r="J483" s="73"/>
      <c r="K483" s="73"/>
      <c r="L483" s="73"/>
      <c r="M483" s="73"/>
      <c r="N483" s="73"/>
      <c r="O483" s="73"/>
      <c r="P483" s="73"/>
      <c r="Q483" s="73"/>
      <c r="R483" s="73"/>
      <c r="S483" s="73"/>
      <c r="T483" s="73"/>
      <c r="U483" s="73"/>
      <c r="V483" s="73"/>
      <c r="W483" s="73"/>
      <c r="X483" s="73"/>
      <c r="Y483" s="73"/>
      <c r="Z483" s="73"/>
      <c r="AA483" s="73"/>
      <c r="AB483" s="73"/>
      <c r="AC483" s="122"/>
      <c r="AD483" s="108"/>
      <c r="AF483" s="108"/>
      <c r="AG483" s="73"/>
      <c r="AH483" s="73"/>
      <c r="AI483" s="73"/>
      <c r="AJ483" s="73"/>
      <c r="AK483" s="73"/>
      <c r="AL483" s="73"/>
      <c r="AM483" s="73"/>
      <c r="AN483" s="73"/>
      <c r="AO483" s="73"/>
      <c r="AP483" s="73"/>
      <c r="DL483" s="34"/>
    </row>
    <row r="484" spans="10:116" x14ac:dyDescent="0.25">
      <c r="J484" s="73"/>
      <c r="K484" s="73"/>
      <c r="L484" s="73"/>
      <c r="M484" s="73"/>
      <c r="N484" s="73"/>
      <c r="O484" s="73"/>
      <c r="P484" s="73"/>
      <c r="Q484" s="73"/>
      <c r="R484" s="73"/>
      <c r="S484" s="73"/>
      <c r="T484" s="73"/>
      <c r="U484" s="73"/>
      <c r="V484" s="73"/>
      <c r="W484" s="73"/>
      <c r="X484" s="73"/>
      <c r="Y484" s="73"/>
      <c r="Z484" s="73"/>
      <c r="AA484" s="73"/>
      <c r="AB484" s="73"/>
      <c r="AC484" s="122"/>
      <c r="AD484" s="108"/>
      <c r="AF484" s="108"/>
      <c r="AG484" s="73"/>
      <c r="AH484" s="73"/>
      <c r="AI484" s="73"/>
      <c r="AJ484" s="73"/>
      <c r="AK484" s="73"/>
      <c r="AL484" s="73"/>
      <c r="AM484" s="73"/>
      <c r="AN484" s="73"/>
      <c r="AO484" s="73"/>
      <c r="AP484" s="73"/>
      <c r="DL484" s="34"/>
    </row>
    <row r="485" spans="10:116" x14ac:dyDescent="0.25">
      <c r="J485" s="73"/>
      <c r="K485" s="73"/>
      <c r="L485" s="73"/>
      <c r="M485" s="73"/>
      <c r="N485" s="73"/>
      <c r="O485" s="73"/>
      <c r="P485" s="73"/>
      <c r="Q485" s="73"/>
      <c r="R485" s="73"/>
      <c r="S485" s="73"/>
      <c r="T485" s="73"/>
      <c r="U485" s="73"/>
      <c r="V485" s="73"/>
      <c r="W485" s="73"/>
      <c r="X485" s="73"/>
      <c r="Y485" s="73"/>
      <c r="Z485" s="73"/>
      <c r="AA485" s="73"/>
      <c r="AB485" s="73"/>
      <c r="AC485" s="122"/>
      <c r="AD485" s="108"/>
      <c r="AF485" s="108"/>
      <c r="AG485" s="73"/>
      <c r="AH485" s="73"/>
      <c r="AI485" s="73"/>
      <c r="AJ485" s="73"/>
      <c r="AK485" s="73"/>
      <c r="AL485" s="73"/>
      <c r="AM485" s="73"/>
      <c r="AN485" s="73"/>
      <c r="AO485" s="73"/>
      <c r="AP485" s="73"/>
      <c r="DL485" s="34"/>
    </row>
    <row r="486" spans="10:116" x14ac:dyDescent="0.25">
      <c r="J486" s="73"/>
      <c r="K486" s="73"/>
      <c r="L486" s="73"/>
      <c r="M486" s="73"/>
      <c r="N486" s="73"/>
      <c r="O486" s="73"/>
      <c r="P486" s="73"/>
      <c r="Q486" s="73"/>
      <c r="R486" s="73"/>
      <c r="S486" s="73"/>
      <c r="T486" s="73"/>
      <c r="U486" s="73"/>
      <c r="V486" s="73"/>
      <c r="W486" s="73"/>
      <c r="X486" s="73"/>
      <c r="Y486" s="73"/>
      <c r="Z486" s="73"/>
      <c r="AA486" s="73"/>
      <c r="AB486" s="73"/>
      <c r="AC486" s="122"/>
      <c r="AD486" s="108"/>
      <c r="AF486" s="108"/>
      <c r="AG486" s="73"/>
      <c r="AH486" s="73"/>
      <c r="AI486" s="73"/>
      <c r="AJ486" s="73"/>
      <c r="AK486" s="73"/>
      <c r="AL486" s="73"/>
      <c r="AM486" s="73"/>
      <c r="AN486" s="73"/>
      <c r="AO486" s="73"/>
      <c r="AP486" s="73"/>
      <c r="DL486" s="34"/>
    </row>
    <row r="487" spans="10:116" x14ac:dyDescent="0.25">
      <c r="J487" s="73"/>
      <c r="K487" s="73"/>
      <c r="L487" s="73"/>
      <c r="M487" s="73"/>
      <c r="N487" s="73"/>
      <c r="O487" s="73"/>
      <c r="P487" s="73"/>
      <c r="Q487" s="73"/>
      <c r="R487" s="73"/>
      <c r="S487" s="73"/>
      <c r="T487" s="73"/>
      <c r="U487" s="73"/>
      <c r="V487" s="73"/>
      <c r="W487" s="73"/>
      <c r="X487" s="73"/>
      <c r="Y487" s="73"/>
      <c r="Z487" s="73"/>
      <c r="AA487" s="73"/>
      <c r="AB487" s="73"/>
      <c r="AC487" s="122"/>
      <c r="AD487" s="108"/>
      <c r="AF487" s="108"/>
      <c r="AG487" s="73"/>
      <c r="AH487" s="73"/>
      <c r="AI487" s="73"/>
      <c r="AJ487" s="73"/>
      <c r="AK487" s="73"/>
      <c r="AL487" s="73"/>
      <c r="AM487" s="73"/>
      <c r="AN487" s="73"/>
      <c r="AO487" s="73"/>
      <c r="AP487" s="73"/>
      <c r="DL487" s="34"/>
    </row>
    <row r="488" spans="10:116" x14ac:dyDescent="0.25">
      <c r="J488" s="73"/>
      <c r="K488" s="73"/>
      <c r="L488" s="73"/>
      <c r="M488" s="73"/>
      <c r="N488" s="73"/>
      <c r="O488" s="73"/>
      <c r="P488" s="73"/>
      <c r="Q488" s="73"/>
      <c r="R488" s="73"/>
      <c r="S488" s="73"/>
      <c r="T488" s="73"/>
      <c r="U488" s="73"/>
      <c r="V488" s="73"/>
      <c r="W488" s="73"/>
      <c r="X488" s="73"/>
      <c r="Y488" s="73"/>
      <c r="Z488" s="73"/>
      <c r="AA488" s="73"/>
      <c r="AB488" s="73"/>
      <c r="AC488" s="122"/>
      <c r="AD488" s="108"/>
      <c r="AF488" s="108"/>
      <c r="AG488" s="73"/>
      <c r="AH488" s="73"/>
      <c r="AI488" s="73"/>
      <c r="AJ488" s="73"/>
      <c r="AK488" s="73"/>
      <c r="AL488" s="73"/>
      <c r="AM488" s="73"/>
      <c r="AN488" s="73"/>
      <c r="AO488" s="73"/>
      <c r="AP488" s="73"/>
      <c r="DL488" s="34"/>
    </row>
    <row r="489" spans="10:116" x14ac:dyDescent="0.25">
      <c r="J489" s="73"/>
      <c r="K489" s="73"/>
      <c r="L489" s="73"/>
      <c r="M489" s="73"/>
      <c r="N489" s="73"/>
      <c r="O489" s="73"/>
      <c r="P489" s="73"/>
      <c r="Q489" s="73"/>
      <c r="R489" s="73"/>
      <c r="S489" s="73"/>
      <c r="T489" s="73"/>
      <c r="U489" s="73"/>
      <c r="V489" s="73"/>
      <c r="W489" s="73"/>
      <c r="X489" s="73"/>
      <c r="Y489" s="73"/>
      <c r="Z489" s="73"/>
      <c r="AA489" s="73"/>
      <c r="AB489" s="73"/>
      <c r="AC489" s="122"/>
      <c r="AD489" s="108"/>
      <c r="AF489" s="108"/>
      <c r="AG489" s="73"/>
      <c r="AH489" s="73"/>
      <c r="AI489" s="73"/>
      <c r="AJ489" s="73"/>
      <c r="AK489" s="73"/>
      <c r="AL489" s="73"/>
      <c r="AM489" s="73"/>
      <c r="AN489" s="73"/>
      <c r="AO489" s="73"/>
      <c r="AP489" s="73"/>
      <c r="DL489" s="34"/>
    </row>
    <row r="490" spans="10:116" x14ac:dyDescent="0.25">
      <c r="J490" s="73"/>
      <c r="K490" s="73"/>
      <c r="L490" s="73"/>
      <c r="M490" s="73"/>
      <c r="N490" s="73"/>
      <c r="O490" s="73"/>
      <c r="P490" s="73"/>
      <c r="Q490" s="73"/>
      <c r="R490" s="73"/>
      <c r="S490" s="73"/>
      <c r="T490" s="73"/>
      <c r="U490" s="73"/>
      <c r="V490" s="73"/>
      <c r="W490" s="73"/>
      <c r="X490" s="73"/>
      <c r="Y490" s="73"/>
      <c r="Z490" s="73"/>
      <c r="AA490" s="73"/>
      <c r="AB490" s="73"/>
      <c r="AC490" s="122"/>
      <c r="AD490" s="108"/>
      <c r="AF490" s="108"/>
      <c r="AG490" s="73"/>
      <c r="AH490" s="73"/>
      <c r="AI490" s="73"/>
      <c r="AJ490" s="73"/>
      <c r="AK490" s="73"/>
      <c r="AL490" s="73"/>
      <c r="AM490" s="73"/>
      <c r="AN490" s="73"/>
      <c r="AO490" s="73"/>
      <c r="AP490" s="73"/>
      <c r="DL490" s="34"/>
    </row>
    <row r="491" spans="10:116" x14ac:dyDescent="0.25">
      <c r="J491" s="73"/>
      <c r="K491" s="73"/>
      <c r="L491" s="73"/>
      <c r="M491" s="73"/>
      <c r="N491" s="73"/>
      <c r="O491" s="73"/>
      <c r="P491" s="73"/>
      <c r="Q491" s="73"/>
      <c r="R491" s="73"/>
      <c r="S491" s="73"/>
      <c r="T491" s="73"/>
      <c r="U491" s="73"/>
      <c r="V491" s="73"/>
      <c r="W491" s="73"/>
      <c r="X491" s="73"/>
      <c r="Y491" s="73"/>
      <c r="Z491" s="73"/>
      <c r="AA491" s="73"/>
      <c r="AB491" s="73"/>
      <c r="AC491" s="122"/>
      <c r="AD491" s="108"/>
      <c r="AF491" s="108"/>
      <c r="AG491" s="73"/>
      <c r="AH491" s="73"/>
      <c r="AI491" s="73"/>
      <c r="AJ491" s="73"/>
      <c r="AK491" s="73"/>
      <c r="AL491" s="73"/>
      <c r="AM491" s="73"/>
      <c r="AN491" s="73"/>
      <c r="AO491" s="73"/>
      <c r="AP491" s="73"/>
      <c r="DL491" s="34"/>
    </row>
    <row r="492" spans="10:116" x14ac:dyDescent="0.25">
      <c r="J492" s="73"/>
      <c r="K492" s="73"/>
      <c r="L492" s="73"/>
      <c r="M492" s="73"/>
      <c r="N492" s="73"/>
      <c r="O492" s="73"/>
      <c r="P492" s="73"/>
      <c r="Q492" s="73"/>
      <c r="R492" s="73"/>
      <c r="S492" s="73"/>
      <c r="T492" s="73"/>
      <c r="U492" s="73"/>
      <c r="V492" s="73"/>
      <c r="W492" s="73"/>
      <c r="X492" s="73"/>
      <c r="Y492" s="73"/>
      <c r="Z492" s="73"/>
      <c r="AA492" s="73"/>
      <c r="AB492" s="73"/>
      <c r="AC492" s="122"/>
      <c r="AD492" s="108"/>
      <c r="AF492" s="108"/>
      <c r="AG492" s="73"/>
      <c r="AH492" s="73"/>
      <c r="AI492" s="73"/>
      <c r="AJ492" s="73"/>
      <c r="AK492" s="73"/>
      <c r="AL492" s="73"/>
      <c r="AM492" s="73"/>
      <c r="AN492" s="73"/>
      <c r="AO492" s="73"/>
      <c r="AP492" s="73"/>
      <c r="DL492" s="34"/>
    </row>
    <row r="493" spans="10:116" x14ac:dyDescent="0.25">
      <c r="J493" s="73"/>
      <c r="K493" s="73"/>
      <c r="L493" s="73"/>
      <c r="M493" s="73"/>
      <c r="N493" s="73"/>
      <c r="O493" s="73"/>
      <c r="P493" s="73"/>
      <c r="Q493" s="73"/>
      <c r="R493" s="73"/>
      <c r="S493" s="73"/>
      <c r="T493" s="73"/>
      <c r="U493" s="73"/>
      <c r="V493" s="73"/>
      <c r="W493" s="73"/>
      <c r="X493" s="73"/>
      <c r="Y493" s="73"/>
      <c r="Z493" s="73"/>
      <c r="AA493" s="73"/>
      <c r="AB493" s="73"/>
      <c r="AC493" s="122"/>
      <c r="AD493" s="108"/>
      <c r="AF493" s="108"/>
      <c r="AG493" s="73"/>
      <c r="AH493" s="73"/>
      <c r="AI493" s="73"/>
      <c r="AJ493" s="73"/>
      <c r="AK493" s="73"/>
      <c r="AL493" s="73"/>
      <c r="AM493" s="73"/>
      <c r="AN493" s="73"/>
      <c r="AO493" s="73"/>
      <c r="AP493" s="73"/>
      <c r="DL493" s="34"/>
    </row>
    <row r="494" spans="10:116" x14ac:dyDescent="0.25">
      <c r="J494" s="73"/>
      <c r="K494" s="73"/>
      <c r="L494" s="73"/>
      <c r="M494" s="73"/>
      <c r="N494" s="73"/>
      <c r="O494" s="73"/>
      <c r="P494" s="73"/>
      <c r="Q494" s="73"/>
      <c r="R494" s="73"/>
      <c r="S494" s="73"/>
      <c r="T494" s="73"/>
      <c r="U494" s="73"/>
      <c r="V494" s="73"/>
      <c r="W494" s="73"/>
      <c r="X494" s="73"/>
      <c r="Y494" s="73"/>
      <c r="Z494" s="73"/>
      <c r="AA494" s="73"/>
      <c r="AB494" s="73"/>
      <c r="AC494" s="122"/>
      <c r="AD494" s="108"/>
      <c r="AF494" s="108"/>
      <c r="AG494" s="73"/>
      <c r="AH494" s="73"/>
      <c r="AI494" s="73"/>
      <c r="AJ494" s="73"/>
      <c r="AK494" s="73"/>
      <c r="AL494" s="73"/>
      <c r="AM494" s="73"/>
      <c r="AN494" s="73"/>
      <c r="AO494" s="73"/>
      <c r="AP494" s="73"/>
      <c r="DL494" s="34"/>
    </row>
    <row r="495" spans="10:116" x14ac:dyDescent="0.25">
      <c r="J495" s="73"/>
      <c r="K495" s="73"/>
      <c r="L495" s="73"/>
      <c r="M495" s="73"/>
      <c r="N495" s="73"/>
      <c r="O495" s="73"/>
      <c r="P495" s="73"/>
      <c r="Q495" s="73"/>
      <c r="R495" s="73"/>
      <c r="S495" s="73"/>
      <c r="T495" s="73"/>
      <c r="U495" s="73"/>
      <c r="V495" s="73"/>
      <c r="W495" s="73"/>
      <c r="X495" s="73"/>
      <c r="Y495" s="73"/>
      <c r="Z495" s="73"/>
      <c r="AA495" s="73"/>
      <c r="AB495" s="73"/>
      <c r="AC495" s="122"/>
      <c r="AD495" s="108"/>
      <c r="AF495" s="108"/>
      <c r="AG495" s="73"/>
      <c r="AH495" s="73"/>
      <c r="AI495" s="73"/>
      <c r="AJ495" s="73"/>
      <c r="AK495" s="73"/>
      <c r="AL495" s="73"/>
      <c r="AM495" s="73"/>
      <c r="AN495" s="73"/>
      <c r="AO495" s="73"/>
      <c r="AP495" s="73"/>
      <c r="DL495" s="34"/>
    </row>
    <row r="496" spans="10:116" x14ac:dyDescent="0.25">
      <c r="J496" s="73"/>
      <c r="K496" s="73"/>
      <c r="L496" s="73"/>
      <c r="M496" s="73"/>
      <c r="N496" s="73"/>
      <c r="O496" s="73"/>
      <c r="P496" s="73"/>
      <c r="Q496" s="73"/>
      <c r="R496" s="73"/>
      <c r="S496" s="73"/>
      <c r="T496" s="73"/>
      <c r="U496" s="73"/>
      <c r="V496" s="73"/>
      <c r="W496" s="73"/>
      <c r="X496" s="73"/>
      <c r="Y496" s="73"/>
      <c r="Z496" s="73"/>
      <c r="AA496" s="73"/>
      <c r="AB496" s="73"/>
      <c r="AC496" s="122"/>
      <c r="AD496" s="108"/>
      <c r="AF496" s="108"/>
      <c r="AG496" s="73"/>
      <c r="AH496" s="73"/>
      <c r="AI496" s="73"/>
      <c r="AJ496" s="73"/>
      <c r="AK496" s="73"/>
      <c r="AL496" s="73"/>
      <c r="AM496" s="73"/>
      <c r="AN496" s="73"/>
      <c r="AO496" s="73"/>
      <c r="AP496" s="73"/>
      <c r="DL496" s="34"/>
    </row>
    <row r="497" spans="10:116" x14ac:dyDescent="0.25">
      <c r="J497" s="73"/>
      <c r="K497" s="73"/>
      <c r="L497" s="73"/>
      <c r="M497" s="73"/>
      <c r="N497" s="73"/>
      <c r="O497" s="73"/>
      <c r="P497" s="73"/>
      <c r="Q497" s="73"/>
      <c r="R497" s="73"/>
      <c r="S497" s="73"/>
      <c r="T497" s="73"/>
      <c r="U497" s="73"/>
      <c r="V497" s="73"/>
      <c r="W497" s="73"/>
      <c r="X497" s="73"/>
      <c r="Y497" s="73"/>
      <c r="Z497" s="73"/>
      <c r="AA497" s="73"/>
      <c r="AB497" s="73"/>
      <c r="AC497" s="122"/>
      <c r="AD497" s="108"/>
      <c r="AF497" s="108"/>
      <c r="AG497" s="73"/>
      <c r="AH497" s="73"/>
      <c r="AI497" s="73"/>
      <c r="AJ497" s="73"/>
      <c r="AK497" s="73"/>
      <c r="AL497" s="73"/>
      <c r="AM497" s="73"/>
      <c r="AN497" s="73"/>
      <c r="AO497" s="73"/>
      <c r="AP497" s="73"/>
      <c r="DL497" s="34"/>
    </row>
    <row r="498" spans="10:116" x14ac:dyDescent="0.25">
      <c r="J498" s="73"/>
      <c r="K498" s="73"/>
      <c r="L498" s="73"/>
      <c r="M498" s="73"/>
      <c r="N498" s="73"/>
      <c r="O498" s="73"/>
      <c r="P498" s="73"/>
      <c r="Q498" s="73"/>
      <c r="R498" s="73"/>
      <c r="S498" s="73"/>
      <c r="T498" s="73"/>
      <c r="U498" s="73"/>
      <c r="V498" s="73"/>
      <c r="W498" s="73"/>
      <c r="X498" s="73"/>
      <c r="Y498" s="73"/>
      <c r="Z498" s="73"/>
      <c r="AA498" s="73"/>
      <c r="AB498" s="73"/>
      <c r="AC498" s="122"/>
      <c r="AD498" s="108"/>
      <c r="AF498" s="108"/>
      <c r="AG498" s="73"/>
      <c r="AH498" s="73"/>
      <c r="AI498" s="73"/>
      <c r="AJ498" s="73"/>
      <c r="AK498" s="73"/>
      <c r="AL498" s="73"/>
      <c r="AM498" s="73"/>
      <c r="AN498" s="73"/>
      <c r="AO498" s="73"/>
      <c r="AP498" s="73"/>
      <c r="DL498" s="34"/>
    </row>
    <row r="499" spans="10:116" x14ac:dyDescent="0.25">
      <c r="J499" s="73"/>
      <c r="K499" s="73"/>
      <c r="L499" s="73"/>
      <c r="M499" s="73"/>
      <c r="N499" s="73"/>
      <c r="O499" s="73"/>
      <c r="P499" s="73"/>
      <c r="Q499" s="73"/>
      <c r="R499" s="73"/>
      <c r="S499" s="73"/>
      <c r="T499" s="73"/>
      <c r="U499" s="73"/>
      <c r="V499" s="73"/>
      <c r="W499" s="73"/>
      <c r="X499" s="73"/>
      <c r="Y499" s="73"/>
      <c r="Z499" s="73"/>
      <c r="AA499" s="73"/>
      <c r="AB499" s="73"/>
      <c r="AC499" s="122"/>
      <c r="AD499" s="108"/>
      <c r="AF499" s="108"/>
      <c r="AG499" s="73"/>
      <c r="AH499" s="73"/>
      <c r="AI499" s="73"/>
      <c r="AJ499" s="73"/>
      <c r="AK499" s="73"/>
      <c r="AL499" s="73"/>
      <c r="AM499" s="73"/>
      <c r="AN499" s="73"/>
      <c r="AO499" s="73"/>
      <c r="AP499" s="73"/>
      <c r="DL499" s="34"/>
    </row>
    <row r="500" spans="10:116" x14ac:dyDescent="0.25">
      <c r="J500" s="73"/>
      <c r="K500" s="73"/>
      <c r="L500" s="73"/>
      <c r="M500" s="73"/>
      <c r="N500" s="73"/>
      <c r="O500" s="73"/>
      <c r="P500" s="73"/>
      <c r="Q500" s="73"/>
      <c r="R500" s="73"/>
      <c r="S500" s="73"/>
      <c r="T500" s="73"/>
      <c r="U500" s="73"/>
      <c r="V500" s="73"/>
      <c r="W500" s="73"/>
      <c r="X500" s="73"/>
      <c r="Y500" s="73"/>
      <c r="Z500" s="73"/>
      <c r="AA500" s="73"/>
      <c r="AB500" s="73"/>
      <c r="AC500" s="122"/>
      <c r="AD500" s="108"/>
      <c r="AF500" s="108"/>
      <c r="AG500" s="73"/>
      <c r="AH500" s="73"/>
      <c r="AI500" s="73"/>
      <c r="AJ500" s="73"/>
      <c r="AK500" s="73"/>
      <c r="AL500" s="73"/>
      <c r="AM500" s="73"/>
      <c r="AN500" s="73"/>
      <c r="AO500" s="73"/>
      <c r="AP500" s="73"/>
      <c r="DL500" s="34"/>
    </row>
    <row r="501" spans="10:116" x14ac:dyDescent="0.25">
      <c r="J501" s="73"/>
      <c r="K501" s="73"/>
      <c r="L501" s="73"/>
      <c r="M501" s="73"/>
      <c r="N501" s="73"/>
      <c r="O501" s="73"/>
      <c r="P501" s="73"/>
      <c r="Q501" s="73"/>
      <c r="R501" s="73"/>
      <c r="S501" s="73"/>
      <c r="T501" s="73"/>
      <c r="U501" s="73"/>
      <c r="V501" s="73"/>
      <c r="W501" s="73"/>
      <c r="X501" s="73"/>
      <c r="Y501" s="73"/>
      <c r="Z501" s="73"/>
      <c r="AA501" s="73"/>
      <c r="AB501" s="73"/>
      <c r="AC501" s="122"/>
      <c r="AD501" s="108"/>
      <c r="AF501" s="108"/>
      <c r="AG501" s="73"/>
      <c r="AH501" s="73"/>
      <c r="AI501" s="73"/>
      <c r="AJ501" s="73"/>
      <c r="AK501" s="73"/>
      <c r="AL501" s="73"/>
      <c r="AM501" s="73"/>
      <c r="AN501" s="73"/>
      <c r="AO501" s="73"/>
      <c r="AP501" s="73"/>
      <c r="DL501" s="34"/>
    </row>
    <row r="502" spans="10:116" x14ac:dyDescent="0.25">
      <c r="J502" s="73"/>
      <c r="K502" s="73"/>
      <c r="L502" s="73"/>
      <c r="M502" s="73"/>
      <c r="N502" s="73"/>
      <c r="O502" s="73"/>
      <c r="P502" s="73"/>
      <c r="Q502" s="73"/>
      <c r="R502" s="73"/>
      <c r="S502" s="73"/>
      <c r="T502" s="73"/>
      <c r="U502" s="73"/>
      <c r="V502" s="73"/>
      <c r="W502" s="73"/>
      <c r="X502" s="73"/>
      <c r="Y502" s="73"/>
      <c r="Z502" s="73"/>
      <c r="AA502" s="73"/>
      <c r="AB502" s="73"/>
      <c r="AC502" s="122"/>
      <c r="AD502" s="108"/>
      <c r="AF502" s="108"/>
      <c r="AG502" s="73"/>
      <c r="AH502" s="73"/>
      <c r="AI502" s="73"/>
      <c r="AJ502" s="73"/>
      <c r="AK502" s="73"/>
      <c r="AL502" s="73"/>
      <c r="AM502" s="73"/>
      <c r="AN502" s="73"/>
      <c r="AO502" s="73"/>
      <c r="AP502" s="73"/>
      <c r="DL502" s="34"/>
    </row>
    <row r="503" spans="10:116" x14ac:dyDescent="0.25">
      <c r="J503" s="73"/>
      <c r="K503" s="73"/>
      <c r="L503" s="73"/>
      <c r="M503" s="73"/>
      <c r="N503" s="73"/>
      <c r="O503" s="73"/>
      <c r="P503" s="73"/>
      <c r="Q503" s="73"/>
      <c r="R503" s="73"/>
      <c r="S503" s="73"/>
      <c r="T503" s="73"/>
      <c r="U503" s="73"/>
      <c r="V503" s="73"/>
      <c r="W503" s="73"/>
      <c r="X503" s="73"/>
      <c r="Y503" s="73"/>
      <c r="Z503" s="73"/>
      <c r="AA503" s="73"/>
      <c r="AB503" s="73"/>
      <c r="AC503" s="122"/>
      <c r="AD503" s="108"/>
      <c r="AF503" s="108"/>
      <c r="AG503" s="73"/>
      <c r="AH503" s="73"/>
      <c r="AI503" s="73"/>
      <c r="AJ503" s="73"/>
      <c r="AK503" s="73"/>
      <c r="AL503" s="73"/>
      <c r="AM503" s="73"/>
      <c r="AN503" s="73"/>
      <c r="AO503" s="73"/>
      <c r="AP503" s="73"/>
      <c r="DL503" s="34"/>
    </row>
    <row r="504" spans="10:116" x14ac:dyDescent="0.25">
      <c r="J504" s="73"/>
      <c r="K504" s="73"/>
      <c r="L504" s="73"/>
      <c r="M504" s="73"/>
      <c r="N504" s="73"/>
      <c r="O504" s="73"/>
      <c r="P504" s="73"/>
      <c r="Q504" s="73"/>
      <c r="R504" s="73"/>
      <c r="S504" s="73"/>
      <c r="T504" s="73"/>
      <c r="U504" s="73"/>
      <c r="V504" s="73"/>
      <c r="W504" s="73"/>
      <c r="X504" s="73"/>
      <c r="Y504" s="73"/>
      <c r="Z504" s="73"/>
      <c r="AA504" s="73"/>
      <c r="AB504" s="73"/>
      <c r="AC504" s="122"/>
      <c r="AD504" s="108"/>
      <c r="AF504" s="108"/>
      <c r="AG504" s="73"/>
      <c r="AH504" s="73"/>
      <c r="AI504" s="73"/>
      <c r="AJ504" s="73"/>
      <c r="AK504" s="73"/>
      <c r="AL504" s="73"/>
      <c r="AM504" s="73"/>
      <c r="AN504" s="73"/>
      <c r="AO504" s="73"/>
      <c r="AP504" s="73"/>
      <c r="DL504" s="34"/>
    </row>
    <row r="505" spans="10:116" x14ac:dyDescent="0.25">
      <c r="J505" s="73"/>
      <c r="K505" s="73"/>
      <c r="L505" s="73"/>
      <c r="M505" s="73"/>
      <c r="N505" s="73"/>
      <c r="O505" s="73"/>
      <c r="P505" s="73"/>
      <c r="Q505" s="73"/>
      <c r="R505" s="73"/>
      <c r="S505" s="73"/>
      <c r="T505" s="73"/>
      <c r="U505" s="73"/>
      <c r="V505" s="73"/>
      <c r="W505" s="73"/>
      <c r="X505" s="73"/>
      <c r="Y505" s="73"/>
      <c r="Z505" s="73"/>
      <c r="AA505" s="73"/>
      <c r="AB505" s="73"/>
      <c r="AC505" s="122"/>
      <c r="AD505" s="108"/>
      <c r="AF505" s="108"/>
      <c r="AG505" s="73"/>
      <c r="AH505" s="73"/>
      <c r="AI505" s="73"/>
      <c r="AJ505" s="73"/>
      <c r="AK505" s="73"/>
      <c r="AL505" s="73"/>
      <c r="AM505" s="73"/>
      <c r="AN505" s="73"/>
      <c r="AO505" s="73"/>
      <c r="AP505" s="73"/>
      <c r="DL505" s="34"/>
    </row>
    <row r="506" spans="10:116" x14ac:dyDescent="0.25">
      <c r="J506" s="73"/>
      <c r="K506" s="73"/>
      <c r="L506" s="73"/>
      <c r="M506" s="73"/>
      <c r="N506" s="73"/>
      <c r="O506" s="73"/>
      <c r="P506" s="73"/>
      <c r="Q506" s="73"/>
      <c r="R506" s="73"/>
      <c r="S506" s="73"/>
      <c r="T506" s="73"/>
      <c r="U506" s="73"/>
      <c r="V506" s="73"/>
      <c r="W506" s="73"/>
      <c r="X506" s="73"/>
      <c r="Y506" s="73"/>
      <c r="Z506" s="73"/>
      <c r="AA506" s="73"/>
      <c r="AB506" s="73"/>
      <c r="AC506" s="122"/>
      <c r="AD506" s="108"/>
      <c r="AF506" s="108"/>
      <c r="AG506" s="73"/>
      <c r="AH506" s="73"/>
      <c r="AI506" s="73"/>
      <c r="AJ506" s="73"/>
      <c r="AK506" s="73"/>
      <c r="AL506" s="73"/>
      <c r="AM506" s="73"/>
      <c r="AN506" s="73"/>
      <c r="AO506" s="73"/>
      <c r="AP506" s="73"/>
      <c r="DL506" s="34"/>
    </row>
    <row r="507" spans="10:116" x14ac:dyDescent="0.25">
      <c r="J507" s="73"/>
      <c r="K507" s="73"/>
      <c r="L507" s="73"/>
      <c r="M507" s="73"/>
      <c r="N507" s="73"/>
      <c r="O507" s="73"/>
      <c r="P507" s="73"/>
      <c r="Q507" s="73"/>
      <c r="R507" s="73"/>
      <c r="S507" s="73"/>
      <c r="T507" s="73"/>
      <c r="U507" s="73"/>
      <c r="V507" s="73"/>
      <c r="W507" s="73"/>
      <c r="X507" s="73"/>
      <c r="Y507" s="73"/>
      <c r="Z507" s="73"/>
      <c r="AA507" s="73"/>
      <c r="AB507" s="73"/>
      <c r="AC507" s="122"/>
      <c r="AD507" s="108"/>
      <c r="AF507" s="108"/>
      <c r="AG507" s="73"/>
      <c r="AH507" s="73"/>
      <c r="AI507" s="73"/>
      <c r="AJ507" s="73"/>
      <c r="AK507" s="73"/>
      <c r="AL507" s="73"/>
      <c r="AM507" s="73"/>
      <c r="AN507" s="73"/>
      <c r="AO507" s="73"/>
      <c r="AP507" s="73"/>
      <c r="DL507" s="34"/>
    </row>
    <row r="508" spans="10:116" x14ac:dyDescent="0.25">
      <c r="J508" s="73"/>
      <c r="K508" s="73"/>
      <c r="L508" s="73"/>
      <c r="M508" s="73"/>
      <c r="N508" s="73"/>
      <c r="O508" s="73"/>
      <c r="P508" s="73"/>
      <c r="Q508" s="73"/>
      <c r="R508" s="73"/>
      <c r="S508" s="73"/>
      <c r="T508" s="73"/>
      <c r="U508" s="73"/>
      <c r="V508" s="73"/>
      <c r="W508" s="73"/>
      <c r="X508" s="73"/>
      <c r="Y508" s="73"/>
      <c r="Z508" s="73"/>
      <c r="AA508" s="73"/>
      <c r="AB508" s="73"/>
      <c r="AC508" s="122"/>
      <c r="AD508" s="108"/>
      <c r="AF508" s="108"/>
      <c r="AG508" s="73"/>
      <c r="AH508" s="73"/>
      <c r="AI508" s="73"/>
      <c r="AJ508" s="73"/>
      <c r="AK508" s="73"/>
      <c r="AL508" s="73"/>
      <c r="AM508" s="73"/>
      <c r="AN508" s="73"/>
      <c r="AO508" s="73"/>
      <c r="AP508" s="73"/>
      <c r="DL508" s="34"/>
    </row>
    <row r="509" spans="10:116" x14ac:dyDescent="0.25">
      <c r="J509" s="73"/>
      <c r="K509" s="73"/>
      <c r="L509" s="73"/>
      <c r="M509" s="73"/>
      <c r="N509" s="73"/>
      <c r="O509" s="73"/>
      <c r="P509" s="73"/>
      <c r="Q509" s="73"/>
      <c r="R509" s="73"/>
      <c r="S509" s="73"/>
      <c r="T509" s="73"/>
      <c r="U509" s="73"/>
      <c r="V509" s="73"/>
      <c r="W509" s="73"/>
      <c r="X509" s="73"/>
      <c r="Y509" s="73"/>
      <c r="Z509" s="73"/>
      <c r="AA509" s="73"/>
      <c r="AB509" s="73"/>
      <c r="AC509" s="122"/>
      <c r="AD509" s="108"/>
      <c r="AF509" s="108"/>
      <c r="AG509" s="73"/>
      <c r="AH509" s="73"/>
      <c r="AI509" s="73"/>
      <c r="AJ509" s="73"/>
      <c r="AK509" s="73"/>
      <c r="AL509" s="73"/>
      <c r="AM509" s="73"/>
      <c r="AN509" s="73"/>
      <c r="AO509" s="73"/>
      <c r="AP509" s="73"/>
      <c r="DL509" s="34"/>
    </row>
    <row r="510" spans="10:116" x14ac:dyDescent="0.25">
      <c r="J510" s="73"/>
      <c r="K510" s="73"/>
      <c r="L510" s="73"/>
      <c r="M510" s="73"/>
      <c r="N510" s="73"/>
      <c r="O510" s="73"/>
      <c r="P510" s="73"/>
      <c r="Q510" s="73"/>
      <c r="R510" s="73"/>
      <c r="S510" s="73"/>
      <c r="T510" s="73"/>
      <c r="U510" s="73"/>
      <c r="V510" s="73"/>
      <c r="W510" s="73"/>
      <c r="X510" s="73"/>
      <c r="Y510" s="73"/>
      <c r="Z510" s="73"/>
      <c r="AA510" s="73"/>
      <c r="AB510" s="73"/>
      <c r="AC510" s="122"/>
      <c r="AD510" s="108"/>
      <c r="AF510" s="108"/>
      <c r="AG510" s="73"/>
      <c r="AH510" s="73"/>
      <c r="AI510" s="73"/>
      <c r="AJ510" s="73"/>
      <c r="AK510" s="73"/>
      <c r="AL510" s="73"/>
      <c r="AM510" s="73"/>
      <c r="AN510" s="73"/>
      <c r="AO510" s="73"/>
      <c r="AP510" s="73"/>
      <c r="DL510" s="34"/>
    </row>
    <row r="511" spans="10:116" x14ac:dyDescent="0.25">
      <c r="J511" s="73"/>
      <c r="K511" s="73"/>
      <c r="L511" s="73"/>
      <c r="M511" s="73"/>
      <c r="N511" s="73"/>
      <c r="O511" s="73"/>
      <c r="P511" s="73"/>
      <c r="Q511" s="73"/>
      <c r="R511" s="73"/>
      <c r="S511" s="73"/>
      <c r="T511" s="73"/>
      <c r="U511" s="73"/>
      <c r="V511" s="73"/>
      <c r="W511" s="73"/>
      <c r="X511" s="73"/>
      <c r="Y511" s="73"/>
      <c r="Z511" s="73"/>
      <c r="AA511" s="73"/>
      <c r="AB511" s="73"/>
      <c r="AC511" s="122"/>
      <c r="AD511" s="108"/>
      <c r="AF511" s="108"/>
      <c r="AG511" s="73"/>
      <c r="AH511" s="73"/>
      <c r="AI511" s="73"/>
      <c r="AJ511" s="73"/>
      <c r="AK511" s="73"/>
      <c r="AL511" s="73"/>
      <c r="AM511" s="73"/>
      <c r="AN511" s="73"/>
      <c r="AO511" s="73"/>
      <c r="AP511" s="73"/>
      <c r="DL511" s="34"/>
    </row>
    <row r="512" spans="10:116" x14ac:dyDescent="0.25">
      <c r="J512" s="73"/>
      <c r="K512" s="73"/>
      <c r="L512" s="73"/>
      <c r="M512" s="73"/>
      <c r="N512" s="73"/>
      <c r="O512" s="73"/>
      <c r="P512" s="73"/>
      <c r="Q512" s="73"/>
      <c r="R512" s="73"/>
      <c r="S512" s="73"/>
      <c r="T512" s="73"/>
      <c r="U512" s="73"/>
      <c r="V512" s="73"/>
      <c r="W512" s="73"/>
      <c r="X512" s="73"/>
      <c r="Y512" s="73"/>
      <c r="Z512" s="73"/>
      <c r="AA512" s="73"/>
      <c r="AB512" s="73"/>
      <c r="AC512" s="122"/>
      <c r="AD512" s="108"/>
      <c r="AF512" s="108"/>
      <c r="AG512" s="73"/>
      <c r="AH512" s="73"/>
      <c r="AI512" s="73"/>
      <c r="AJ512" s="73"/>
      <c r="AK512" s="73"/>
      <c r="AL512" s="73"/>
      <c r="AM512" s="73"/>
      <c r="AN512" s="73"/>
      <c r="AO512" s="73"/>
      <c r="AP512" s="73"/>
      <c r="DL512" s="34"/>
    </row>
    <row r="513" spans="10:116" x14ac:dyDescent="0.25">
      <c r="J513" s="73"/>
      <c r="K513" s="73"/>
      <c r="L513" s="73"/>
      <c r="M513" s="73"/>
      <c r="N513" s="73"/>
      <c r="O513" s="73"/>
      <c r="P513" s="73"/>
      <c r="Q513" s="73"/>
      <c r="R513" s="73"/>
      <c r="S513" s="73"/>
      <c r="T513" s="73"/>
      <c r="U513" s="73"/>
      <c r="V513" s="73"/>
      <c r="W513" s="73"/>
      <c r="X513" s="73"/>
      <c r="Y513" s="73"/>
      <c r="Z513" s="73"/>
      <c r="AA513" s="73"/>
      <c r="AB513" s="73"/>
      <c r="AC513" s="122"/>
      <c r="AD513" s="108"/>
      <c r="AF513" s="108"/>
      <c r="AG513" s="73"/>
      <c r="AH513" s="73"/>
      <c r="AI513" s="73"/>
      <c r="AJ513" s="73"/>
      <c r="AK513" s="73"/>
      <c r="AL513" s="73"/>
      <c r="AM513" s="73"/>
      <c r="AN513" s="73"/>
      <c r="AO513" s="73"/>
      <c r="AP513" s="73"/>
      <c r="DL513" s="34"/>
    </row>
    <row r="514" spans="10:116" x14ac:dyDescent="0.25">
      <c r="J514" s="73"/>
      <c r="K514" s="73"/>
      <c r="L514" s="73"/>
      <c r="M514" s="73"/>
      <c r="N514" s="73"/>
      <c r="O514" s="73"/>
      <c r="P514" s="73"/>
      <c r="Q514" s="73"/>
      <c r="R514" s="73"/>
      <c r="S514" s="73"/>
      <c r="T514" s="73"/>
      <c r="U514" s="73"/>
      <c r="V514" s="73"/>
      <c r="W514" s="73"/>
      <c r="X514" s="73"/>
      <c r="Y514" s="73"/>
      <c r="Z514" s="73"/>
      <c r="AA514" s="73"/>
      <c r="AB514" s="73"/>
      <c r="AC514" s="122"/>
      <c r="AD514" s="108"/>
      <c r="AF514" s="108"/>
      <c r="AG514" s="73"/>
      <c r="AH514" s="73"/>
      <c r="AI514" s="73"/>
      <c r="AJ514" s="73"/>
      <c r="AK514" s="73"/>
      <c r="AL514" s="73"/>
      <c r="AM514" s="73"/>
      <c r="AN514" s="73"/>
      <c r="AO514" s="73"/>
      <c r="AP514" s="73"/>
      <c r="DL514" s="34"/>
    </row>
    <row r="515" spans="10:116" x14ac:dyDescent="0.25">
      <c r="J515" s="73"/>
      <c r="K515" s="73"/>
      <c r="L515" s="73"/>
      <c r="M515" s="73"/>
      <c r="N515" s="73"/>
      <c r="O515" s="73"/>
      <c r="P515" s="73"/>
      <c r="Q515" s="73"/>
      <c r="R515" s="73"/>
      <c r="S515" s="73"/>
      <c r="T515" s="73"/>
      <c r="U515" s="73"/>
      <c r="V515" s="73"/>
      <c r="W515" s="73"/>
      <c r="X515" s="73"/>
      <c r="Y515" s="73"/>
      <c r="Z515" s="73"/>
      <c r="AA515" s="73"/>
      <c r="AB515" s="73"/>
      <c r="AC515" s="122"/>
      <c r="AD515" s="108"/>
      <c r="AF515" s="108"/>
      <c r="AG515" s="73"/>
      <c r="AH515" s="73"/>
      <c r="AI515" s="73"/>
      <c r="AJ515" s="73"/>
      <c r="AK515" s="73"/>
      <c r="AL515" s="73"/>
      <c r="AM515" s="73"/>
      <c r="AN515" s="73"/>
      <c r="AO515" s="73"/>
      <c r="AP515" s="73"/>
      <c r="DL515" s="34"/>
    </row>
    <row r="516" spans="10:116" x14ac:dyDescent="0.25">
      <c r="J516" s="73"/>
      <c r="K516" s="73"/>
      <c r="L516" s="73"/>
      <c r="M516" s="73"/>
      <c r="N516" s="73"/>
      <c r="O516" s="73"/>
      <c r="P516" s="73"/>
      <c r="Q516" s="73"/>
      <c r="R516" s="73"/>
      <c r="S516" s="73"/>
      <c r="T516" s="73"/>
      <c r="U516" s="73"/>
      <c r="V516" s="73"/>
      <c r="W516" s="73"/>
      <c r="X516" s="73"/>
      <c r="Y516" s="73"/>
      <c r="Z516" s="73"/>
      <c r="AA516" s="73"/>
      <c r="AB516" s="73"/>
      <c r="AC516" s="122"/>
      <c r="AD516" s="108"/>
      <c r="AF516" s="108"/>
      <c r="AG516" s="73"/>
      <c r="AH516" s="73"/>
      <c r="AI516" s="73"/>
      <c r="AJ516" s="73"/>
      <c r="AK516" s="73"/>
      <c r="AL516" s="73"/>
      <c r="AM516" s="73"/>
      <c r="AN516" s="73"/>
      <c r="AO516" s="73"/>
      <c r="AP516" s="73"/>
      <c r="DL516" s="34"/>
    </row>
    <row r="517" spans="10:116" x14ac:dyDescent="0.25">
      <c r="J517" s="73"/>
      <c r="K517" s="73"/>
      <c r="L517" s="73"/>
      <c r="M517" s="73"/>
      <c r="N517" s="73"/>
      <c r="O517" s="73"/>
      <c r="P517" s="73"/>
      <c r="Q517" s="73"/>
      <c r="R517" s="73"/>
      <c r="S517" s="73"/>
      <c r="T517" s="73"/>
      <c r="U517" s="73"/>
      <c r="V517" s="73"/>
      <c r="W517" s="73"/>
      <c r="X517" s="73"/>
      <c r="Y517" s="73"/>
      <c r="Z517" s="73"/>
      <c r="AA517" s="73"/>
      <c r="AB517" s="73"/>
      <c r="AC517" s="122"/>
      <c r="AD517" s="108"/>
      <c r="AF517" s="108"/>
      <c r="AG517" s="73"/>
      <c r="AH517" s="73"/>
      <c r="AI517" s="73"/>
      <c r="AJ517" s="73"/>
      <c r="AK517" s="73"/>
      <c r="AL517" s="73"/>
      <c r="AM517" s="73"/>
      <c r="AN517" s="73"/>
      <c r="AO517" s="73"/>
      <c r="AP517" s="73"/>
      <c r="DL517" s="34"/>
    </row>
    <row r="518" spans="10:116" x14ac:dyDescent="0.25">
      <c r="J518" s="73"/>
      <c r="K518" s="73"/>
      <c r="L518" s="73"/>
      <c r="M518" s="73"/>
      <c r="N518" s="73"/>
      <c r="O518" s="73"/>
      <c r="P518" s="73"/>
      <c r="Q518" s="73"/>
      <c r="R518" s="73"/>
      <c r="S518" s="73"/>
      <c r="T518" s="73"/>
      <c r="U518" s="73"/>
      <c r="V518" s="73"/>
      <c r="W518" s="73"/>
      <c r="X518" s="73"/>
      <c r="Y518" s="73"/>
      <c r="Z518" s="73"/>
      <c r="AA518" s="73"/>
      <c r="AB518" s="73"/>
      <c r="AC518" s="122"/>
      <c r="AD518" s="108"/>
      <c r="AF518" s="108"/>
      <c r="AG518" s="73"/>
      <c r="AH518" s="73"/>
      <c r="AI518" s="73"/>
      <c r="AJ518" s="73"/>
      <c r="AK518" s="73"/>
      <c r="AL518" s="73"/>
      <c r="AM518" s="73"/>
      <c r="AN518" s="73"/>
      <c r="AO518" s="73"/>
      <c r="AP518" s="73"/>
      <c r="DL518" s="34"/>
    </row>
    <row r="519" spans="10:116" x14ac:dyDescent="0.25">
      <c r="J519" s="73"/>
      <c r="K519" s="73"/>
      <c r="L519" s="73"/>
      <c r="M519" s="73"/>
      <c r="N519" s="73"/>
      <c r="O519" s="73"/>
      <c r="P519" s="73"/>
      <c r="Q519" s="73"/>
      <c r="R519" s="73"/>
      <c r="S519" s="73"/>
      <c r="T519" s="73"/>
      <c r="U519" s="73"/>
      <c r="V519" s="73"/>
      <c r="W519" s="73"/>
      <c r="X519" s="73"/>
      <c r="Y519" s="73"/>
      <c r="Z519" s="73"/>
      <c r="AA519" s="73"/>
      <c r="AB519" s="73"/>
      <c r="AC519" s="122"/>
      <c r="AD519" s="108"/>
      <c r="AF519" s="108"/>
      <c r="AG519" s="73"/>
      <c r="AH519" s="73"/>
      <c r="AI519" s="73"/>
      <c r="AJ519" s="73"/>
      <c r="AK519" s="73"/>
      <c r="AL519" s="73"/>
      <c r="AM519" s="73"/>
      <c r="AN519" s="73"/>
      <c r="AO519" s="73"/>
      <c r="AP519" s="73"/>
      <c r="DL519" s="34"/>
    </row>
    <row r="520" spans="10:116" x14ac:dyDescent="0.25">
      <c r="J520" s="73"/>
      <c r="K520" s="73"/>
      <c r="L520" s="73"/>
      <c r="M520" s="73"/>
      <c r="N520" s="73"/>
      <c r="O520" s="73"/>
      <c r="P520" s="73"/>
      <c r="Q520" s="73"/>
      <c r="R520" s="73"/>
      <c r="S520" s="73"/>
      <c r="T520" s="73"/>
      <c r="U520" s="73"/>
      <c r="V520" s="73"/>
      <c r="W520" s="73"/>
      <c r="X520" s="73"/>
      <c r="Y520" s="73"/>
      <c r="Z520" s="73"/>
      <c r="AA520" s="73"/>
      <c r="AB520" s="73"/>
      <c r="AC520" s="122"/>
      <c r="AD520" s="108"/>
      <c r="AF520" s="108"/>
      <c r="AG520" s="73"/>
      <c r="AH520" s="73"/>
      <c r="AI520" s="73"/>
      <c r="AJ520" s="73"/>
      <c r="AK520" s="73"/>
      <c r="AL520" s="73"/>
      <c r="AM520" s="73"/>
      <c r="AN520" s="73"/>
      <c r="AO520" s="73"/>
      <c r="AP520" s="73"/>
      <c r="DL520" s="34"/>
    </row>
    <row r="521" spans="10:116" x14ac:dyDescent="0.25">
      <c r="J521" s="73"/>
      <c r="K521" s="73"/>
      <c r="L521" s="73"/>
      <c r="M521" s="73"/>
      <c r="N521" s="73"/>
      <c r="O521" s="73"/>
      <c r="P521" s="73"/>
      <c r="Q521" s="73"/>
      <c r="R521" s="73"/>
      <c r="S521" s="73"/>
      <c r="T521" s="73"/>
      <c r="U521" s="73"/>
      <c r="V521" s="73"/>
      <c r="W521" s="73"/>
      <c r="X521" s="73"/>
      <c r="Y521" s="73"/>
      <c r="Z521" s="73"/>
      <c r="AA521" s="73"/>
      <c r="AB521" s="73"/>
      <c r="AC521" s="122"/>
      <c r="AD521" s="108"/>
      <c r="AF521" s="108"/>
      <c r="AG521" s="73"/>
      <c r="AH521" s="73"/>
      <c r="AI521" s="73"/>
      <c r="AJ521" s="73"/>
      <c r="AK521" s="73"/>
      <c r="AL521" s="73"/>
      <c r="AM521" s="73"/>
      <c r="AN521" s="73"/>
      <c r="AO521" s="73"/>
      <c r="AP521" s="73"/>
      <c r="DL521" s="34"/>
    </row>
    <row r="522" spans="10:116" x14ac:dyDescent="0.25">
      <c r="J522" s="73"/>
      <c r="K522" s="73"/>
      <c r="L522" s="73"/>
      <c r="M522" s="73"/>
      <c r="N522" s="73"/>
      <c r="O522" s="73"/>
      <c r="P522" s="73"/>
      <c r="Q522" s="73"/>
      <c r="R522" s="73"/>
      <c r="S522" s="73"/>
      <c r="T522" s="73"/>
      <c r="U522" s="73"/>
      <c r="V522" s="73"/>
      <c r="W522" s="73"/>
      <c r="X522" s="73"/>
      <c r="Y522" s="73"/>
      <c r="Z522" s="73"/>
      <c r="AA522" s="73"/>
      <c r="AB522" s="73"/>
      <c r="AC522" s="122"/>
      <c r="AD522" s="108"/>
      <c r="AF522" s="108"/>
      <c r="AG522" s="73"/>
      <c r="AH522" s="73"/>
      <c r="AI522" s="73"/>
      <c r="AJ522" s="73"/>
      <c r="AK522" s="73"/>
      <c r="AL522" s="73"/>
      <c r="AM522" s="73"/>
      <c r="AN522" s="73"/>
      <c r="AO522" s="73"/>
      <c r="AP522" s="73"/>
      <c r="DL522" s="34"/>
    </row>
    <row r="523" spans="10:116" x14ac:dyDescent="0.25">
      <c r="J523" s="73"/>
      <c r="K523" s="73"/>
      <c r="L523" s="73"/>
      <c r="M523" s="73"/>
      <c r="N523" s="73"/>
      <c r="O523" s="73"/>
      <c r="P523" s="73"/>
      <c r="Q523" s="73"/>
      <c r="R523" s="73"/>
      <c r="S523" s="73"/>
      <c r="T523" s="73"/>
      <c r="U523" s="73"/>
      <c r="V523" s="73"/>
      <c r="W523" s="73"/>
      <c r="X523" s="73"/>
      <c r="Y523" s="73"/>
      <c r="Z523" s="73"/>
      <c r="AA523" s="73"/>
      <c r="AB523" s="73"/>
      <c r="AC523" s="122"/>
      <c r="AD523" s="108"/>
      <c r="AF523" s="108"/>
      <c r="AG523" s="73"/>
      <c r="AH523" s="73"/>
      <c r="AI523" s="73"/>
      <c r="AJ523" s="73"/>
      <c r="AK523" s="73"/>
      <c r="AL523" s="73"/>
      <c r="AM523" s="73"/>
      <c r="AN523" s="73"/>
      <c r="AO523" s="73"/>
      <c r="AP523" s="73"/>
      <c r="DL523" s="34"/>
    </row>
    <row r="524" spans="10:116" x14ac:dyDescent="0.25">
      <c r="J524" s="73"/>
      <c r="K524" s="73"/>
      <c r="L524" s="73"/>
      <c r="M524" s="73"/>
      <c r="N524" s="73"/>
      <c r="O524" s="73"/>
      <c r="P524" s="73"/>
      <c r="Q524" s="73"/>
      <c r="R524" s="73"/>
      <c r="S524" s="73"/>
      <c r="T524" s="73"/>
      <c r="U524" s="73"/>
      <c r="V524" s="73"/>
      <c r="W524" s="73"/>
      <c r="X524" s="73"/>
      <c r="Y524" s="73"/>
      <c r="Z524" s="73"/>
      <c r="AA524" s="73"/>
      <c r="AB524" s="73"/>
      <c r="AC524" s="122"/>
      <c r="AD524" s="108"/>
      <c r="AF524" s="108"/>
      <c r="AG524" s="73"/>
      <c r="AH524" s="73"/>
      <c r="AI524" s="73"/>
      <c r="AJ524" s="73"/>
      <c r="AK524" s="73"/>
      <c r="AL524" s="73"/>
      <c r="AM524" s="73"/>
      <c r="AN524" s="73"/>
      <c r="AO524" s="73"/>
      <c r="AP524" s="73"/>
      <c r="DL524" s="34"/>
    </row>
    <row r="525" spans="10:116" x14ac:dyDescent="0.25">
      <c r="J525" s="73"/>
      <c r="K525" s="73"/>
      <c r="L525" s="73"/>
      <c r="M525" s="73"/>
      <c r="N525" s="73"/>
      <c r="O525" s="73"/>
      <c r="P525" s="73"/>
      <c r="Q525" s="73"/>
      <c r="R525" s="73"/>
      <c r="S525" s="73"/>
      <c r="T525" s="73"/>
      <c r="U525" s="73"/>
      <c r="V525" s="73"/>
      <c r="W525" s="73"/>
      <c r="X525" s="73"/>
      <c r="Y525" s="73"/>
      <c r="Z525" s="73"/>
      <c r="AA525" s="73"/>
      <c r="AB525" s="73"/>
      <c r="AC525" s="122"/>
      <c r="AD525" s="108"/>
      <c r="AF525" s="108"/>
      <c r="AG525" s="73"/>
      <c r="AH525" s="73"/>
      <c r="AI525" s="73"/>
      <c r="AJ525" s="73"/>
      <c r="AK525" s="73"/>
      <c r="AL525" s="73"/>
      <c r="AM525" s="73"/>
      <c r="AN525" s="73"/>
      <c r="AO525" s="73"/>
      <c r="AP525" s="73"/>
      <c r="DL525" s="34"/>
    </row>
    <row r="526" spans="10:116" x14ac:dyDescent="0.25">
      <c r="J526" s="73"/>
      <c r="K526" s="73"/>
      <c r="L526" s="73"/>
      <c r="M526" s="73"/>
      <c r="N526" s="73"/>
      <c r="O526" s="73"/>
      <c r="P526" s="73"/>
      <c r="Q526" s="73"/>
      <c r="R526" s="73"/>
      <c r="S526" s="73"/>
      <c r="T526" s="73"/>
      <c r="U526" s="73"/>
      <c r="V526" s="73"/>
      <c r="W526" s="73"/>
      <c r="X526" s="73"/>
      <c r="Y526" s="73"/>
      <c r="Z526" s="73"/>
      <c r="AA526" s="73"/>
      <c r="AB526" s="73"/>
      <c r="AC526" s="122"/>
      <c r="AD526" s="108"/>
      <c r="AF526" s="108"/>
      <c r="AG526" s="73"/>
      <c r="AH526" s="73"/>
      <c r="AI526" s="73"/>
      <c r="AJ526" s="73"/>
      <c r="AK526" s="73"/>
      <c r="AL526" s="73"/>
      <c r="AM526" s="73"/>
      <c r="AN526" s="73"/>
      <c r="AO526" s="73"/>
      <c r="AP526" s="73"/>
      <c r="DL526" s="34"/>
    </row>
    <row r="527" spans="10:116" x14ac:dyDescent="0.25">
      <c r="J527" s="73"/>
      <c r="K527" s="73"/>
      <c r="L527" s="73"/>
      <c r="M527" s="73"/>
      <c r="N527" s="73"/>
      <c r="O527" s="73"/>
      <c r="P527" s="73"/>
      <c r="Q527" s="73"/>
      <c r="R527" s="73"/>
      <c r="S527" s="73"/>
      <c r="T527" s="73"/>
      <c r="U527" s="73"/>
      <c r="V527" s="73"/>
      <c r="W527" s="73"/>
      <c r="X527" s="73"/>
      <c r="Y527" s="73"/>
      <c r="Z527" s="73"/>
      <c r="AA527" s="73"/>
      <c r="AB527" s="73"/>
      <c r="AC527" s="122"/>
      <c r="AD527" s="108"/>
      <c r="AF527" s="108"/>
      <c r="AG527" s="73"/>
      <c r="AH527" s="73"/>
      <c r="AI527" s="73"/>
      <c r="AJ527" s="73"/>
      <c r="AK527" s="73"/>
      <c r="AL527" s="73"/>
      <c r="AM527" s="73"/>
      <c r="AN527" s="73"/>
      <c r="AO527" s="73"/>
      <c r="AP527" s="73"/>
      <c r="DL527" s="34"/>
    </row>
    <row r="528" spans="10:116" x14ac:dyDescent="0.25">
      <c r="J528" s="73"/>
      <c r="K528" s="73"/>
      <c r="L528" s="73"/>
      <c r="M528" s="73"/>
      <c r="N528" s="73"/>
      <c r="O528" s="73"/>
      <c r="P528" s="73"/>
      <c r="Q528" s="73"/>
      <c r="R528" s="73"/>
      <c r="S528" s="73"/>
      <c r="T528" s="73"/>
      <c r="U528" s="73"/>
      <c r="V528" s="73"/>
      <c r="W528" s="73"/>
      <c r="X528" s="73"/>
      <c r="Y528" s="73"/>
      <c r="Z528" s="73"/>
      <c r="AA528" s="73"/>
      <c r="AB528" s="73"/>
      <c r="AC528" s="122"/>
      <c r="AD528" s="108"/>
      <c r="AF528" s="108"/>
      <c r="AG528" s="73"/>
      <c r="AH528" s="73"/>
      <c r="AI528" s="73"/>
      <c r="AJ528" s="73"/>
      <c r="AK528" s="73"/>
      <c r="AL528" s="73"/>
      <c r="AM528" s="73"/>
      <c r="AN528" s="73"/>
      <c r="AO528" s="73"/>
      <c r="AP528" s="73"/>
      <c r="DL528" s="34"/>
    </row>
    <row r="529" spans="10:116" x14ac:dyDescent="0.25">
      <c r="J529" s="73"/>
      <c r="K529" s="73"/>
      <c r="L529" s="73"/>
      <c r="M529" s="73"/>
      <c r="N529" s="73"/>
      <c r="O529" s="73"/>
      <c r="P529" s="73"/>
      <c r="Q529" s="73"/>
      <c r="R529" s="73"/>
      <c r="S529" s="73"/>
      <c r="T529" s="73"/>
      <c r="U529" s="73"/>
      <c r="V529" s="73"/>
      <c r="W529" s="73"/>
      <c r="X529" s="73"/>
      <c r="Y529" s="73"/>
      <c r="Z529" s="73"/>
      <c r="AA529" s="73"/>
      <c r="AB529" s="73"/>
      <c r="AC529" s="122"/>
      <c r="AD529" s="108"/>
      <c r="AF529" s="108"/>
      <c r="AG529" s="73"/>
      <c r="AH529" s="73"/>
      <c r="AI529" s="73"/>
      <c r="AJ529" s="73"/>
      <c r="AK529" s="73"/>
      <c r="AL529" s="73"/>
      <c r="AM529" s="73"/>
      <c r="AN529" s="73"/>
      <c r="AO529" s="73"/>
      <c r="AP529" s="73"/>
      <c r="DL529" s="34"/>
    </row>
    <row r="530" spans="10:116" x14ac:dyDescent="0.25">
      <c r="J530" s="73"/>
      <c r="K530" s="73"/>
      <c r="L530" s="73"/>
      <c r="M530" s="73"/>
      <c r="N530" s="73"/>
      <c r="O530" s="73"/>
      <c r="P530" s="73"/>
      <c r="Q530" s="73"/>
      <c r="R530" s="73"/>
      <c r="S530" s="73"/>
      <c r="T530" s="73"/>
      <c r="U530" s="73"/>
      <c r="V530" s="73"/>
      <c r="W530" s="73"/>
      <c r="X530" s="73"/>
      <c r="Y530" s="73"/>
      <c r="Z530" s="73"/>
      <c r="AA530" s="73"/>
      <c r="AB530" s="73"/>
      <c r="AC530" s="122"/>
      <c r="AD530" s="108"/>
      <c r="AF530" s="108"/>
      <c r="AG530" s="73"/>
      <c r="AH530" s="73"/>
      <c r="AI530" s="73"/>
      <c r="AJ530" s="73"/>
      <c r="AK530" s="73"/>
      <c r="AL530" s="73"/>
      <c r="AM530" s="73"/>
      <c r="AN530" s="73"/>
      <c r="AO530" s="73"/>
      <c r="AP530" s="73"/>
      <c r="DL530" s="34"/>
    </row>
    <row r="531" spans="10:116" x14ac:dyDescent="0.25">
      <c r="J531" s="73"/>
      <c r="K531" s="73"/>
      <c r="L531" s="73"/>
      <c r="M531" s="73"/>
      <c r="N531" s="73"/>
      <c r="O531" s="73"/>
      <c r="P531" s="73"/>
      <c r="Q531" s="73"/>
      <c r="R531" s="73"/>
      <c r="S531" s="73"/>
      <c r="T531" s="73"/>
      <c r="U531" s="73"/>
      <c r="V531" s="73"/>
      <c r="W531" s="73"/>
      <c r="X531" s="73"/>
      <c r="Y531" s="73"/>
      <c r="Z531" s="73"/>
      <c r="AA531" s="73"/>
      <c r="AB531" s="73"/>
      <c r="AC531" s="122"/>
      <c r="AD531" s="108"/>
      <c r="AF531" s="108"/>
      <c r="AG531" s="73"/>
      <c r="AH531" s="73"/>
      <c r="AI531" s="73"/>
      <c r="AJ531" s="73"/>
      <c r="AK531" s="73"/>
      <c r="AL531" s="73"/>
      <c r="AM531" s="73"/>
      <c r="AN531" s="73"/>
      <c r="AO531" s="73"/>
      <c r="AP531" s="73"/>
      <c r="DL531" s="34"/>
    </row>
    <row r="532" spans="10:116" x14ac:dyDescent="0.25">
      <c r="J532" s="73"/>
      <c r="K532" s="73"/>
      <c r="L532" s="73"/>
      <c r="M532" s="73"/>
      <c r="N532" s="73"/>
      <c r="O532" s="73"/>
      <c r="P532" s="73"/>
      <c r="Q532" s="73"/>
      <c r="R532" s="73"/>
      <c r="S532" s="73"/>
      <c r="T532" s="73"/>
      <c r="U532" s="73"/>
      <c r="V532" s="73"/>
      <c r="W532" s="73"/>
      <c r="X532" s="73"/>
      <c r="Y532" s="73"/>
      <c r="Z532" s="73"/>
      <c r="AA532" s="73"/>
      <c r="AB532" s="73"/>
      <c r="AC532" s="122"/>
      <c r="AD532" s="108"/>
      <c r="AF532" s="108"/>
      <c r="AG532" s="73"/>
      <c r="AH532" s="73"/>
      <c r="AI532" s="73"/>
      <c r="AJ532" s="73"/>
      <c r="AK532" s="73"/>
      <c r="AL532" s="73"/>
      <c r="AM532" s="73"/>
      <c r="AN532" s="73"/>
      <c r="AO532" s="73"/>
      <c r="AP532" s="73"/>
      <c r="DL532" s="34"/>
    </row>
    <row r="533" spans="10:116" x14ac:dyDescent="0.25">
      <c r="J533" s="73"/>
      <c r="K533" s="73"/>
      <c r="L533" s="73"/>
      <c r="M533" s="73"/>
      <c r="N533" s="73"/>
      <c r="O533" s="73"/>
      <c r="P533" s="73"/>
      <c r="Q533" s="73"/>
      <c r="R533" s="73"/>
      <c r="S533" s="73"/>
      <c r="T533" s="73"/>
      <c r="U533" s="73"/>
      <c r="V533" s="73"/>
      <c r="W533" s="73"/>
      <c r="X533" s="73"/>
      <c r="Y533" s="73"/>
      <c r="Z533" s="73"/>
      <c r="AA533" s="73"/>
      <c r="AB533" s="73"/>
      <c r="AC533" s="122"/>
      <c r="AD533" s="108"/>
      <c r="AF533" s="108"/>
      <c r="AG533" s="73"/>
      <c r="AH533" s="73"/>
      <c r="AI533" s="73"/>
      <c r="AJ533" s="73"/>
      <c r="AK533" s="73"/>
      <c r="AL533" s="73"/>
      <c r="AM533" s="73"/>
      <c r="AN533" s="73"/>
      <c r="AO533" s="73"/>
      <c r="AP533" s="73"/>
      <c r="DL533" s="34"/>
    </row>
    <row r="534" spans="10:116" x14ac:dyDescent="0.25">
      <c r="J534" s="73"/>
      <c r="K534" s="73"/>
      <c r="L534" s="73"/>
      <c r="M534" s="73"/>
      <c r="N534" s="73"/>
      <c r="O534" s="73"/>
      <c r="P534" s="73"/>
      <c r="Q534" s="73"/>
      <c r="R534" s="73"/>
      <c r="S534" s="73"/>
      <c r="T534" s="73"/>
      <c r="U534" s="73"/>
      <c r="V534" s="73"/>
      <c r="W534" s="73"/>
      <c r="X534" s="73"/>
      <c r="Y534" s="73"/>
      <c r="Z534" s="73"/>
      <c r="AA534" s="73"/>
      <c r="AB534" s="73"/>
      <c r="AC534" s="122"/>
      <c r="AD534" s="108"/>
      <c r="AF534" s="108"/>
      <c r="AG534" s="73"/>
      <c r="AH534" s="73"/>
      <c r="AI534" s="73"/>
      <c r="AJ534" s="73"/>
      <c r="AK534" s="73"/>
      <c r="AL534" s="73"/>
      <c r="AM534" s="73"/>
      <c r="AN534" s="73"/>
      <c r="AO534" s="73"/>
      <c r="AP534" s="73"/>
      <c r="DL534" s="34"/>
    </row>
    <row r="535" spans="10:116" x14ac:dyDescent="0.25">
      <c r="J535" s="73"/>
      <c r="K535" s="73"/>
      <c r="L535" s="73"/>
      <c r="M535" s="73"/>
      <c r="N535" s="73"/>
      <c r="O535" s="73"/>
      <c r="P535" s="73"/>
      <c r="Q535" s="73"/>
      <c r="R535" s="73"/>
      <c r="S535" s="73"/>
      <c r="T535" s="73"/>
      <c r="U535" s="73"/>
      <c r="V535" s="73"/>
      <c r="W535" s="73"/>
      <c r="X535" s="73"/>
      <c r="Y535" s="73"/>
      <c r="Z535" s="73"/>
      <c r="AA535" s="73"/>
      <c r="AB535" s="73"/>
      <c r="AC535" s="122"/>
      <c r="AD535" s="108"/>
      <c r="AF535" s="108"/>
      <c r="AG535" s="73"/>
      <c r="AH535" s="73"/>
      <c r="AI535" s="73"/>
      <c r="AJ535" s="73"/>
      <c r="AK535" s="73"/>
      <c r="AL535" s="73"/>
      <c r="AM535" s="73"/>
      <c r="AN535" s="73"/>
      <c r="AO535" s="73"/>
      <c r="AP535" s="73"/>
      <c r="DL535" s="34"/>
    </row>
    <row r="536" spans="10:116" x14ac:dyDescent="0.25">
      <c r="J536" s="73"/>
      <c r="K536" s="73"/>
      <c r="L536" s="73"/>
      <c r="M536" s="73"/>
      <c r="N536" s="73"/>
      <c r="O536" s="73"/>
      <c r="P536" s="73"/>
      <c r="Q536" s="73"/>
      <c r="R536" s="73"/>
      <c r="S536" s="73"/>
      <c r="T536" s="73"/>
      <c r="U536" s="73"/>
      <c r="V536" s="73"/>
      <c r="W536" s="73"/>
      <c r="X536" s="73"/>
      <c r="Y536" s="73"/>
      <c r="Z536" s="73"/>
      <c r="AA536" s="73"/>
      <c r="AB536" s="73"/>
      <c r="AC536" s="122"/>
      <c r="AD536" s="108"/>
      <c r="AF536" s="108"/>
      <c r="AG536" s="73"/>
      <c r="AH536" s="73"/>
      <c r="AI536" s="73"/>
      <c r="AJ536" s="73"/>
      <c r="AK536" s="73"/>
      <c r="AL536" s="73"/>
      <c r="AM536" s="73"/>
      <c r="AN536" s="73"/>
      <c r="AO536" s="73"/>
      <c r="AP536" s="73"/>
      <c r="DL536" s="34"/>
    </row>
    <row r="537" spans="10:116" x14ac:dyDescent="0.25">
      <c r="J537" s="73"/>
      <c r="K537" s="73"/>
      <c r="L537" s="73"/>
      <c r="M537" s="73"/>
      <c r="N537" s="73"/>
      <c r="O537" s="73"/>
      <c r="P537" s="73"/>
      <c r="Q537" s="73"/>
      <c r="R537" s="73"/>
      <c r="S537" s="73"/>
      <c r="T537" s="73"/>
      <c r="U537" s="73"/>
      <c r="V537" s="73"/>
      <c r="W537" s="73"/>
      <c r="X537" s="73"/>
      <c r="Y537" s="73"/>
      <c r="Z537" s="73"/>
      <c r="AA537" s="73"/>
      <c r="AB537" s="73"/>
      <c r="AC537" s="122"/>
      <c r="AD537" s="108"/>
      <c r="AF537" s="108"/>
      <c r="AG537" s="73"/>
      <c r="AH537" s="73"/>
      <c r="AI537" s="73"/>
      <c r="AJ537" s="73"/>
      <c r="AK537" s="73"/>
      <c r="AL537" s="73"/>
      <c r="AM537" s="73"/>
      <c r="AN537" s="73"/>
      <c r="AO537" s="73"/>
      <c r="AP537" s="73"/>
      <c r="DL537" s="34"/>
    </row>
    <row r="538" spans="10:116" x14ac:dyDescent="0.25">
      <c r="J538" s="73"/>
      <c r="K538" s="73"/>
      <c r="L538" s="73"/>
      <c r="M538" s="73"/>
      <c r="N538" s="73"/>
      <c r="O538" s="73"/>
      <c r="P538" s="73"/>
      <c r="Q538" s="73"/>
      <c r="R538" s="73"/>
      <c r="S538" s="73"/>
      <c r="T538" s="73"/>
      <c r="U538" s="73"/>
      <c r="V538" s="73"/>
      <c r="W538" s="73"/>
      <c r="X538" s="73"/>
      <c r="Y538" s="73"/>
      <c r="Z538" s="73"/>
      <c r="AA538" s="73"/>
      <c r="AB538" s="73"/>
      <c r="AC538" s="122"/>
      <c r="AD538" s="108"/>
      <c r="AF538" s="108"/>
      <c r="AG538" s="73"/>
      <c r="AH538" s="73"/>
      <c r="AI538" s="73"/>
      <c r="AJ538" s="73"/>
      <c r="AK538" s="73"/>
      <c r="AL538" s="73"/>
      <c r="AM538" s="73"/>
      <c r="AN538" s="73"/>
      <c r="AO538" s="73"/>
      <c r="AP538" s="73"/>
      <c r="DL538" s="34"/>
    </row>
    <row r="539" spans="10:116" x14ac:dyDescent="0.25">
      <c r="J539" s="73"/>
      <c r="K539" s="73"/>
      <c r="L539" s="73"/>
      <c r="M539" s="73"/>
      <c r="N539" s="73"/>
      <c r="O539" s="73"/>
      <c r="P539" s="73"/>
      <c r="Q539" s="73"/>
      <c r="R539" s="73"/>
      <c r="S539" s="73"/>
      <c r="T539" s="73"/>
      <c r="U539" s="73"/>
      <c r="V539" s="73"/>
      <c r="W539" s="73"/>
      <c r="X539" s="73"/>
      <c r="Y539" s="73"/>
      <c r="Z539" s="73"/>
      <c r="AA539" s="73"/>
      <c r="AB539" s="73"/>
      <c r="AC539" s="122"/>
      <c r="AD539" s="108"/>
      <c r="AF539" s="108"/>
      <c r="AG539" s="73"/>
      <c r="AH539" s="73"/>
      <c r="AI539" s="73"/>
      <c r="AJ539" s="73"/>
      <c r="AK539" s="73"/>
      <c r="AL539" s="73"/>
      <c r="AM539" s="73"/>
      <c r="AN539" s="73"/>
      <c r="AO539" s="73"/>
      <c r="AP539" s="73"/>
      <c r="DL539" s="34"/>
    </row>
    <row r="540" spans="10:116" x14ac:dyDescent="0.25">
      <c r="J540" s="73"/>
      <c r="K540" s="73"/>
      <c r="L540" s="73"/>
      <c r="M540" s="73"/>
      <c r="N540" s="73"/>
      <c r="O540" s="73"/>
      <c r="P540" s="73"/>
      <c r="Q540" s="73"/>
      <c r="R540" s="73"/>
      <c r="S540" s="73"/>
      <c r="T540" s="73"/>
      <c r="U540" s="73"/>
      <c r="V540" s="73"/>
      <c r="W540" s="73"/>
      <c r="X540" s="73"/>
      <c r="Y540" s="73"/>
      <c r="Z540" s="73"/>
      <c r="AA540" s="73"/>
      <c r="AB540" s="73"/>
      <c r="AC540" s="122"/>
      <c r="AD540" s="108"/>
      <c r="AF540" s="108"/>
      <c r="AG540" s="73"/>
      <c r="AH540" s="73"/>
      <c r="AI540" s="73"/>
      <c r="AJ540" s="73"/>
      <c r="AK540" s="73"/>
      <c r="AL540" s="73"/>
      <c r="AM540" s="73"/>
      <c r="AN540" s="73"/>
      <c r="AO540" s="73"/>
      <c r="AP540" s="73"/>
      <c r="DL540" s="34"/>
    </row>
    <row r="541" spans="10:116" x14ac:dyDescent="0.25">
      <c r="J541" s="73"/>
      <c r="K541" s="73"/>
      <c r="L541" s="73"/>
      <c r="M541" s="73"/>
      <c r="N541" s="73"/>
      <c r="O541" s="73"/>
      <c r="P541" s="73"/>
      <c r="Q541" s="73"/>
      <c r="R541" s="73"/>
      <c r="S541" s="73"/>
      <c r="T541" s="73"/>
      <c r="U541" s="73"/>
      <c r="V541" s="73"/>
      <c r="W541" s="73"/>
      <c r="X541" s="73"/>
      <c r="Y541" s="73"/>
      <c r="Z541" s="73"/>
      <c r="AA541" s="73"/>
      <c r="AB541" s="73"/>
      <c r="AC541" s="122"/>
      <c r="AD541" s="108"/>
      <c r="AF541" s="108"/>
      <c r="AG541" s="73"/>
      <c r="AH541" s="73"/>
      <c r="AI541" s="73"/>
      <c r="AJ541" s="73"/>
      <c r="AK541" s="73"/>
      <c r="AL541" s="73"/>
      <c r="AM541" s="73"/>
      <c r="AN541" s="73"/>
      <c r="AO541" s="73"/>
      <c r="AP541" s="73"/>
      <c r="DL541" s="34"/>
    </row>
    <row r="542" spans="10:116" x14ac:dyDescent="0.25">
      <c r="J542" s="73"/>
      <c r="K542" s="73"/>
      <c r="L542" s="73"/>
      <c r="M542" s="73"/>
      <c r="N542" s="73"/>
      <c r="O542" s="73"/>
      <c r="P542" s="73"/>
      <c r="Q542" s="73"/>
      <c r="R542" s="73"/>
      <c r="S542" s="73"/>
      <c r="T542" s="73"/>
      <c r="U542" s="73"/>
      <c r="V542" s="73"/>
      <c r="W542" s="73"/>
      <c r="X542" s="73"/>
      <c r="Y542" s="73"/>
      <c r="Z542" s="73"/>
      <c r="AA542" s="73"/>
      <c r="AB542" s="73"/>
      <c r="AC542" s="122"/>
      <c r="AD542" s="108"/>
      <c r="AF542" s="108"/>
      <c r="AG542" s="73"/>
      <c r="AH542" s="73"/>
      <c r="AI542" s="73"/>
      <c r="AJ542" s="73"/>
      <c r="AK542" s="73"/>
      <c r="AL542" s="73"/>
      <c r="AM542" s="73"/>
      <c r="AN542" s="73"/>
      <c r="AO542" s="73"/>
      <c r="AP542" s="73"/>
      <c r="DL542" s="34"/>
    </row>
    <row r="543" spans="10:116" x14ac:dyDescent="0.25">
      <c r="J543" s="73"/>
      <c r="K543" s="73"/>
      <c r="L543" s="73"/>
      <c r="M543" s="73"/>
      <c r="N543" s="73"/>
      <c r="O543" s="73"/>
      <c r="P543" s="73"/>
      <c r="Q543" s="73"/>
      <c r="R543" s="73"/>
      <c r="S543" s="73"/>
      <c r="T543" s="73"/>
      <c r="U543" s="73"/>
      <c r="V543" s="73"/>
      <c r="W543" s="73"/>
      <c r="X543" s="73"/>
      <c r="Y543" s="73"/>
      <c r="Z543" s="73"/>
      <c r="AA543" s="73"/>
      <c r="AB543" s="73"/>
      <c r="AC543" s="122"/>
      <c r="AD543" s="108"/>
      <c r="AF543" s="108"/>
      <c r="AG543" s="73"/>
      <c r="AH543" s="73"/>
      <c r="AI543" s="73"/>
      <c r="AJ543" s="73"/>
      <c r="AK543" s="73"/>
      <c r="AL543" s="73"/>
      <c r="AM543" s="73"/>
      <c r="AN543" s="73"/>
      <c r="AO543" s="73"/>
      <c r="AP543" s="73"/>
      <c r="DL543" s="34"/>
    </row>
    <row r="544" spans="10:116" x14ac:dyDescent="0.25">
      <c r="J544" s="73"/>
      <c r="K544" s="73"/>
      <c r="L544" s="73"/>
      <c r="M544" s="73"/>
      <c r="N544" s="73"/>
      <c r="O544" s="73"/>
      <c r="P544" s="73"/>
      <c r="Q544" s="73"/>
      <c r="R544" s="73"/>
      <c r="S544" s="73"/>
      <c r="T544" s="73"/>
      <c r="U544" s="73"/>
      <c r="V544" s="73"/>
      <c r="W544" s="73"/>
      <c r="X544" s="73"/>
      <c r="Y544" s="73"/>
      <c r="Z544" s="73"/>
      <c r="AA544" s="73"/>
      <c r="AB544" s="73"/>
      <c r="AC544" s="122"/>
      <c r="AD544" s="108"/>
      <c r="AF544" s="108"/>
      <c r="AG544" s="73"/>
      <c r="AH544" s="73"/>
      <c r="AI544" s="73"/>
      <c r="AJ544" s="73"/>
      <c r="AK544" s="73"/>
      <c r="AL544" s="73"/>
      <c r="AM544" s="73"/>
      <c r="AN544" s="73"/>
      <c r="AO544" s="73"/>
      <c r="AP544" s="73"/>
      <c r="DL544" s="34"/>
    </row>
    <row r="545" spans="10:116" x14ac:dyDescent="0.25">
      <c r="J545" s="73"/>
      <c r="K545" s="73"/>
      <c r="L545" s="73"/>
      <c r="M545" s="73"/>
      <c r="N545" s="73"/>
      <c r="O545" s="73"/>
      <c r="P545" s="73"/>
      <c r="Q545" s="73"/>
      <c r="R545" s="73"/>
      <c r="S545" s="73"/>
      <c r="T545" s="73"/>
      <c r="U545" s="73"/>
      <c r="V545" s="73"/>
      <c r="W545" s="73"/>
      <c r="X545" s="73"/>
      <c r="Y545" s="73"/>
      <c r="Z545" s="73"/>
      <c r="AA545" s="73"/>
      <c r="AB545" s="73"/>
      <c r="AC545" s="122"/>
      <c r="AD545" s="108"/>
      <c r="AF545" s="108"/>
      <c r="AG545" s="73"/>
      <c r="AH545" s="73"/>
      <c r="AI545" s="73"/>
      <c r="AJ545" s="73"/>
      <c r="AK545" s="73"/>
      <c r="AL545" s="73"/>
      <c r="AM545" s="73"/>
      <c r="AN545" s="73"/>
      <c r="AO545" s="73"/>
      <c r="AP545" s="73"/>
      <c r="DL545" s="34"/>
    </row>
    <row r="546" spans="10:116" x14ac:dyDescent="0.25">
      <c r="J546" s="73"/>
      <c r="K546" s="73"/>
      <c r="L546" s="73"/>
      <c r="M546" s="73"/>
      <c r="N546" s="73"/>
      <c r="O546" s="73"/>
      <c r="P546" s="73"/>
      <c r="Q546" s="73"/>
      <c r="R546" s="73"/>
      <c r="S546" s="73"/>
      <c r="T546" s="73"/>
      <c r="U546" s="73"/>
      <c r="V546" s="73"/>
      <c r="W546" s="73"/>
      <c r="X546" s="73"/>
      <c r="Y546" s="73"/>
      <c r="Z546" s="73"/>
      <c r="AA546" s="73"/>
      <c r="AB546" s="73"/>
      <c r="AC546" s="122"/>
      <c r="AD546" s="108"/>
      <c r="AF546" s="108"/>
      <c r="AG546" s="73"/>
      <c r="AH546" s="73"/>
      <c r="AI546" s="73"/>
      <c r="AJ546" s="73"/>
      <c r="AK546" s="73"/>
      <c r="AL546" s="73"/>
      <c r="AM546" s="73"/>
      <c r="AN546" s="73"/>
      <c r="AO546" s="73"/>
      <c r="AP546" s="73"/>
      <c r="DL546" s="34"/>
    </row>
    <row r="547" spans="10:116" x14ac:dyDescent="0.25">
      <c r="J547" s="73"/>
      <c r="K547" s="73"/>
      <c r="L547" s="73"/>
      <c r="M547" s="73"/>
      <c r="N547" s="73"/>
      <c r="O547" s="73"/>
      <c r="P547" s="73"/>
      <c r="Q547" s="73"/>
      <c r="R547" s="73"/>
      <c r="S547" s="73"/>
      <c r="T547" s="73"/>
      <c r="U547" s="73"/>
      <c r="V547" s="73"/>
      <c r="W547" s="73"/>
      <c r="X547" s="73"/>
      <c r="Y547" s="73"/>
      <c r="Z547" s="73"/>
      <c r="AA547" s="73"/>
      <c r="AB547" s="73"/>
      <c r="AC547" s="122"/>
      <c r="AD547" s="108"/>
      <c r="AF547" s="108"/>
      <c r="AG547" s="73"/>
      <c r="AH547" s="73"/>
      <c r="AI547" s="73"/>
      <c r="AJ547" s="73"/>
      <c r="AK547" s="73"/>
      <c r="AL547" s="73"/>
      <c r="AM547" s="73"/>
      <c r="AN547" s="73"/>
      <c r="AO547" s="73"/>
      <c r="AP547" s="73"/>
      <c r="DL547" s="34"/>
    </row>
    <row r="548" spans="10:116" x14ac:dyDescent="0.25">
      <c r="J548" s="73"/>
      <c r="K548" s="73"/>
      <c r="L548" s="73"/>
      <c r="M548" s="73"/>
      <c r="N548" s="73"/>
      <c r="O548" s="73"/>
      <c r="P548" s="73"/>
      <c r="Q548" s="73"/>
      <c r="R548" s="73"/>
      <c r="S548" s="73"/>
      <c r="T548" s="73"/>
      <c r="U548" s="73"/>
      <c r="V548" s="73"/>
      <c r="W548" s="73"/>
      <c r="X548" s="73"/>
      <c r="Y548" s="73"/>
      <c r="Z548" s="73"/>
      <c r="AA548" s="73"/>
      <c r="AB548" s="73"/>
      <c r="AC548" s="122"/>
      <c r="AD548" s="108"/>
      <c r="AF548" s="108"/>
      <c r="AG548" s="73"/>
      <c r="AH548" s="73"/>
      <c r="AI548" s="73"/>
      <c r="AJ548" s="73"/>
      <c r="AK548" s="73"/>
      <c r="AL548" s="73"/>
      <c r="AM548" s="73"/>
      <c r="AN548" s="73"/>
      <c r="AO548" s="73"/>
      <c r="AP548" s="73"/>
      <c r="DL548" s="34"/>
    </row>
    <row r="549" spans="10:116" x14ac:dyDescent="0.25">
      <c r="J549" s="73"/>
      <c r="K549" s="73"/>
      <c r="L549" s="73"/>
      <c r="M549" s="73"/>
      <c r="N549" s="73"/>
      <c r="O549" s="73"/>
      <c r="P549" s="73"/>
      <c r="Q549" s="73"/>
      <c r="R549" s="73"/>
      <c r="S549" s="73"/>
      <c r="T549" s="73"/>
      <c r="U549" s="73"/>
      <c r="V549" s="73"/>
      <c r="W549" s="73"/>
      <c r="X549" s="73"/>
      <c r="Y549" s="73"/>
      <c r="Z549" s="73"/>
      <c r="AA549" s="73"/>
      <c r="AB549" s="73"/>
      <c r="AC549" s="122"/>
      <c r="AD549" s="108"/>
      <c r="AF549" s="108"/>
      <c r="AG549" s="73"/>
      <c r="AH549" s="73"/>
      <c r="AI549" s="73"/>
      <c r="AJ549" s="73"/>
      <c r="AK549" s="73"/>
      <c r="AL549" s="73"/>
      <c r="AM549" s="73"/>
      <c r="AN549" s="73"/>
      <c r="AO549" s="73"/>
      <c r="AP549" s="73"/>
      <c r="DL549" s="34"/>
    </row>
    <row r="550" spans="10:116" x14ac:dyDescent="0.25">
      <c r="J550" s="73"/>
      <c r="K550" s="73"/>
      <c r="L550" s="73"/>
      <c r="M550" s="73"/>
      <c r="N550" s="73"/>
      <c r="O550" s="73"/>
      <c r="P550" s="73"/>
      <c r="Q550" s="73"/>
      <c r="R550" s="73"/>
      <c r="S550" s="73"/>
      <c r="T550" s="73"/>
      <c r="U550" s="73"/>
      <c r="V550" s="73"/>
      <c r="W550" s="73"/>
      <c r="X550" s="73"/>
      <c r="Y550" s="73"/>
      <c r="Z550" s="73"/>
      <c r="AA550" s="73"/>
      <c r="AB550" s="73"/>
      <c r="AC550" s="122"/>
      <c r="AD550" s="108"/>
      <c r="AF550" s="108"/>
      <c r="AG550" s="73"/>
      <c r="AH550" s="73"/>
      <c r="AI550" s="73"/>
      <c r="AJ550" s="73"/>
      <c r="AK550" s="73"/>
      <c r="AL550" s="73"/>
      <c r="AM550" s="73"/>
      <c r="AN550" s="73"/>
      <c r="AO550" s="73"/>
      <c r="AP550" s="73"/>
      <c r="DL550" s="34"/>
    </row>
    <row r="551" spans="10:116" x14ac:dyDescent="0.25">
      <c r="J551" s="73"/>
      <c r="K551" s="73"/>
      <c r="L551" s="73"/>
      <c r="M551" s="73"/>
      <c r="N551" s="73"/>
      <c r="O551" s="73"/>
      <c r="P551" s="73"/>
      <c r="Q551" s="73"/>
      <c r="R551" s="73"/>
      <c r="S551" s="73"/>
      <c r="T551" s="73"/>
      <c r="U551" s="73"/>
      <c r="V551" s="73"/>
      <c r="W551" s="73"/>
      <c r="X551" s="73"/>
      <c r="Y551" s="73"/>
      <c r="Z551" s="73"/>
      <c r="AA551" s="73"/>
      <c r="AB551" s="73"/>
      <c r="AC551" s="122"/>
      <c r="AD551" s="108"/>
      <c r="AF551" s="108"/>
      <c r="AG551" s="73"/>
      <c r="AH551" s="73"/>
      <c r="AI551" s="73"/>
      <c r="AJ551" s="73"/>
      <c r="AK551" s="73"/>
      <c r="AL551" s="73"/>
      <c r="AM551" s="73"/>
      <c r="AN551" s="73"/>
      <c r="AO551" s="73"/>
      <c r="AP551" s="73"/>
      <c r="DL551" s="34"/>
    </row>
    <row r="552" spans="10:116" x14ac:dyDescent="0.25">
      <c r="J552" s="73"/>
      <c r="K552" s="73"/>
      <c r="L552" s="73"/>
      <c r="M552" s="73"/>
      <c r="N552" s="73"/>
      <c r="O552" s="73"/>
      <c r="P552" s="73"/>
      <c r="Q552" s="73"/>
      <c r="R552" s="73"/>
      <c r="S552" s="73"/>
      <c r="T552" s="73"/>
      <c r="U552" s="73"/>
      <c r="V552" s="73"/>
      <c r="W552" s="73"/>
      <c r="X552" s="73"/>
      <c r="Y552" s="73"/>
      <c r="Z552" s="73"/>
      <c r="AA552" s="73"/>
      <c r="AB552" s="73"/>
      <c r="AC552" s="122"/>
      <c r="AD552" s="108"/>
      <c r="AF552" s="108"/>
      <c r="AG552" s="73"/>
      <c r="AH552" s="73"/>
      <c r="AI552" s="73"/>
      <c r="AJ552" s="73"/>
      <c r="AK552" s="73"/>
      <c r="AL552" s="73"/>
      <c r="AM552" s="73"/>
      <c r="AN552" s="73"/>
      <c r="AO552" s="73"/>
      <c r="AP552" s="73"/>
      <c r="DL552" s="34"/>
    </row>
    <row r="553" spans="10:116" x14ac:dyDescent="0.25">
      <c r="J553" s="73"/>
      <c r="K553" s="73"/>
      <c r="L553" s="73"/>
      <c r="M553" s="73"/>
      <c r="N553" s="73"/>
      <c r="O553" s="73"/>
      <c r="P553" s="73"/>
      <c r="Q553" s="73"/>
      <c r="R553" s="73"/>
      <c r="S553" s="73"/>
      <c r="T553" s="73"/>
      <c r="U553" s="73"/>
      <c r="V553" s="73"/>
      <c r="W553" s="73"/>
      <c r="X553" s="73"/>
      <c r="Y553" s="73"/>
      <c r="Z553" s="73"/>
      <c r="AA553" s="73"/>
      <c r="AB553" s="73"/>
      <c r="AC553" s="122"/>
      <c r="AD553" s="108"/>
      <c r="AF553" s="108"/>
      <c r="AG553" s="73"/>
      <c r="AH553" s="73"/>
      <c r="AI553" s="73"/>
      <c r="AJ553" s="73"/>
      <c r="AK553" s="73"/>
      <c r="AL553" s="73"/>
      <c r="AM553" s="73"/>
      <c r="AN553" s="73"/>
      <c r="AO553" s="73"/>
      <c r="AP553" s="73"/>
      <c r="DL553" s="34"/>
    </row>
    <row r="554" spans="10:116" x14ac:dyDescent="0.25">
      <c r="J554" s="73"/>
      <c r="K554" s="73"/>
      <c r="L554" s="73"/>
      <c r="M554" s="73"/>
      <c r="N554" s="73"/>
      <c r="O554" s="73"/>
      <c r="P554" s="73"/>
      <c r="Q554" s="73"/>
      <c r="R554" s="73"/>
      <c r="S554" s="73"/>
      <c r="T554" s="73"/>
      <c r="U554" s="73"/>
      <c r="V554" s="73"/>
      <c r="W554" s="73"/>
      <c r="X554" s="73"/>
      <c r="Y554" s="73"/>
      <c r="Z554" s="73"/>
      <c r="AA554" s="73"/>
      <c r="AB554" s="73"/>
      <c r="AC554" s="122"/>
      <c r="AD554" s="108"/>
      <c r="AF554" s="108"/>
      <c r="AG554" s="73"/>
      <c r="AH554" s="73"/>
      <c r="AI554" s="73"/>
      <c r="AJ554" s="73"/>
      <c r="AK554" s="73"/>
      <c r="AL554" s="73"/>
      <c r="AM554" s="73"/>
      <c r="AN554" s="73"/>
      <c r="AO554" s="73"/>
      <c r="AP554" s="73"/>
      <c r="DL554" s="34"/>
    </row>
    <row r="555" spans="10:116" x14ac:dyDescent="0.25">
      <c r="J555" s="73"/>
      <c r="K555" s="73"/>
      <c r="L555" s="73"/>
      <c r="M555" s="73"/>
      <c r="N555" s="73"/>
      <c r="O555" s="73"/>
      <c r="P555" s="73"/>
      <c r="Q555" s="73"/>
      <c r="R555" s="73"/>
      <c r="S555" s="73"/>
      <c r="T555" s="73"/>
      <c r="U555" s="73"/>
      <c r="V555" s="73"/>
      <c r="W555" s="73"/>
      <c r="X555" s="73"/>
      <c r="Y555" s="73"/>
      <c r="Z555" s="73"/>
      <c r="AA555" s="73"/>
      <c r="AB555" s="73"/>
      <c r="AC555" s="122"/>
      <c r="AD555" s="108"/>
      <c r="AF555" s="108"/>
      <c r="AG555" s="73"/>
      <c r="AH555" s="73"/>
      <c r="AI555" s="73"/>
      <c r="AJ555" s="73"/>
      <c r="AK555" s="73"/>
      <c r="AL555" s="73"/>
      <c r="AM555" s="73"/>
      <c r="AN555" s="73"/>
      <c r="AO555" s="73"/>
      <c r="AP555" s="73"/>
      <c r="DL555" s="34"/>
    </row>
    <row r="556" spans="10:116" x14ac:dyDescent="0.25">
      <c r="J556" s="73"/>
      <c r="K556" s="73"/>
      <c r="L556" s="73"/>
      <c r="M556" s="73"/>
      <c r="N556" s="73"/>
      <c r="O556" s="73"/>
      <c r="P556" s="73"/>
      <c r="Q556" s="73"/>
      <c r="R556" s="73"/>
      <c r="S556" s="73"/>
      <c r="T556" s="73"/>
      <c r="U556" s="73"/>
      <c r="V556" s="73"/>
      <c r="W556" s="73"/>
      <c r="X556" s="73"/>
      <c r="Y556" s="73"/>
      <c r="Z556" s="73"/>
      <c r="AA556" s="73"/>
      <c r="AB556" s="73"/>
      <c r="AC556" s="122"/>
      <c r="AD556" s="108"/>
      <c r="AF556" s="108"/>
      <c r="AG556" s="73"/>
      <c r="AH556" s="73"/>
      <c r="AI556" s="73"/>
      <c r="AJ556" s="73"/>
      <c r="AK556" s="73"/>
      <c r="AL556" s="73"/>
      <c r="AM556" s="73"/>
      <c r="AN556" s="73"/>
      <c r="AO556" s="73"/>
      <c r="AP556" s="73"/>
      <c r="DL556" s="34"/>
    </row>
    <row r="557" spans="10:116" x14ac:dyDescent="0.25">
      <c r="J557" s="73"/>
      <c r="K557" s="73"/>
      <c r="L557" s="73"/>
      <c r="M557" s="73"/>
      <c r="N557" s="73"/>
      <c r="O557" s="73"/>
      <c r="P557" s="73"/>
      <c r="Q557" s="73"/>
      <c r="R557" s="73"/>
      <c r="S557" s="73"/>
      <c r="T557" s="73"/>
      <c r="U557" s="73"/>
      <c r="V557" s="73"/>
      <c r="W557" s="73"/>
      <c r="X557" s="73"/>
      <c r="Y557" s="73"/>
      <c r="Z557" s="73"/>
      <c r="AA557" s="73"/>
      <c r="AB557" s="73"/>
      <c r="AC557" s="122"/>
      <c r="AD557" s="108"/>
      <c r="AF557" s="108"/>
      <c r="AG557" s="73"/>
      <c r="AH557" s="73"/>
      <c r="AI557" s="73"/>
      <c r="AJ557" s="73"/>
      <c r="AK557" s="73"/>
      <c r="AL557" s="73"/>
      <c r="AM557" s="73"/>
      <c r="AN557" s="73"/>
      <c r="AO557" s="73"/>
      <c r="AP557" s="73"/>
      <c r="DL557" s="34"/>
    </row>
    <row r="558" spans="10:116" x14ac:dyDescent="0.25">
      <c r="J558" s="73"/>
      <c r="K558" s="73"/>
      <c r="L558" s="73"/>
      <c r="M558" s="73"/>
      <c r="N558" s="73"/>
      <c r="O558" s="73"/>
      <c r="P558" s="73"/>
      <c r="Q558" s="73"/>
      <c r="R558" s="73"/>
      <c r="S558" s="73"/>
      <c r="T558" s="73"/>
      <c r="U558" s="73"/>
      <c r="V558" s="73"/>
      <c r="W558" s="73"/>
      <c r="X558" s="73"/>
      <c r="Y558" s="73"/>
      <c r="Z558" s="73"/>
      <c r="AA558" s="73"/>
      <c r="AB558" s="73"/>
      <c r="AC558" s="122"/>
      <c r="AD558" s="108"/>
      <c r="AF558" s="108"/>
      <c r="AG558" s="73"/>
      <c r="AH558" s="73"/>
      <c r="AI558" s="73"/>
      <c r="AJ558" s="73"/>
      <c r="AK558" s="73"/>
      <c r="AL558" s="73"/>
      <c r="AM558" s="73"/>
      <c r="AN558" s="73"/>
      <c r="AO558" s="73"/>
      <c r="AP558" s="73"/>
      <c r="DL558" s="34"/>
    </row>
    <row r="559" spans="10:116" x14ac:dyDescent="0.25">
      <c r="J559" s="73"/>
      <c r="K559" s="73"/>
      <c r="L559" s="73"/>
      <c r="M559" s="73"/>
      <c r="N559" s="73"/>
      <c r="O559" s="73"/>
      <c r="P559" s="73"/>
      <c r="Q559" s="73"/>
      <c r="R559" s="73"/>
      <c r="S559" s="73"/>
      <c r="T559" s="73"/>
      <c r="U559" s="73"/>
      <c r="V559" s="73"/>
      <c r="W559" s="73"/>
      <c r="X559" s="73"/>
      <c r="Y559" s="73"/>
      <c r="Z559" s="73"/>
      <c r="AA559" s="73"/>
      <c r="AB559" s="73"/>
      <c r="AC559" s="122"/>
      <c r="AD559" s="108"/>
      <c r="AF559" s="108"/>
      <c r="AG559" s="73"/>
      <c r="AH559" s="73"/>
      <c r="AI559" s="73"/>
      <c r="AJ559" s="73"/>
      <c r="AK559" s="73"/>
      <c r="AL559" s="73"/>
      <c r="AM559" s="73"/>
      <c r="AN559" s="73"/>
      <c r="AO559" s="73"/>
      <c r="AP559" s="73"/>
      <c r="DL559" s="34"/>
    </row>
    <row r="560" spans="10:116" x14ac:dyDescent="0.25">
      <c r="J560" s="73"/>
      <c r="K560" s="73"/>
      <c r="L560" s="73"/>
      <c r="M560" s="73"/>
      <c r="N560" s="73"/>
      <c r="O560" s="73"/>
      <c r="P560" s="73"/>
      <c r="Q560" s="73"/>
      <c r="R560" s="73"/>
      <c r="S560" s="73"/>
      <c r="T560" s="73"/>
      <c r="U560" s="73"/>
      <c r="V560" s="73"/>
      <c r="W560" s="73"/>
      <c r="X560" s="73"/>
      <c r="Y560" s="73"/>
      <c r="Z560" s="73"/>
      <c r="AA560" s="73"/>
      <c r="AB560" s="73"/>
      <c r="AC560" s="122"/>
      <c r="AD560" s="108"/>
      <c r="AF560" s="108"/>
      <c r="AG560" s="73"/>
      <c r="AH560" s="73"/>
      <c r="AI560" s="73"/>
      <c r="AJ560" s="73"/>
      <c r="AK560" s="73"/>
      <c r="AL560" s="73"/>
      <c r="AM560" s="73"/>
      <c r="AN560" s="73"/>
      <c r="AO560" s="73"/>
      <c r="AP560" s="73"/>
      <c r="DL560" s="34"/>
    </row>
    <row r="561" spans="10:116" x14ac:dyDescent="0.25">
      <c r="J561" s="73"/>
      <c r="K561" s="73"/>
      <c r="L561" s="73"/>
      <c r="M561" s="73"/>
      <c r="N561" s="73"/>
      <c r="O561" s="73"/>
      <c r="P561" s="73"/>
      <c r="Q561" s="73"/>
      <c r="R561" s="73"/>
      <c r="S561" s="73"/>
      <c r="T561" s="73"/>
      <c r="U561" s="73"/>
      <c r="V561" s="73"/>
      <c r="W561" s="73"/>
      <c r="X561" s="73"/>
      <c r="Y561" s="73"/>
      <c r="Z561" s="73"/>
      <c r="AA561" s="73"/>
      <c r="AB561" s="73"/>
      <c r="AC561" s="122"/>
      <c r="AD561" s="108"/>
      <c r="AF561" s="108"/>
      <c r="AG561" s="73"/>
      <c r="AH561" s="73"/>
      <c r="AI561" s="73"/>
      <c r="AJ561" s="73"/>
      <c r="AK561" s="73"/>
      <c r="AL561" s="73"/>
      <c r="AM561" s="73"/>
      <c r="AN561" s="73"/>
      <c r="AO561" s="73"/>
      <c r="AP561" s="73"/>
      <c r="DL561" s="34"/>
    </row>
    <row r="562" spans="10:116" x14ac:dyDescent="0.25">
      <c r="J562" s="73"/>
      <c r="K562" s="73"/>
      <c r="L562" s="73"/>
      <c r="M562" s="73"/>
      <c r="N562" s="73"/>
      <c r="O562" s="73"/>
      <c r="P562" s="73"/>
      <c r="Q562" s="73"/>
      <c r="R562" s="73"/>
      <c r="S562" s="73"/>
      <c r="T562" s="73"/>
      <c r="U562" s="73"/>
      <c r="V562" s="73"/>
      <c r="W562" s="73"/>
      <c r="X562" s="73"/>
      <c r="Y562" s="73"/>
      <c r="Z562" s="73"/>
      <c r="AA562" s="73"/>
      <c r="AB562" s="73"/>
      <c r="AC562" s="122"/>
      <c r="AD562" s="108"/>
      <c r="AF562" s="108"/>
      <c r="AG562" s="73"/>
      <c r="AH562" s="73"/>
      <c r="AI562" s="73"/>
      <c r="AJ562" s="73"/>
      <c r="AK562" s="73"/>
      <c r="AL562" s="73"/>
      <c r="AM562" s="73"/>
      <c r="AN562" s="73"/>
      <c r="AO562" s="73"/>
      <c r="AP562" s="73"/>
      <c r="DL562" s="34"/>
    </row>
    <row r="563" spans="10:116" x14ac:dyDescent="0.25">
      <c r="J563" s="73"/>
      <c r="K563" s="73"/>
      <c r="L563" s="73"/>
      <c r="M563" s="73"/>
      <c r="N563" s="73"/>
      <c r="O563" s="73"/>
      <c r="P563" s="73"/>
      <c r="Q563" s="73"/>
      <c r="R563" s="73"/>
      <c r="S563" s="73"/>
      <c r="T563" s="73"/>
      <c r="U563" s="73"/>
      <c r="V563" s="73"/>
      <c r="W563" s="73"/>
      <c r="X563" s="73"/>
      <c r="Y563" s="73"/>
      <c r="Z563" s="73"/>
      <c r="AA563" s="73"/>
      <c r="AB563" s="73"/>
      <c r="AC563" s="122"/>
      <c r="AD563" s="108"/>
      <c r="AF563" s="108"/>
      <c r="AG563" s="73"/>
      <c r="AH563" s="73"/>
      <c r="AI563" s="73"/>
      <c r="AJ563" s="73"/>
      <c r="AK563" s="73"/>
      <c r="AL563" s="73"/>
      <c r="AM563" s="73"/>
      <c r="AN563" s="73"/>
      <c r="AO563" s="73"/>
      <c r="AP563" s="73"/>
      <c r="DL563" s="34"/>
    </row>
    <row r="564" spans="10:116" x14ac:dyDescent="0.25">
      <c r="J564" s="73"/>
      <c r="K564" s="73"/>
      <c r="L564" s="73"/>
      <c r="M564" s="73"/>
      <c r="N564" s="73"/>
      <c r="O564" s="73"/>
      <c r="P564" s="73"/>
      <c r="Q564" s="73"/>
      <c r="R564" s="73"/>
      <c r="S564" s="73"/>
      <c r="T564" s="73"/>
      <c r="U564" s="73"/>
      <c r="V564" s="73"/>
      <c r="W564" s="73"/>
      <c r="X564" s="73"/>
      <c r="Y564" s="73"/>
      <c r="Z564" s="73"/>
      <c r="AA564" s="73"/>
      <c r="AB564" s="73"/>
      <c r="AC564" s="122"/>
      <c r="AD564" s="108"/>
      <c r="AF564" s="108"/>
      <c r="AG564" s="73"/>
      <c r="AH564" s="73"/>
      <c r="AI564" s="73"/>
      <c r="AJ564" s="73"/>
      <c r="AK564" s="73"/>
      <c r="AL564" s="73"/>
      <c r="AM564" s="73"/>
      <c r="AN564" s="73"/>
      <c r="AO564" s="73"/>
      <c r="AP564" s="73"/>
      <c r="DL564" s="34"/>
    </row>
    <row r="565" spans="10:116" x14ac:dyDescent="0.25">
      <c r="J565" s="73"/>
      <c r="K565" s="73"/>
      <c r="L565" s="73"/>
      <c r="M565" s="73"/>
      <c r="N565" s="73"/>
      <c r="O565" s="73"/>
      <c r="P565" s="73"/>
      <c r="Q565" s="73"/>
      <c r="R565" s="73"/>
      <c r="S565" s="73"/>
      <c r="T565" s="73"/>
      <c r="U565" s="73"/>
      <c r="V565" s="73"/>
      <c r="W565" s="73"/>
      <c r="X565" s="73"/>
      <c r="Y565" s="73"/>
      <c r="Z565" s="73"/>
      <c r="AA565" s="73"/>
      <c r="AB565" s="73"/>
      <c r="AC565" s="122"/>
      <c r="AD565" s="108"/>
      <c r="AF565" s="108"/>
      <c r="AG565" s="73"/>
      <c r="AH565" s="73"/>
      <c r="AI565" s="73"/>
      <c r="AJ565" s="73"/>
      <c r="AK565" s="73"/>
      <c r="AL565" s="73"/>
      <c r="AM565" s="73"/>
      <c r="AN565" s="73"/>
      <c r="AO565" s="73"/>
      <c r="AP565" s="73"/>
      <c r="DL565" s="34"/>
    </row>
    <row r="566" spans="10:116" x14ac:dyDescent="0.25">
      <c r="J566" s="73"/>
      <c r="K566" s="73"/>
      <c r="L566" s="73"/>
      <c r="M566" s="73"/>
      <c r="N566" s="73"/>
      <c r="O566" s="73"/>
      <c r="P566" s="73"/>
      <c r="Q566" s="73"/>
      <c r="R566" s="73"/>
      <c r="S566" s="73"/>
      <c r="T566" s="73"/>
      <c r="U566" s="73"/>
      <c r="V566" s="73"/>
      <c r="W566" s="73"/>
      <c r="X566" s="73"/>
      <c r="Y566" s="73"/>
      <c r="Z566" s="73"/>
      <c r="AA566" s="73"/>
      <c r="AB566" s="73"/>
      <c r="AC566" s="122"/>
      <c r="AD566" s="108"/>
      <c r="AF566" s="108"/>
      <c r="AG566" s="73"/>
      <c r="AH566" s="73"/>
      <c r="AI566" s="73"/>
      <c r="AJ566" s="73"/>
      <c r="AK566" s="73"/>
      <c r="AL566" s="73"/>
      <c r="AM566" s="73"/>
      <c r="AN566" s="73"/>
      <c r="AO566" s="73"/>
      <c r="AP566" s="73"/>
      <c r="DL566" s="34"/>
    </row>
    <row r="567" spans="10:116" x14ac:dyDescent="0.25">
      <c r="J567" s="73"/>
      <c r="K567" s="73"/>
      <c r="L567" s="73"/>
      <c r="M567" s="73"/>
      <c r="N567" s="73"/>
      <c r="O567" s="73"/>
      <c r="P567" s="73"/>
      <c r="Q567" s="73"/>
      <c r="R567" s="73"/>
      <c r="S567" s="73"/>
      <c r="T567" s="73"/>
      <c r="U567" s="73"/>
      <c r="V567" s="73"/>
      <c r="W567" s="73"/>
      <c r="X567" s="73"/>
      <c r="Y567" s="73"/>
      <c r="Z567" s="73"/>
      <c r="AA567" s="73"/>
      <c r="AB567" s="73"/>
      <c r="AC567" s="122"/>
      <c r="AD567" s="108"/>
      <c r="AF567" s="108"/>
      <c r="AG567" s="73"/>
      <c r="AH567" s="73"/>
      <c r="AI567" s="73"/>
      <c r="AJ567" s="73"/>
      <c r="AK567" s="73"/>
      <c r="AL567" s="73"/>
      <c r="AM567" s="73"/>
      <c r="AN567" s="73"/>
      <c r="AO567" s="73"/>
      <c r="AP567" s="73"/>
      <c r="DL567" s="34"/>
    </row>
    <row r="568" spans="10:116" x14ac:dyDescent="0.25">
      <c r="J568" s="73"/>
      <c r="K568" s="73"/>
      <c r="L568" s="73"/>
      <c r="M568" s="73"/>
      <c r="N568" s="73"/>
      <c r="O568" s="73"/>
      <c r="P568" s="73"/>
      <c r="Q568" s="73"/>
      <c r="R568" s="73"/>
      <c r="S568" s="73"/>
      <c r="T568" s="73"/>
      <c r="U568" s="73"/>
      <c r="V568" s="73"/>
      <c r="W568" s="73"/>
      <c r="X568" s="73"/>
      <c r="Y568" s="73"/>
      <c r="Z568" s="73"/>
      <c r="AA568" s="73"/>
      <c r="AB568" s="73"/>
      <c r="AC568" s="122"/>
      <c r="AD568" s="108"/>
      <c r="AF568" s="108"/>
      <c r="AG568" s="73"/>
      <c r="AH568" s="73"/>
      <c r="AI568" s="73"/>
      <c r="AJ568" s="73"/>
      <c r="AK568" s="73"/>
      <c r="AL568" s="73"/>
      <c r="AM568" s="73"/>
      <c r="AN568" s="73"/>
      <c r="AO568" s="73"/>
      <c r="AP568" s="73"/>
      <c r="DL568" s="34"/>
    </row>
    <row r="569" spans="10:116" x14ac:dyDescent="0.25">
      <c r="J569" s="73"/>
      <c r="K569" s="73"/>
      <c r="L569" s="73"/>
      <c r="M569" s="73"/>
      <c r="N569" s="73"/>
      <c r="O569" s="73"/>
      <c r="P569" s="73"/>
      <c r="Q569" s="73"/>
      <c r="R569" s="73"/>
      <c r="S569" s="73"/>
      <c r="T569" s="73"/>
      <c r="U569" s="73"/>
      <c r="V569" s="73"/>
      <c r="W569" s="73"/>
      <c r="X569" s="73"/>
      <c r="Y569" s="73"/>
      <c r="Z569" s="73"/>
      <c r="AA569" s="73"/>
      <c r="AB569" s="73"/>
      <c r="AC569" s="122"/>
      <c r="AD569" s="108"/>
      <c r="AF569" s="108"/>
      <c r="AG569" s="73"/>
      <c r="AH569" s="73"/>
      <c r="AI569" s="73"/>
      <c r="AJ569" s="73"/>
      <c r="AK569" s="73"/>
      <c r="AL569" s="73"/>
      <c r="AM569" s="73"/>
      <c r="AN569" s="73"/>
      <c r="AO569" s="73"/>
      <c r="AP569" s="73"/>
      <c r="DL569" s="34"/>
    </row>
    <row r="570" spans="10:116" x14ac:dyDescent="0.25">
      <c r="J570" s="73"/>
      <c r="K570" s="73"/>
      <c r="L570" s="73"/>
      <c r="M570" s="73"/>
      <c r="N570" s="73"/>
      <c r="O570" s="73"/>
      <c r="P570" s="73"/>
      <c r="Q570" s="73"/>
      <c r="R570" s="73"/>
      <c r="S570" s="73"/>
      <c r="T570" s="73"/>
      <c r="U570" s="73"/>
      <c r="V570" s="73"/>
      <c r="W570" s="73"/>
      <c r="X570" s="73"/>
      <c r="Y570" s="73"/>
      <c r="Z570" s="73"/>
      <c r="AA570" s="73"/>
      <c r="AB570" s="73"/>
      <c r="AC570" s="122"/>
      <c r="AD570" s="108"/>
      <c r="AF570" s="108"/>
      <c r="AG570" s="73"/>
      <c r="AH570" s="73"/>
      <c r="AI570" s="73"/>
      <c r="AJ570" s="73"/>
      <c r="AK570" s="73"/>
      <c r="AL570" s="73"/>
      <c r="AM570" s="73"/>
      <c r="AN570" s="73"/>
      <c r="AO570" s="73"/>
      <c r="AP570" s="73"/>
      <c r="DL570" s="34"/>
    </row>
    <row r="571" spans="10:116" x14ac:dyDescent="0.25">
      <c r="J571" s="73"/>
      <c r="K571" s="73"/>
      <c r="L571" s="73"/>
      <c r="M571" s="73"/>
      <c r="N571" s="73"/>
      <c r="O571" s="73"/>
      <c r="P571" s="73"/>
      <c r="Q571" s="73"/>
      <c r="R571" s="73"/>
      <c r="S571" s="73"/>
      <c r="T571" s="73"/>
      <c r="U571" s="73"/>
      <c r="V571" s="73"/>
      <c r="W571" s="73"/>
      <c r="X571" s="73"/>
      <c r="Y571" s="73"/>
      <c r="Z571" s="73"/>
      <c r="AA571" s="73"/>
      <c r="AB571" s="73"/>
      <c r="AC571" s="122"/>
      <c r="AD571" s="108"/>
      <c r="AF571" s="108"/>
      <c r="AG571" s="73"/>
      <c r="AH571" s="73"/>
      <c r="AI571" s="73"/>
      <c r="AJ571" s="73"/>
      <c r="AK571" s="73"/>
      <c r="AL571" s="73"/>
      <c r="AM571" s="73"/>
      <c r="AN571" s="73"/>
      <c r="AO571" s="73"/>
      <c r="AP571" s="73"/>
      <c r="DL571" s="34"/>
    </row>
    <row r="572" spans="10:116" x14ac:dyDescent="0.25">
      <c r="J572" s="73"/>
      <c r="K572" s="73"/>
      <c r="L572" s="73"/>
      <c r="M572" s="73"/>
      <c r="N572" s="73"/>
      <c r="O572" s="73"/>
      <c r="P572" s="73"/>
      <c r="Q572" s="73"/>
      <c r="R572" s="73"/>
      <c r="S572" s="73"/>
      <c r="T572" s="73"/>
      <c r="U572" s="73"/>
      <c r="V572" s="73"/>
      <c r="W572" s="73"/>
      <c r="X572" s="73"/>
      <c r="Y572" s="73"/>
      <c r="Z572" s="73"/>
      <c r="AA572" s="73"/>
      <c r="AB572" s="73"/>
      <c r="AC572" s="122"/>
      <c r="AD572" s="108"/>
      <c r="AF572" s="108"/>
      <c r="AG572" s="73"/>
      <c r="AH572" s="73"/>
      <c r="AI572" s="73"/>
      <c r="AJ572" s="73"/>
      <c r="AK572" s="73"/>
      <c r="AL572" s="73"/>
      <c r="AM572" s="73"/>
      <c r="AN572" s="73"/>
      <c r="AO572" s="73"/>
      <c r="AP572" s="73"/>
      <c r="DL572" s="34"/>
    </row>
    <row r="573" spans="10:116" x14ac:dyDescent="0.25">
      <c r="J573" s="73"/>
      <c r="K573" s="73"/>
      <c r="L573" s="73"/>
      <c r="M573" s="73"/>
      <c r="N573" s="73"/>
      <c r="O573" s="73"/>
      <c r="P573" s="73"/>
      <c r="Q573" s="73"/>
      <c r="R573" s="73"/>
      <c r="S573" s="73"/>
      <c r="T573" s="73"/>
      <c r="U573" s="73"/>
      <c r="V573" s="73"/>
      <c r="W573" s="73"/>
      <c r="X573" s="73"/>
      <c r="Y573" s="73"/>
      <c r="Z573" s="73"/>
      <c r="AA573" s="73"/>
      <c r="AB573" s="73"/>
      <c r="AC573" s="122"/>
      <c r="AD573" s="108"/>
      <c r="AF573" s="108"/>
      <c r="AG573" s="73"/>
      <c r="AH573" s="73"/>
      <c r="AI573" s="73"/>
      <c r="AJ573" s="73"/>
      <c r="AK573" s="73"/>
      <c r="AL573" s="73"/>
      <c r="AM573" s="73"/>
      <c r="AN573" s="73"/>
      <c r="AO573" s="73"/>
      <c r="AP573" s="73"/>
      <c r="DL573" s="34"/>
    </row>
    <row r="574" spans="10:116" x14ac:dyDescent="0.25">
      <c r="J574" s="73"/>
      <c r="K574" s="73"/>
      <c r="L574" s="73"/>
      <c r="M574" s="73"/>
      <c r="N574" s="73"/>
      <c r="O574" s="73"/>
      <c r="P574" s="73"/>
      <c r="Q574" s="73"/>
      <c r="R574" s="73"/>
      <c r="S574" s="73"/>
      <c r="T574" s="73"/>
      <c r="U574" s="73"/>
      <c r="V574" s="73"/>
      <c r="W574" s="73"/>
      <c r="X574" s="73"/>
      <c r="Y574" s="73"/>
      <c r="Z574" s="73"/>
      <c r="AA574" s="73"/>
      <c r="AB574" s="73"/>
      <c r="AC574" s="122"/>
      <c r="AD574" s="108"/>
      <c r="AF574" s="108"/>
      <c r="AG574" s="73"/>
      <c r="AH574" s="73"/>
      <c r="AI574" s="73"/>
      <c r="AJ574" s="73"/>
      <c r="AK574" s="73"/>
      <c r="AL574" s="73"/>
      <c r="AM574" s="73"/>
      <c r="AN574" s="73"/>
      <c r="AO574" s="73"/>
      <c r="AP574" s="73"/>
      <c r="DL574" s="34"/>
    </row>
    <row r="575" spans="10:116" x14ac:dyDescent="0.25">
      <c r="J575" s="73"/>
      <c r="K575" s="73"/>
      <c r="L575" s="73"/>
      <c r="M575" s="73"/>
      <c r="N575" s="73"/>
      <c r="O575" s="73"/>
      <c r="P575" s="73"/>
      <c r="Q575" s="73"/>
      <c r="R575" s="73"/>
      <c r="S575" s="73"/>
      <c r="T575" s="73"/>
      <c r="U575" s="73"/>
      <c r="V575" s="73"/>
      <c r="W575" s="73"/>
      <c r="X575" s="73"/>
      <c r="Y575" s="73"/>
      <c r="Z575" s="73"/>
      <c r="AA575" s="73"/>
      <c r="AB575" s="73"/>
      <c r="AC575" s="122"/>
      <c r="AD575" s="108"/>
      <c r="AF575" s="108"/>
      <c r="AG575" s="73"/>
      <c r="AH575" s="73"/>
      <c r="AI575" s="73"/>
      <c r="AJ575" s="73"/>
      <c r="AK575" s="73"/>
      <c r="AL575" s="73"/>
      <c r="AM575" s="73"/>
      <c r="AN575" s="73"/>
      <c r="AO575" s="73"/>
      <c r="AP575" s="73"/>
      <c r="DL575" s="34"/>
    </row>
    <row r="576" spans="10:116" x14ac:dyDescent="0.25">
      <c r="J576" s="73"/>
      <c r="K576" s="73"/>
      <c r="L576" s="73"/>
      <c r="M576" s="73"/>
      <c r="N576" s="73"/>
      <c r="O576" s="73"/>
      <c r="P576" s="73"/>
      <c r="Q576" s="73"/>
      <c r="R576" s="73"/>
      <c r="S576" s="73"/>
      <c r="T576" s="73"/>
      <c r="U576" s="73"/>
      <c r="V576" s="73"/>
      <c r="W576" s="73"/>
      <c r="X576" s="73"/>
      <c r="Y576" s="73"/>
      <c r="Z576" s="73"/>
      <c r="AA576" s="73"/>
      <c r="AB576" s="73"/>
      <c r="AC576" s="122"/>
      <c r="AD576" s="108"/>
      <c r="AF576" s="108"/>
      <c r="AG576" s="73"/>
      <c r="AH576" s="73"/>
      <c r="AI576" s="73"/>
      <c r="AJ576" s="73"/>
      <c r="AK576" s="73"/>
      <c r="AL576" s="73"/>
      <c r="AM576" s="73"/>
      <c r="AN576" s="73"/>
      <c r="AO576" s="73"/>
      <c r="AP576" s="73"/>
      <c r="DL576" s="34"/>
    </row>
    <row r="577" spans="10:116" x14ac:dyDescent="0.25">
      <c r="J577" s="73"/>
      <c r="K577" s="73"/>
      <c r="L577" s="73"/>
      <c r="M577" s="73"/>
      <c r="N577" s="73"/>
      <c r="O577" s="73"/>
      <c r="P577" s="73"/>
      <c r="Q577" s="73"/>
      <c r="R577" s="73"/>
      <c r="S577" s="73"/>
      <c r="T577" s="73"/>
      <c r="U577" s="73"/>
      <c r="V577" s="73"/>
      <c r="W577" s="73"/>
      <c r="X577" s="73"/>
      <c r="Y577" s="73"/>
      <c r="Z577" s="73"/>
      <c r="AA577" s="73"/>
      <c r="AB577" s="73"/>
      <c r="AC577" s="122"/>
      <c r="AD577" s="108"/>
      <c r="AF577" s="108"/>
      <c r="AG577" s="73"/>
      <c r="AH577" s="73"/>
      <c r="AI577" s="73"/>
      <c r="AJ577" s="73"/>
      <c r="AK577" s="73"/>
      <c r="AL577" s="73"/>
      <c r="AM577" s="73"/>
      <c r="AN577" s="73"/>
      <c r="AO577" s="73"/>
      <c r="AP577" s="73"/>
      <c r="DL577" s="34"/>
    </row>
    <row r="578" spans="10:116" x14ac:dyDescent="0.25">
      <c r="J578" s="73"/>
      <c r="K578" s="73"/>
      <c r="L578" s="73"/>
      <c r="M578" s="73"/>
      <c r="N578" s="73"/>
      <c r="O578" s="73"/>
      <c r="P578" s="73"/>
      <c r="Q578" s="73"/>
      <c r="R578" s="73"/>
      <c r="S578" s="73"/>
      <c r="T578" s="73"/>
      <c r="U578" s="73"/>
      <c r="V578" s="73"/>
      <c r="W578" s="73"/>
      <c r="X578" s="73"/>
      <c r="Y578" s="73"/>
      <c r="Z578" s="73"/>
      <c r="AA578" s="73"/>
      <c r="AB578" s="73"/>
      <c r="AC578" s="122"/>
      <c r="AD578" s="108"/>
      <c r="AF578" s="108"/>
      <c r="AG578" s="73"/>
      <c r="AH578" s="73"/>
      <c r="AI578" s="73"/>
      <c r="AJ578" s="73"/>
      <c r="AK578" s="73"/>
      <c r="AL578" s="73"/>
      <c r="AM578" s="73"/>
      <c r="AN578" s="73"/>
      <c r="AO578" s="73"/>
      <c r="AP578" s="73"/>
      <c r="DL578" s="34"/>
    </row>
    <row r="579" spans="10:116" x14ac:dyDescent="0.25">
      <c r="J579" s="73"/>
      <c r="K579" s="73"/>
      <c r="L579" s="73"/>
      <c r="M579" s="73"/>
      <c r="N579" s="73"/>
      <c r="O579" s="73"/>
      <c r="P579" s="73"/>
      <c r="Q579" s="73"/>
      <c r="R579" s="73"/>
      <c r="S579" s="73"/>
      <c r="T579" s="73"/>
      <c r="U579" s="73"/>
      <c r="V579" s="73"/>
      <c r="W579" s="73"/>
      <c r="X579" s="73"/>
      <c r="Y579" s="73"/>
      <c r="Z579" s="73"/>
      <c r="AA579" s="73"/>
      <c r="AB579" s="73"/>
      <c r="AC579" s="122"/>
      <c r="AD579" s="108"/>
      <c r="AF579" s="108"/>
      <c r="AG579" s="73"/>
      <c r="AH579" s="73"/>
      <c r="AI579" s="73"/>
      <c r="AJ579" s="73"/>
      <c r="AK579" s="73"/>
      <c r="AL579" s="73"/>
      <c r="AM579" s="73"/>
      <c r="AN579" s="73"/>
      <c r="AO579" s="73"/>
      <c r="AP579" s="73"/>
      <c r="DL579" s="34"/>
    </row>
    <row r="580" spans="10:116" x14ac:dyDescent="0.25">
      <c r="J580" s="73"/>
      <c r="K580" s="73"/>
      <c r="L580" s="73"/>
      <c r="M580" s="73"/>
      <c r="N580" s="73"/>
      <c r="O580" s="73"/>
      <c r="P580" s="73"/>
      <c r="Q580" s="73"/>
      <c r="R580" s="73"/>
      <c r="S580" s="73"/>
      <c r="T580" s="73"/>
      <c r="U580" s="73"/>
      <c r="V580" s="73"/>
      <c r="W580" s="73"/>
      <c r="X580" s="73"/>
      <c r="Y580" s="73"/>
      <c r="Z580" s="73"/>
      <c r="AA580" s="73"/>
      <c r="AB580" s="73"/>
      <c r="AC580" s="122"/>
      <c r="AD580" s="108"/>
      <c r="AF580" s="108"/>
      <c r="AG580" s="73"/>
      <c r="AH580" s="73"/>
      <c r="AI580" s="73"/>
      <c r="AJ580" s="73"/>
      <c r="AK580" s="73"/>
      <c r="AL580" s="73"/>
      <c r="AM580" s="73"/>
      <c r="AN580" s="73"/>
      <c r="AO580" s="73"/>
      <c r="AP580" s="73"/>
      <c r="DL580" s="34"/>
    </row>
    <row r="581" spans="10:116" x14ac:dyDescent="0.25">
      <c r="J581" s="73"/>
      <c r="K581" s="73"/>
      <c r="L581" s="73"/>
      <c r="M581" s="73"/>
      <c r="N581" s="73"/>
      <c r="O581" s="73"/>
      <c r="P581" s="73"/>
      <c r="Q581" s="73"/>
      <c r="R581" s="73"/>
      <c r="S581" s="73"/>
      <c r="T581" s="73"/>
      <c r="U581" s="73"/>
      <c r="V581" s="73"/>
      <c r="W581" s="73"/>
      <c r="X581" s="73"/>
      <c r="Y581" s="73"/>
      <c r="Z581" s="73"/>
      <c r="AA581" s="73"/>
      <c r="AB581" s="73"/>
      <c r="AC581" s="122"/>
      <c r="AD581" s="108"/>
      <c r="AF581" s="108"/>
      <c r="AG581" s="73"/>
      <c r="AH581" s="73"/>
      <c r="AI581" s="73"/>
      <c r="AJ581" s="73"/>
      <c r="AK581" s="73"/>
      <c r="AL581" s="73"/>
      <c r="AM581" s="73"/>
      <c r="AN581" s="73"/>
      <c r="AO581" s="73"/>
      <c r="AP581" s="73"/>
      <c r="DL581" s="34"/>
    </row>
    <row r="582" spans="10:116" x14ac:dyDescent="0.25">
      <c r="J582" s="73"/>
      <c r="K582" s="73"/>
      <c r="L582" s="73"/>
      <c r="M582" s="73"/>
      <c r="N582" s="73"/>
      <c r="O582" s="73"/>
      <c r="P582" s="73"/>
      <c r="Q582" s="73"/>
      <c r="R582" s="73"/>
      <c r="S582" s="73"/>
      <c r="T582" s="73"/>
      <c r="U582" s="73"/>
      <c r="V582" s="73"/>
      <c r="W582" s="73"/>
      <c r="X582" s="73"/>
      <c r="Y582" s="73"/>
      <c r="Z582" s="73"/>
      <c r="AA582" s="73"/>
      <c r="AB582" s="73"/>
      <c r="AC582" s="122"/>
      <c r="AD582" s="108"/>
      <c r="AF582" s="108"/>
      <c r="AG582" s="73"/>
      <c r="AH582" s="73"/>
      <c r="AI582" s="73"/>
      <c r="AJ582" s="73"/>
      <c r="AK582" s="73"/>
      <c r="AL582" s="73"/>
      <c r="AM582" s="73"/>
      <c r="AN582" s="73"/>
      <c r="AO582" s="73"/>
      <c r="AP582" s="73"/>
      <c r="DL582" s="34"/>
    </row>
    <row r="583" spans="10:116" x14ac:dyDescent="0.25">
      <c r="J583" s="73"/>
      <c r="K583" s="73"/>
      <c r="L583" s="73"/>
      <c r="M583" s="73"/>
      <c r="N583" s="73"/>
      <c r="O583" s="73"/>
      <c r="P583" s="73"/>
      <c r="Q583" s="73"/>
      <c r="R583" s="73"/>
      <c r="S583" s="73"/>
      <c r="T583" s="73"/>
      <c r="U583" s="73"/>
      <c r="V583" s="73"/>
      <c r="W583" s="73"/>
      <c r="X583" s="73"/>
      <c r="Y583" s="73"/>
      <c r="Z583" s="73"/>
      <c r="AA583" s="73"/>
      <c r="AB583" s="73"/>
      <c r="AC583" s="122"/>
      <c r="AD583" s="108"/>
      <c r="AF583" s="108"/>
      <c r="AG583" s="73"/>
      <c r="AH583" s="73"/>
      <c r="AI583" s="73"/>
      <c r="AJ583" s="73"/>
      <c r="AK583" s="73"/>
      <c r="AL583" s="73"/>
      <c r="AM583" s="73"/>
      <c r="AN583" s="73"/>
      <c r="AO583" s="73"/>
      <c r="AP583" s="73"/>
      <c r="DL583" s="34"/>
    </row>
    <row r="584" spans="10:116" x14ac:dyDescent="0.25">
      <c r="J584" s="73"/>
      <c r="K584" s="73"/>
      <c r="L584" s="73"/>
      <c r="M584" s="73"/>
      <c r="N584" s="73"/>
      <c r="O584" s="73"/>
      <c r="P584" s="73"/>
      <c r="Q584" s="73"/>
      <c r="R584" s="73"/>
      <c r="S584" s="73"/>
      <c r="T584" s="73"/>
      <c r="U584" s="73"/>
      <c r="V584" s="73"/>
      <c r="W584" s="73"/>
      <c r="X584" s="73"/>
      <c r="Y584" s="73"/>
      <c r="Z584" s="73"/>
      <c r="AA584" s="73"/>
      <c r="AB584" s="73"/>
      <c r="AC584" s="122"/>
      <c r="AD584" s="108"/>
      <c r="AF584" s="108"/>
      <c r="AG584" s="73"/>
      <c r="AH584" s="73"/>
      <c r="AI584" s="73"/>
      <c r="AJ584" s="73"/>
      <c r="AK584" s="73"/>
      <c r="AL584" s="73"/>
      <c r="AM584" s="73"/>
      <c r="AN584" s="73"/>
      <c r="AO584" s="73"/>
      <c r="AP584" s="73"/>
      <c r="DL584" s="34"/>
    </row>
    <row r="585" spans="10:116" x14ac:dyDescent="0.25">
      <c r="J585" s="73"/>
      <c r="K585" s="73"/>
      <c r="L585" s="73"/>
      <c r="M585" s="73"/>
      <c r="N585" s="73"/>
      <c r="O585" s="73"/>
      <c r="P585" s="73"/>
      <c r="Q585" s="73"/>
      <c r="R585" s="73"/>
      <c r="S585" s="73"/>
      <c r="T585" s="73"/>
      <c r="U585" s="73"/>
      <c r="V585" s="73"/>
      <c r="W585" s="73"/>
      <c r="X585" s="73"/>
      <c r="Y585" s="73"/>
      <c r="Z585" s="73"/>
      <c r="AA585" s="73"/>
      <c r="AB585" s="73"/>
      <c r="AC585" s="122"/>
      <c r="AD585" s="108"/>
      <c r="AF585" s="108"/>
      <c r="AG585" s="73"/>
      <c r="AH585" s="73"/>
      <c r="AI585" s="73"/>
      <c r="AJ585" s="73"/>
      <c r="AK585" s="73"/>
      <c r="AL585" s="73"/>
      <c r="AM585" s="73"/>
      <c r="AN585" s="73"/>
      <c r="AO585" s="73"/>
      <c r="AP585" s="73"/>
      <c r="DL585" s="34"/>
    </row>
    <row r="586" spans="10:116" x14ac:dyDescent="0.25">
      <c r="J586" s="73"/>
      <c r="K586" s="73"/>
      <c r="L586" s="73"/>
      <c r="M586" s="73"/>
      <c r="N586" s="73"/>
      <c r="O586" s="73"/>
      <c r="P586" s="73"/>
      <c r="Q586" s="73"/>
      <c r="R586" s="73"/>
      <c r="S586" s="73"/>
      <c r="T586" s="73"/>
      <c r="U586" s="73"/>
      <c r="V586" s="73"/>
      <c r="W586" s="73"/>
      <c r="X586" s="73"/>
      <c r="Y586" s="73"/>
      <c r="Z586" s="73"/>
      <c r="AA586" s="73"/>
      <c r="AB586" s="73"/>
      <c r="AC586" s="122"/>
      <c r="AD586" s="108"/>
      <c r="AF586" s="108"/>
      <c r="AG586" s="73"/>
      <c r="AH586" s="73"/>
      <c r="AI586" s="73"/>
      <c r="AJ586" s="73"/>
      <c r="AK586" s="73"/>
      <c r="AL586" s="73"/>
      <c r="AM586" s="73"/>
      <c r="AN586" s="73"/>
      <c r="AO586" s="73"/>
      <c r="AP586" s="73"/>
      <c r="DL586" s="34"/>
    </row>
    <row r="587" spans="10:116" x14ac:dyDescent="0.25">
      <c r="J587" s="73"/>
      <c r="K587" s="73"/>
      <c r="L587" s="73"/>
      <c r="M587" s="73"/>
      <c r="N587" s="73"/>
      <c r="O587" s="73"/>
      <c r="P587" s="73"/>
      <c r="Q587" s="73"/>
      <c r="R587" s="73"/>
      <c r="S587" s="73"/>
      <c r="T587" s="73"/>
      <c r="U587" s="73"/>
      <c r="V587" s="73"/>
      <c r="W587" s="73"/>
      <c r="X587" s="73"/>
      <c r="Y587" s="73"/>
      <c r="Z587" s="73"/>
      <c r="AA587" s="73"/>
      <c r="AB587" s="73"/>
      <c r="AC587" s="122"/>
      <c r="AD587" s="108"/>
      <c r="AF587" s="108"/>
      <c r="AG587" s="73"/>
      <c r="AH587" s="73"/>
      <c r="AI587" s="73"/>
      <c r="AJ587" s="73"/>
      <c r="AK587" s="73"/>
      <c r="AL587" s="73"/>
      <c r="AM587" s="73"/>
      <c r="AN587" s="73"/>
      <c r="AO587" s="73"/>
      <c r="AP587" s="73"/>
      <c r="DL587" s="34"/>
    </row>
    <row r="588" spans="10:116" x14ac:dyDescent="0.25">
      <c r="J588" s="73"/>
      <c r="K588" s="73"/>
      <c r="L588" s="73"/>
      <c r="M588" s="73"/>
      <c r="N588" s="73"/>
      <c r="O588" s="73"/>
      <c r="P588" s="73"/>
      <c r="Q588" s="73"/>
      <c r="R588" s="73"/>
      <c r="S588" s="73"/>
      <c r="T588" s="73"/>
      <c r="U588" s="73"/>
      <c r="V588" s="73"/>
      <c r="W588" s="73"/>
      <c r="X588" s="73"/>
      <c r="Y588" s="73"/>
      <c r="Z588" s="73"/>
      <c r="AA588" s="73"/>
      <c r="AB588" s="73"/>
      <c r="AC588" s="122"/>
      <c r="AD588" s="108"/>
      <c r="AF588" s="108"/>
      <c r="AG588" s="73"/>
      <c r="AH588" s="73"/>
      <c r="AI588" s="73"/>
      <c r="AJ588" s="73"/>
      <c r="AK588" s="73"/>
      <c r="AL588" s="73"/>
      <c r="AM588" s="73"/>
      <c r="AN588" s="73"/>
      <c r="AO588" s="73"/>
      <c r="AP588" s="73"/>
      <c r="DL588" s="34"/>
    </row>
    <row r="589" spans="10:116" x14ac:dyDescent="0.25">
      <c r="J589" s="73"/>
      <c r="K589" s="73"/>
      <c r="L589" s="73"/>
      <c r="M589" s="73"/>
      <c r="N589" s="73"/>
      <c r="O589" s="73"/>
      <c r="P589" s="73"/>
      <c r="Q589" s="73"/>
      <c r="R589" s="73"/>
      <c r="S589" s="73"/>
      <c r="T589" s="73"/>
      <c r="U589" s="73"/>
      <c r="V589" s="73"/>
      <c r="W589" s="73"/>
      <c r="X589" s="73"/>
      <c r="Y589" s="73"/>
      <c r="Z589" s="73"/>
      <c r="AA589" s="73"/>
      <c r="AB589" s="73"/>
      <c r="AC589" s="122"/>
      <c r="AD589" s="108"/>
      <c r="AF589" s="108"/>
      <c r="AG589" s="73"/>
      <c r="AH589" s="73"/>
      <c r="AI589" s="73"/>
      <c r="AJ589" s="73"/>
      <c r="AK589" s="73"/>
      <c r="AL589" s="73"/>
      <c r="AM589" s="73"/>
      <c r="AN589" s="73"/>
      <c r="AO589" s="73"/>
      <c r="AP589" s="73"/>
      <c r="DL589" s="34"/>
    </row>
    <row r="590" spans="10:116" x14ac:dyDescent="0.25">
      <c r="J590" s="73"/>
      <c r="K590" s="73"/>
      <c r="L590" s="73"/>
      <c r="M590" s="73"/>
      <c r="N590" s="73"/>
      <c r="O590" s="73"/>
      <c r="P590" s="73"/>
      <c r="Q590" s="73"/>
      <c r="R590" s="73"/>
      <c r="S590" s="73"/>
      <c r="T590" s="73"/>
      <c r="U590" s="73"/>
      <c r="V590" s="73"/>
      <c r="W590" s="73"/>
      <c r="X590" s="73"/>
      <c r="Y590" s="73"/>
      <c r="Z590" s="73"/>
      <c r="AA590" s="73"/>
      <c r="AB590" s="73"/>
      <c r="AC590" s="122"/>
      <c r="AD590" s="108"/>
      <c r="AF590" s="108"/>
      <c r="AG590" s="73"/>
      <c r="AH590" s="73"/>
      <c r="AI590" s="73"/>
      <c r="AJ590" s="73"/>
      <c r="AK590" s="73"/>
      <c r="AL590" s="73"/>
      <c r="AM590" s="73"/>
      <c r="AN590" s="73"/>
      <c r="AO590" s="73"/>
      <c r="AP590" s="73"/>
      <c r="DL590" s="34"/>
    </row>
    <row r="591" spans="10:116" x14ac:dyDescent="0.25">
      <c r="J591" s="73"/>
      <c r="K591" s="73"/>
      <c r="L591" s="73"/>
      <c r="M591" s="73"/>
      <c r="N591" s="73"/>
      <c r="O591" s="73"/>
      <c r="P591" s="73"/>
      <c r="Q591" s="73"/>
      <c r="R591" s="73"/>
      <c r="S591" s="73"/>
      <c r="T591" s="73"/>
      <c r="U591" s="73"/>
      <c r="V591" s="73"/>
      <c r="W591" s="73"/>
      <c r="X591" s="73"/>
      <c r="Y591" s="73"/>
      <c r="Z591" s="73"/>
      <c r="AA591" s="73"/>
      <c r="AB591" s="73"/>
      <c r="AC591" s="122"/>
      <c r="AD591" s="108"/>
      <c r="AF591" s="108"/>
      <c r="AG591" s="73"/>
      <c r="AH591" s="73"/>
      <c r="AI591" s="73"/>
      <c r="AJ591" s="73"/>
      <c r="AK591" s="73"/>
      <c r="AL591" s="73"/>
      <c r="AM591" s="73"/>
      <c r="AN591" s="73"/>
      <c r="AO591" s="73"/>
      <c r="AP591" s="73"/>
      <c r="DL591" s="34"/>
    </row>
    <row r="592" spans="10:116" x14ac:dyDescent="0.25">
      <c r="J592" s="73"/>
      <c r="K592" s="73"/>
      <c r="L592" s="73"/>
      <c r="M592" s="73"/>
      <c r="N592" s="73"/>
      <c r="O592" s="73"/>
      <c r="P592" s="73"/>
      <c r="Q592" s="73"/>
      <c r="R592" s="73"/>
      <c r="S592" s="73"/>
      <c r="T592" s="73"/>
      <c r="U592" s="73"/>
      <c r="V592" s="73"/>
      <c r="W592" s="73"/>
      <c r="X592" s="73"/>
      <c r="Y592" s="73"/>
      <c r="Z592" s="73"/>
      <c r="AA592" s="73"/>
      <c r="AB592" s="73"/>
      <c r="AC592" s="122"/>
      <c r="AD592" s="108"/>
      <c r="AF592" s="108"/>
      <c r="AG592" s="73"/>
      <c r="AH592" s="73"/>
      <c r="AI592" s="73"/>
      <c r="AJ592" s="73"/>
      <c r="AK592" s="73"/>
      <c r="AL592" s="73"/>
      <c r="AM592" s="73"/>
      <c r="AN592" s="73"/>
      <c r="AO592" s="73"/>
      <c r="AP592" s="73"/>
      <c r="DL592" s="34"/>
    </row>
    <row r="593" spans="10:116" x14ac:dyDescent="0.25">
      <c r="J593" s="73"/>
      <c r="K593" s="73"/>
      <c r="L593" s="73"/>
      <c r="M593" s="73"/>
      <c r="N593" s="73"/>
      <c r="O593" s="73"/>
      <c r="P593" s="73"/>
      <c r="Q593" s="73"/>
      <c r="R593" s="73"/>
      <c r="S593" s="73"/>
      <c r="T593" s="73"/>
      <c r="U593" s="73"/>
      <c r="V593" s="73"/>
      <c r="W593" s="73"/>
      <c r="X593" s="73"/>
      <c r="Y593" s="73"/>
      <c r="Z593" s="73"/>
      <c r="AA593" s="73"/>
      <c r="AB593" s="73"/>
      <c r="AC593" s="122"/>
      <c r="AD593" s="108"/>
      <c r="AF593" s="108"/>
      <c r="AG593" s="73"/>
      <c r="AH593" s="73"/>
      <c r="AI593" s="73"/>
      <c r="AJ593" s="73"/>
      <c r="AK593" s="73"/>
      <c r="AL593" s="73"/>
      <c r="AM593" s="73"/>
      <c r="AN593" s="73"/>
      <c r="AO593" s="73"/>
      <c r="AP593" s="73"/>
      <c r="DL593" s="34"/>
    </row>
    <row r="594" spans="10:116" x14ac:dyDescent="0.25">
      <c r="J594" s="73"/>
      <c r="K594" s="73"/>
      <c r="L594" s="73"/>
      <c r="M594" s="73"/>
      <c r="N594" s="73"/>
      <c r="O594" s="73"/>
      <c r="P594" s="73"/>
      <c r="Q594" s="73"/>
      <c r="R594" s="73"/>
      <c r="S594" s="73"/>
      <c r="T594" s="73"/>
      <c r="U594" s="73"/>
      <c r="V594" s="73"/>
      <c r="W594" s="73"/>
      <c r="X594" s="73"/>
      <c r="Y594" s="73"/>
      <c r="Z594" s="73"/>
      <c r="AA594" s="73"/>
      <c r="AB594" s="73"/>
      <c r="AC594" s="122"/>
      <c r="AD594" s="108"/>
      <c r="AF594" s="108"/>
      <c r="AG594" s="73"/>
      <c r="AH594" s="73"/>
      <c r="AI594" s="73"/>
      <c r="AJ594" s="73"/>
      <c r="AK594" s="73"/>
      <c r="AL594" s="73"/>
      <c r="AM594" s="73"/>
      <c r="AN594" s="73"/>
      <c r="AO594" s="73"/>
      <c r="AP594" s="73"/>
      <c r="DL594" s="34"/>
    </row>
    <row r="595" spans="10:116" x14ac:dyDescent="0.25">
      <c r="J595" s="73"/>
      <c r="K595" s="73"/>
      <c r="L595" s="73"/>
      <c r="M595" s="73"/>
      <c r="N595" s="73"/>
      <c r="O595" s="73"/>
      <c r="P595" s="73"/>
      <c r="Q595" s="73"/>
      <c r="R595" s="73"/>
      <c r="S595" s="73"/>
      <c r="T595" s="73"/>
      <c r="U595" s="73"/>
      <c r="V595" s="73"/>
      <c r="W595" s="73"/>
      <c r="X595" s="73"/>
      <c r="Y595" s="73"/>
      <c r="Z595" s="73"/>
      <c r="AA595" s="73"/>
      <c r="AB595" s="73"/>
      <c r="AC595" s="122"/>
      <c r="AD595" s="108"/>
      <c r="AF595" s="108"/>
      <c r="AG595" s="73"/>
      <c r="AH595" s="73"/>
      <c r="AI595" s="73"/>
      <c r="AJ595" s="73"/>
      <c r="AK595" s="73"/>
      <c r="AL595" s="73"/>
      <c r="AM595" s="73"/>
      <c r="AN595" s="73"/>
      <c r="AO595" s="73"/>
      <c r="AP595" s="73"/>
      <c r="DL595" s="34"/>
    </row>
    <row r="596" spans="10:116" x14ac:dyDescent="0.25">
      <c r="J596" s="73"/>
      <c r="K596" s="73"/>
      <c r="L596" s="73"/>
      <c r="M596" s="73"/>
      <c r="N596" s="73"/>
      <c r="O596" s="73"/>
      <c r="P596" s="73"/>
      <c r="Q596" s="73"/>
      <c r="R596" s="73"/>
      <c r="S596" s="73"/>
      <c r="T596" s="73"/>
      <c r="U596" s="73"/>
      <c r="V596" s="73"/>
      <c r="W596" s="73"/>
      <c r="X596" s="73"/>
      <c r="Y596" s="73"/>
      <c r="Z596" s="73"/>
      <c r="AA596" s="73"/>
      <c r="AB596" s="73"/>
      <c r="AC596" s="122"/>
      <c r="AD596" s="108"/>
      <c r="AF596" s="108"/>
      <c r="AG596" s="73"/>
      <c r="AH596" s="73"/>
      <c r="AI596" s="73"/>
      <c r="AJ596" s="73"/>
      <c r="AK596" s="73"/>
      <c r="AL596" s="73"/>
      <c r="AM596" s="73"/>
      <c r="AN596" s="73"/>
      <c r="AO596" s="73"/>
      <c r="AP596" s="73"/>
      <c r="DL596" s="34"/>
    </row>
    <row r="597" spans="10:116" x14ac:dyDescent="0.25">
      <c r="J597" s="73"/>
      <c r="K597" s="73"/>
      <c r="L597" s="73"/>
      <c r="M597" s="73"/>
      <c r="N597" s="73"/>
      <c r="O597" s="73"/>
      <c r="P597" s="73"/>
      <c r="Q597" s="73"/>
      <c r="R597" s="73"/>
      <c r="S597" s="73"/>
      <c r="T597" s="73"/>
      <c r="U597" s="73"/>
      <c r="V597" s="73"/>
      <c r="W597" s="73"/>
      <c r="X597" s="73"/>
      <c r="Y597" s="73"/>
      <c r="Z597" s="73"/>
      <c r="AA597" s="73"/>
      <c r="AB597" s="73"/>
      <c r="AC597" s="122"/>
      <c r="AD597" s="108"/>
      <c r="AF597" s="108"/>
      <c r="AG597" s="73"/>
      <c r="AH597" s="73"/>
      <c r="AI597" s="73"/>
      <c r="AJ597" s="73"/>
      <c r="AK597" s="73"/>
      <c r="AL597" s="73"/>
      <c r="AM597" s="73"/>
      <c r="AN597" s="73"/>
      <c r="AO597" s="73"/>
      <c r="AP597" s="73"/>
      <c r="DL597" s="34"/>
    </row>
    <row r="598" spans="10:116" x14ac:dyDescent="0.25">
      <c r="J598" s="73"/>
      <c r="K598" s="73"/>
      <c r="L598" s="73"/>
      <c r="M598" s="73"/>
      <c r="N598" s="73"/>
      <c r="O598" s="73"/>
      <c r="P598" s="73"/>
      <c r="Q598" s="73"/>
      <c r="R598" s="73"/>
      <c r="S598" s="73"/>
      <c r="T598" s="73"/>
      <c r="U598" s="73"/>
      <c r="V598" s="73"/>
      <c r="W598" s="73"/>
      <c r="X598" s="73"/>
      <c r="Y598" s="73"/>
      <c r="Z598" s="73"/>
      <c r="AA598" s="73"/>
      <c r="AB598" s="73"/>
      <c r="AC598" s="122"/>
      <c r="AD598" s="108"/>
      <c r="AF598" s="108"/>
      <c r="AG598" s="73"/>
      <c r="AH598" s="73"/>
      <c r="AI598" s="73"/>
      <c r="AJ598" s="73"/>
      <c r="AK598" s="73"/>
      <c r="AL598" s="73"/>
      <c r="AM598" s="73"/>
      <c r="AN598" s="73"/>
      <c r="AO598" s="73"/>
      <c r="AP598" s="73"/>
      <c r="DL598" s="34"/>
    </row>
    <row r="599" spans="10:116" x14ac:dyDescent="0.25">
      <c r="J599" s="73"/>
      <c r="K599" s="73"/>
      <c r="L599" s="73"/>
      <c r="M599" s="73"/>
      <c r="N599" s="73"/>
      <c r="O599" s="73"/>
      <c r="P599" s="73"/>
      <c r="Q599" s="73"/>
      <c r="R599" s="73"/>
      <c r="S599" s="73"/>
      <c r="T599" s="73"/>
      <c r="U599" s="73"/>
      <c r="V599" s="73"/>
      <c r="W599" s="73"/>
      <c r="X599" s="73"/>
      <c r="Y599" s="73"/>
      <c r="Z599" s="73"/>
      <c r="AA599" s="73"/>
      <c r="AB599" s="73"/>
      <c r="AC599" s="122"/>
      <c r="AD599" s="108"/>
      <c r="AF599" s="108"/>
      <c r="AG599" s="73"/>
      <c r="AH599" s="73"/>
      <c r="AI599" s="73"/>
      <c r="AJ599" s="73"/>
      <c r="AK599" s="73"/>
      <c r="AL599" s="73"/>
      <c r="AM599" s="73"/>
      <c r="AN599" s="73"/>
      <c r="AO599" s="73"/>
      <c r="AP599" s="73"/>
      <c r="DL599" s="34"/>
    </row>
    <row r="600" spans="10:116" x14ac:dyDescent="0.25">
      <c r="J600" s="73"/>
      <c r="K600" s="73"/>
      <c r="L600" s="73"/>
      <c r="M600" s="73"/>
      <c r="N600" s="73"/>
      <c r="O600" s="73"/>
      <c r="P600" s="73"/>
      <c r="Q600" s="73"/>
      <c r="R600" s="73"/>
      <c r="S600" s="73"/>
      <c r="T600" s="73"/>
      <c r="U600" s="73"/>
      <c r="V600" s="73"/>
      <c r="W600" s="73"/>
      <c r="X600" s="73"/>
      <c r="Y600" s="73"/>
      <c r="Z600" s="73"/>
      <c r="AA600" s="73"/>
      <c r="AB600" s="73"/>
      <c r="AC600" s="122"/>
      <c r="AD600" s="108"/>
      <c r="AF600" s="108"/>
      <c r="AG600" s="73"/>
      <c r="AH600" s="73"/>
      <c r="AI600" s="73"/>
      <c r="AJ600" s="73"/>
      <c r="AK600" s="73"/>
      <c r="AL600" s="73"/>
      <c r="AM600" s="73"/>
      <c r="AN600" s="73"/>
      <c r="AO600" s="73"/>
      <c r="AP600" s="73"/>
      <c r="DL600" s="34"/>
    </row>
    <row r="601" spans="10:116" x14ac:dyDescent="0.25">
      <c r="J601" s="73"/>
      <c r="K601" s="73"/>
      <c r="L601" s="73"/>
      <c r="M601" s="73"/>
      <c r="N601" s="73"/>
      <c r="O601" s="73"/>
      <c r="P601" s="73"/>
      <c r="Q601" s="73"/>
      <c r="R601" s="73"/>
      <c r="S601" s="73"/>
      <c r="T601" s="73"/>
      <c r="U601" s="73"/>
      <c r="V601" s="73"/>
      <c r="W601" s="73"/>
      <c r="X601" s="73"/>
      <c r="Y601" s="73"/>
      <c r="Z601" s="73"/>
      <c r="AA601" s="73"/>
      <c r="AB601" s="73"/>
      <c r="AC601" s="122"/>
      <c r="AD601" s="108"/>
      <c r="AF601" s="108"/>
      <c r="AG601" s="73"/>
      <c r="AH601" s="73"/>
      <c r="AI601" s="73"/>
      <c r="AJ601" s="73"/>
      <c r="AK601" s="73"/>
      <c r="AL601" s="73"/>
      <c r="AM601" s="73"/>
      <c r="AN601" s="73"/>
      <c r="AO601" s="73"/>
      <c r="AP601" s="73"/>
      <c r="DL601" s="34"/>
    </row>
    <row r="602" spans="10:116" x14ac:dyDescent="0.25">
      <c r="J602" s="73"/>
      <c r="K602" s="73"/>
      <c r="L602" s="73"/>
      <c r="M602" s="73"/>
      <c r="N602" s="73"/>
      <c r="O602" s="73"/>
      <c r="P602" s="73"/>
      <c r="Q602" s="73"/>
      <c r="R602" s="73"/>
      <c r="S602" s="73"/>
      <c r="T602" s="73"/>
      <c r="U602" s="73"/>
      <c r="V602" s="73"/>
      <c r="W602" s="73"/>
      <c r="X602" s="73"/>
      <c r="Y602" s="73"/>
      <c r="Z602" s="73"/>
      <c r="AA602" s="73"/>
      <c r="AB602" s="73"/>
      <c r="AC602" s="122"/>
      <c r="AD602" s="108"/>
      <c r="AF602" s="108"/>
      <c r="AG602" s="73"/>
      <c r="AH602" s="73"/>
      <c r="AI602" s="73"/>
      <c r="AJ602" s="73"/>
      <c r="AK602" s="73"/>
      <c r="AL602" s="73"/>
      <c r="AM602" s="73"/>
      <c r="AN602" s="73"/>
      <c r="AO602" s="73"/>
      <c r="AP602" s="73"/>
      <c r="DL602" s="34"/>
    </row>
    <row r="603" spans="10:116" x14ac:dyDescent="0.25">
      <c r="J603" s="73"/>
      <c r="K603" s="73"/>
      <c r="L603" s="73"/>
      <c r="M603" s="73"/>
      <c r="N603" s="73"/>
      <c r="O603" s="73"/>
      <c r="P603" s="73"/>
      <c r="Q603" s="73"/>
      <c r="R603" s="73"/>
      <c r="S603" s="73"/>
      <c r="T603" s="73"/>
      <c r="U603" s="73"/>
      <c r="V603" s="73"/>
      <c r="W603" s="73"/>
      <c r="X603" s="73"/>
      <c r="Y603" s="73"/>
      <c r="Z603" s="73"/>
      <c r="AA603" s="73"/>
      <c r="AB603" s="73"/>
      <c r="AC603" s="122"/>
      <c r="AD603" s="108"/>
      <c r="AF603" s="108"/>
      <c r="AG603" s="73"/>
      <c r="AH603" s="73"/>
      <c r="AI603" s="73"/>
      <c r="AJ603" s="73"/>
      <c r="AK603" s="73"/>
      <c r="AL603" s="73"/>
      <c r="AM603" s="73"/>
      <c r="AN603" s="73"/>
      <c r="AO603" s="73"/>
      <c r="AP603" s="73"/>
      <c r="DL603" s="34"/>
    </row>
    <row r="604" spans="10:116" x14ac:dyDescent="0.25">
      <c r="J604" s="73"/>
      <c r="K604" s="73"/>
      <c r="L604" s="73"/>
      <c r="M604" s="73"/>
      <c r="N604" s="73"/>
      <c r="O604" s="73"/>
      <c r="P604" s="73"/>
      <c r="Q604" s="73"/>
      <c r="R604" s="73"/>
      <c r="S604" s="73"/>
      <c r="T604" s="73"/>
      <c r="U604" s="73"/>
      <c r="V604" s="73"/>
      <c r="W604" s="73"/>
      <c r="X604" s="73"/>
      <c r="Y604" s="73"/>
      <c r="Z604" s="73"/>
      <c r="AA604" s="73"/>
      <c r="AB604" s="73"/>
      <c r="AC604" s="122"/>
      <c r="AD604" s="108"/>
      <c r="AF604" s="108"/>
      <c r="AG604" s="73"/>
      <c r="AH604" s="73"/>
      <c r="AI604" s="73"/>
      <c r="AJ604" s="73"/>
      <c r="AK604" s="73"/>
      <c r="AL604" s="73"/>
      <c r="AM604" s="73"/>
      <c r="AN604" s="73"/>
      <c r="AO604" s="73"/>
      <c r="AP604" s="73"/>
      <c r="DL604" s="34"/>
    </row>
    <row r="605" spans="10:116" x14ac:dyDescent="0.25">
      <c r="J605" s="73"/>
      <c r="K605" s="73"/>
      <c r="L605" s="73"/>
      <c r="M605" s="73"/>
      <c r="N605" s="73"/>
      <c r="O605" s="73"/>
      <c r="P605" s="73"/>
      <c r="Q605" s="73"/>
      <c r="R605" s="73"/>
      <c r="S605" s="73"/>
      <c r="T605" s="73"/>
      <c r="U605" s="73"/>
      <c r="V605" s="73"/>
      <c r="W605" s="73"/>
      <c r="X605" s="73"/>
      <c r="Y605" s="73"/>
      <c r="Z605" s="73"/>
      <c r="AA605" s="73"/>
      <c r="AB605" s="73"/>
      <c r="AC605" s="122"/>
      <c r="AD605" s="108"/>
      <c r="AF605" s="108"/>
      <c r="AG605" s="73"/>
      <c r="AH605" s="73"/>
      <c r="AI605" s="73"/>
      <c r="AJ605" s="73"/>
      <c r="AK605" s="73"/>
      <c r="AL605" s="73"/>
      <c r="AM605" s="73"/>
      <c r="AN605" s="73"/>
      <c r="AO605" s="73"/>
      <c r="AP605" s="73"/>
      <c r="DL605" s="34"/>
    </row>
    <row r="606" spans="10:116" x14ac:dyDescent="0.25">
      <c r="J606" s="73"/>
      <c r="K606" s="73"/>
      <c r="L606" s="73"/>
      <c r="M606" s="73"/>
      <c r="N606" s="73"/>
      <c r="O606" s="73"/>
      <c r="P606" s="73"/>
      <c r="Q606" s="73"/>
      <c r="R606" s="73"/>
      <c r="S606" s="73"/>
      <c r="T606" s="73"/>
      <c r="U606" s="73"/>
      <c r="V606" s="73"/>
      <c r="W606" s="73"/>
      <c r="X606" s="73"/>
      <c r="Y606" s="73"/>
      <c r="Z606" s="73"/>
      <c r="AA606" s="73"/>
      <c r="AB606" s="73"/>
      <c r="AC606" s="122"/>
      <c r="AD606" s="108"/>
      <c r="AF606" s="108"/>
      <c r="AG606" s="73"/>
      <c r="AH606" s="73"/>
      <c r="AI606" s="73"/>
      <c r="AJ606" s="73"/>
      <c r="AK606" s="73"/>
      <c r="AL606" s="73"/>
      <c r="AM606" s="73"/>
      <c r="AN606" s="73"/>
      <c r="AO606" s="73"/>
      <c r="AP606" s="73"/>
      <c r="DL606" s="34"/>
    </row>
    <row r="607" spans="10:116" x14ac:dyDescent="0.25">
      <c r="J607" s="73"/>
      <c r="K607" s="73"/>
      <c r="L607" s="73"/>
      <c r="M607" s="73"/>
      <c r="N607" s="73"/>
      <c r="O607" s="73"/>
      <c r="P607" s="73"/>
      <c r="Q607" s="73"/>
      <c r="R607" s="73"/>
      <c r="S607" s="73"/>
      <c r="T607" s="73"/>
      <c r="U607" s="73"/>
      <c r="V607" s="73"/>
      <c r="W607" s="73"/>
      <c r="X607" s="73"/>
      <c r="Y607" s="73"/>
      <c r="Z607" s="73"/>
      <c r="AA607" s="73"/>
      <c r="AB607" s="73"/>
      <c r="AC607" s="122"/>
      <c r="AD607" s="108"/>
      <c r="AF607" s="108"/>
      <c r="AG607" s="73"/>
      <c r="AH607" s="73"/>
      <c r="AI607" s="73"/>
      <c r="AJ607" s="73"/>
      <c r="AK607" s="73"/>
      <c r="AL607" s="73"/>
      <c r="AM607" s="73"/>
      <c r="AN607" s="73"/>
      <c r="AO607" s="73"/>
      <c r="AP607" s="73"/>
      <c r="DL607" s="34"/>
    </row>
    <row r="608" spans="10:116" x14ac:dyDescent="0.25">
      <c r="J608" s="73"/>
      <c r="K608" s="73"/>
      <c r="L608" s="73"/>
      <c r="M608" s="73"/>
      <c r="N608" s="73"/>
      <c r="O608" s="73"/>
      <c r="P608" s="73"/>
      <c r="Q608" s="73"/>
      <c r="R608" s="73"/>
      <c r="S608" s="73"/>
      <c r="T608" s="73"/>
      <c r="U608" s="73"/>
      <c r="V608" s="73"/>
      <c r="W608" s="73"/>
      <c r="X608" s="73"/>
      <c r="Y608" s="73"/>
      <c r="Z608" s="73"/>
      <c r="AA608" s="73"/>
      <c r="AB608" s="73"/>
      <c r="AC608" s="122"/>
      <c r="AD608" s="108"/>
      <c r="AF608" s="108"/>
      <c r="AG608" s="73"/>
      <c r="AH608" s="73"/>
      <c r="AI608" s="73"/>
      <c r="AJ608" s="73"/>
      <c r="AK608" s="73"/>
      <c r="AL608" s="73"/>
      <c r="AM608" s="73"/>
      <c r="AN608" s="73"/>
      <c r="AO608" s="73"/>
      <c r="AP608" s="73"/>
      <c r="DL608" s="34"/>
    </row>
    <row r="609" spans="10:116" x14ac:dyDescent="0.25">
      <c r="J609" s="73"/>
      <c r="K609" s="73"/>
      <c r="L609" s="73"/>
      <c r="M609" s="73"/>
      <c r="N609" s="73"/>
      <c r="O609" s="73"/>
      <c r="P609" s="73"/>
      <c r="Q609" s="73"/>
      <c r="R609" s="73"/>
      <c r="S609" s="73"/>
      <c r="T609" s="73"/>
      <c r="U609" s="73"/>
      <c r="V609" s="73"/>
      <c r="W609" s="73"/>
      <c r="X609" s="73"/>
      <c r="Y609" s="73"/>
      <c r="Z609" s="73"/>
      <c r="AA609" s="73"/>
      <c r="AB609" s="73"/>
      <c r="AC609" s="122"/>
      <c r="AD609" s="108"/>
      <c r="AF609" s="108"/>
      <c r="AG609" s="73"/>
      <c r="AH609" s="73"/>
      <c r="AI609" s="73"/>
      <c r="AJ609" s="73"/>
      <c r="AK609" s="73"/>
      <c r="AL609" s="73"/>
      <c r="AM609" s="73"/>
      <c r="AN609" s="73"/>
      <c r="AO609" s="73"/>
      <c r="AP609" s="73"/>
      <c r="DL609" s="34"/>
    </row>
    <row r="610" spans="10:116" x14ac:dyDescent="0.25">
      <c r="J610" s="73"/>
      <c r="K610" s="73"/>
      <c r="L610" s="73"/>
      <c r="M610" s="73"/>
      <c r="N610" s="73"/>
      <c r="O610" s="73"/>
      <c r="P610" s="73"/>
      <c r="Q610" s="73"/>
      <c r="R610" s="73"/>
      <c r="S610" s="73"/>
      <c r="T610" s="73"/>
      <c r="U610" s="73"/>
      <c r="V610" s="73"/>
      <c r="W610" s="73"/>
      <c r="X610" s="73"/>
      <c r="Y610" s="73"/>
      <c r="Z610" s="73"/>
      <c r="AA610" s="73"/>
      <c r="AB610" s="73"/>
      <c r="AC610" s="122"/>
      <c r="AD610" s="108"/>
      <c r="AF610" s="108"/>
      <c r="AG610" s="73"/>
      <c r="AH610" s="73"/>
      <c r="AI610" s="73"/>
      <c r="AJ610" s="73"/>
      <c r="AK610" s="73"/>
      <c r="AL610" s="73"/>
      <c r="AM610" s="73"/>
      <c r="AN610" s="73"/>
      <c r="AO610" s="73"/>
      <c r="AP610" s="73"/>
      <c r="DL610" s="34"/>
    </row>
    <row r="611" spans="10:116" x14ac:dyDescent="0.25">
      <c r="J611" s="73"/>
      <c r="K611" s="73"/>
      <c r="L611" s="73"/>
      <c r="M611" s="73"/>
      <c r="N611" s="73"/>
      <c r="O611" s="73"/>
      <c r="P611" s="73"/>
      <c r="Q611" s="73"/>
      <c r="R611" s="73"/>
      <c r="S611" s="73"/>
      <c r="T611" s="73"/>
      <c r="U611" s="73"/>
      <c r="V611" s="73"/>
      <c r="W611" s="73"/>
      <c r="X611" s="73"/>
      <c r="Y611" s="73"/>
      <c r="Z611" s="73"/>
      <c r="AA611" s="73"/>
      <c r="AB611" s="73"/>
      <c r="AC611" s="122"/>
      <c r="AD611" s="108"/>
      <c r="AF611" s="108"/>
      <c r="AG611" s="73"/>
      <c r="AH611" s="73"/>
      <c r="AI611" s="73"/>
      <c r="AJ611" s="73"/>
      <c r="AK611" s="73"/>
      <c r="AL611" s="73"/>
      <c r="AM611" s="73"/>
      <c r="AN611" s="73"/>
      <c r="AO611" s="73"/>
      <c r="AP611" s="73"/>
      <c r="DL611" s="34"/>
    </row>
    <row r="612" spans="10:116" x14ac:dyDescent="0.25">
      <c r="J612" s="73"/>
      <c r="K612" s="73"/>
      <c r="L612" s="73"/>
      <c r="M612" s="73"/>
      <c r="N612" s="73"/>
      <c r="O612" s="73"/>
      <c r="P612" s="73"/>
      <c r="Q612" s="73"/>
      <c r="R612" s="73"/>
      <c r="S612" s="73"/>
      <c r="T612" s="73"/>
      <c r="U612" s="73"/>
      <c r="V612" s="73"/>
      <c r="W612" s="73"/>
      <c r="X612" s="73"/>
      <c r="Y612" s="73"/>
      <c r="Z612" s="73"/>
      <c r="AA612" s="73"/>
      <c r="AB612" s="73"/>
      <c r="AC612" s="122"/>
      <c r="AD612" s="108"/>
      <c r="AF612" s="108"/>
      <c r="AG612" s="73"/>
      <c r="AH612" s="73"/>
      <c r="AI612" s="73"/>
      <c r="AJ612" s="73"/>
      <c r="AK612" s="73"/>
      <c r="AL612" s="73"/>
      <c r="AM612" s="73"/>
      <c r="AN612" s="73"/>
      <c r="AO612" s="73"/>
      <c r="AP612" s="73"/>
      <c r="DL612" s="34"/>
    </row>
    <row r="613" spans="10:116" x14ac:dyDescent="0.25">
      <c r="J613" s="73"/>
      <c r="K613" s="73"/>
      <c r="L613" s="73"/>
      <c r="M613" s="73"/>
      <c r="N613" s="73"/>
      <c r="O613" s="73"/>
      <c r="P613" s="73"/>
      <c r="Q613" s="73"/>
      <c r="R613" s="73"/>
      <c r="S613" s="73"/>
      <c r="T613" s="73"/>
      <c r="U613" s="73"/>
      <c r="V613" s="73"/>
      <c r="W613" s="73"/>
      <c r="X613" s="73"/>
      <c r="Y613" s="73"/>
      <c r="Z613" s="73"/>
      <c r="AA613" s="73"/>
      <c r="AB613" s="73"/>
      <c r="AC613" s="122"/>
      <c r="AD613" s="108"/>
      <c r="AF613" s="108"/>
      <c r="AG613" s="73"/>
      <c r="AH613" s="73"/>
      <c r="AI613" s="73"/>
      <c r="AJ613" s="73"/>
      <c r="AK613" s="73"/>
      <c r="AL613" s="73"/>
      <c r="AM613" s="73"/>
      <c r="AN613" s="73"/>
      <c r="AO613" s="73"/>
      <c r="AP613" s="73"/>
      <c r="DL613" s="34"/>
    </row>
    <row r="614" spans="10:116" x14ac:dyDescent="0.25">
      <c r="J614" s="73"/>
      <c r="K614" s="73"/>
      <c r="L614" s="73"/>
      <c r="M614" s="73"/>
      <c r="N614" s="73"/>
      <c r="O614" s="73"/>
      <c r="P614" s="73"/>
      <c r="Q614" s="73"/>
      <c r="R614" s="73"/>
      <c r="S614" s="73"/>
      <c r="T614" s="73"/>
      <c r="U614" s="73"/>
      <c r="V614" s="73"/>
      <c r="W614" s="73"/>
      <c r="X614" s="73"/>
      <c r="Y614" s="73"/>
      <c r="Z614" s="73"/>
      <c r="AA614" s="73"/>
      <c r="AB614" s="73"/>
      <c r="AC614" s="122"/>
      <c r="AD614" s="108"/>
      <c r="AF614" s="108"/>
      <c r="AG614" s="73"/>
      <c r="AH614" s="73"/>
      <c r="AI614" s="73"/>
      <c r="AJ614" s="73"/>
      <c r="AK614" s="73"/>
      <c r="AL614" s="73"/>
      <c r="AM614" s="73"/>
      <c r="AN614" s="73"/>
      <c r="AO614" s="73"/>
      <c r="AP614" s="73"/>
      <c r="DL614" s="34"/>
    </row>
    <row r="615" spans="10:116" x14ac:dyDescent="0.25">
      <c r="J615" s="73"/>
      <c r="K615" s="73"/>
      <c r="L615" s="73"/>
      <c r="M615" s="73"/>
      <c r="N615" s="73"/>
      <c r="O615" s="73"/>
      <c r="P615" s="73"/>
      <c r="Q615" s="73"/>
      <c r="R615" s="73"/>
      <c r="S615" s="73"/>
      <c r="T615" s="73"/>
      <c r="U615" s="73"/>
      <c r="V615" s="73"/>
      <c r="W615" s="73"/>
      <c r="X615" s="73"/>
      <c r="Y615" s="73"/>
      <c r="Z615" s="73"/>
      <c r="AA615" s="73"/>
      <c r="AB615" s="73"/>
      <c r="AC615" s="122"/>
      <c r="AD615" s="108"/>
      <c r="AF615" s="108"/>
      <c r="AG615" s="73"/>
      <c r="AH615" s="73"/>
      <c r="AI615" s="73"/>
      <c r="AJ615" s="73"/>
      <c r="AK615" s="73"/>
      <c r="AL615" s="73"/>
      <c r="AM615" s="73"/>
      <c r="AN615" s="73"/>
      <c r="AO615" s="73"/>
      <c r="AP615" s="73"/>
      <c r="DL615" s="34"/>
    </row>
    <row r="616" spans="10:116" x14ac:dyDescent="0.25">
      <c r="J616" s="73"/>
      <c r="K616" s="73"/>
      <c r="L616" s="73"/>
      <c r="M616" s="73"/>
      <c r="N616" s="73"/>
      <c r="O616" s="73"/>
      <c r="P616" s="73"/>
      <c r="Q616" s="73"/>
      <c r="R616" s="73"/>
      <c r="S616" s="73"/>
      <c r="T616" s="73"/>
      <c r="U616" s="73"/>
      <c r="V616" s="73"/>
      <c r="W616" s="73"/>
      <c r="X616" s="73"/>
      <c r="Y616" s="73"/>
      <c r="Z616" s="73"/>
      <c r="AA616" s="73"/>
      <c r="AB616" s="73"/>
      <c r="AC616" s="122"/>
      <c r="AD616" s="108"/>
      <c r="AF616" s="108"/>
      <c r="AG616" s="73"/>
      <c r="AH616" s="73"/>
      <c r="AI616" s="73"/>
      <c r="AJ616" s="73"/>
      <c r="AK616" s="73"/>
      <c r="AL616" s="73"/>
      <c r="AM616" s="73"/>
      <c r="AN616" s="73"/>
      <c r="AO616" s="73"/>
      <c r="AP616" s="73"/>
      <c r="DL616" s="34"/>
    </row>
    <row r="617" spans="10:116" x14ac:dyDescent="0.25">
      <c r="J617" s="73"/>
      <c r="K617" s="73"/>
      <c r="L617" s="73"/>
      <c r="M617" s="73"/>
      <c r="N617" s="73"/>
      <c r="O617" s="73"/>
      <c r="P617" s="73"/>
      <c r="Q617" s="73"/>
      <c r="R617" s="73"/>
      <c r="S617" s="73"/>
      <c r="T617" s="73"/>
      <c r="U617" s="73"/>
      <c r="V617" s="73"/>
      <c r="W617" s="73"/>
      <c r="X617" s="73"/>
      <c r="Y617" s="73"/>
      <c r="Z617" s="73"/>
      <c r="AA617" s="73"/>
      <c r="AB617" s="73"/>
      <c r="AC617" s="122"/>
      <c r="AD617" s="108"/>
      <c r="AF617" s="108"/>
      <c r="AG617" s="73"/>
      <c r="AH617" s="73"/>
      <c r="AI617" s="73"/>
      <c r="AJ617" s="73"/>
      <c r="AK617" s="73"/>
      <c r="AL617" s="73"/>
      <c r="AM617" s="73"/>
      <c r="AN617" s="73"/>
      <c r="AO617" s="73"/>
      <c r="AP617" s="73"/>
      <c r="DL617" s="34"/>
    </row>
    <row r="618" spans="10:116" x14ac:dyDescent="0.25">
      <c r="J618" s="73"/>
      <c r="K618" s="73"/>
      <c r="L618" s="73"/>
      <c r="M618" s="73"/>
      <c r="N618" s="73"/>
      <c r="O618" s="73"/>
      <c r="P618" s="73"/>
      <c r="Q618" s="73"/>
      <c r="R618" s="73"/>
      <c r="S618" s="73"/>
      <c r="T618" s="73"/>
      <c r="U618" s="73"/>
      <c r="V618" s="73"/>
      <c r="W618" s="73"/>
      <c r="X618" s="73"/>
      <c r="Y618" s="73"/>
      <c r="Z618" s="73"/>
      <c r="AA618" s="73"/>
      <c r="AB618" s="73"/>
      <c r="AC618" s="122"/>
      <c r="AD618" s="108"/>
      <c r="AF618" s="108"/>
      <c r="AG618" s="73"/>
      <c r="AH618" s="73"/>
      <c r="AI618" s="73"/>
      <c r="AJ618" s="73"/>
      <c r="AK618" s="73"/>
      <c r="AL618" s="73"/>
      <c r="AM618" s="73"/>
      <c r="AN618" s="73"/>
      <c r="AO618" s="73"/>
      <c r="AP618" s="73"/>
      <c r="DL618" s="34"/>
    </row>
    <row r="619" spans="10:116" x14ac:dyDescent="0.25">
      <c r="J619" s="73"/>
      <c r="K619" s="73"/>
      <c r="L619" s="73"/>
      <c r="M619" s="73"/>
      <c r="N619" s="73"/>
      <c r="O619" s="73"/>
      <c r="P619" s="73"/>
      <c r="Q619" s="73"/>
      <c r="R619" s="73"/>
      <c r="S619" s="73"/>
      <c r="T619" s="73"/>
      <c r="U619" s="73"/>
      <c r="V619" s="73"/>
      <c r="W619" s="73"/>
      <c r="X619" s="73"/>
      <c r="Y619" s="73"/>
      <c r="Z619" s="73"/>
      <c r="AA619" s="73"/>
      <c r="AB619" s="73"/>
      <c r="AC619" s="122"/>
      <c r="AD619" s="108"/>
      <c r="AF619" s="108"/>
      <c r="AG619" s="73"/>
      <c r="AH619" s="73"/>
      <c r="AI619" s="73"/>
      <c r="AJ619" s="73"/>
      <c r="AK619" s="73"/>
      <c r="AL619" s="73"/>
      <c r="AM619" s="73"/>
      <c r="AN619" s="73"/>
      <c r="AO619" s="73"/>
      <c r="AP619" s="73"/>
      <c r="DL619" s="34"/>
    </row>
    <row r="620" spans="10:116" x14ac:dyDescent="0.25">
      <c r="J620" s="73"/>
      <c r="K620" s="73"/>
      <c r="L620" s="73"/>
      <c r="M620" s="73"/>
      <c r="N620" s="73"/>
      <c r="O620" s="73"/>
      <c r="P620" s="73"/>
      <c r="Q620" s="73"/>
      <c r="R620" s="73"/>
      <c r="S620" s="73"/>
      <c r="T620" s="73"/>
      <c r="U620" s="73"/>
      <c r="V620" s="73"/>
      <c r="W620" s="73"/>
      <c r="X620" s="73"/>
      <c r="Y620" s="73"/>
      <c r="Z620" s="73"/>
      <c r="AA620" s="73"/>
      <c r="AB620" s="73"/>
      <c r="AC620" s="122"/>
      <c r="AD620" s="108"/>
      <c r="AF620" s="108"/>
      <c r="AG620" s="73"/>
      <c r="AH620" s="73"/>
      <c r="AI620" s="73"/>
      <c r="AJ620" s="73"/>
      <c r="AK620" s="73"/>
      <c r="AL620" s="73"/>
      <c r="AM620" s="73"/>
      <c r="AN620" s="73"/>
      <c r="AO620" s="73"/>
      <c r="AP620" s="73"/>
      <c r="DL620" s="34"/>
    </row>
    <row r="621" spans="10:116" x14ac:dyDescent="0.25">
      <c r="J621" s="73"/>
      <c r="K621" s="73"/>
      <c r="L621" s="73"/>
      <c r="M621" s="73"/>
      <c r="N621" s="73"/>
      <c r="O621" s="73"/>
      <c r="P621" s="73"/>
      <c r="Q621" s="73"/>
      <c r="R621" s="73"/>
      <c r="S621" s="73"/>
      <c r="T621" s="73"/>
      <c r="U621" s="73"/>
      <c r="V621" s="73"/>
      <c r="W621" s="73"/>
      <c r="X621" s="73"/>
      <c r="Y621" s="73"/>
      <c r="Z621" s="73"/>
      <c r="AA621" s="73"/>
      <c r="AB621" s="73"/>
      <c r="AC621" s="122"/>
      <c r="AD621" s="108"/>
      <c r="AF621" s="108"/>
      <c r="AG621" s="73"/>
      <c r="AH621" s="73"/>
      <c r="AI621" s="73"/>
      <c r="AJ621" s="73"/>
      <c r="AK621" s="73"/>
      <c r="AL621" s="73"/>
      <c r="AM621" s="73"/>
      <c r="AN621" s="73"/>
      <c r="AO621" s="73"/>
      <c r="AP621" s="73"/>
      <c r="DL621" s="34"/>
    </row>
    <row r="622" spans="10:116" x14ac:dyDescent="0.25">
      <c r="J622" s="73"/>
      <c r="K622" s="73"/>
      <c r="L622" s="73"/>
      <c r="M622" s="73"/>
      <c r="N622" s="73"/>
      <c r="O622" s="73"/>
      <c r="P622" s="73"/>
      <c r="Q622" s="73"/>
      <c r="R622" s="73"/>
      <c r="S622" s="73"/>
      <c r="T622" s="73"/>
      <c r="U622" s="73"/>
      <c r="V622" s="73"/>
      <c r="W622" s="73"/>
      <c r="X622" s="73"/>
      <c r="Y622" s="73"/>
      <c r="Z622" s="73"/>
      <c r="AA622" s="73"/>
      <c r="AB622" s="73"/>
      <c r="AC622" s="122"/>
      <c r="AD622" s="108"/>
      <c r="AF622" s="108"/>
      <c r="AG622" s="73"/>
      <c r="AH622" s="73"/>
      <c r="AI622" s="73"/>
      <c r="AJ622" s="73"/>
      <c r="AK622" s="73"/>
      <c r="AL622" s="73"/>
      <c r="AM622" s="73"/>
      <c r="AN622" s="73"/>
      <c r="AO622" s="73"/>
      <c r="AP622" s="73"/>
      <c r="DL622" s="34"/>
    </row>
    <row r="623" spans="10:116" x14ac:dyDescent="0.25">
      <c r="J623" s="73"/>
      <c r="K623" s="73"/>
      <c r="L623" s="73"/>
      <c r="M623" s="73"/>
      <c r="N623" s="73"/>
      <c r="O623" s="73"/>
      <c r="P623" s="73"/>
      <c r="Q623" s="73"/>
      <c r="R623" s="73"/>
      <c r="S623" s="73"/>
      <c r="T623" s="73"/>
      <c r="U623" s="73"/>
      <c r="V623" s="73"/>
      <c r="W623" s="73"/>
      <c r="X623" s="73"/>
      <c r="Y623" s="73"/>
      <c r="Z623" s="73"/>
      <c r="AA623" s="73"/>
      <c r="AB623" s="73"/>
      <c r="AC623" s="122"/>
      <c r="AD623" s="108"/>
      <c r="AF623" s="108"/>
      <c r="AG623" s="73"/>
      <c r="AH623" s="73"/>
      <c r="AI623" s="73"/>
      <c r="AJ623" s="73"/>
      <c r="AK623" s="73"/>
      <c r="AL623" s="73"/>
      <c r="AM623" s="73"/>
      <c r="AN623" s="73"/>
      <c r="AO623" s="73"/>
      <c r="AP623" s="73"/>
      <c r="DL623" s="34"/>
    </row>
    <row r="624" spans="10:116" x14ac:dyDescent="0.25">
      <c r="J624" s="73"/>
      <c r="K624" s="73"/>
      <c r="L624" s="73"/>
      <c r="M624" s="73"/>
      <c r="N624" s="73"/>
      <c r="O624" s="73"/>
      <c r="P624" s="73"/>
      <c r="Q624" s="73"/>
      <c r="R624" s="73"/>
      <c r="S624" s="73"/>
      <c r="T624" s="73"/>
      <c r="U624" s="73"/>
      <c r="V624" s="73"/>
      <c r="W624" s="73"/>
      <c r="X624" s="73"/>
      <c r="Y624" s="73"/>
      <c r="Z624" s="73"/>
      <c r="AA624" s="73"/>
      <c r="AB624" s="73"/>
      <c r="AC624" s="122"/>
      <c r="AD624" s="108"/>
      <c r="AF624" s="108"/>
      <c r="AG624" s="73"/>
      <c r="AH624" s="73"/>
      <c r="AI624" s="73"/>
      <c r="AJ624" s="73"/>
      <c r="AK624" s="73"/>
      <c r="AL624" s="73"/>
      <c r="AM624" s="73"/>
      <c r="AN624" s="73"/>
      <c r="AO624" s="73"/>
      <c r="AP624" s="73"/>
      <c r="DL624" s="34"/>
    </row>
    <row r="625" spans="10:116" x14ac:dyDescent="0.25">
      <c r="J625" s="73"/>
      <c r="K625" s="73"/>
      <c r="L625" s="73"/>
      <c r="M625" s="73"/>
      <c r="N625" s="73"/>
      <c r="O625" s="73"/>
      <c r="P625" s="73"/>
      <c r="Q625" s="73"/>
      <c r="R625" s="73"/>
      <c r="S625" s="73"/>
      <c r="T625" s="73"/>
      <c r="U625" s="73"/>
      <c r="V625" s="73"/>
      <c r="W625" s="73"/>
      <c r="X625" s="73"/>
      <c r="Y625" s="73"/>
      <c r="Z625" s="73"/>
      <c r="AA625" s="73"/>
      <c r="AB625" s="73"/>
      <c r="AC625" s="122"/>
      <c r="AD625" s="108"/>
      <c r="AF625" s="108"/>
      <c r="AG625" s="73"/>
      <c r="AH625" s="73"/>
      <c r="AI625" s="73"/>
      <c r="AJ625" s="73"/>
      <c r="AK625" s="73"/>
      <c r="AL625" s="73"/>
      <c r="AM625" s="73"/>
      <c r="AN625" s="73"/>
      <c r="AO625" s="73"/>
      <c r="AP625" s="73"/>
      <c r="DL625" s="34"/>
    </row>
    <row r="626" spans="10:116" x14ac:dyDescent="0.25">
      <c r="J626" s="73"/>
      <c r="K626" s="73"/>
      <c r="L626" s="73"/>
      <c r="M626" s="73"/>
      <c r="N626" s="73"/>
      <c r="O626" s="73"/>
      <c r="P626" s="73"/>
      <c r="Q626" s="73"/>
      <c r="R626" s="73"/>
      <c r="S626" s="73"/>
      <c r="T626" s="73"/>
      <c r="U626" s="73"/>
      <c r="V626" s="73"/>
      <c r="W626" s="73"/>
      <c r="X626" s="73"/>
      <c r="Y626" s="73"/>
      <c r="Z626" s="73"/>
      <c r="AA626" s="73"/>
      <c r="AB626" s="73"/>
      <c r="AC626" s="122"/>
      <c r="AD626" s="108"/>
      <c r="AF626" s="108"/>
      <c r="AG626" s="73"/>
      <c r="AH626" s="73"/>
      <c r="AI626" s="73"/>
      <c r="AJ626" s="73"/>
      <c r="AK626" s="73"/>
      <c r="AL626" s="73"/>
      <c r="AM626" s="73"/>
      <c r="AN626" s="73"/>
      <c r="AO626" s="73"/>
      <c r="AP626" s="73"/>
      <c r="DL626" s="34"/>
    </row>
    <row r="627" spans="10:116" x14ac:dyDescent="0.25">
      <c r="J627" s="73"/>
      <c r="K627" s="73"/>
      <c r="L627" s="73"/>
      <c r="M627" s="73"/>
      <c r="N627" s="73"/>
      <c r="O627" s="73"/>
      <c r="P627" s="73"/>
      <c r="Q627" s="73"/>
      <c r="R627" s="73"/>
      <c r="S627" s="73"/>
      <c r="T627" s="73"/>
      <c r="U627" s="73"/>
      <c r="V627" s="73"/>
      <c r="W627" s="73"/>
      <c r="X627" s="73"/>
      <c r="Y627" s="73"/>
      <c r="Z627" s="73"/>
      <c r="AA627" s="73"/>
      <c r="AB627" s="73"/>
      <c r="AC627" s="122"/>
      <c r="AD627" s="108"/>
      <c r="AF627" s="108"/>
      <c r="AG627" s="73"/>
      <c r="AH627" s="73"/>
      <c r="AI627" s="73"/>
      <c r="AJ627" s="73"/>
      <c r="AK627" s="73"/>
      <c r="AL627" s="73"/>
      <c r="AM627" s="73"/>
      <c r="AN627" s="73"/>
      <c r="AO627" s="73"/>
      <c r="AP627" s="73"/>
      <c r="DL627" s="34"/>
    </row>
    <row r="628" spans="10:116" x14ac:dyDescent="0.25">
      <c r="J628" s="73"/>
      <c r="K628" s="73"/>
      <c r="L628" s="73"/>
      <c r="M628" s="73"/>
      <c r="N628" s="73"/>
      <c r="O628" s="73"/>
      <c r="P628" s="73"/>
      <c r="Q628" s="73"/>
      <c r="R628" s="73"/>
      <c r="S628" s="73"/>
      <c r="T628" s="73"/>
      <c r="U628" s="73"/>
      <c r="V628" s="73"/>
      <c r="W628" s="73"/>
      <c r="X628" s="73"/>
      <c r="Y628" s="73"/>
      <c r="Z628" s="73"/>
      <c r="AA628" s="73"/>
      <c r="AB628" s="73"/>
      <c r="AC628" s="122"/>
      <c r="AD628" s="108"/>
      <c r="AF628" s="108"/>
      <c r="AG628" s="73"/>
      <c r="AH628" s="73"/>
      <c r="AI628" s="73"/>
      <c r="AJ628" s="73"/>
      <c r="AK628" s="73"/>
      <c r="AL628" s="73"/>
      <c r="AM628" s="73"/>
      <c r="AN628" s="73"/>
      <c r="AO628" s="73"/>
      <c r="AP628" s="73"/>
      <c r="DL628" s="34"/>
    </row>
    <row r="629" spans="10:116" x14ac:dyDescent="0.25">
      <c r="J629" s="73"/>
      <c r="K629" s="73"/>
      <c r="L629" s="73"/>
      <c r="M629" s="73"/>
      <c r="N629" s="73"/>
      <c r="O629" s="73"/>
      <c r="P629" s="73"/>
      <c r="Q629" s="73"/>
      <c r="R629" s="73"/>
      <c r="S629" s="73"/>
      <c r="T629" s="73"/>
      <c r="U629" s="73"/>
      <c r="V629" s="73"/>
      <c r="W629" s="73"/>
      <c r="X629" s="73"/>
      <c r="Y629" s="73"/>
      <c r="Z629" s="73"/>
      <c r="AA629" s="73"/>
      <c r="AB629" s="73"/>
      <c r="AC629" s="122"/>
      <c r="AD629" s="108"/>
      <c r="AF629" s="108"/>
      <c r="AG629" s="73"/>
      <c r="AH629" s="73"/>
      <c r="AI629" s="73"/>
      <c r="AJ629" s="73"/>
      <c r="AK629" s="73"/>
      <c r="AL629" s="73"/>
      <c r="AM629" s="73"/>
      <c r="AN629" s="73"/>
      <c r="AO629" s="73"/>
      <c r="AP629" s="73"/>
      <c r="DL629" s="34"/>
    </row>
    <row r="630" spans="10:116" x14ac:dyDescent="0.25">
      <c r="J630" s="73"/>
      <c r="K630" s="73"/>
      <c r="L630" s="73"/>
      <c r="M630" s="73"/>
      <c r="N630" s="73"/>
      <c r="O630" s="73"/>
      <c r="P630" s="73"/>
      <c r="Q630" s="73"/>
      <c r="R630" s="73"/>
      <c r="S630" s="73"/>
      <c r="T630" s="73"/>
      <c r="U630" s="73"/>
      <c r="V630" s="73"/>
      <c r="W630" s="73"/>
      <c r="X630" s="73"/>
      <c r="Y630" s="73"/>
      <c r="Z630" s="73"/>
      <c r="AA630" s="73"/>
      <c r="AB630" s="73"/>
      <c r="AC630" s="122"/>
      <c r="AD630" s="108"/>
      <c r="AF630" s="108"/>
      <c r="AG630" s="73"/>
      <c r="AH630" s="73"/>
      <c r="AI630" s="73"/>
      <c r="AJ630" s="73"/>
      <c r="AK630" s="73"/>
      <c r="AL630" s="73"/>
      <c r="AM630" s="73"/>
      <c r="AN630" s="73"/>
      <c r="AO630" s="73"/>
      <c r="AP630" s="73"/>
      <c r="DL630" s="34"/>
    </row>
    <row r="631" spans="10:116" x14ac:dyDescent="0.25">
      <c r="J631" s="73"/>
      <c r="K631" s="73"/>
      <c r="L631" s="73"/>
      <c r="M631" s="73"/>
      <c r="N631" s="73"/>
      <c r="O631" s="73"/>
      <c r="P631" s="73"/>
      <c r="Q631" s="73"/>
      <c r="R631" s="73"/>
      <c r="S631" s="73"/>
      <c r="T631" s="73"/>
      <c r="U631" s="73"/>
      <c r="V631" s="73"/>
      <c r="W631" s="73"/>
      <c r="X631" s="73"/>
      <c r="Y631" s="73"/>
      <c r="Z631" s="73"/>
      <c r="AA631" s="73"/>
      <c r="AB631" s="73"/>
      <c r="AC631" s="122"/>
      <c r="AD631" s="108"/>
      <c r="AF631" s="108"/>
      <c r="AG631" s="73"/>
      <c r="AH631" s="73"/>
      <c r="AI631" s="73"/>
      <c r="AJ631" s="73"/>
      <c r="AK631" s="73"/>
      <c r="AL631" s="73"/>
      <c r="AM631" s="73"/>
      <c r="AN631" s="73"/>
      <c r="AO631" s="73"/>
      <c r="AP631" s="73"/>
      <c r="DL631" s="34"/>
    </row>
    <row r="632" spans="10:116" x14ac:dyDescent="0.25">
      <c r="J632" s="73"/>
      <c r="K632" s="73"/>
      <c r="L632" s="73"/>
      <c r="M632" s="73"/>
      <c r="N632" s="73"/>
      <c r="O632" s="73"/>
      <c r="P632" s="73"/>
      <c r="Q632" s="73"/>
      <c r="R632" s="73"/>
      <c r="S632" s="73"/>
      <c r="T632" s="73"/>
      <c r="U632" s="73"/>
      <c r="V632" s="73"/>
      <c r="W632" s="73"/>
      <c r="X632" s="73"/>
      <c r="Y632" s="73"/>
      <c r="Z632" s="73"/>
      <c r="AA632" s="73"/>
      <c r="AB632" s="73"/>
      <c r="AC632" s="122"/>
      <c r="AD632" s="108"/>
      <c r="AF632" s="108"/>
      <c r="AG632" s="73"/>
      <c r="AH632" s="73"/>
      <c r="AI632" s="73"/>
      <c r="AJ632" s="73"/>
      <c r="AK632" s="73"/>
      <c r="AL632" s="73"/>
      <c r="AM632" s="73"/>
      <c r="AN632" s="73"/>
      <c r="AO632" s="73"/>
      <c r="AP632" s="73"/>
      <c r="DL632" s="34"/>
    </row>
    <row r="633" spans="10:116" x14ac:dyDescent="0.25">
      <c r="J633" s="73"/>
      <c r="K633" s="73"/>
      <c r="L633" s="73"/>
      <c r="M633" s="73"/>
      <c r="N633" s="73"/>
      <c r="O633" s="73"/>
      <c r="P633" s="73"/>
      <c r="Q633" s="73"/>
      <c r="R633" s="73"/>
      <c r="S633" s="73"/>
      <c r="T633" s="73"/>
      <c r="U633" s="73"/>
      <c r="V633" s="73"/>
      <c r="W633" s="73"/>
      <c r="X633" s="73"/>
      <c r="Y633" s="73"/>
      <c r="Z633" s="73"/>
      <c r="AA633" s="73"/>
      <c r="AB633" s="73"/>
      <c r="AC633" s="122"/>
      <c r="AD633" s="108"/>
      <c r="AF633" s="108"/>
      <c r="AG633" s="73"/>
      <c r="AH633" s="73"/>
      <c r="AI633" s="73"/>
      <c r="AJ633" s="73"/>
      <c r="AK633" s="73"/>
      <c r="AL633" s="73"/>
      <c r="AM633" s="73"/>
      <c r="AN633" s="73"/>
      <c r="AO633" s="73"/>
      <c r="AP633" s="73"/>
      <c r="DL633" s="34"/>
    </row>
    <row r="634" spans="10:116" x14ac:dyDescent="0.25">
      <c r="J634" s="73"/>
      <c r="K634" s="73"/>
      <c r="L634" s="73"/>
      <c r="M634" s="73"/>
      <c r="N634" s="73"/>
      <c r="O634" s="73"/>
      <c r="P634" s="73"/>
      <c r="Q634" s="73"/>
      <c r="R634" s="73"/>
      <c r="S634" s="73"/>
      <c r="T634" s="73"/>
      <c r="U634" s="73"/>
      <c r="V634" s="73"/>
      <c r="W634" s="73"/>
      <c r="X634" s="73"/>
      <c r="Y634" s="73"/>
      <c r="Z634" s="73"/>
      <c r="AA634" s="73"/>
      <c r="AB634" s="73"/>
      <c r="AC634" s="122"/>
      <c r="AD634" s="108"/>
      <c r="AF634" s="108"/>
      <c r="AG634" s="73"/>
      <c r="AH634" s="73"/>
      <c r="AI634" s="73"/>
      <c r="AJ634" s="73"/>
      <c r="AK634" s="73"/>
      <c r="AL634" s="73"/>
      <c r="AM634" s="73"/>
      <c r="AN634" s="73"/>
      <c r="AO634" s="73"/>
      <c r="AP634" s="73"/>
      <c r="DL634" s="34"/>
    </row>
    <row r="635" spans="10:116" x14ac:dyDescent="0.25">
      <c r="J635" s="73"/>
      <c r="K635" s="73"/>
      <c r="L635" s="73"/>
      <c r="M635" s="73"/>
      <c r="N635" s="73"/>
      <c r="O635" s="73"/>
      <c r="P635" s="73"/>
      <c r="Q635" s="73"/>
      <c r="R635" s="73"/>
      <c r="S635" s="73"/>
      <c r="T635" s="73"/>
      <c r="U635" s="73"/>
      <c r="V635" s="73"/>
      <c r="W635" s="73"/>
      <c r="X635" s="73"/>
      <c r="Y635" s="73"/>
      <c r="Z635" s="73"/>
      <c r="AA635" s="73"/>
      <c r="AB635" s="73"/>
      <c r="AC635" s="122"/>
      <c r="AD635" s="108"/>
      <c r="AF635" s="108"/>
      <c r="AG635" s="73"/>
      <c r="AH635" s="73"/>
      <c r="AI635" s="73"/>
      <c r="AJ635" s="73"/>
      <c r="AK635" s="73"/>
      <c r="AL635" s="73"/>
      <c r="AM635" s="73"/>
      <c r="AN635" s="73"/>
      <c r="AO635" s="73"/>
      <c r="AP635" s="73"/>
      <c r="DL635" s="34"/>
    </row>
    <row r="636" spans="10:116" x14ac:dyDescent="0.25">
      <c r="J636" s="73"/>
      <c r="K636" s="73"/>
      <c r="L636" s="73"/>
      <c r="M636" s="73"/>
      <c r="N636" s="73"/>
      <c r="O636" s="73"/>
      <c r="P636" s="73"/>
      <c r="Q636" s="73"/>
      <c r="R636" s="73"/>
      <c r="S636" s="73"/>
      <c r="T636" s="73"/>
      <c r="U636" s="73"/>
      <c r="V636" s="73"/>
      <c r="W636" s="73"/>
      <c r="X636" s="73"/>
      <c r="Y636" s="73"/>
      <c r="Z636" s="73"/>
      <c r="AA636" s="73"/>
      <c r="AB636" s="73"/>
      <c r="AC636" s="122"/>
      <c r="AD636" s="108"/>
      <c r="AF636" s="108"/>
      <c r="AG636" s="73"/>
      <c r="AH636" s="73"/>
      <c r="AI636" s="73"/>
      <c r="AJ636" s="73"/>
      <c r="AK636" s="73"/>
      <c r="AL636" s="73"/>
      <c r="AM636" s="73"/>
      <c r="AN636" s="73"/>
      <c r="AO636" s="73"/>
      <c r="AP636" s="73"/>
      <c r="DL636" s="34"/>
    </row>
    <row r="637" spans="10:116" x14ac:dyDescent="0.25">
      <c r="J637" s="73"/>
      <c r="K637" s="73"/>
      <c r="L637" s="73"/>
      <c r="M637" s="73"/>
      <c r="N637" s="73"/>
      <c r="O637" s="73"/>
      <c r="P637" s="73"/>
      <c r="Q637" s="73"/>
      <c r="R637" s="73"/>
      <c r="S637" s="73"/>
      <c r="T637" s="73"/>
      <c r="U637" s="73"/>
      <c r="V637" s="73"/>
      <c r="W637" s="73"/>
      <c r="X637" s="73"/>
      <c r="Y637" s="73"/>
      <c r="Z637" s="73"/>
      <c r="AA637" s="73"/>
      <c r="AB637" s="73"/>
      <c r="AC637" s="122"/>
      <c r="AD637" s="108"/>
      <c r="AF637" s="108"/>
      <c r="AG637" s="73"/>
      <c r="AH637" s="73"/>
      <c r="AI637" s="73"/>
      <c r="AJ637" s="73"/>
      <c r="AK637" s="73"/>
      <c r="AL637" s="73"/>
      <c r="AM637" s="73"/>
      <c r="AN637" s="73"/>
      <c r="AO637" s="73"/>
      <c r="AP637" s="73"/>
      <c r="DL637" s="34"/>
    </row>
    <row r="638" spans="10:116" x14ac:dyDescent="0.25">
      <c r="J638" s="73"/>
      <c r="K638" s="73"/>
      <c r="L638" s="73"/>
      <c r="M638" s="73"/>
      <c r="N638" s="73"/>
      <c r="O638" s="73"/>
      <c r="P638" s="73"/>
      <c r="Q638" s="73"/>
      <c r="R638" s="73"/>
      <c r="S638" s="73"/>
      <c r="T638" s="73"/>
      <c r="U638" s="73"/>
      <c r="V638" s="73"/>
      <c r="W638" s="73"/>
      <c r="X638" s="73"/>
      <c r="Y638" s="73"/>
      <c r="Z638" s="73"/>
      <c r="AA638" s="73"/>
      <c r="AB638" s="73"/>
      <c r="AC638" s="122"/>
      <c r="AD638" s="108"/>
      <c r="AF638" s="108"/>
      <c r="AG638" s="73"/>
      <c r="AH638" s="73"/>
      <c r="AI638" s="73"/>
      <c r="AJ638" s="73"/>
      <c r="AK638" s="73"/>
      <c r="AL638" s="73"/>
      <c r="AM638" s="73"/>
      <c r="AN638" s="73"/>
      <c r="AO638" s="73"/>
      <c r="AP638" s="73"/>
      <c r="DL638" s="34"/>
    </row>
    <row r="639" spans="10:116" x14ac:dyDescent="0.25">
      <c r="J639" s="73"/>
      <c r="K639" s="73"/>
      <c r="L639" s="73"/>
      <c r="M639" s="73"/>
      <c r="N639" s="73"/>
      <c r="O639" s="73"/>
      <c r="P639" s="73"/>
      <c r="Q639" s="73"/>
      <c r="R639" s="73"/>
      <c r="S639" s="73"/>
      <c r="T639" s="73"/>
      <c r="U639" s="73"/>
      <c r="V639" s="73"/>
      <c r="W639" s="73"/>
      <c r="X639" s="73"/>
      <c r="Y639" s="73"/>
      <c r="Z639" s="73"/>
      <c r="AA639" s="73"/>
      <c r="AB639" s="73"/>
      <c r="AC639" s="122"/>
      <c r="AD639" s="108"/>
      <c r="AF639" s="108"/>
      <c r="AG639" s="73"/>
      <c r="AH639" s="73"/>
      <c r="AI639" s="73"/>
      <c r="AJ639" s="73"/>
      <c r="AK639" s="73"/>
      <c r="AL639" s="73"/>
      <c r="AM639" s="73"/>
      <c r="AN639" s="73"/>
      <c r="AO639" s="73"/>
      <c r="AP639" s="73"/>
      <c r="DL639" s="34"/>
    </row>
    <row r="640" spans="10:116" x14ac:dyDescent="0.25">
      <c r="J640" s="73"/>
      <c r="K640" s="73"/>
      <c r="L640" s="73"/>
      <c r="M640" s="73"/>
      <c r="N640" s="73"/>
      <c r="O640" s="73"/>
      <c r="P640" s="73"/>
      <c r="Q640" s="73"/>
      <c r="R640" s="73"/>
      <c r="S640" s="73"/>
      <c r="T640" s="73"/>
      <c r="U640" s="73"/>
      <c r="V640" s="73"/>
      <c r="W640" s="73"/>
      <c r="X640" s="73"/>
      <c r="Y640" s="73"/>
      <c r="Z640" s="73"/>
      <c r="AA640" s="73"/>
      <c r="AB640" s="73"/>
      <c r="AC640" s="122"/>
      <c r="AD640" s="108"/>
      <c r="AF640" s="108"/>
      <c r="AG640" s="73"/>
      <c r="AH640" s="73"/>
      <c r="AI640" s="73"/>
      <c r="AJ640" s="73"/>
      <c r="AK640" s="73"/>
      <c r="AL640" s="73"/>
      <c r="AM640" s="73"/>
      <c r="AN640" s="73"/>
      <c r="AO640" s="73"/>
      <c r="AP640" s="73"/>
      <c r="DL640" s="34"/>
    </row>
    <row r="641" spans="10:116" x14ac:dyDescent="0.25">
      <c r="J641" s="73"/>
      <c r="K641" s="73"/>
      <c r="L641" s="73"/>
      <c r="M641" s="73"/>
      <c r="N641" s="73"/>
      <c r="O641" s="73"/>
      <c r="P641" s="73"/>
      <c r="Q641" s="73"/>
      <c r="R641" s="73"/>
      <c r="S641" s="73"/>
      <c r="T641" s="73"/>
      <c r="U641" s="73"/>
      <c r="V641" s="73"/>
      <c r="W641" s="73"/>
      <c r="X641" s="73"/>
      <c r="Y641" s="73"/>
      <c r="Z641" s="73"/>
      <c r="AA641" s="73"/>
      <c r="AB641" s="73"/>
      <c r="AC641" s="122"/>
      <c r="AD641" s="108"/>
      <c r="AF641" s="108"/>
      <c r="AG641" s="73"/>
      <c r="AH641" s="73"/>
      <c r="AI641" s="73"/>
      <c r="AJ641" s="73"/>
      <c r="AK641" s="73"/>
      <c r="AL641" s="73"/>
      <c r="AM641" s="73"/>
      <c r="AN641" s="73"/>
      <c r="AO641" s="73"/>
      <c r="AP641" s="73"/>
      <c r="DL641" s="34"/>
    </row>
    <row r="642" spans="10:116" x14ac:dyDescent="0.25">
      <c r="J642" s="73"/>
      <c r="K642" s="73"/>
      <c r="L642" s="73"/>
      <c r="M642" s="73"/>
      <c r="N642" s="73"/>
      <c r="O642" s="73"/>
      <c r="P642" s="73"/>
      <c r="Q642" s="73"/>
      <c r="R642" s="73"/>
      <c r="S642" s="73"/>
      <c r="T642" s="73"/>
      <c r="U642" s="73"/>
      <c r="V642" s="73"/>
      <c r="W642" s="73"/>
      <c r="X642" s="73"/>
      <c r="Y642" s="73"/>
      <c r="Z642" s="73"/>
      <c r="AA642" s="73"/>
      <c r="AB642" s="73"/>
      <c r="AC642" s="122"/>
      <c r="AD642" s="108"/>
      <c r="AF642" s="108"/>
      <c r="AG642" s="73"/>
      <c r="AH642" s="73"/>
      <c r="AI642" s="73"/>
      <c r="AJ642" s="73"/>
      <c r="AK642" s="73"/>
      <c r="AL642" s="73"/>
      <c r="AM642" s="73"/>
      <c r="AN642" s="73"/>
      <c r="AO642" s="73"/>
      <c r="AP642" s="73"/>
      <c r="DL642" s="34"/>
    </row>
    <row r="643" spans="10:116" x14ac:dyDescent="0.25">
      <c r="J643" s="73"/>
      <c r="K643" s="73"/>
      <c r="L643" s="73"/>
      <c r="M643" s="73"/>
      <c r="N643" s="73"/>
      <c r="O643" s="73"/>
      <c r="P643" s="73"/>
      <c r="Q643" s="73"/>
      <c r="R643" s="73"/>
      <c r="S643" s="73"/>
      <c r="T643" s="73"/>
      <c r="U643" s="73"/>
      <c r="V643" s="73"/>
      <c r="W643" s="73"/>
      <c r="X643" s="73"/>
      <c r="Y643" s="73"/>
      <c r="Z643" s="73"/>
      <c r="AA643" s="73"/>
      <c r="AB643" s="73"/>
      <c r="AC643" s="122"/>
      <c r="AD643" s="108"/>
      <c r="AF643" s="108"/>
      <c r="AG643" s="73"/>
      <c r="AH643" s="73"/>
      <c r="AI643" s="73"/>
      <c r="AJ643" s="73"/>
      <c r="AK643" s="73"/>
      <c r="AL643" s="73"/>
      <c r="AM643" s="73"/>
      <c r="AN643" s="73"/>
      <c r="AO643" s="73"/>
      <c r="AP643" s="73"/>
      <c r="DL643" s="34"/>
    </row>
    <row r="644" spans="10:116" x14ac:dyDescent="0.25">
      <c r="J644" s="73"/>
      <c r="K644" s="73"/>
      <c r="L644" s="73"/>
      <c r="M644" s="73"/>
      <c r="N644" s="73"/>
      <c r="O644" s="73"/>
      <c r="P644" s="73"/>
      <c r="Q644" s="73"/>
      <c r="R644" s="73"/>
      <c r="S644" s="73"/>
      <c r="T644" s="73"/>
      <c r="U644" s="73"/>
      <c r="V644" s="73"/>
      <c r="W644" s="73"/>
      <c r="X644" s="73"/>
      <c r="Y644" s="73"/>
      <c r="Z644" s="73"/>
      <c r="AA644" s="73"/>
      <c r="AB644" s="73"/>
      <c r="AC644" s="122"/>
      <c r="AD644" s="108"/>
      <c r="AF644" s="108"/>
      <c r="AG644" s="73"/>
      <c r="AH644" s="73"/>
      <c r="AI644" s="73"/>
      <c r="AJ644" s="73"/>
      <c r="AK644" s="73"/>
      <c r="AL644" s="73"/>
      <c r="AM644" s="73"/>
      <c r="AN644" s="73"/>
      <c r="AO644" s="73"/>
      <c r="AP644" s="73"/>
      <c r="DL644" s="34"/>
    </row>
    <row r="645" spans="10:116" x14ac:dyDescent="0.25">
      <c r="J645" s="73"/>
      <c r="K645" s="73"/>
      <c r="L645" s="73"/>
      <c r="M645" s="73"/>
      <c r="N645" s="73"/>
      <c r="O645" s="73"/>
      <c r="P645" s="73"/>
      <c r="Q645" s="73"/>
      <c r="R645" s="73"/>
      <c r="S645" s="73"/>
      <c r="T645" s="73"/>
      <c r="U645" s="73"/>
      <c r="V645" s="73"/>
      <c r="W645" s="73"/>
      <c r="X645" s="73"/>
      <c r="Y645" s="73"/>
      <c r="Z645" s="73"/>
      <c r="AA645" s="73"/>
      <c r="AB645" s="73"/>
      <c r="AC645" s="122"/>
      <c r="AD645" s="108"/>
      <c r="AF645" s="108"/>
      <c r="AG645" s="73"/>
      <c r="AH645" s="73"/>
      <c r="AI645" s="73"/>
      <c r="AJ645" s="73"/>
      <c r="AK645" s="73"/>
      <c r="AL645" s="73"/>
      <c r="AM645" s="73"/>
      <c r="AN645" s="73"/>
      <c r="AO645" s="73"/>
      <c r="AP645" s="73"/>
      <c r="DL645" s="34"/>
    </row>
    <row r="646" spans="10:116" x14ac:dyDescent="0.25">
      <c r="J646" s="73"/>
      <c r="K646" s="73"/>
      <c r="L646" s="73"/>
      <c r="M646" s="73"/>
      <c r="N646" s="73"/>
      <c r="O646" s="73"/>
      <c r="P646" s="73"/>
      <c r="Q646" s="73"/>
      <c r="R646" s="73"/>
      <c r="S646" s="73"/>
      <c r="T646" s="73"/>
      <c r="U646" s="73"/>
      <c r="V646" s="73"/>
      <c r="W646" s="73"/>
      <c r="X646" s="73"/>
      <c r="Y646" s="73"/>
      <c r="Z646" s="73"/>
      <c r="AA646" s="73"/>
      <c r="AB646" s="73"/>
      <c r="AC646" s="122"/>
      <c r="AD646" s="108"/>
      <c r="AF646" s="108"/>
      <c r="AG646" s="73"/>
      <c r="AH646" s="73"/>
      <c r="AI646" s="73"/>
      <c r="AJ646" s="73"/>
      <c r="AK646" s="73"/>
      <c r="AL646" s="73"/>
      <c r="AM646" s="73"/>
      <c r="AN646" s="73"/>
      <c r="AO646" s="73"/>
      <c r="AP646" s="73"/>
      <c r="DL646" s="34"/>
    </row>
    <row r="647" spans="10:116" x14ac:dyDescent="0.25">
      <c r="J647" s="73"/>
      <c r="K647" s="73"/>
      <c r="L647" s="73"/>
      <c r="M647" s="73"/>
      <c r="N647" s="73"/>
      <c r="O647" s="73"/>
      <c r="P647" s="73"/>
      <c r="Q647" s="73"/>
      <c r="R647" s="73"/>
      <c r="S647" s="73"/>
      <c r="T647" s="73"/>
      <c r="U647" s="73"/>
      <c r="V647" s="73"/>
      <c r="W647" s="73"/>
      <c r="X647" s="73"/>
      <c r="Y647" s="73"/>
      <c r="Z647" s="73"/>
      <c r="AA647" s="73"/>
      <c r="AB647" s="73"/>
      <c r="AC647" s="122"/>
      <c r="AD647" s="108"/>
      <c r="AF647" s="108"/>
      <c r="AG647" s="73"/>
      <c r="AH647" s="73"/>
      <c r="AI647" s="73"/>
      <c r="AJ647" s="73"/>
      <c r="AK647" s="73"/>
      <c r="AL647" s="73"/>
      <c r="AM647" s="73"/>
      <c r="AN647" s="73"/>
      <c r="AO647" s="73"/>
      <c r="AP647" s="73"/>
      <c r="DL647" s="34"/>
    </row>
    <row r="648" spans="10:116" x14ac:dyDescent="0.25">
      <c r="J648" s="73"/>
      <c r="K648" s="73"/>
      <c r="L648" s="73"/>
      <c r="M648" s="73"/>
      <c r="N648" s="73"/>
      <c r="O648" s="73"/>
      <c r="P648" s="73"/>
      <c r="Q648" s="73"/>
      <c r="R648" s="73"/>
      <c r="S648" s="73"/>
      <c r="T648" s="73"/>
      <c r="U648" s="73"/>
      <c r="V648" s="73"/>
      <c r="W648" s="73"/>
      <c r="X648" s="73"/>
      <c r="Y648" s="73"/>
      <c r="Z648" s="73"/>
      <c r="AA648" s="73"/>
      <c r="AB648" s="73"/>
      <c r="AC648" s="122"/>
      <c r="AD648" s="108"/>
      <c r="AF648" s="108"/>
      <c r="AG648" s="73"/>
      <c r="AH648" s="73"/>
      <c r="AI648" s="73"/>
      <c r="AJ648" s="73"/>
      <c r="AK648" s="73"/>
      <c r="AL648" s="73"/>
      <c r="AM648" s="73"/>
      <c r="AN648" s="73"/>
      <c r="AO648" s="73"/>
      <c r="AP648" s="73"/>
      <c r="DL648" s="34"/>
    </row>
    <row r="649" spans="10:116" x14ac:dyDescent="0.25">
      <c r="J649" s="73"/>
      <c r="K649" s="73"/>
      <c r="L649" s="73"/>
      <c r="M649" s="73"/>
      <c r="N649" s="73"/>
      <c r="O649" s="73"/>
      <c r="P649" s="73"/>
      <c r="Q649" s="73"/>
      <c r="R649" s="73"/>
      <c r="S649" s="73"/>
      <c r="T649" s="73"/>
      <c r="U649" s="73"/>
      <c r="V649" s="73"/>
      <c r="W649" s="73"/>
      <c r="X649" s="73"/>
      <c r="Y649" s="73"/>
      <c r="Z649" s="73"/>
      <c r="AA649" s="73"/>
      <c r="AB649" s="73"/>
      <c r="AC649" s="122"/>
      <c r="AD649" s="108"/>
      <c r="AF649" s="108"/>
      <c r="AG649" s="73"/>
      <c r="AH649" s="73"/>
      <c r="AI649" s="73"/>
      <c r="AJ649" s="73"/>
      <c r="AK649" s="73"/>
      <c r="AL649" s="73"/>
      <c r="AM649" s="73"/>
      <c r="AN649" s="73"/>
      <c r="AO649" s="73"/>
      <c r="AP649" s="73"/>
      <c r="DL649" s="34"/>
    </row>
    <row r="650" spans="10:116" x14ac:dyDescent="0.25">
      <c r="J650" s="73"/>
      <c r="K650" s="73"/>
      <c r="L650" s="73"/>
      <c r="M650" s="73"/>
      <c r="N650" s="73"/>
      <c r="O650" s="73"/>
      <c r="P650" s="73"/>
      <c r="Q650" s="73"/>
      <c r="R650" s="73"/>
      <c r="S650" s="73"/>
      <c r="T650" s="73"/>
      <c r="U650" s="73"/>
      <c r="V650" s="73"/>
      <c r="W650" s="73"/>
      <c r="X650" s="73"/>
      <c r="Y650" s="73"/>
      <c r="Z650" s="73"/>
      <c r="AA650" s="73"/>
      <c r="AB650" s="73"/>
      <c r="AC650" s="122"/>
      <c r="AD650" s="108"/>
      <c r="AF650" s="108"/>
      <c r="AG650" s="73"/>
      <c r="AH650" s="73"/>
      <c r="AI650" s="73"/>
      <c r="AJ650" s="73"/>
      <c r="AK650" s="73"/>
      <c r="AL650" s="73"/>
      <c r="AM650" s="73"/>
      <c r="AN650" s="73"/>
      <c r="AO650" s="73"/>
      <c r="AP650" s="73"/>
      <c r="DL650" s="34"/>
    </row>
    <row r="651" spans="10:116" x14ac:dyDescent="0.25">
      <c r="J651" s="73"/>
      <c r="K651" s="73"/>
      <c r="L651" s="73"/>
      <c r="M651" s="73"/>
      <c r="N651" s="73"/>
      <c r="O651" s="73"/>
      <c r="P651" s="73"/>
      <c r="Q651" s="73"/>
      <c r="R651" s="73"/>
      <c r="S651" s="73"/>
      <c r="T651" s="73"/>
      <c r="U651" s="73"/>
      <c r="V651" s="73"/>
      <c r="W651" s="73"/>
      <c r="X651" s="73"/>
      <c r="Y651" s="73"/>
      <c r="Z651" s="73"/>
      <c r="AA651" s="73"/>
      <c r="AB651" s="73"/>
      <c r="AC651" s="122"/>
      <c r="AD651" s="108"/>
      <c r="AF651" s="108"/>
      <c r="AG651" s="73"/>
      <c r="AH651" s="73"/>
      <c r="AI651" s="73"/>
      <c r="AJ651" s="73"/>
      <c r="AK651" s="73"/>
      <c r="AL651" s="73"/>
      <c r="AM651" s="73"/>
      <c r="AN651" s="73"/>
      <c r="AO651" s="73"/>
      <c r="AP651" s="73"/>
      <c r="DL651" s="34"/>
    </row>
    <row r="652" spans="10:116" x14ac:dyDescent="0.25">
      <c r="J652" s="73"/>
      <c r="K652" s="73"/>
      <c r="L652" s="73"/>
      <c r="M652" s="73"/>
      <c r="N652" s="73"/>
      <c r="O652" s="73"/>
      <c r="P652" s="73"/>
      <c r="Q652" s="73"/>
      <c r="R652" s="73"/>
      <c r="S652" s="73"/>
      <c r="T652" s="73"/>
      <c r="U652" s="73"/>
      <c r="V652" s="73"/>
      <c r="W652" s="73"/>
      <c r="X652" s="73"/>
      <c r="Y652" s="73"/>
      <c r="Z652" s="73"/>
      <c r="AA652" s="73"/>
      <c r="AB652" s="73"/>
      <c r="AC652" s="122"/>
      <c r="AD652" s="108"/>
      <c r="AF652" s="108"/>
      <c r="AG652" s="73"/>
      <c r="AH652" s="73"/>
      <c r="AI652" s="73"/>
      <c r="AJ652" s="73"/>
      <c r="AK652" s="73"/>
      <c r="AL652" s="73"/>
      <c r="AM652" s="73"/>
      <c r="AN652" s="73"/>
      <c r="AO652" s="73"/>
      <c r="AP652" s="73"/>
      <c r="DL652" s="34"/>
    </row>
    <row r="653" spans="10:116" x14ac:dyDescent="0.25">
      <c r="J653" s="73"/>
      <c r="K653" s="73"/>
      <c r="L653" s="73"/>
      <c r="M653" s="73"/>
      <c r="N653" s="73"/>
      <c r="O653" s="73"/>
      <c r="P653" s="73"/>
      <c r="Q653" s="73"/>
      <c r="R653" s="73"/>
      <c r="S653" s="73"/>
      <c r="T653" s="73"/>
      <c r="U653" s="73"/>
      <c r="V653" s="73"/>
      <c r="W653" s="73"/>
      <c r="X653" s="73"/>
      <c r="Y653" s="73"/>
      <c r="Z653" s="73"/>
      <c r="AA653" s="73"/>
      <c r="AB653" s="73"/>
      <c r="AC653" s="122"/>
      <c r="AD653" s="108"/>
      <c r="AF653" s="108"/>
      <c r="AG653" s="73"/>
      <c r="AH653" s="73"/>
      <c r="AI653" s="73"/>
      <c r="AJ653" s="73"/>
      <c r="AK653" s="73"/>
      <c r="AL653" s="73"/>
      <c r="AM653" s="73"/>
      <c r="AN653" s="73"/>
      <c r="AO653" s="73"/>
      <c r="AP653" s="73"/>
      <c r="DL653" s="34"/>
    </row>
    <row r="654" spans="10:116" x14ac:dyDescent="0.25">
      <c r="J654" s="73"/>
      <c r="K654" s="73"/>
      <c r="L654" s="73"/>
      <c r="M654" s="73"/>
      <c r="N654" s="73"/>
      <c r="O654" s="73"/>
      <c r="P654" s="73"/>
      <c r="Q654" s="73"/>
      <c r="R654" s="73"/>
      <c r="S654" s="73"/>
      <c r="T654" s="73"/>
      <c r="U654" s="73"/>
      <c r="V654" s="73"/>
      <c r="W654" s="73"/>
      <c r="X654" s="73"/>
      <c r="Y654" s="73"/>
      <c r="Z654" s="73"/>
      <c r="AA654" s="73"/>
      <c r="AB654" s="73"/>
      <c r="AC654" s="122"/>
      <c r="AD654" s="108"/>
      <c r="AF654" s="108"/>
      <c r="AG654" s="73"/>
      <c r="AH654" s="73"/>
      <c r="AI654" s="73"/>
      <c r="AJ654" s="73"/>
      <c r="AK654" s="73"/>
      <c r="AL654" s="73"/>
      <c r="AM654" s="73"/>
      <c r="AN654" s="73"/>
      <c r="AO654" s="73"/>
      <c r="AP654" s="73"/>
      <c r="DL654" s="34"/>
    </row>
    <row r="655" spans="10:116" x14ac:dyDescent="0.25">
      <c r="J655" s="73"/>
      <c r="K655" s="73"/>
      <c r="L655" s="73"/>
      <c r="M655" s="73"/>
      <c r="N655" s="73"/>
      <c r="O655" s="73"/>
      <c r="P655" s="73"/>
      <c r="Q655" s="73"/>
      <c r="R655" s="73"/>
      <c r="S655" s="73"/>
      <c r="T655" s="73"/>
      <c r="U655" s="73"/>
      <c r="V655" s="73"/>
      <c r="W655" s="73"/>
      <c r="X655" s="73"/>
      <c r="Y655" s="73"/>
      <c r="Z655" s="73"/>
      <c r="AA655" s="73"/>
      <c r="AB655" s="73"/>
      <c r="AC655" s="122"/>
      <c r="AD655" s="108"/>
      <c r="AF655" s="108"/>
      <c r="AG655" s="73"/>
      <c r="AH655" s="73"/>
      <c r="AI655" s="73"/>
      <c r="AJ655" s="73"/>
      <c r="AK655" s="73"/>
      <c r="AL655" s="73"/>
      <c r="AM655" s="73"/>
      <c r="AN655" s="73"/>
      <c r="AO655" s="73"/>
      <c r="AP655" s="73"/>
      <c r="DL655" s="34"/>
    </row>
    <row r="656" spans="10:116" x14ac:dyDescent="0.25">
      <c r="J656" s="73"/>
      <c r="K656" s="73"/>
      <c r="L656" s="73"/>
      <c r="M656" s="73"/>
      <c r="N656" s="73"/>
      <c r="O656" s="73"/>
      <c r="P656" s="73"/>
      <c r="Q656" s="73"/>
      <c r="R656" s="73"/>
      <c r="S656" s="73"/>
      <c r="T656" s="73"/>
      <c r="U656" s="73"/>
      <c r="V656" s="73"/>
      <c r="W656" s="73"/>
      <c r="X656" s="73"/>
      <c r="Y656" s="73"/>
      <c r="Z656" s="73"/>
      <c r="AA656" s="73"/>
      <c r="AB656" s="73"/>
      <c r="AC656" s="122"/>
      <c r="AD656" s="108"/>
      <c r="AF656" s="108"/>
      <c r="AG656" s="73"/>
      <c r="AH656" s="73"/>
      <c r="AI656" s="73"/>
      <c r="AJ656" s="73"/>
      <c r="AK656" s="73"/>
      <c r="AL656" s="73"/>
      <c r="AM656" s="73"/>
      <c r="AN656" s="73"/>
      <c r="AO656" s="73"/>
      <c r="AP656" s="73"/>
      <c r="DL656" s="34"/>
    </row>
    <row r="657" spans="10:116" x14ac:dyDescent="0.25">
      <c r="J657" s="73"/>
      <c r="K657" s="73"/>
      <c r="L657" s="73"/>
      <c r="M657" s="73"/>
      <c r="N657" s="73"/>
      <c r="O657" s="73"/>
      <c r="P657" s="73"/>
      <c r="Q657" s="73"/>
      <c r="R657" s="73"/>
      <c r="S657" s="73"/>
      <c r="T657" s="73"/>
      <c r="U657" s="73"/>
      <c r="V657" s="73"/>
      <c r="W657" s="73"/>
      <c r="X657" s="73"/>
      <c r="Y657" s="73"/>
      <c r="Z657" s="73"/>
      <c r="AA657" s="73"/>
      <c r="AB657" s="73"/>
      <c r="AC657" s="122"/>
      <c r="AD657" s="108"/>
      <c r="AF657" s="108"/>
      <c r="AG657" s="73"/>
      <c r="AH657" s="73"/>
      <c r="AI657" s="73"/>
      <c r="AJ657" s="73"/>
      <c r="AK657" s="73"/>
      <c r="AL657" s="73"/>
      <c r="AM657" s="73"/>
      <c r="AN657" s="73"/>
      <c r="AO657" s="73"/>
      <c r="AP657" s="73"/>
      <c r="DL657" s="34"/>
    </row>
    <row r="658" spans="10:116" x14ac:dyDescent="0.25">
      <c r="J658" s="73"/>
      <c r="K658" s="73"/>
      <c r="L658" s="73"/>
      <c r="M658" s="73"/>
      <c r="N658" s="73"/>
      <c r="O658" s="73"/>
      <c r="P658" s="73"/>
      <c r="Q658" s="73"/>
      <c r="R658" s="73"/>
      <c r="S658" s="73"/>
      <c r="T658" s="73"/>
      <c r="U658" s="73"/>
      <c r="V658" s="73"/>
      <c r="W658" s="73"/>
      <c r="X658" s="73"/>
      <c r="Y658" s="73"/>
      <c r="Z658" s="73"/>
      <c r="AA658" s="73"/>
      <c r="AB658" s="73"/>
      <c r="AC658" s="122"/>
      <c r="AD658" s="108"/>
      <c r="AF658" s="108"/>
      <c r="AG658" s="73"/>
      <c r="AH658" s="73"/>
      <c r="AI658" s="73"/>
      <c r="AJ658" s="73"/>
      <c r="AK658" s="73"/>
      <c r="AL658" s="73"/>
      <c r="AM658" s="73"/>
      <c r="AN658" s="73"/>
      <c r="AO658" s="73"/>
      <c r="AP658" s="73"/>
      <c r="DL658" s="34"/>
    </row>
    <row r="659" spans="10:116" x14ac:dyDescent="0.25">
      <c r="J659" s="73"/>
      <c r="K659" s="73"/>
      <c r="L659" s="73"/>
      <c r="M659" s="73"/>
      <c r="N659" s="73"/>
      <c r="O659" s="73"/>
      <c r="P659" s="73"/>
      <c r="Q659" s="73"/>
      <c r="R659" s="73"/>
      <c r="S659" s="73"/>
      <c r="T659" s="73"/>
      <c r="U659" s="73"/>
      <c r="V659" s="73"/>
      <c r="W659" s="73"/>
      <c r="X659" s="73"/>
      <c r="Y659" s="73"/>
      <c r="Z659" s="73"/>
      <c r="AA659" s="73"/>
      <c r="AB659" s="73"/>
      <c r="AC659" s="122"/>
      <c r="AD659" s="108"/>
      <c r="AF659" s="108"/>
      <c r="AG659" s="73"/>
      <c r="AH659" s="73"/>
      <c r="AI659" s="73"/>
      <c r="AJ659" s="73"/>
      <c r="AK659" s="73"/>
      <c r="AL659" s="73"/>
      <c r="AM659" s="73"/>
      <c r="AN659" s="73"/>
      <c r="AO659" s="73"/>
      <c r="AP659" s="73"/>
      <c r="DL659" s="34"/>
    </row>
    <row r="660" spans="10:116" x14ac:dyDescent="0.25">
      <c r="J660" s="73"/>
      <c r="K660" s="73"/>
      <c r="L660" s="73"/>
      <c r="M660" s="73"/>
      <c r="N660" s="73"/>
      <c r="O660" s="73"/>
      <c r="P660" s="73"/>
      <c r="Q660" s="73"/>
      <c r="R660" s="73"/>
      <c r="S660" s="73"/>
      <c r="T660" s="73"/>
      <c r="U660" s="73"/>
      <c r="V660" s="73"/>
      <c r="W660" s="73"/>
      <c r="X660" s="73"/>
      <c r="Y660" s="73"/>
      <c r="Z660" s="73"/>
      <c r="AA660" s="73"/>
      <c r="AB660" s="73"/>
      <c r="AC660" s="122"/>
      <c r="AD660" s="108"/>
      <c r="AF660" s="108"/>
      <c r="AG660" s="73"/>
      <c r="AH660" s="73"/>
      <c r="AI660" s="73"/>
      <c r="AJ660" s="73"/>
      <c r="AK660" s="73"/>
      <c r="AL660" s="73"/>
      <c r="AM660" s="73"/>
      <c r="AN660" s="73"/>
      <c r="AO660" s="73"/>
      <c r="AP660" s="73"/>
      <c r="DL660" s="34"/>
    </row>
    <row r="661" spans="10:116" x14ac:dyDescent="0.25">
      <c r="J661" s="73"/>
      <c r="K661" s="73"/>
      <c r="L661" s="73"/>
      <c r="M661" s="73"/>
      <c r="N661" s="73"/>
      <c r="O661" s="73"/>
      <c r="P661" s="73"/>
      <c r="Q661" s="73"/>
      <c r="R661" s="73"/>
      <c r="S661" s="73"/>
      <c r="T661" s="73"/>
      <c r="U661" s="73"/>
      <c r="V661" s="73"/>
      <c r="W661" s="73"/>
      <c r="X661" s="73"/>
      <c r="Y661" s="73"/>
      <c r="Z661" s="73"/>
      <c r="AA661" s="73"/>
      <c r="AB661" s="73"/>
      <c r="AC661" s="122"/>
      <c r="AD661" s="108"/>
      <c r="AF661" s="108"/>
      <c r="AG661" s="73"/>
      <c r="AH661" s="73"/>
      <c r="AI661" s="73"/>
      <c r="AJ661" s="73"/>
      <c r="AK661" s="73"/>
      <c r="AL661" s="73"/>
      <c r="AM661" s="73"/>
      <c r="AN661" s="73"/>
      <c r="AO661" s="73"/>
      <c r="AP661" s="73"/>
      <c r="DL661" s="34"/>
    </row>
    <row r="662" spans="10:116" x14ac:dyDescent="0.25">
      <c r="J662" s="73"/>
      <c r="K662" s="73"/>
      <c r="L662" s="73"/>
      <c r="M662" s="73"/>
      <c r="N662" s="73"/>
      <c r="O662" s="73"/>
      <c r="P662" s="73"/>
      <c r="Q662" s="73"/>
      <c r="R662" s="73"/>
      <c r="S662" s="73"/>
      <c r="T662" s="73"/>
      <c r="U662" s="73"/>
      <c r="V662" s="73"/>
      <c r="W662" s="73"/>
      <c r="X662" s="73"/>
      <c r="Y662" s="73"/>
      <c r="Z662" s="73"/>
      <c r="AA662" s="73"/>
      <c r="AB662" s="73"/>
      <c r="AC662" s="122"/>
      <c r="AD662" s="108"/>
      <c r="AF662" s="108"/>
      <c r="AG662" s="73"/>
      <c r="AH662" s="73"/>
      <c r="AI662" s="73"/>
      <c r="AJ662" s="73"/>
      <c r="AK662" s="73"/>
      <c r="AL662" s="73"/>
      <c r="AM662" s="73"/>
      <c r="AN662" s="73"/>
      <c r="AO662" s="73"/>
      <c r="AP662" s="73"/>
      <c r="DL662" s="34"/>
    </row>
    <row r="663" spans="10:116" x14ac:dyDescent="0.25">
      <c r="J663" s="73"/>
      <c r="K663" s="73"/>
      <c r="L663" s="73"/>
      <c r="M663" s="73"/>
      <c r="N663" s="73"/>
      <c r="O663" s="73"/>
      <c r="P663" s="73"/>
      <c r="Q663" s="73"/>
      <c r="R663" s="73"/>
      <c r="S663" s="73"/>
      <c r="T663" s="73"/>
      <c r="U663" s="73"/>
      <c r="V663" s="73"/>
      <c r="W663" s="73"/>
      <c r="X663" s="73"/>
      <c r="Y663" s="73"/>
      <c r="Z663" s="73"/>
      <c r="AA663" s="73"/>
      <c r="AB663" s="73"/>
      <c r="AC663" s="122"/>
      <c r="AD663" s="108"/>
      <c r="AF663" s="108"/>
      <c r="AG663" s="73"/>
      <c r="AH663" s="73"/>
      <c r="AI663" s="73"/>
      <c r="AJ663" s="73"/>
      <c r="AK663" s="73"/>
      <c r="AL663" s="73"/>
      <c r="AM663" s="73"/>
      <c r="AN663" s="73"/>
      <c r="AO663" s="73"/>
      <c r="AP663" s="73"/>
      <c r="DL663" s="34"/>
    </row>
    <row r="664" spans="10:116" x14ac:dyDescent="0.25">
      <c r="J664" s="73"/>
      <c r="K664" s="73"/>
      <c r="L664" s="73"/>
      <c r="M664" s="73"/>
      <c r="N664" s="73"/>
      <c r="O664" s="73"/>
      <c r="P664" s="73"/>
      <c r="Q664" s="73"/>
      <c r="R664" s="73"/>
      <c r="S664" s="73"/>
      <c r="T664" s="73"/>
      <c r="U664" s="73"/>
      <c r="V664" s="73"/>
      <c r="W664" s="73"/>
      <c r="X664" s="73"/>
      <c r="Y664" s="73"/>
      <c r="Z664" s="73"/>
      <c r="AA664" s="73"/>
      <c r="AB664" s="73"/>
      <c r="AC664" s="122"/>
      <c r="AD664" s="108"/>
      <c r="AF664" s="108"/>
      <c r="AG664" s="73"/>
      <c r="AH664" s="73"/>
      <c r="AI664" s="73"/>
      <c r="AJ664" s="73"/>
      <c r="AK664" s="73"/>
      <c r="AL664" s="73"/>
      <c r="AM664" s="73"/>
      <c r="AN664" s="73"/>
      <c r="AO664" s="73"/>
      <c r="AP664" s="73"/>
      <c r="DL664" s="34"/>
    </row>
    <row r="665" spans="10:116" x14ac:dyDescent="0.25">
      <c r="J665" s="73"/>
      <c r="K665" s="73"/>
      <c r="L665" s="73"/>
      <c r="M665" s="73"/>
      <c r="N665" s="73"/>
      <c r="O665" s="73"/>
      <c r="P665" s="73"/>
      <c r="Q665" s="73"/>
      <c r="R665" s="73"/>
      <c r="S665" s="73"/>
      <c r="T665" s="73"/>
      <c r="U665" s="73"/>
      <c r="V665" s="73"/>
      <c r="W665" s="73"/>
      <c r="X665" s="73"/>
      <c r="Y665" s="73"/>
      <c r="Z665" s="73"/>
      <c r="AA665" s="73"/>
      <c r="AB665" s="73"/>
      <c r="AC665" s="122"/>
      <c r="AD665" s="108"/>
      <c r="AF665" s="108"/>
      <c r="AG665" s="73"/>
      <c r="AH665" s="73"/>
      <c r="AI665" s="73"/>
      <c r="AJ665" s="73"/>
      <c r="AK665" s="73"/>
      <c r="AL665" s="73"/>
      <c r="AM665" s="73"/>
      <c r="AN665" s="73"/>
      <c r="AO665" s="73"/>
      <c r="AP665" s="73"/>
      <c r="DL665" s="34"/>
    </row>
    <row r="666" spans="10:116" x14ac:dyDescent="0.25">
      <c r="J666" s="73"/>
      <c r="K666" s="73"/>
      <c r="L666" s="73"/>
      <c r="M666" s="73"/>
      <c r="N666" s="73"/>
      <c r="O666" s="73"/>
      <c r="P666" s="73"/>
      <c r="Q666" s="73"/>
      <c r="R666" s="73"/>
      <c r="S666" s="73"/>
      <c r="T666" s="73"/>
      <c r="U666" s="73"/>
      <c r="V666" s="73"/>
      <c r="W666" s="73"/>
      <c r="X666" s="73"/>
      <c r="Y666" s="73"/>
      <c r="Z666" s="73"/>
      <c r="AA666" s="73"/>
      <c r="AB666" s="73"/>
      <c r="AC666" s="122"/>
      <c r="AD666" s="108"/>
      <c r="AF666" s="108"/>
      <c r="AG666" s="73"/>
      <c r="AH666" s="73"/>
      <c r="AI666" s="73"/>
      <c r="AJ666" s="73"/>
      <c r="AK666" s="73"/>
      <c r="AL666" s="73"/>
      <c r="AM666" s="73"/>
      <c r="AN666" s="73"/>
      <c r="AO666" s="73"/>
      <c r="AP666" s="73"/>
      <c r="DL666" s="34"/>
    </row>
    <row r="667" spans="10:116" x14ac:dyDescent="0.25">
      <c r="J667" s="73"/>
      <c r="K667" s="73"/>
      <c r="L667" s="73"/>
      <c r="M667" s="73"/>
      <c r="N667" s="73"/>
      <c r="O667" s="73"/>
      <c r="P667" s="73"/>
      <c r="Q667" s="73"/>
      <c r="R667" s="73"/>
      <c r="S667" s="73"/>
      <c r="T667" s="73"/>
      <c r="U667" s="73"/>
      <c r="V667" s="73"/>
      <c r="W667" s="73"/>
      <c r="X667" s="73"/>
      <c r="Y667" s="73"/>
      <c r="Z667" s="73"/>
      <c r="AA667" s="73"/>
      <c r="AB667" s="73"/>
      <c r="AC667" s="122"/>
      <c r="AD667" s="108"/>
      <c r="AF667" s="108"/>
      <c r="AG667" s="73"/>
      <c r="AH667" s="73"/>
      <c r="AI667" s="73"/>
      <c r="AJ667" s="73"/>
      <c r="AK667" s="73"/>
      <c r="AL667" s="73"/>
      <c r="AM667" s="73"/>
      <c r="AN667" s="73"/>
      <c r="AO667" s="73"/>
      <c r="AP667" s="73"/>
      <c r="DL667" s="34"/>
    </row>
    <row r="668" spans="10:116" x14ac:dyDescent="0.25">
      <c r="J668" s="73"/>
      <c r="K668" s="73"/>
      <c r="L668" s="73"/>
      <c r="M668" s="73"/>
      <c r="N668" s="73"/>
      <c r="O668" s="73"/>
      <c r="P668" s="73"/>
      <c r="Q668" s="73"/>
      <c r="R668" s="73"/>
      <c r="S668" s="73"/>
      <c r="T668" s="73"/>
      <c r="U668" s="73"/>
      <c r="V668" s="73"/>
      <c r="W668" s="73"/>
      <c r="X668" s="73"/>
      <c r="Y668" s="73"/>
      <c r="Z668" s="73"/>
      <c r="AA668" s="73"/>
      <c r="AB668" s="73"/>
      <c r="AC668" s="122"/>
      <c r="AD668" s="108"/>
      <c r="AF668" s="108"/>
      <c r="AG668" s="73"/>
      <c r="AH668" s="73"/>
      <c r="AI668" s="73"/>
      <c r="AJ668" s="73"/>
      <c r="AK668" s="73"/>
      <c r="AL668" s="73"/>
      <c r="AM668" s="73"/>
      <c r="AN668" s="73"/>
      <c r="AO668" s="73"/>
      <c r="AP668" s="73"/>
      <c r="DL668" s="34"/>
    </row>
    <row r="669" spans="10:116" x14ac:dyDescent="0.25">
      <c r="J669" s="73"/>
      <c r="K669" s="73"/>
      <c r="L669" s="73"/>
      <c r="M669" s="73"/>
      <c r="N669" s="73"/>
      <c r="O669" s="73"/>
      <c r="P669" s="73"/>
      <c r="Q669" s="73"/>
      <c r="R669" s="73"/>
      <c r="S669" s="73"/>
      <c r="T669" s="73"/>
      <c r="U669" s="73"/>
      <c r="V669" s="73"/>
      <c r="W669" s="73"/>
      <c r="X669" s="73"/>
      <c r="Y669" s="73"/>
      <c r="Z669" s="73"/>
      <c r="AA669" s="73"/>
      <c r="AB669" s="73"/>
      <c r="AC669" s="122"/>
      <c r="AD669" s="108"/>
      <c r="AF669" s="108"/>
      <c r="AG669" s="73"/>
      <c r="AH669" s="73"/>
      <c r="AI669" s="73"/>
      <c r="AJ669" s="73"/>
      <c r="AK669" s="73"/>
      <c r="AL669" s="73"/>
      <c r="AM669" s="73"/>
      <c r="AN669" s="73"/>
      <c r="AO669" s="73"/>
      <c r="AP669" s="73"/>
      <c r="DL669" s="34"/>
    </row>
    <row r="670" spans="10:116" x14ac:dyDescent="0.25">
      <c r="J670" s="73"/>
      <c r="K670" s="73"/>
      <c r="L670" s="73"/>
      <c r="M670" s="73"/>
      <c r="N670" s="73"/>
      <c r="O670" s="73"/>
      <c r="P670" s="73"/>
      <c r="Q670" s="73"/>
      <c r="R670" s="73"/>
      <c r="S670" s="73"/>
      <c r="T670" s="73"/>
      <c r="U670" s="73"/>
      <c r="V670" s="73"/>
      <c r="W670" s="73"/>
      <c r="X670" s="73"/>
      <c r="Y670" s="73"/>
      <c r="Z670" s="73"/>
      <c r="AA670" s="73"/>
      <c r="AB670" s="73"/>
      <c r="AC670" s="122"/>
      <c r="AD670" s="108"/>
      <c r="AF670" s="108"/>
      <c r="AG670" s="73"/>
      <c r="AH670" s="73"/>
      <c r="AI670" s="73"/>
      <c r="AJ670" s="73"/>
      <c r="AK670" s="73"/>
      <c r="AL670" s="73"/>
      <c r="AM670" s="73"/>
      <c r="AN670" s="73"/>
      <c r="AO670" s="73"/>
      <c r="AP670" s="73"/>
      <c r="DL670" s="34"/>
    </row>
    <row r="671" spans="10:116" x14ac:dyDescent="0.25">
      <c r="J671" s="73"/>
      <c r="K671" s="73"/>
      <c r="L671" s="73"/>
      <c r="M671" s="73"/>
      <c r="N671" s="73"/>
      <c r="O671" s="73"/>
      <c r="P671" s="73"/>
      <c r="Q671" s="73"/>
      <c r="R671" s="73"/>
      <c r="S671" s="73"/>
      <c r="T671" s="73"/>
      <c r="U671" s="73"/>
      <c r="V671" s="73"/>
      <c r="W671" s="73"/>
      <c r="X671" s="73"/>
      <c r="Y671" s="73"/>
      <c r="Z671" s="73"/>
      <c r="AA671" s="73"/>
      <c r="AB671" s="73"/>
      <c r="AC671" s="122"/>
      <c r="AD671" s="108"/>
      <c r="AF671" s="108"/>
      <c r="AG671" s="73"/>
      <c r="AH671" s="73"/>
      <c r="AI671" s="73"/>
      <c r="AJ671" s="73"/>
      <c r="AK671" s="73"/>
      <c r="AL671" s="73"/>
      <c r="AM671" s="73"/>
      <c r="AN671" s="73"/>
      <c r="AO671" s="73"/>
      <c r="AP671" s="73"/>
      <c r="DL671" s="34"/>
    </row>
    <row r="672" spans="10:116" x14ac:dyDescent="0.25">
      <c r="J672" s="73"/>
      <c r="K672" s="73"/>
      <c r="L672" s="73"/>
      <c r="M672" s="73"/>
      <c r="N672" s="73"/>
      <c r="O672" s="73"/>
      <c r="P672" s="73"/>
      <c r="Q672" s="73"/>
      <c r="R672" s="73"/>
      <c r="S672" s="73"/>
      <c r="T672" s="73"/>
      <c r="U672" s="73"/>
      <c r="V672" s="73"/>
      <c r="W672" s="73"/>
      <c r="X672" s="73"/>
      <c r="Y672" s="73"/>
      <c r="Z672" s="73"/>
      <c r="AA672" s="73"/>
      <c r="AB672" s="73"/>
      <c r="AC672" s="122"/>
      <c r="AD672" s="108"/>
      <c r="AF672" s="108"/>
      <c r="AG672" s="73"/>
      <c r="AH672" s="73"/>
      <c r="AI672" s="73"/>
      <c r="AJ672" s="73"/>
      <c r="AK672" s="73"/>
      <c r="AL672" s="73"/>
      <c r="AM672" s="73"/>
      <c r="AN672" s="73"/>
      <c r="AO672" s="73"/>
      <c r="AP672" s="73"/>
      <c r="DL672" s="34"/>
    </row>
    <row r="673" spans="10:116" x14ac:dyDescent="0.25">
      <c r="J673" s="73"/>
      <c r="K673" s="73"/>
      <c r="L673" s="73"/>
      <c r="M673" s="73"/>
      <c r="N673" s="73"/>
      <c r="O673" s="73"/>
      <c r="P673" s="73"/>
      <c r="Q673" s="73"/>
      <c r="R673" s="73"/>
      <c r="S673" s="73"/>
      <c r="T673" s="73"/>
      <c r="U673" s="73"/>
      <c r="V673" s="73"/>
      <c r="W673" s="73"/>
      <c r="X673" s="73"/>
      <c r="Y673" s="73"/>
      <c r="Z673" s="73"/>
      <c r="AA673" s="73"/>
      <c r="AB673" s="73"/>
      <c r="AC673" s="122"/>
      <c r="AD673" s="108"/>
      <c r="AF673" s="108"/>
      <c r="AG673" s="73"/>
      <c r="AH673" s="73"/>
      <c r="AI673" s="73"/>
      <c r="AJ673" s="73"/>
      <c r="AK673" s="73"/>
      <c r="AL673" s="73"/>
      <c r="AM673" s="73"/>
      <c r="AN673" s="73"/>
      <c r="AO673" s="73"/>
      <c r="AP673" s="73"/>
      <c r="DL673" s="34"/>
    </row>
    <row r="674" spans="10:116" x14ac:dyDescent="0.25">
      <c r="J674" s="73"/>
      <c r="K674" s="73"/>
      <c r="L674" s="73"/>
      <c r="M674" s="73"/>
      <c r="N674" s="73"/>
      <c r="O674" s="73"/>
      <c r="P674" s="73"/>
      <c r="Q674" s="73"/>
      <c r="R674" s="73"/>
      <c r="S674" s="73"/>
      <c r="T674" s="73"/>
      <c r="U674" s="73"/>
      <c r="V674" s="73"/>
      <c r="W674" s="73"/>
      <c r="X674" s="73"/>
      <c r="Y674" s="73"/>
      <c r="Z674" s="73"/>
      <c r="AA674" s="73"/>
      <c r="AB674" s="73"/>
      <c r="AC674" s="122"/>
      <c r="AD674" s="108"/>
      <c r="AF674" s="108"/>
      <c r="AG674" s="73"/>
      <c r="AH674" s="73"/>
      <c r="AI674" s="73"/>
      <c r="AJ674" s="73"/>
      <c r="AK674" s="73"/>
      <c r="AL674" s="73"/>
      <c r="AM674" s="73"/>
      <c r="AN674" s="73"/>
      <c r="AO674" s="73"/>
      <c r="AP674" s="73"/>
      <c r="DL674" s="34"/>
    </row>
    <row r="675" spans="10:116" x14ac:dyDescent="0.25">
      <c r="J675" s="73"/>
      <c r="K675" s="73"/>
      <c r="L675" s="73"/>
      <c r="M675" s="73"/>
      <c r="N675" s="73"/>
      <c r="O675" s="73"/>
      <c r="P675" s="73"/>
      <c r="Q675" s="73"/>
      <c r="R675" s="73"/>
      <c r="S675" s="73"/>
      <c r="T675" s="73"/>
      <c r="U675" s="73"/>
      <c r="V675" s="73"/>
      <c r="W675" s="73"/>
      <c r="X675" s="73"/>
      <c r="Y675" s="73"/>
      <c r="Z675" s="73"/>
      <c r="AA675" s="73"/>
      <c r="AB675" s="73"/>
      <c r="AC675" s="122"/>
      <c r="AD675" s="108"/>
      <c r="AF675" s="108"/>
      <c r="AG675" s="73"/>
      <c r="AH675" s="73"/>
      <c r="AI675" s="73"/>
      <c r="AJ675" s="73"/>
      <c r="AK675" s="73"/>
      <c r="AL675" s="73"/>
      <c r="AM675" s="73"/>
      <c r="AN675" s="73"/>
      <c r="AO675" s="73"/>
      <c r="AP675" s="73"/>
      <c r="DL675" s="34"/>
    </row>
    <row r="676" spans="10:116" x14ac:dyDescent="0.25">
      <c r="J676" s="73"/>
      <c r="K676" s="73"/>
      <c r="L676" s="73"/>
      <c r="M676" s="73"/>
      <c r="N676" s="73"/>
      <c r="O676" s="73"/>
      <c r="P676" s="73"/>
      <c r="Q676" s="73"/>
      <c r="R676" s="73"/>
      <c r="S676" s="73"/>
      <c r="T676" s="73"/>
      <c r="U676" s="73"/>
      <c r="V676" s="73"/>
      <c r="W676" s="73"/>
      <c r="X676" s="73"/>
      <c r="Y676" s="73"/>
      <c r="Z676" s="73"/>
      <c r="AA676" s="73"/>
      <c r="AB676" s="73"/>
      <c r="AC676" s="122"/>
      <c r="AD676" s="108"/>
      <c r="AF676" s="108"/>
      <c r="AG676" s="73"/>
      <c r="AH676" s="73"/>
      <c r="AI676" s="73"/>
      <c r="AJ676" s="73"/>
      <c r="AK676" s="73"/>
      <c r="AL676" s="73"/>
      <c r="AM676" s="73"/>
      <c r="AN676" s="73"/>
      <c r="AO676" s="73"/>
      <c r="AP676" s="73"/>
      <c r="DL676" s="34"/>
    </row>
    <row r="677" spans="10:116" x14ac:dyDescent="0.25">
      <c r="J677" s="73"/>
      <c r="K677" s="73"/>
      <c r="L677" s="73"/>
      <c r="M677" s="73"/>
      <c r="N677" s="73"/>
      <c r="O677" s="73"/>
      <c r="P677" s="73"/>
      <c r="Q677" s="73"/>
      <c r="R677" s="73"/>
      <c r="S677" s="73"/>
      <c r="T677" s="73"/>
      <c r="U677" s="73"/>
      <c r="V677" s="73"/>
      <c r="W677" s="73"/>
      <c r="X677" s="73"/>
      <c r="Y677" s="73"/>
      <c r="Z677" s="73"/>
      <c r="AA677" s="73"/>
      <c r="AB677" s="73"/>
      <c r="AC677" s="122"/>
      <c r="AD677" s="108"/>
      <c r="AF677" s="108"/>
      <c r="AG677" s="73"/>
      <c r="AH677" s="73"/>
      <c r="AI677" s="73"/>
      <c r="AJ677" s="73"/>
      <c r="AK677" s="73"/>
      <c r="AL677" s="73"/>
      <c r="AM677" s="73"/>
      <c r="AN677" s="73"/>
      <c r="AO677" s="73"/>
      <c r="AP677" s="73"/>
      <c r="DL677" s="34"/>
    </row>
    <row r="678" spans="10:116" x14ac:dyDescent="0.25">
      <c r="J678" s="73"/>
      <c r="K678" s="73"/>
      <c r="L678" s="73"/>
      <c r="M678" s="73"/>
      <c r="N678" s="73"/>
      <c r="O678" s="73"/>
      <c r="P678" s="73"/>
      <c r="Q678" s="73"/>
      <c r="R678" s="73"/>
      <c r="S678" s="73"/>
      <c r="T678" s="73"/>
      <c r="U678" s="73"/>
      <c r="V678" s="73"/>
      <c r="W678" s="73"/>
      <c r="X678" s="73"/>
      <c r="Y678" s="73"/>
      <c r="Z678" s="73"/>
      <c r="AA678" s="73"/>
      <c r="AB678" s="73"/>
      <c r="AC678" s="122"/>
      <c r="AD678" s="108"/>
      <c r="AF678" s="108"/>
      <c r="AG678" s="73"/>
      <c r="AH678" s="73"/>
      <c r="AI678" s="73"/>
      <c r="AJ678" s="73"/>
      <c r="AK678" s="73"/>
      <c r="AL678" s="73"/>
      <c r="AM678" s="73"/>
      <c r="AN678" s="73"/>
      <c r="AO678" s="73"/>
      <c r="AP678" s="73"/>
      <c r="DL678" s="34"/>
    </row>
    <row r="679" spans="10:116" x14ac:dyDescent="0.25">
      <c r="J679" s="73"/>
      <c r="K679" s="73"/>
      <c r="L679" s="73"/>
      <c r="M679" s="73"/>
      <c r="N679" s="73"/>
      <c r="O679" s="73"/>
      <c r="P679" s="73"/>
      <c r="Q679" s="73"/>
      <c r="R679" s="73"/>
      <c r="S679" s="73"/>
      <c r="T679" s="73"/>
      <c r="U679" s="73"/>
      <c r="V679" s="73"/>
      <c r="W679" s="73"/>
      <c r="X679" s="73"/>
      <c r="Y679" s="73"/>
      <c r="Z679" s="73"/>
      <c r="AA679" s="73"/>
      <c r="AB679" s="73"/>
      <c r="AC679" s="122"/>
      <c r="AD679" s="108"/>
      <c r="AF679" s="108"/>
      <c r="AG679" s="73"/>
      <c r="AH679" s="73"/>
      <c r="AI679" s="73"/>
      <c r="AJ679" s="73"/>
      <c r="AK679" s="73"/>
      <c r="AL679" s="73"/>
      <c r="AM679" s="73"/>
      <c r="AN679" s="73"/>
      <c r="AO679" s="73"/>
      <c r="AP679" s="73"/>
      <c r="DL679" s="34"/>
    </row>
    <row r="680" spans="10:116" x14ac:dyDescent="0.25">
      <c r="J680" s="73"/>
      <c r="K680" s="73"/>
      <c r="L680" s="73"/>
      <c r="M680" s="73"/>
      <c r="N680" s="73"/>
      <c r="O680" s="73"/>
      <c r="P680" s="73"/>
      <c r="Q680" s="73"/>
      <c r="R680" s="73"/>
      <c r="S680" s="73"/>
      <c r="T680" s="73"/>
      <c r="U680" s="73"/>
      <c r="V680" s="73"/>
      <c r="W680" s="73"/>
      <c r="X680" s="73"/>
      <c r="Y680" s="73"/>
      <c r="Z680" s="73"/>
      <c r="AA680" s="73"/>
      <c r="AB680" s="73"/>
      <c r="AC680" s="122"/>
      <c r="AD680" s="108"/>
      <c r="AF680" s="108"/>
      <c r="AG680" s="73"/>
      <c r="AH680" s="73"/>
      <c r="AI680" s="73"/>
      <c r="AJ680" s="73"/>
      <c r="AK680" s="73"/>
      <c r="AL680" s="73"/>
      <c r="AM680" s="73"/>
      <c r="AN680" s="73"/>
      <c r="AO680" s="73"/>
      <c r="AP680" s="73"/>
      <c r="DL680" s="34"/>
    </row>
    <row r="681" spans="10:116" x14ac:dyDescent="0.25">
      <c r="J681" s="73"/>
      <c r="K681" s="73"/>
      <c r="L681" s="73"/>
      <c r="M681" s="73"/>
      <c r="N681" s="73"/>
      <c r="O681" s="73"/>
      <c r="P681" s="73"/>
      <c r="Q681" s="73"/>
      <c r="R681" s="73"/>
      <c r="S681" s="73"/>
      <c r="T681" s="73"/>
      <c r="U681" s="73"/>
      <c r="V681" s="73"/>
      <c r="W681" s="73"/>
      <c r="X681" s="73"/>
      <c r="Y681" s="73"/>
      <c r="Z681" s="73"/>
      <c r="AA681" s="73"/>
      <c r="AB681" s="73"/>
      <c r="AC681" s="122"/>
      <c r="AD681" s="108"/>
      <c r="AF681" s="108"/>
      <c r="AG681" s="73"/>
      <c r="AH681" s="73"/>
      <c r="AI681" s="73"/>
      <c r="AJ681" s="73"/>
      <c r="AK681" s="73"/>
      <c r="AL681" s="73"/>
      <c r="AM681" s="73"/>
      <c r="AN681" s="73"/>
      <c r="AO681" s="73"/>
      <c r="AP681" s="73"/>
      <c r="DL681" s="34"/>
    </row>
    <row r="682" spans="10:116" x14ac:dyDescent="0.25">
      <c r="J682" s="73"/>
      <c r="K682" s="73"/>
      <c r="L682" s="73"/>
      <c r="M682" s="73"/>
      <c r="N682" s="73"/>
      <c r="O682" s="73"/>
      <c r="P682" s="73"/>
      <c r="Q682" s="73"/>
      <c r="R682" s="73"/>
      <c r="S682" s="73"/>
      <c r="T682" s="73"/>
      <c r="U682" s="73"/>
      <c r="V682" s="73"/>
      <c r="W682" s="73"/>
      <c r="X682" s="73"/>
      <c r="Y682" s="73"/>
      <c r="Z682" s="73"/>
      <c r="AA682" s="73"/>
      <c r="AB682" s="73"/>
      <c r="AC682" s="122"/>
      <c r="AD682" s="108"/>
      <c r="AF682" s="108"/>
      <c r="AG682" s="73"/>
      <c r="AH682" s="73"/>
      <c r="AI682" s="73"/>
      <c r="AJ682" s="73"/>
      <c r="AK682" s="73"/>
      <c r="AL682" s="73"/>
      <c r="AM682" s="73"/>
      <c r="AN682" s="73"/>
      <c r="AO682" s="73"/>
      <c r="AP682" s="73"/>
      <c r="DL682" s="34"/>
    </row>
    <row r="683" spans="10:116" x14ac:dyDescent="0.25">
      <c r="J683" s="73"/>
      <c r="K683" s="73"/>
      <c r="L683" s="73"/>
      <c r="M683" s="73"/>
      <c r="N683" s="73"/>
      <c r="O683" s="73"/>
      <c r="P683" s="73"/>
      <c r="Q683" s="73"/>
      <c r="R683" s="73"/>
      <c r="S683" s="73"/>
      <c r="T683" s="73"/>
      <c r="U683" s="73"/>
      <c r="V683" s="73"/>
      <c r="W683" s="73"/>
      <c r="X683" s="73"/>
      <c r="Y683" s="73"/>
      <c r="Z683" s="73"/>
      <c r="AA683" s="73"/>
      <c r="AB683" s="73"/>
      <c r="AC683" s="122"/>
      <c r="AD683" s="108"/>
      <c r="AF683" s="108"/>
      <c r="AG683" s="73"/>
      <c r="AH683" s="73"/>
      <c r="AI683" s="73"/>
      <c r="AJ683" s="73"/>
      <c r="AK683" s="73"/>
      <c r="AL683" s="73"/>
      <c r="AM683" s="73"/>
      <c r="AN683" s="73"/>
      <c r="AO683" s="73"/>
      <c r="AP683" s="73"/>
      <c r="DL683" s="34"/>
    </row>
    <row r="684" spans="10:116" x14ac:dyDescent="0.25">
      <c r="J684" s="73"/>
      <c r="K684" s="73"/>
      <c r="L684" s="73"/>
      <c r="M684" s="73"/>
      <c r="N684" s="73"/>
      <c r="O684" s="73"/>
      <c r="P684" s="73"/>
      <c r="Q684" s="73"/>
      <c r="R684" s="73"/>
      <c r="S684" s="73"/>
      <c r="T684" s="73"/>
      <c r="U684" s="73"/>
      <c r="V684" s="73"/>
      <c r="W684" s="73"/>
      <c r="X684" s="73"/>
      <c r="Y684" s="73"/>
      <c r="Z684" s="73"/>
      <c r="AA684" s="73"/>
      <c r="AB684" s="73"/>
      <c r="AC684" s="122"/>
      <c r="AD684" s="108"/>
      <c r="AF684" s="108"/>
      <c r="AG684" s="73"/>
      <c r="AH684" s="73"/>
      <c r="AI684" s="73"/>
      <c r="AJ684" s="73"/>
      <c r="AK684" s="73"/>
      <c r="AL684" s="73"/>
      <c r="AM684" s="73"/>
      <c r="AN684" s="73"/>
      <c r="AO684" s="73"/>
      <c r="AP684" s="73"/>
      <c r="DL684" s="34"/>
    </row>
    <row r="685" spans="10:116" x14ac:dyDescent="0.25">
      <c r="J685" s="73"/>
      <c r="K685" s="73"/>
      <c r="L685" s="73"/>
      <c r="M685" s="73"/>
      <c r="N685" s="73"/>
      <c r="O685" s="73"/>
      <c r="P685" s="73"/>
      <c r="Q685" s="73"/>
      <c r="R685" s="73"/>
      <c r="S685" s="73"/>
      <c r="T685" s="73"/>
      <c r="U685" s="73"/>
      <c r="V685" s="73"/>
      <c r="W685" s="73"/>
      <c r="X685" s="73"/>
      <c r="Y685" s="73"/>
      <c r="Z685" s="73"/>
      <c r="AA685" s="73"/>
      <c r="AB685" s="73"/>
      <c r="AC685" s="122"/>
      <c r="AD685" s="108"/>
      <c r="AF685" s="108"/>
      <c r="AG685" s="73"/>
      <c r="AH685" s="73"/>
      <c r="AI685" s="73"/>
      <c r="AJ685" s="73"/>
      <c r="AK685" s="73"/>
      <c r="AL685" s="73"/>
      <c r="AM685" s="73"/>
      <c r="AN685" s="73"/>
      <c r="AO685" s="73"/>
      <c r="AP685" s="73"/>
      <c r="DL685" s="34"/>
    </row>
    <row r="686" spans="10:116" x14ac:dyDescent="0.25">
      <c r="J686" s="73"/>
      <c r="K686" s="73"/>
      <c r="L686" s="73"/>
      <c r="M686" s="73"/>
      <c r="N686" s="73"/>
      <c r="O686" s="73"/>
      <c r="P686" s="73"/>
      <c r="Q686" s="73"/>
      <c r="R686" s="73"/>
      <c r="S686" s="73"/>
      <c r="T686" s="73"/>
      <c r="U686" s="73"/>
      <c r="V686" s="73"/>
      <c r="W686" s="73"/>
      <c r="X686" s="73"/>
      <c r="Y686" s="73"/>
      <c r="Z686" s="73"/>
      <c r="AA686" s="73"/>
      <c r="AB686" s="73"/>
      <c r="AC686" s="122"/>
      <c r="AD686" s="108"/>
      <c r="AF686" s="108"/>
      <c r="AG686" s="73"/>
      <c r="AH686" s="73"/>
      <c r="AI686" s="73"/>
      <c r="AJ686" s="73"/>
      <c r="AK686" s="73"/>
      <c r="AL686" s="73"/>
      <c r="AM686" s="73"/>
      <c r="AN686" s="73"/>
      <c r="AO686" s="73"/>
      <c r="AP686" s="73"/>
      <c r="DL686" s="34"/>
    </row>
    <row r="687" spans="10:116" x14ac:dyDescent="0.25">
      <c r="J687" s="73"/>
      <c r="K687" s="73"/>
      <c r="L687" s="73"/>
      <c r="M687" s="73"/>
      <c r="N687" s="73"/>
      <c r="O687" s="73"/>
      <c r="P687" s="73"/>
      <c r="Q687" s="73"/>
      <c r="R687" s="73"/>
      <c r="S687" s="73"/>
      <c r="T687" s="73"/>
      <c r="U687" s="73"/>
      <c r="V687" s="73"/>
      <c r="W687" s="73"/>
      <c r="X687" s="73"/>
      <c r="Y687" s="73"/>
      <c r="Z687" s="73"/>
      <c r="AA687" s="73"/>
      <c r="AB687" s="73"/>
      <c r="AC687" s="122"/>
      <c r="AD687" s="108"/>
      <c r="AF687" s="108"/>
      <c r="AG687" s="73"/>
      <c r="AH687" s="73"/>
      <c r="AI687" s="73"/>
      <c r="AJ687" s="73"/>
      <c r="AK687" s="73"/>
      <c r="AL687" s="73"/>
      <c r="AM687" s="73"/>
      <c r="AN687" s="73"/>
      <c r="AO687" s="73"/>
      <c r="AP687" s="73"/>
      <c r="DL687" s="34"/>
    </row>
    <row r="688" spans="10:116" x14ac:dyDescent="0.25">
      <c r="J688" s="73"/>
      <c r="K688" s="73"/>
      <c r="L688" s="73"/>
      <c r="M688" s="73"/>
      <c r="N688" s="73"/>
      <c r="O688" s="73"/>
      <c r="P688" s="73"/>
      <c r="Q688" s="73"/>
      <c r="R688" s="73"/>
      <c r="S688" s="73"/>
      <c r="T688" s="73"/>
      <c r="U688" s="73"/>
      <c r="V688" s="73"/>
      <c r="W688" s="73"/>
      <c r="X688" s="73"/>
      <c r="Y688" s="73"/>
      <c r="Z688" s="73"/>
      <c r="AA688" s="73"/>
      <c r="AB688" s="73"/>
      <c r="AC688" s="122"/>
      <c r="AD688" s="108"/>
      <c r="AF688" s="108"/>
      <c r="AG688" s="73"/>
      <c r="AH688" s="73"/>
      <c r="AI688" s="73"/>
      <c r="AJ688" s="73"/>
      <c r="AK688" s="73"/>
      <c r="AL688" s="73"/>
      <c r="AM688" s="73"/>
      <c r="AN688" s="73"/>
      <c r="AO688" s="73"/>
      <c r="AP688" s="73"/>
      <c r="DL688" s="34"/>
    </row>
    <row r="689" spans="10:116" x14ac:dyDescent="0.25">
      <c r="J689" s="73"/>
      <c r="K689" s="73"/>
      <c r="L689" s="73"/>
      <c r="M689" s="73"/>
      <c r="N689" s="73"/>
      <c r="O689" s="73"/>
      <c r="P689" s="73"/>
      <c r="Q689" s="73"/>
      <c r="R689" s="73"/>
      <c r="S689" s="73"/>
      <c r="T689" s="73"/>
      <c r="U689" s="73"/>
      <c r="V689" s="73"/>
      <c r="W689" s="73"/>
      <c r="X689" s="73"/>
      <c r="Y689" s="73"/>
      <c r="Z689" s="73"/>
      <c r="AA689" s="73"/>
      <c r="AB689" s="73"/>
      <c r="AC689" s="122"/>
      <c r="AD689" s="108"/>
      <c r="AF689" s="108"/>
      <c r="AG689" s="73"/>
      <c r="AH689" s="73"/>
      <c r="AI689" s="73"/>
      <c r="AJ689" s="73"/>
      <c r="AK689" s="73"/>
      <c r="AL689" s="73"/>
      <c r="AM689" s="73"/>
      <c r="AN689" s="73"/>
      <c r="AO689" s="73"/>
      <c r="AP689" s="73"/>
      <c r="DL689" s="34"/>
    </row>
    <row r="690" spans="10:116" x14ac:dyDescent="0.25">
      <c r="J690" s="73"/>
      <c r="K690" s="73"/>
      <c r="L690" s="73"/>
      <c r="M690" s="73"/>
      <c r="N690" s="73"/>
      <c r="O690" s="73"/>
      <c r="P690" s="73"/>
      <c r="Q690" s="73"/>
      <c r="R690" s="73"/>
      <c r="S690" s="73"/>
      <c r="T690" s="73"/>
      <c r="U690" s="73"/>
      <c r="V690" s="73"/>
      <c r="W690" s="73"/>
      <c r="X690" s="73"/>
      <c r="Y690" s="73"/>
      <c r="Z690" s="73"/>
      <c r="AA690" s="73"/>
      <c r="AB690" s="73"/>
      <c r="AC690" s="122"/>
      <c r="AD690" s="108"/>
      <c r="AF690" s="108"/>
      <c r="AG690" s="73"/>
      <c r="AH690" s="73"/>
      <c r="AI690" s="73"/>
      <c r="AJ690" s="73"/>
      <c r="AK690" s="73"/>
      <c r="AL690" s="73"/>
      <c r="AM690" s="73"/>
      <c r="AN690" s="73"/>
      <c r="AO690" s="73"/>
      <c r="AP690" s="73"/>
      <c r="DL690" s="34"/>
    </row>
    <row r="691" spans="10:116" x14ac:dyDescent="0.25">
      <c r="J691" s="73"/>
      <c r="K691" s="73"/>
      <c r="L691" s="73"/>
      <c r="M691" s="73"/>
      <c r="N691" s="73"/>
      <c r="O691" s="73"/>
      <c r="P691" s="73"/>
      <c r="Q691" s="73"/>
      <c r="R691" s="73"/>
      <c r="S691" s="73"/>
      <c r="T691" s="73"/>
      <c r="U691" s="73"/>
      <c r="V691" s="73"/>
      <c r="W691" s="73"/>
      <c r="X691" s="73"/>
      <c r="Y691" s="73"/>
      <c r="Z691" s="73"/>
      <c r="AA691" s="73"/>
      <c r="AB691" s="73"/>
      <c r="AC691" s="122"/>
      <c r="AD691" s="108"/>
      <c r="AF691" s="108"/>
      <c r="AG691" s="73"/>
      <c r="AH691" s="73"/>
      <c r="AI691" s="73"/>
      <c r="AJ691" s="73"/>
      <c r="AK691" s="73"/>
      <c r="AL691" s="73"/>
      <c r="AM691" s="73"/>
      <c r="AN691" s="73"/>
      <c r="AO691" s="73"/>
      <c r="AP691" s="73"/>
      <c r="DL691" s="34"/>
    </row>
    <row r="692" spans="10:116" x14ac:dyDescent="0.25">
      <c r="J692" s="73"/>
      <c r="K692" s="73"/>
      <c r="L692" s="73"/>
      <c r="M692" s="73"/>
      <c r="N692" s="73"/>
      <c r="O692" s="73"/>
      <c r="P692" s="73"/>
      <c r="Q692" s="73"/>
      <c r="R692" s="73"/>
      <c r="S692" s="73"/>
      <c r="T692" s="73"/>
      <c r="U692" s="73"/>
      <c r="V692" s="73"/>
      <c r="W692" s="73"/>
      <c r="X692" s="73"/>
      <c r="Y692" s="73"/>
      <c r="Z692" s="73"/>
      <c r="AA692" s="73"/>
      <c r="AB692" s="73"/>
      <c r="AC692" s="122"/>
      <c r="AD692" s="108"/>
      <c r="AF692" s="108"/>
      <c r="AG692" s="73"/>
      <c r="AH692" s="73"/>
      <c r="AI692" s="73"/>
      <c r="AJ692" s="73"/>
      <c r="AK692" s="73"/>
      <c r="AL692" s="73"/>
      <c r="AM692" s="73"/>
      <c r="AN692" s="73"/>
      <c r="AO692" s="73"/>
      <c r="AP692" s="73"/>
      <c r="DL692" s="34"/>
    </row>
    <row r="693" spans="10:116" x14ac:dyDescent="0.25">
      <c r="J693" s="73"/>
      <c r="K693" s="73"/>
      <c r="L693" s="73"/>
      <c r="M693" s="73"/>
      <c r="N693" s="73"/>
      <c r="O693" s="73"/>
      <c r="P693" s="73"/>
      <c r="Q693" s="73"/>
      <c r="R693" s="73"/>
      <c r="S693" s="73"/>
      <c r="T693" s="73"/>
      <c r="U693" s="73"/>
      <c r="V693" s="73"/>
      <c r="W693" s="73"/>
      <c r="X693" s="73"/>
      <c r="Y693" s="73"/>
      <c r="Z693" s="73"/>
      <c r="AA693" s="73"/>
      <c r="AB693" s="73"/>
      <c r="AC693" s="122"/>
      <c r="AD693" s="108"/>
      <c r="AF693" s="108"/>
      <c r="AG693" s="73"/>
      <c r="AH693" s="73"/>
      <c r="AI693" s="73"/>
      <c r="AJ693" s="73"/>
      <c r="AK693" s="73"/>
      <c r="AL693" s="73"/>
      <c r="AM693" s="73"/>
      <c r="AN693" s="73"/>
      <c r="AO693" s="73"/>
      <c r="AP693" s="73"/>
      <c r="DL693" s="34"/>
    </row>
    <row r="694" spans="10:116" x14ac:dyDescent="0.25">
      <c r="J694" s="73"/>
      <c r="K694" s="73"/>
      <c r="L694" s="73"/>
      <c r="M694" s="73"/>
      <c r="N694" s="73"/>
      <c r="O694" s="73"/>
      <c r="P694" s="73"/>
      <c r="Q694" s="73"/>
      <c r="R694" s="73"/>
      <c r="S694" s="73"/>
      <c r="T694" s="73"/>
      <c r="U694" s="73"/>
      <c r="V694" s="73"/>
      <c r="W694" s="73"/>
      <c r="X694" s="73"/>
      <c r="Y694" s="73"/>
      <c r="Z694" s="73"/>
      <c r="AA694" s="73"/>
      <c r="AB694" s="73"/>
      <c r="AC694" s="122"/>
      <c r="AD694" s="108"/>
      <c r="AF694" s="108"/>
      <c r="AG694" s="73"/>
      <c r="AH694" s="73"/>
      <c r="AI694" s="73"/>
      <c r="AJ694" s="73"/>
      <c r="AK694" s="73"/>
      <c r="AL694" s="73"/>
      <c r="AM694" s="73"/>
      <c r="AN694" s="73"/>
      <c r="AO694" s="73"/>
      <c r="AP694" s="73"/>
      <c r="DL694" s="34"/>
    </row>
    <row r="695" spans="10:116" x14ac:dyDescent="0.25">
      <c r="J695" s="73"/>
      <c r="K695" s="73"/>
      <c r="L695" s="73"/>
      <c r="M695" s="73"/>
      <c r="N695" s="73"/>
      <c r="O695" s="73"/>
      <c r="P695" s="73"/>
      <c r="Q695" s="73"/>
      <c r="R695" s="73"/>
      <c r="S695" s="73"/>
      <c r="T695" s="73"/>
      <c r="U695" s="73"/>
      <c r="V695" s="73"/>
      <c r="W695" s="73"/>
      <c r="X695" s="73"/>
      <c r="Y695" s="73"/>
      <c r="Z695" s="73"/>
      <c r="AA695" s="73"/>
      <c r="AB695" s="73"/>
      <c r="AC695" s="122"/>
      <c r="AD695" s="108"/>
      <c r="AF695" s="108"/>
      <c r="AG695" s="73"/>
      <c r="AH695" s="73"/>
      <c r="AI695" s="73"/>
      <c r="AJ695" s="73"/>
      <c r="AK695" s="73"/>
      <c r="AL695" s="73"/>
      <c r="AM695" s="73"/>
      <c r="AN695" s="73"/>
      <c r="AO695" s="73"/>
      <c r="AP695" s="73"/>
      <c r="DL695" s="34"/>
    </row>
    <row r="696" spans="10:116" x14ac:dyDescent="0.25">
      <c r="J696" s="73"/>
      <c r="K696" s="73"/>
      <c r="L696" s="73"/>
      <c r="M696" s="73"/>
      <c r="N696" s="73"/>
      <c r="O696" s="73"/>
      <c r="P696" s="73"/>
      <c r="Q696" s="73"/>
      <c r="R696" s="73"/>
      <c r="S696" s="73"/>
      <c r="T696" s="73"/>
      <c r="U696" s="73"/>
      <c r="V696" s="73"/>
      <c r="W696" s="73"/>
      <c r="X696" s="73"/>
      <c r="Y696" s="73"/>
      <c r="Z696" s="73"/>
      <c r="AA696" s="73"/>
      <c r="AB696" s="73"/>
      <c r="AC696" s="122"/>
      <c r="AD696" s="108"/>
      <c r="AF696" s="108"/>
      <c r="AG696" s="73"/>
      <c r="AH696" s="73"/>
      <c r="AI696" s="73"/>
      <c r="AJ696" s="73"/>
      <c r="AK696" s="73"/>
      <c r="AL696" s="73"/>
      <c r="AM696" s="73"/>
      <c r="AN696" s="73"/>
      <c r="AO696" s="73"/>
      <c r="AP696" s="73"/>
      <c r="DL696" s="34"/>
    </row>
    <row r="697" spans="10:116" x14ac:dyDescent="0.25">
      <c r="J697" s="73"/>
      <c r="K697" s="73"/>
      <c r="L697" s="73"/>
      <c r="M697" s="73"/>
      <c r="N697" s="73"/>
      <c r="O697" s="73"/>
      <c r="P697" s="73"/>
      <c r="Q697" s="73"/>
      <c r="R697" s="73"/>
      <c r="S697" s="73"/>
      <c r="T697" s="73"/>
      <c r="U697" s="73"/>
      <c r="V697" s="73"/>
      <c r="W697" s="73"/>
      <c r="X697" s="73"/>
      <c r="Y697" s="73"/>
      <c r="Z697" s="73"/>
      <c r="AA697" s="73"/>
      <c r="AB697" s="73"/>
      <c r="AC697" s="122"/>
      <c r="AD697" s="108"/>
      <c r="AF697" s="108"/>
      <c r="AG697" s="73"/>
      <c r="AH697" s="73"/>
      <c r="AI697" s="73"/>
      <c r="AJ697" s="73"/>
      <c r="AK697" s="73"/>
      <c r="AL697" s="73"/>
      <c r="AM697" s="73"/>
      <c r="AN697" s="73"/>
      <c r="AO697" s="73"/>
      <c r="AP697" s="73"/>
      <c r="DL697" s="34"/>
    </row>
    <row r="698" spans="10:116" x14ac:dyDescent="0.25">
      <c r="J698" s="73"/>
      <c r="K698" s="73"/>
      <c r="L698" s="73"/>
      <c r="M698" s="73"/>
      <c r="N698" s="73"/>
      <c r="O698" s="73"/>
      <c r="P698" s="73"/>
      <c r="Q698" s="73"/>
      <c r="R698" s="73"/>
      <c r="S698" s="73"/>
      <c r="T698" s="73"/>
      <c r="U698" s="73"/>
      <c r="V698" s="73"/>
      <c r="W698" s="73"/>
      <c r="X698" s="73"/>
      <c r="Y698" s="73"/>
      <c r="Z698" s="73"/>
      <c r="AA698" s="73"/>
      <c r="AB698" s="73"/>
      <c r="AC698" s="122"/>
      <c r="AD698" s="108"/>
      <c r="AF698" s="108"/>
      <c r="AG698" s="73"/>
      <c r="AH698" s="73"/>
      <c r="AI698" s="73"/>
      <c r="AJ698" s="73"/>
      <c r="AK698" s="73"/>
      <c r="AL698" s="73"/>
      <c r="AM698" s="73"/>
      <c r="AN698" s="73"/>
      <c r="AO698" s="73"/>
      <c r="AP698" s="73"/>
      <c r="DL698" s="34"/>
    </row>
    <row r="699" spans="10:116" x14ac:dyDescent="0.25">
      <c r="J699" s="73"/>
      <c r="K699" s="73"/>
      <c r="L699" s="73"/>
      <c r="M699" s="73"/>
      <c r="N699" s="73"/>
      <c r="O699" s="73"/>
      <c r="P699" s="73"/>
      <c r="Q699" s="73"/>
      <c r="R699" s="73"/>
      <c r="S699" s="73"/>
      <c r="T699" s="73"/>
      <c r="U699" s="73"/>
      <c r="V699" s="73"/>
      <c r="W699" s="73"/>
      <c r="X699" s="73"/>
      <c r="Y699" s="73"/>
      <c r="Z699" s="73"/>
      <c r="AA699" s="73"/>
      <c r="AB699" s="73"/>
      <c r="AC699" s="122"/>
      <c r="AD699" s="108"/>
      <c r="AF699" s="108"/>
      <c r="AG699" s="73"/>
      <c r="AH699" s="73"/>
      <c r="AI699" s="73"/>
      <c r="AJ699" s="73"/>
      <c r="AK699" s="73"/>
      <c r="AL699" s="73"/>
      <c r="AM699" s="73"/>
      <c r="AN699" s="73"/>
      <c r="AO699" s="73"/>
      <c r="AP699" s="73"/>
      <c r="DL699" s="34"/>
    </row>
    <row r="700" spans="10:116" x14ac:dyDescent="0.25">
      <c r="J700" s="73"/>
      <c r="K700" s="73"/>
      <c r="L700" s="73"/>
      <c r="M700" s="73"/>
      <c r="N700" s="73"/>
      <c r="O700" s="73"/>
      <c r="P700" s="73"/>
      <c r="Q700" s="73"/>
      <c r="R700" s="73"/>
      <c r="S700" s="73"/>
      <c r="T700" s="73"/>
      <c r="U700" s="73"/>
      <c r="V700" s="73"/>
      <c r="W700" s="73"/>
      <c r="X700" s="73"/>
      <c r="Y700" s="73"/>
      <c r="Z700" s="73"/>
      <c r="AA700" s="73"/>
      <c r="AB700" s="73"/>
      <c r="AC700" s="122"/>
      <c r="AD700" s="108"/>
      <c r="AF700" s="108"/>
      <c r="AG700" s="73"/>
      <c r="AH700" s="73"/>
      <c r="AI700" s="73"/>
      <c r="AJ700" s="73"/>
      <c r="AK700" s="73"/>
      <c r="AL700" s="73"/>
      <c r="AM700" s="73"/>
      <c r="AN700" s="73"/>
      <c r="AO700" s="73"/>
      <c r="AP700" s="73"/>
      <c r="DL700" s="34"/>
    </row>
    <row r="701" spans="10:116" x14ac:dyDescent="0.25">
      <c r="J701" s="73"/>
      <c r="K701" s="73"/>
      <c r="L701" s="73"/>
      <c r="M701" s="73"/>
      <c r="N701" s="73"/>
      <c r="O701" s="73"/>
      <c r="P701" s="73"/>
      <c r="Q701" s="73"/>
      <c r="R701" s="73"/>
      <c r="S701" s="73"/>
      <c r="T701" s="73"/>
      <c r="U701" s="73"/>
      <c r="V701" s="73"/>
      <c r="W701" s="73"/>
      <c r="X701" s="73"/>
      <c r="Y701" s="73"/>
      <c r="Z701" s="73"/>
      <c r="AA701" s="73"/>
      <c r="AB701" s="73"/>
      <c r="AC701" s="122"/>
      <c r="AD701" s="108"/>
      <c r="AF701" s="108"/>
      <c r="AG701" s="73"/>
      <c r="AH701" s="73"/>
      <c r="AI701" s="73"/>
      <c r="AJ701" s="73"/>
      <c r="AK701" s="73"/>
      <c r="AL701" s="73"/>
      <c r="AM701" s="73"/>
      <c r="AN701" s="73"/>
      <c r="AO701" s="73"/>
      <c r="AP701" s="73"/>
      <c r="DL701" s="34"/>
    </row>
    <row r="702" spans="10:116" x14ac:dyDescent="0.25">
      <c r="J702" s="73"/>
      <c r="K702" s="73"/>
      <c r="L702" s="73"/>
      <c r="M702" s="73"/>
      <c r="N702" s="73"/>
      <c r="O702" s="73"/>
      <c r="P702" s="73"/>
      <c r="Q702" s="73"/>
      <c r="R702" s="73"/>
      <c r="S702" s="73"/>
      <c r="T702" s="73"/>
      <c r="U702" s="73"/>
      <c r="V702" s="73"/>
      <c r="W702" s="73"/>
      <c r="X702" s="73"/>
      <c r="Y702" s="73"/>
      <c r="Z702" s="73"/>
      <c r="AA702" s="73"/>
      <c r="AB702" s="73"/>
      <c r="AC702" s="122"/>
      <c r="AD702" s="108"/>
      <c r="AF702" s="108"/>
      <c r="AG702" s="73"/>
      <c r="AH702" s="73"/>
      <c r="AI702" s="73"/>
      <c r="AJ702" s="73"/>
      <c r="AK702" s="73"/>
      <c r="AL702" s="73"/>
      <c r="AM702" s="73"/>
      <c r="AN702" s="73"/>
      <c r="AO702" s="73"/>
      <c r="AP702" s="73"/>
      <c r="DL702" s="34"/>
    </row>
    <row r="703" spans="10:116" x14ac:dyDescent="0.25">
      <c r="J703" s="73"/>
      <c r="K703" s="73"/>
      <c r="L703" s="73"/>
      <c r="M703" s="73"/>
      <c r="N703" s="73"/>
      <c r="O703" s="73"/>
      <c r="P703" s="73"/>
      <c r="Q703" s="73"/>
      <c r="R703" s="73"/>
      <c r="S703" s="73"/>
      <c r="T703" s="73"/>
      <c r="U703" s="73"/>
      <c r="V703" s="73"/>
      <c r="W703" s="73"/>
      <c r="X703" s="73"/>
      <c r="Y703" s="73"/>
      <c r="Z703" s="73"/>
      <c r="AA703" s="73"/>
      <c r="AB703" s="73"/>
      <c r="AC703" s="122"/>
      <c r="AD703" s="108"/>
      <c r="AF703" s="108"/>
      <c r="AG703" s="73"/>
      <c r="AH703" s="73"/>
      <c r="AI703" s="73"/>
      <c r="AJ703" s="73"/>
      <c r="AK703" s="73"/>
      <c r="AL703" s="73"/>
      <c r="AM703" s="73"/>
      <c r="AN703" s="73"/>
      <c r="AO703" s="73"/>
      <c r="AP703" s="73"/>
      <c r="DL703" s="34"/>
    </row>
    <row r="704" spans="10:116" x14ac:dyDescent="0.25">
      <c r="J704" s="73"/>
      <c r="K704" s="73"/>
      <c r="L704" s="73"/>
      <c r="M704" s="73"/>
      <c r="N704" s="73"/>
      <c r="O704" s="73"/>
      <c r="P704" s="73"/>
      <c r="Q704" s="73"/>
      <c r="R704" s="73"/>
      <c r="S704" s="73"/>
      <c r="T704" s="73"/>
      <c r="U704" s="73"/>
      <c r="V704" s="73"/>
      <c r="W704" s="73"/>
      <c r="X704" s="73"/>
      <c r="Y704" s="73"/>
      <c r="Z704" s="73"/>
      <c r="AA704" s="73"/>
      <c r="AB704" s="73"/>
      <c r="AC704" s="122"/>
      <c r="AD704" s="108"/>
      <c r="AF704" s="108"/>
      <c r="AG704" s="73"/>
      <c r="AH704" s="73"/>
      <c r="AI704" s="73"/>
      <c r="AJ704" s="73"/>
      <c r="AK704" s="73"/>
      <c r="AL704" s="73"/>
      <c r="AM704" s="73"/>
      <c r="AN704" s="73"/>
      <c r="AO704" s="73"/>
      <c r="AP704" s="73"/>
      <c r="DL704" s="34"/>
    </row>
    <row r="705" spans="10:116" x14ac:dyDescent="0.25">
      <c r="J705" s="73"/>
      <c r="K705" s="73"/>
      <c r="L705" s="73"/>
      <c r="M705" s="73"/>
      <c r="N705" s="73"/>
      <c r="O705" s="73"/>
      <c r="P705" s="73"/>
      <c r="Q705" s="73"/>
      <c r="R705" s="73"/>
      <c r="S705" s="73"/>
      <c r="T705" s="73"/>
      <c r="U705" s="73"/>
      <c r="V705" s="73"/>
      <c r="W705" s="73"/>
      <c r="X705" s="73"/>
      <c r="Y705" s="73"/>
      <c r="Z705" s="73"/>
      <c r="AA705" s="73"/>
      <c r="AB705" s="73"/>
      <c r="AC705" s="122"/>
      <c r="AD705" s="108"/>
      <c r="AF705" s="108"/>
      <c r="AG705" s="73"/>
      <c r="AH705" s="73"/>
      <c r="AI705" s="73"/>
      <c r="AJ705" s="73"/>
      <c r="AK705" s="73"/>
      <c r="AL705" s="73"/>
      <c r="AM705" s="73"/>
      <c r="AN705" s="73"/>
      <c r="AO705" s="73"/>
      <c r="AP705" s="73"/>
      <c r="DL705" s="34"/>
    </row>
    <row r="706" spans="10:116" x14ac:dyDescent="0.25">
      <c r="J706" s="73"/>
      <c r="K706" s="73"/>
      <c r="L706" s="73"/>
      <c r="M706" s="73"/>
      <c r="N706" s="73"/>
      <c r="O706" s="73"/>
      <c r="P706" s="73"/>
      <c r="Q706" s="73"/>
      <c r="R706" s="73"/>
      <c r="S706" s="73"/>
      <c r="T706" s="73"/>
      <c r="U706" s="73"/>
      <c r="V706" s="73"/>
      <c r="W706" s="73"/>
      <c r="X706" s="73"/>
      <c r="Y706" s="73"/>
      <c r="Z706" s="73"/>
      <c r="AA706" s="73"/>
      <c r="AB706" s="73"/>
      <c r="AC706" s="122"/>
      <c r="AD706" s="108"/>
      <c r="AF706" s="108"/>
      <c r="AG706" s="73"/>
      <c r="AH706" s="73"/>
      <c r="AI706" s="73"/>
      <c r="AJ706" s="73"/>
      <c r="AK706" s="73"/>
      <c r="AL706" s="73"/>
      <c r="AM706" s="73"/>
      <c r="AN706" s="73"/>
      <c r="AO706" s="73"/>
      <c r="AP706" s="73"/>
      <c r="DL706" s="34"/>
    </row>
    <row r="707" spans="10:116" x14ac:dyDescent="0.25">
      <c r="J707" s="73"/>
      <c r="K707" s="73"/>
      <c r="L707" s="73"/>
      <c r="M707" s="73"/>
      <c r="N707" s="73"/>
      <c r="O707" s="73"/>
      <c r="P707" s="73"/>
      <c r="Q707" s="73"/>
      <c r="R707" s="73"/>
      <c r="S707" s="73"/>
      <c r="T707" s="73"/>
      <c r="U707" s="73"/>
      <c r="V707" s="73"/>
      <c r="W707" s="73"/>
      <c r="X707" s="73"/>
      <c r="Y707" s="73"/>
      <c r="Z707" s="73"/>
      <c r="AA707" s="73"/>
      <c r="AB707" s="73"/>
      <c r="AC707" s="122"/>
      <c r="AD707" s="108"/>
      <c r="AF707" s="108"/>
      <c r="AG707" s="73"/>
      <c r="AH707" s="73"/>
      <c r="AI707" s="73"/>
      <c r="AJ707" s="73"/>
      <c r="AK707" s="73"/>
      <c r="AL707" s="73"/>
      <c r="AM707" s="73"/>
      <c r="AN707" s="73"/>
      <c r="AO707" s="73"/>
      <c r="AP707" s="73"/>
      <c r="DL707" s="34"/>
    </row>
    <row r="708" spans="10:116" x14ac:dyDescent="0.25">
      <c r="J708" s="73"/>
      <c r="K708" s="73"/>
      <c r="L708" s="73"/>
      <c r="M708" s="73"/>
      <c r="N708" s="73"/>
      <c r="O708" s="73"/>
      <c r="P708" s="73"/>
      <c r="Q708" s="73"/>
      <c r="R708" s="73"/>
      <c r="S708" s="73"/>
      <c r="T708" s="73"/>
      <c r="U708" s="73"/>
      <c r="V708" s="73"/>
      <c r="W708" s="73"/>
      <c r="X708" s="73"/>
      <c r="Y708" s="73"/>
      <c r="Z708" s="73"/>
      <c r="AA708" s="73"/>
      <c r="AB708" s="73"/>
      <c r="AC708" s="122"/>
      <c r="AD708" s="108"/>
      <c r="AF708" s="108"/>
      <c r="AG708" s="73"/>
      <c r="AH708" s="73"/>
      <c r="AI708" s="73"/>
      <c r="AJ708" s="73"/>
      <c r="AK708" s="73"/>
      <c r="AL708" s="73"/>
      <c r="AM708" s="73"/>
      <c r="AN708" s="73"/>
      <c r="AO708" s="73"/>
      <c r="AP708" s="73"/>
      <c r="DL708" s="34"/>
    </row>
    <row r="709" spans="10:116" x14ac:dyDescent="0.25">
      <c r="J709" s="73"/>
      <c r="K709" s="73"/>
      <c r="L709" s="73"/>
      <c r="M709" s="73"/>
      <c r="N709" s="73"/>
      <c r="O709" s="73"/>
      <c r="P709" s="73"/>
      <c r="Q709" s="73"/>
      <c r="R709" s="73"/>
      <c r="S709" s="73"/>
      <c r="T709" s="73"/>
      <c r="U709" s="73"/>
      <c r="V709" s="73"/>
      <c r="W709" s="73"/>
      <c r="X709" s="73"/>
      <c r="Y709" s="73"/>
      <c r="Z709" s="73"/>
      <c r="AA709" s="73"/>
      <c r="AB709" s="73"/>
      <c r="AC709" s="122"/>
      <c r="AD709" s="108"/>
      <c r="AF709" s="108"/>
      <c r="AG709" s="73"/>
      <c r="AH709" s="73"/>
      <c r="AI709" s="73"/>
      <c r="AJ709" s="73"/>
      <c r="AK709" s="73"/>
      <c r="AL709" s="73"/>
      <c r="AM709" s="73"/>
      <c r="AN709" s="73"/>
      <c r="AO709" s="73"/>
      <c r="AP709" s="73"/>
      <c r="DL709" s="34"/>
    </row>
    <row r="710" spans="10:116" x14ac:dyDescent="0.25">
      <c r="J710" s="73"/>
      <c r="K710" s="73"/>
      <c r="L710" s="73"/>
      <c r="M710" s="73"/>
      <c r="N710" s="73"/>
      <c r="O710" s="73"/>
      <c r="P710" s="73"/>
      <c r="Q710" s="73"/>
      <c r="R710" s="73"/>
      <c r="S710" s="73"/>
      <c r="T710" s="73"/>
      <c r="U710" s="73"/>
      <c r="V710" s="73"/>
      <c r="W710" s="73"/>
      <c r="X710" s="73"/>
      <c r="Y710" s="73"/>
      <c r="Z710" s="73"/>
      <c r="AA710" s="73"/>
      <c r="AB710" s="73"/>
      <c r="AC710" s="122"/>
      <c r="AD710" s="108"/>
      <c r="AF710" s="108"/>
      <c r="AG710" s="73"/>
      <c r="AH710" s="73"/>
      <c r="AI710" s="73"/>
      <c r="AJ710" s="73"/>
      <c r="AK710" s="73"/>
      <c r="AL710" s="73"/>
      <c r="AM710" s="73"/>
      <c r="AN710" s="73"/>
      <c r="AO710" s="73"/>
      <c r="AP710" s="73"/>
      <c r="DL710" s="34"/>
    </row>
    <row r="711" spans="10:116" x14ac:dyDescent="0.25">
      <c r="J711" s="73"/>
      <c r="K711" s="73"/>
      <c r="L711" s="73"/>
      <c r="M711" s="73"/>
      <c r="N711" s="73"/>
      <c r="O711" s="73"/>
      <c r="P711" s="73"/>
      <c r="Q711" s="73"/>
      <c r="R711" s="73"/>
      <c r="S711" s="73"/>
      <c r="T711" s="73"/>
      <c r="U711" s="73"/>
      <c r="V711" s="73"/>
      <c r="W711" s="73"/>
      <c r="X711" s="73"/>
      <c r="Y711" s="73"/>
      <c r="Z711" s="73"/>
      <c r="AA711" s="73"/>
      <c r="AB711" s="73"/>
      <c r="AC711" s="122"/>
      <c r="AD711" s="108"/>
      <c r="AF711" s="108"/>
      <c r="AG711" s="73"/>
      <c r="AH711" s="73"/>
      <c r="AI711" s="73"/>
      <c r="AJ711" s="73"/>
      <c r="AK711" s="73"/>
      <c r="AL711" s="73"/>
      <c r="AM711" s="73"/>
      <c r="AN711" s="73"/>
      <c r="AO711" s="73"/>
      <c r="AP711" s="73"/>
      <c r="DL711" s="34"/>
    </row>
    <row r="712" spans="10:116" x14ac:dyDescent="0.25">
      <c r="J712" s="73"/>
      <c r="K712" s="73"/>
      <c r="L712" s="73"/>
      <c r="M712" s="73"/>
      <c r="N712" s="73"/>
      <c r="O712" s="73"/>
      <c r="P712" s="73"/>
      <c r="Q712" s="73"/>
      <c r="R712" s="73"/>
      <c r="S712" s="73"/>
      <c r="T712" s="73"/>
      <c r="U712" s="73"/>
      <c r="V712" s="73"/>
      <c r="W712" s="73"/>
      <c r="X712" s="73"/>
      <c r="Y712" s="73"/>
      <c r="Z712" s="73"/>
      <c r="AA712" s="73"/>
      <c r="AB712" s="73"/>
      <c r="AC712" s="122"/>
      <c r="AD712" s="108"/>
      <c r="AF712" s="108"/>
      <c r="AG712" s="73"/>
      <c r="AH712" s="73"/>
      <c r="AI712" s="73"/>
      <c r="AJ712" s="73"/>
      <c r="AK712" s="73"/>
      <c r="AL712" s="73"/>
      <c r="AM712" s="73"/>
      <c r="AN712" s="73"/>
      <c r="AO712" s="73"/>
      <c r="AP712" s="73"/>
      <c r="DL712" s="34"/>
    </row>
    <row r="713" spans="10:116" x14ac:dyDescent="0.25">
      <c r="J713" s="73"/>
      <c r="K713" s="73"/>
      <c r="L713" s="73"/>
      <c r="M713" s="73"/>
      <c r="N713" s="73"/>
      <c r="O713" s="73"/>
      <c r="P713" s="73"/>
      <c r="Q713" s="73"/>
      <c r="R713" s="73"/>
      <c r="S713" s="73"/>
      <c r="T713" s="73"/>
      <c r="U713" s="73"/>
      <c r="V713" s="73"/>
      <c r="W713" s="73"/>
      <c r="X713" s="73"/>
      <c r="Y713" s="73"/>
      <c r="Z713" s="73"/>
      <c r="AA713" s="73"/>
      <c r="AB713" s="73"/>
      <c r="AC713" s="122"/>
      <c r="AD713" s="108"/>
      <c r="AF713" s="108"/>
      <c r="AG713" s="73"/>
      <c r="AH713" s="73"/>
      <c r="AI713" s="73"/>
      <c r="AJ713" s="73"/>
      <c r="AK713" s="73"/>
      <c r="AL713" s="73"/>
      <c r="AM713" s="73"/>
      <c r="AN713" s="73"/>
      <c r="AO713" s="73"/>
      <c r="AP713" s="73"/>
      <c r="DL713" s="34"/>
    </row>
    <row r="714" spans="10:116" x14ac:dyDescent="0.25">
      <c r="J714" s="73"/>
      <c r="K714" s="73"/>
      <c r="L714" s="73"/>
      <c r="M714" s="73"/>
      <c r="N714" s="73"/>
      <c r="O714" s="73"/>
      <c r="P714" s="73"/>
      <c r="Q714" s="73"/>
      <c r="R714" s="73"/>
      <c r="S714" s="73"/>
      <c r="T714" s="73"/>
      <c r="U714" s="73"/>
      <c r="V714" s="73"/>
      <c r="W714" s="73"/>
      <c r="X714" s="73"/>
      <c r="Y714" s="73"/>
      <c r="Z714" s="73"/>
      <c r="AA714" s="73"/>
      <c r="AB714" s="73"/>
      <c r="AC714" s="122"/>
      <c r="AD714" s="108"/>
      <c r="AF714" s="108"/>
      <c r="AG714" s="73"/>
      <c r="AH714" s="73"/>
      <c r="AI714" s="73"/>
      <c r="AJ714" s="73"/>
      <c r="AK714" s="73"/>
      <c r="AL714" s="73"/>
      <c r="AM714" s="73"/>
      <c r="AN714" s="73"/>
      <c r="AO714" s="73"/>
      <c r="AP714" s="73"/>
      <c r="DL714" s="34"/>
    </row>
    <row r="715" spans="10:116" x14ac:dyDescent="0.25">
      <c r="J715" s="73"/>
      <c r="K715" s="73"/>
      <c r="L715" s="73"/>
      <c r="M715" s="73"/>
      <c r="N715" s="73"/>
      <c r="O715" s="73"/>
      <c r="P715" s="73"/>
      <c r="Q715" s="73"/>
      <c r="R715" s="73"/>
      <c r="S715" s="73"/>
      <c r="T715" s="73"/>
      <c r="U715" s="73"/>
      <c r="V715" s="73"/>
      <c r="W715" s="73"/>
      <c r="X715" s="73"/>
      <c r="Y715" s="73"/>
      <c r="Z715" s="73"/>
      <c r="AA715" s="73"/>
      <c r="AB715" s="73"/>
      <c r="AC715" s="122"/>
      <c r="AD715" s="108"/>
      <c r="AF715" s="108"/>
      <c r="AG715" s="73"/>
      <c r="AH715" s="73"/>
      <c r="AI715" s="73"/>
      <c r="AJ715" s="73"/>
      <c r="AK715" s="73"/>
      <c r="AL715" s="73"/>
      <c r="AM715" s="73"/>
      <c r="AN715" s="73"/>
      <c r="AO715" s="73"/>
      <c r="AP715" s="73"/>
      <c r="DL715" s="34"/>
    </row>
    <row r="716" spans="10:116" x14ac:dyDescent="0.25">
      <c r="J716" s="73"/>
      <c r="K716" s="73"/>
      <c r="L716" s="73"/>
      <c r="M716" s="73"/>
      <c r="N716" s="73"/>
      <c r="O716" s="73"/>
      <c r="P716" s="73"/>
      <c r="Q716" s="73"/>
      <c r="R716" s="73"/>
      <c r="S716" s="73"/>
      <c r="T716" s="73"/>
      <c r="U716" s="73"/>
      <c r="V716" s="73"/>
      <c r="W716" s="73"/>
      <c r="X716" s="73"/>
      <c r="Y716" s="73"/>
      <c r="Z716" s="73"/>
      <c r="AA716" s="73"/>
      <c r="AB716" s="73"/>
      <c r="AC716" s="122"/>
      <c r="AD716" s="108"/>
      <c r="AF716" s="108"/>
      <c r="AG716" s="73"/>
      <c r="AH716" s="73"/>
      <c r="AI716" s="73"/>
      <c r="AJ716" s="73"/>
      <c r="AK716" s="73"/>
      <c r="AL716" s="73"/>
      <c r="AM716" s="73"/>
      <c r="AN716" s="73"/>
      <c r="AO716" s="73"/>
      <c r="AP716" s="73"/>
      <c r="DL716" s="34"/>
    </row>
    <row r="717" spans="10:116" x14ac:dyDescent="0.25">
      <c r="J717" s="73"/>
      <c r="K717" s="73"/>
      <c r="L717" s="73"/>
      <c r="M717" s="73"/>
      <c r="N717" s="73"/>
      <c r="O717" s="73"/>
      <c r="P717" s="73"/>
      <c r="Q717" s="73"/>
      <c r="R717" s="73"/>
      <c r="S717" s="73"/>
      <c r="T717" s="73"/>
      <c r="U717" s="73"/>
      <c r="V717" s="73"/>
      <c r="W717" s="73"/>
      <c r="X717" s="73"/>
      <c r="Y717" s="73"/>
      <c r="Z717" s="73"/>
      <c r="AA717" s="73"/>
      <c r="AB717" s="73"/>
      <c r="AC717" s="122"/>
      <c r="AD717" s="108"/>
      <c r="AF717" s="108"/>
      <c r="AG717" s="73"/>
      <c r="AH717" s="73"/>
      <c r="AI717" s="73"/>
      <c r="AJ717" s="73"/>
      <c r="AK717" s="73"/>
      <c r="AL717" s="73"/>
      <c r="AM717" s="73"/>
      <c r="AN717" s="73"/>
      <c r="AO717" s="73"/>
      <c r="AP717" s="73"/>
      <c r="DL717" s="34"/>
    </row>
    <row r="718" spans="10:116" x14ac:dyDescent="0.25">
      <c r="J718" s="73"/>
      <c r="K718" s="73"/>
      <c r="L718" s="73"/>
      <c r="M718" s="73"/>
      <c r="N718" s="73"/>
      <c r="O718" s="73"/>
      <c r="P718" s="73"/>
      <c r="Q718" s="73"/>
      <c r="R718" s="73"/>
      <c r="S718" s="73"/>
      <c r="T718" s="73"/>
      <c r="U718" s="73"/>
      <c r="V718" s="73"/>
      <c r="W718" s="73"/>
      <c r="X718" s="73"/>
      <c r="Y718" s="73"/>
      <c r="Z718" s="73"/>
      <c r="AA718" s="73"/>
      <c r="AB718" s="73"/>
      <c r="AC718" s="122"/>
      <c r="AD718" s="108"/>
      <c r="AF718" s="108"/>
      <c r="AG718" s="73"/>
      <c r="AH718" s="73"/>
      <c r="AI718" s="73"/>
      <c r="AJ718" s="73"/>
      <c r="AK718" s="73"/>
      <c r="AL718" s="73"/>
      <c r="AM718" s="73"/>
      <c r="AN718" s="73"/>
      <c r="AO718" s="73"/>
      <c r="AP718" s="73"/>
      <c r="DL718" s="34"/>
    </row>
    <row r="719" spans="10:116" x14ac:dyDescent="0.25">
      <c r="J719" s="73"/>
      <c r="K719" s="73"/>
      <c r="L719" s="73"/>
      <c r="M719" s="73"/>
      <c r="N719" s="73"/>
      <c r="O719" s="73"/>
      <c r="P719" s="73"/>
      <c r="Q719" s="73"/>
      <c r="R719" s="73"/>
      <c r="S719" s="73"/>
      <c r="T719" s="73"/>
      <c r="U719" s="73"/>
      <c r="V719" s="73"/>
      <c r="W719" s="73"/>
      <c r="X719" s="73"/>
      <c r="Y719" s="73"/>
      <c r="Z719" s="73"/>
      <c r="AA719" s="73"/>
      <c r="AB719" s="73"/>
      <c r="AC719" s="122"/>
      <c r="AD719" s="108"/>
      <c r="AF719" s="108"/>
      <c r="AG719" s="73"/>
      <c r="AH719" s="73"/>
      <c r="AI719" s="73"/>
      <c r="AJ719" s="73"/>
      <c r="AK719" s="73"/>
      <c r="AL719" s="73"/>
      <c r="AM719" s="73"/>
      <c r="AN719" s="73"/>
      <c r="AO719" s="73"/>
      <c r="AP719" s="73"/>
      <c r="DL719" s="34"/>
    </row>
    <row r="720" spans="10:116" x14ac:dyDescent="0.25">
      <c r="J720" s="73"/>
      <c r="K720" s="73"/>
      <c r="L720" s="73"/>
      <c r="M720" s="73"/>
      <c r="N720" s="73"/>
      <c r="O720" s="73"/>
      <c r="P720" s="73"/>
      <c r="Q720" s="73"/>
      <c r="R720" s="73"/>
      <c r="S720" s="73"/>
      <c r="T720" s="73"/>
      <c r="U720" s="73"/>
      <c r="V720" s="73"/>
      <c r="W720" s="73"/>
      <c r="X720" s="73"/>
      <c r="Y720" s="73"/>
      <c r="Z720" s="73"/>
      <c r="AA720" s="73"/>
      <c r="AB720" s="73"/>
      <c r="AC720" s="122"/>
      <c r="AD720" s="108"/>
      <c r="AF720" s="108"/>
      <c r="AG720" s="73"/>
      <c r="AH720" s="73"/>
      <c r="AI720" s="73"/>
      <c r="AJ720" s="73"/>
      <c r="AK720" s="73"/>
      <c r="AL720" s="73"/>
      <c r="AM720" s="73"/>
      <c r="AN720" s="73"/>
      <c r="AO720" s="73"/>
      <c r="AP720" s="73"/>
      <c r="DL720" s="34"/>
    </row>
    <row r="721" spans="10:116" x14ac:dyDescent="0.25">
      <c r="J721" s="73"/>
      <c r="K721" s="73"/>
      <c r="L721" s="73"/>
      <c r="M721" s="73"/>
      <c r="N721" s="73"/>
      <c r="O721" s="73"/>
      <c r="P721" s="73"/>
      <c r="Q721" s="73"/>
      <c r="R721" s="73"/>
      <c r="S721" s="73"/>
      <c r="T721" s="73"/>
      <c r="U721" s="73"/>
      <c r="V721" s="73"/>
      <c r="W721" s="73"/>
      <c r="X721" s="73"/>
      <c r="Y721" s="73"/>
      <c r="Z721" s="73"/>
      <c r="AA721" s="73"/>
      <c r="AB721" s="73"/>
      <c r="AC721" s="122"/>
      <c r="AD721" s="108"/>
      <c r="AF721" s="108"/>
      <c r="AG721" s="73"/>
      <c r="AH721" s="73"/>
      <c r="AI721" s="73"/>
      <c r="AJ721" s="73"/>
      <c r="AK721" s="73"/>
      <c r="AL721" s="73"/>
      <c r="AM721" s="73"/>
      <c r="AN721" s="73"/>
      <c r="AO721" s="73"/>
      <c r="AP721" s="73"/>
      <c r="DL721" s="34"/>
    </row>
    <row r="722" spans="10:116" x14ac:dyDescent="0.25">
      <c r="J722" s="73"/>
      <c r="K722" s="73"/>
      <c r="L722" s="73"/>
      <c r="M722" s="73"/>
      <c r="N722" s="73"/>
      <c r="O722" s="73"/>
      <c r="P722" s="73"/>
      <c r="Q722" s="73"/>
      <c r="R722" s="73"/>
      <c r="S722" s="73"/>
      <c r="T722" s="73"/>
      <c r="U722" s="73"/>
      <c r="V722" s="73"/>
      <c r="W722" s="73"/>
      <c r="X722" s="73"/>
      <c r="Y722" s="73"/>
      <c r="Z722" s="73"/>
      <c r="AA722" s="73"/>
      <c r="AB722" s="73"/>
      <c r="AC722" s="122"/>
      <c r="AD722" s="108"/>
      <c r="AF722" s="108"/>
      <c r="AG722" s="73"/>
      <c r="AH722" s="73"/>
      <c r="AI722" s="73"/>
      <c r="AJ722" s="73"/>
      <c r="AK722" s="73"/>
      <c r="AL722" s="73"/>
      <c r="AM722" s="73"/>
      <c r="AN722" s="73"/>
      <c r="AO722" s="73"/>
      <c r="AP722" s="73"/>
      <c r="DL722" s="34"/>
    </row>
    <row r="723" spans="10:116" x14ac:dyDescent="0.25">
      <c r="J723" s="73"/>
      <c r="K723" s="73"/>
      <c r="L723" s="73"/>
      <c r="M723" s="73"/>
      <c r="N723" s="73"/>
      <c r="O723" s="73"/>
      <c r="P723" s="73"/>
      <c r="Q723" s="73"/>
      <c r="R723" s="73"/>
      <c r="S723" s="73"/>
      <c r="T723" s="73"/>
      <c r="U723" s="73"/>
      <c r="V723" s="73"/>
      <c r="W723" s="73"/>
      <c r="X723" s="73"/>
      <c r="Y723" s="73"/>
      <c r="Z723" s="73"/>
      <c r="AA723" s="73"/>
      <c r="AB723" s="73"/>
      <c r="AC723" s="122"/>
      <c r="AD723" s="108"/>
      <c r="AF723" s="108"/>
      <c r="AG723" s="73"/>
      <c r="AH723" s="73"/>
      <c r="AI723" s="73"/>
      <c r="AJ723" s="73"/>
      <c r="AK723" s="73"/>
      <c r="AL723" s="73"/>
      <c r="AM723" s="73"/>
      <c r="AN723" s="73"/>
      <c r="AO723" s="73"/>
      <c r="AP723" s="73"/>
      <c r="DL723" s="34"/>
    </row>
    <row r="724" spans="10:116" x14ac:dyDescent="0.25">
      <c r="J724" s="73"/>
      <c r="K724" s="73"/>
      <c r="L724" s="73"/>
      <c r="M724" s="73"/>
      <c r="N724" s="73"/>
      <c r="O724" s="73"/>
      <c r="P724" s="73"/>
      <c r="Q724" s="73"/>
      <c r="R724" s="73"/>
      <c r="S724" s="73"/>
      <c r="T724" s="73"/>
      <c r="U724" s="73"/>
      <c r="V724" s="73"/>
      <c r="W724" s="73"/>
      <c r="X724" s="73"/>
      <c r="Y724" s="73"/>
      <c r="Z724" s="73"/>
      <c r="AA724" s="73"/>
      <c r="AB724" s="73"/>
      <c r="AC724" s="122"/>
      <c r="AD724" s="108"/>
      <c r="AF724" s="108"/>
      <c r="AG724" s="73"/>
      <c r="AH724" s="73"/>
      <c r="AI724" s="73"/>
      <c r="AJ724" s="73"/>
      <c r="AK724" s="73"/>
      <c r="AL724" s="73"/>
      <c r="AM724" s="73"/>
      <c r="AN724" s="73"/>
      <c r="AO724" s="73"/>
      <c r="AP724" s="73"/>
      <c r="DL724" s="34"/>
    </row>
    <row r="725" spans="10:116" x14ac:dyDescent="0.25">
      <c r="J725" s="73"/>
      <c r="K725" s="73"/>
      <c r="L725" s="73"/>
      <c r="M725" s="73"/>
      <c r="N725" s="73"/>
      <c r="O725" s="73"/>
      <c r="P725" s="73"/>
      <c r="Q725" s="73"/>
      <c r="R725" s="73"/>
      <c r="S725" s="73"/>
      <c r="T725" s="73"/>
      <c r="U725" s="73"/>
      <c r="V725" s="73"/>
      <c r="W725" s="73"/>
      <c r="X725" s="73"/>
      <c r="Y725" s="73"/>
      <c r="Z725" s="73"/>
      <c r="AA725" s="73"/>
      <c r="AB725" s="73"/>
      <c r="AC725" s="122"/>
      <c r="AD725" s="108"/>
      <c r="AF725" s="108"/>
      <c r="AG725" s="73"/>
      <c r="AH725" s="73"/>
      <c r="AI725" s="73"/>
      <c r="AJ725" s="73"/>
      <c r="AK725" s="73"/>
      <c r="AL725" s="73"/>
      <c r="AM725" s="73"/>
      <c r="AN725" s="73"/>
      <c r="AO725" s="73"/>
      <c r="AP725" s="73"/>
      <c r="DL725" s="34"/>
    </row>
    <row r="726" spans="10:116" x14ac:dyDescent="0.25">
      <c r="J726" s="73"/>
      <c r="K726" s="73"/>
      <c r="L726" s="73"/>
      <c r="M726" s="73"/>
      <c r="N726" s="73"/>
      <c r="O726" s="73"/>
      <c r="P726" s="73"/>
      <c r="Q726" s="73"/>
      <c r="R726" s="73"/>
      <c r="S726" s="73"/>
      <c r="T726" s="73"/>
      <c r="U726" s="73"/>
      <c r="V726" s="73"/>
      <c r="W726" s="73"/>
      <c r="X726" s="73"/>
      <c r="Y726" s="73"/>
      <c r="Z726" s="73"/>
      <c r="AA726" s="73"/>
      <c r="AB726" s="73"/>
      <c r="AC726" s="122"/>
      <c r="AD726" s="108"/>
      <c r="AF726" s="108"/>
      <c r="AG726" s="73"/>
      <c r="AH726" s="73"/>
      <c r="AI726" s="73"/>
      <c r="AJ726" s="73"/>
      <c r="AK726" s="73"/>
      <c r="AL726" s="73"/>
      <c r="AM726" s="73"/>
      <c r="AN726" s="73"/>
      <c r="AO726" s="73"/>
      <c r="AP726" s="73"/>
      <c r="DL726" s="34"/>
    </row>
    <row r="727" spans="10:116" x14ac:dyDescent="0.25">
      <c r="J727" s="73"/>
      <c r="K727" s="73"/>
      <c r="L727" s="73"/>
      <c r="M727" s="73"/>
      <c r="N727" s="73"/>
      <c r="O727" s="73"/>
      <c r="P727" s="73"/>
      <c r="Q727" s="73"/>
      <c r="R727" s="73"/>
      <c r="S727" s="73"/>
      <c r="T727" s="73"/>
      <c r="U727" s="73"/>
      <c r="V727" s="73"/>
      <c r="W727" s="73"/>
      <c r="X727" s="73"/>
      <c r="Y727" s="73"/>
      <c r="Z727" s="73"/>
      <c r="AA727" s="73"/>
      <c r="AB727" s="73"/>
      <c r="AC727" s="122"/>
      <c r="AD727" s="108"/>
      <c r="AF727" s="108"/>
      <c r="AG727" s="73"/>
      <c r="AH727" s="73"/>
      <c r="AI727" s="73"/>
      <c r="AJ727" s="73"/>
      <c r="AK727" s="73"/>
      <c r="AL727" s="73"/>
      <c r="AM727" s="73"/>
      <c r="AN727" s="73"/>
      <c r="AO727" s="73"/>
      <c r="AP727" s="73"/>
      <c r="DL727" s="34"/>
    </row>
    <row r="728" spans="10:116" x14ac:dyDescent="0.25">
      <c r="J728" s="73"/>
      <c r="K728" s="73"/>
      <c r="L728" s="73"/>
      <c r="M728" s="73"/>
      <c r="N728" s="73"/>
      <c r="O728" s="73"/>
      <c r="P728" s="73"/>
      <c r="Q728" s="73"/>
      <c r="R728" s="73"/>
      <c r="S728" s="73"/>
      <c r="T728" s="73"/>
      <c r="U728" s="73"/>
      <c r="V728" s="73"/>
      <c r="W728" s="73"/>
      <c r="X728" s="73"/>
      <c r="Y728" s="73"/>
      <c r="Z728" s="73"/>
      <c r="AA728" s="73"/>
      <c r="AB728" s="73"/>
      <c r="AC728" s="122"/>
      <c r="AD728" s="108"/>
      <c r="AF728" s="108"/>
      <c r="AG728" s="73"/>
      <c r="AH728" s="73"/>
      <c r="AI728" s="73"/>
      <c r="AJ728" s="73"/>
      <c r="AK728" s="73"/>
      <c r="AL728" s="73"/>
      <c r="AM728" s="73"/>
      <c r="AN728" s="73"/>
      <c r="AO728" s="73"/>
      <c r="AP728" s="73"/>
      <c r="DL728" s="34"/>
    </row>
    <row r="729" spans="10:116" x14ac:dyDescent="0.25">
      <c r="J729" s="73"/>
      <c r="K729" s="73"/>
      <c r="L729" s="73"/>
      <c r="M729" s="73"/>
      <c r="N729" s="73"/>
      <c r="O729" s="73"/>
      <c r="P729" s="73"/>
      <c r="Q729" s="73"/>
      <c r="R729" s="73"/>
      <c r="S729" s="73"/>
      <c r="T729" s="73"/>
      <c r="U729" s="73"/>
      <c r="V729" s="73"/>
      <c r="W729" s="73"/>
      <c r="X729" s="73"/>
      <c r="Y729" s="73"/>
      <c r="Z729" s="73"/>
      <c r="AA729" s="73"/>
      <c r="AB729" s="73"/>
      <c r="AC729" s="122"/>
      <c r="AD729" s="108"/>
      <c r="AF729" s="108"/>
      <c r="AG729" s="73"/>
      <c r="AH729" s="73"/>
      <c r="AI729" s="73"/>
      <c r="AJ729" s="73"/>
      <c r="AK729" s="73"/>
      <c r="AL729" s="73"/>
      <c r="AM729" s="73"/>
      <c r="AN729" s="73"/>
      <c r="AO729" s="73"/>
      <c r="AP729" s="73"/>
      <c r="DL729" s="34"/>
    </row>
    <row r="730" spans="10:116" x14ac:dyDescent="0.25">
      <c r="J730" s="73"/>
      <c r="K730" s="73"/>
      <c r="L730" s="73"/>
      <c r="M730" s="73"/>
      <c r="N730" s="73"/>
      <c r="O730" s="73"/>
      <c r="P730" s="73"/>
      <c r="Q730" s="73"/>
      <c r="R730" s="73"/>
      <c r="S730" s="73"/>
      <c r="T730" s="73"/>
      <c r="U730" s="73"/>
      <c r="V730" s="73"/>
      <c r="W730" s="73"/>
      <c r="X730" s="73"/>
      <c r="Y730" s="73"/>
      <c r="Z730" s="73"/>
      <c r="AA730" s="73"/>
      <c r="AB730" s="73"/>
      <c r="AC730" s="122"/>
      <c r="AD730" s="108"/>
      <c r="AF730" s="108"/>
      <c r="AG730" s="73"/>
      <c r="AH730" s="73"/>
      <c r="AI730" s="73"/>
      <c r="AJ730" s="73"/>
      <c r="AK730" s="73"/>
      <c r="AL730" s="73"/>
      <c r="AM730" s="73"/>
      <c r="AN730" s="73"/>
      <c r="AO730" s="73"/>
      <c r="AP730" s="73"/>
      <c r="DL730" s="34"/>
    </row>
    <row r="731" spans="10:116" x14ac:dyDescent="0.25">
      <c r="J731" s="73"/>
      <c r="K731" s="73"/>
      <c r="L731" s="73"/>
      <c r="M731" s="73"/>
      <c r="N731" s="73"/>
      <c r="O731" s="73"/>
      <c r="P731" s="73"/>
      <c r="Q731" s="73"/>
      <c r="R731" s="73"/>
      <c r="S731" s="73"/>
      <c r="T731" s="73"/>
      <c r="U731" s="73"/>
      <c r="V731" s="73"/>
      <c r="W731" s="73"/>
      <c r="X731" s="73"/>
      <c r="Y731" s="73"/>
      <c r="Z731" s="73"/>
      <c r="AA731" s="73"/>
      <c r="AB731" s="73"/>
      <c r="AC731" s="122"/>
      <c r="AD731" s="108"/>
      <c r="AF731" s="108"/>
      <c r="AG731" s="73"/>
      <c r="AH731" s="73"/>
      <c r="AI731" s="73"/>
      <c r="AJ731" s="73"/>
      <c r="AK731" s="73"/>
      <c r="AL731" s="73"/>
      <c r="AM731" s="73"/>
      <c r="AN731" s="73"/>
      <c r="AO731" s="73"/>
      <c r="AP731" s="73"/>
      <c r="DL731" s="34"/>
    </row>
    <row r="732" spans="10:116" x14ac:dyDescent="0.25">
      <c r="J732" s="73"/>
      <c r="K732" s="73"/>
      <c r="L732" s="73"/>
      <c r="M732" s="73"/>
      <c r="N732" s="73"/>
      <c r="O732" s="73"/>
      <c r="P732" s="73"/>
      <c r="Q732" s="73"/>
      <c r="R732" s="73"/>
      <c r="S732" s="73"/>
      <c r="T732" s="73"/>
      <c r="U732" s="73"/>
      <c r="V732" s="73"/>
      <c r="W732" s="73"/>
      <c r="X732" s="73"/>
      <c r="Y732" s="73"/>
      <c r="Z732" s="73"/>
      <c r="AA732" s="73"/>
      <c r="AB732" s="73"/>
      <c r="AC732" s="122"/>
      <c r="AD732" s="108"/>
      <c r="AF732" s="108"/>
      <c r="AG732" s="73"/>
      <c r="AH732" s="73"/>
      <c r="AI732" s="73"/>
      <c r="AJ732" s="73"/>
      <c r="AK732" s="73"/>
      <c r="AL732" s="73"/>
      <c r="AM732" s="73"/>
      <c r="AN732" s="73"/>
      <c r="AO732" s="73"/>
      <c r="AP732" s="73"/>
      <c r="DL732" s="34"/>
    </row>
    <row r="733" spans="10:116" x14ac:dyDescent="0.25">
      <c r="J733" s="73"/>
      <c r="K733" s="73"/>
      <c r="L733" s="73"/>
      <c r="M733" s="73"/>
      <c r="N733" s="73"/>
      <c r="O733" s="73"/>
      <c r="P733" s="73"/>
      <c r="Q733" s="73"/>
      <c r="R733" s="73"/>
      <c r="S733" s="73"/>
      <c r="T733" s="73"/>
      <c r="U733" s="73"/>
      <c r="V733" s="73"/>
      <c r="W733" s="73"/>
      <c r="X733" s="73"/>
      <c r="Y733" s="73"/>
      <c r="Z733" s="73"/>
      <c r="AA733" s="73"/>
      <c r="AB733" s="73"/>
      <c r="AC733" s="122"/>
      <c r="AD733" s="108"/>
      <c r="AF733" s="108"/>
      <c r="AG733" s="73"/>
      <c r="AH733" s="73"/>
      <c r="AI733" s="73"/>
      <c r="AJ733" s="73"/>
      <c r="AK733" s="73"/>
      <c r="AL733" s="73"/>
      <c r="AM733" s="73"/>
      <c r="AN733" s="73"/>
      <c r="AO733" s="73"/>
      <c r="AP733" s="73"/>
      <c r="DL733" s="34"/>
    </row>
    <row r="734" spans="10:116" x14ac:dyDescent="0.25">
      <c r="J734" s="73"/>
      <c r="K734" s="73"/>
      <c r="L734" s="73"/>
      <c r="M734" s="73"/>
      <c r="N734" s="73"/>
      <c r="O734" s="73"/>
      <c r="P734" s="73"/>
      <c r="Q734" s="73"/>
      <c r="R734" s="73"/>
      <c r="S734" s="73"/>
      <c r="T734" s="73"/>
      <c r="U734" s="73"/>
      <c r="V734" s="73"/>
      <c r="W734" s="73"/>
      <c r="X734" s="73"/>
      <c r="Y734" s="73"/>
      <c r="Z734" s="73"/>
      <c r="AA734" s="73"/>
      <c r="AB734" s="73"/>
      <c r="AC734" s="122"/>
      <c r="AD734" s="108"/>
      <c r="AF734" s="108"/>
      <c r="AG734" s="73"/>
      <c r="AH734" s="73"/>
      <c r="AI734" s="73"/>
      <c r="AJ734" s="73"/>
      <c r="AK734" s="73"/>
      <c r="AL734" s="73"/>
      <c r="AM734" s="73"/>
      <c r="AN734" s="73"/>
      <c r="AO734" s="73"/>
      <c r="AP734" s="73"/>
      <c r="DL734" s="34"/>
    </row>
    <row r="735" spans="10:116" x14ac:dyDescent="0.25">
      <c r="J735" s="73"/>
      <c r="K735" s="73"/>
      <c r="L735" s="73"/>
      <c r="M735" s="73"/>
      <c r="N735" s="73"/>
      <c r="O735" s="73"/>
      <c r="P735" s="73"/>
      <c r="Q735" s="73"/>
      <c r="R735" s="73"/>
      <c r="S735" s="73"/>
      <c r="T735" s="73"/>
      <c r="U735" s="73"/>
      <c r="V735" s="73"/>
      <c r="W735" s="73"/>
      <c r="X735" s="73"/>
      <c r="Y735" s="73"/>
      <c r="Z735" s="73"/>
      <c r="AA735" s="73"/>
      <c r="AB735" s="73"/>
      <c r="AC735" s="122"/>
      <c r="AD735" s="108"/>
      <c r="AF735" s="108"/>
      <c r="AG735" s="73"/>
      <c r="AH735" s="73"/>
      <c r="AI735" s="73"/>
      <c r="AJ735" s="73"/>
      <c r="AK735" s="73"/>
      <c r="AL735" s="73"/>
      <c r="AM735" s="73"/>
      <c r="AN735" s="73"/>
      <c r="AO735" s="73"/>
      <c r="AP735" s="73"/>
      <c r="DL735" s="34"/>
    </row>
    <row r="736" spans="10:116" x14ac:dyDescent="0.25">
      <c r="J736" s="73"/>
      <c r="K736" s="73"/>
      <c r="L736" s="73"/>
      <c r="M736" s="73"/>
      <c r="N736" s="73"/>
      <c r="O736" s="73"/>
      <c r="P736" s="73"/>
      <c r="Q736" s="73"/>
      <c r="R736" s="73"/>
      <c r="S736" s="73"/>
      <c r="T736" s="73"/>
      <c r="U736" s="73"/>
      <c r="V736" s="73"/>
      <c r="W736" s="73"/>
      <c r="X736" s="73"/>
      <c r="Y736" s="73"/>
      <c r="Z736" s="73"/>
      <c r="AA736" s="73"/>
      <c r="AB736" s="73"/>
      <c r="AC736" s="122"/>
      <c r="AD736" s="108"/>
      <c r="AF736" s="108"/>
      <c r="AG736" s="73"/>
      <c r="AH736" s="73"/>
      <c r="AI736" s="73"/>
      <c r="AJ736" s="73"/>
      <c r="AK736" s="73"/>
      <c r="AL736" s="73"/>
      <c r="AM736" s="73"/>
      <c r="AN736" s="73"/>
      <c r="AO736" s="73"/>
      <c r="AP736" s="73"/>
      <c r="DL736" s="34"/>
    </row>
    <row r="737" spans="10:116" x14ac:dyDescent="0.25">
      <c r="J737" s="73"/>
      <c r="K737" s="73"/>
      <c r="L737" s="73"/>
      <c r="M737" s="73"/>
      <c r="N737" s="73"/>
      <c r="O737" s="73"/>
      <c r="P737" s="73"/>
      <c r="Q737" s="73"/>
      <c r="R737" s="73"/>
      <c r="S737" s="73"/>
      <c r="T737" s="73"/>
      <c r="U737" s="73"/>
      <c r="V737" s="73"/>
      <c r="W737" s="73"/>
      <c r="X737" s="73"/>
      <c r="Y737" s="73"/>
      <c r="Z737" s="73"/>
      <c r="AA737" s="73"/>
      <c r="AB737" s="73"/>
      <c r="AC737" s="122"/>
      <c r="AD737" s="108"/>
      <c r="AF737" s="108"/>
      <c r="AG737" s="73"/>
      <c r="AH737" s="73"/>
      <c r="AI737" s="73"/>
      <c r="AJ737" s="73"/>
      <c r="AK737" s="73"/>
      <c r="AL737" s="73"/>
      <c r="AM737" s="73"/>
      <c r="AN737" s="73"/>
      <c r="AO737" s="73"/>
      <c r="AP737" s="73"/>
      <c r="DL737" s="34"/>
    </row>
    <row r="738" spans="10:116" x14ac:dyDescent="0.25">
      <c r="J738" s="73"/>
      <c r="K738" s="73"/>
      <c r="L738" s="73"/>
      <c r="M738" s="73"/>
      <c r="N738" s="73"/>
      <c r="O738" s="73"/>
      <c r="P738" s="73"/>
      <c r="Q738" s="73"/>
      <c r="R738" s="73"/>
      <c r="S738" s="73"/>
      <c r="T738" s="73"/>
      <c r="U738" s="73"/>
      <c r="V738" s="73"/>
      <c r="W738" s="73"/>
      <c r="X738" s="73"/>
      <c r="Y738" s="73"/>
      <c r="Z738" s="73"/>
      <c r="AA738" s="73"/>
      <c r="AB738" s="73"/>
      <c r="AC738" s="122"/>
      <c r="AD738" s="108"/>
      <c r="AF738" s="108"/>
      <c r="AG738" s="73"/>
      <c r="AH738" s="73"/>
      <c r="AI738" s="73"/>
      <c r="AJ738" s="73"/>
      <c r="AK738" s="73"/>
      <c r="AL738" s="73"/>
      <c r="AM738" s="73"/>
      <c r="AN738" s="73"/>
      <c r="AO738" s="73"/>
      <c r="AP738" s="73"/>
      <c r="DL738" s="34"/>
    </row>
    <row r="739" spans="10:116" x14ac:dyDescent="0.25">
      <c r="J739" s="73"/>
      <c r="K739" s="73"/>
      <c r="L739" s="73"/>
      <c r="M739" s="73"/>
      <c r="N739" s="73"/>
      <c r="O739" s="73"/>
      <c r="P739" s="73"/>
      <c r="Q739" s="73"/>
      <c r="R739" s="73"/>
      <c r="S739" s="73"/>
      <c r="T739" s="73"/>
      <c r="U739" s="73"/>
      <c r="V739" s="73"/>
      <c r="W739" s="73"/>
      <c r="X739" s="73"/>
      <c r="Y739" s="73"/>
      <c r="Z739" s="73"/>
      <c r="AA739" s="73"/>
      <c r="AB739" s="73"/>
      <c r="AC739" s="122"/>
      <c r="AD739" s="108"/>
      <c r="AF739" s="108"/>
      <c r="AG739" s="73"/>
      <c r="AH739" s="73"/>
      <c r="AI739" s="73"/>
      <c r="AJ739" s="73"/>
      <c r="AK739" s="73"/>
      <c r="AL739" s="73"/>
      <c r="AM739" s="73"/>
      <c r="AN739" s="73"/>
      <c r="AO739" s="73"/>
      <c r="AP739" s="73"/>
      <c r="DL739" s="34"/>
    </row>
    <row r="740" spans="10:116" x14ac:dyDescent="0.25">
      <c r="J740" s="73"/>
      <c r="K740" s="73"/>
      <c r="L740" s="73"/>
      <c r="M740" s="73"/>
      <c r="N740" s="73"/>
      <c r="O740" s="73"/>
      <c r="P740" s="73"/>
      <c r="Q740" s="73"/>
      <c r="R740" s="73"/>
      <c r="S740" s="73"/>
      <c r="T740" s="73"/>
      <c r="U740" s="73"/>
      <c r="V740" s="73"/>
      <c r="W740" s="73"/>
      <c r="X740" s="73"/>
      <c r="Y740" s="73"/>
      <c r="Z740" s="73"/>
      <c r="AA740" s="73"/>
      <c r="AB740" s="73"/>
      <c r="AC740" s="122"/>
      <c r="AD740" s="108"/>
      <c r="AF740" s="108"/>
      <c r="AG740" s="73"/>
      <c r="AH740" s="73"/>
      <c r="AI740" s="73"/>
      <c r="AJ740" s="73"/>
      <c r="AK740" s="73"/>
      <c r="AL740" s="73"/>
      <c r="AM740" s="73"/>
      <c r="AN740" s="73"/>
      <c r="AO740" s="73"/>
      <c r="AP740" s="73"/>
      <c r="DL740" s="34"/>
    </row>
    <row r="741" spans="10:116" x14ac:dyDescent="0.25">
      <c r="J741" s="73"/>
      <c r="K741" s="73"/>
      <c r="L741" s="73"/>
      <c r="M741" s="73"/>
      <c r="N741" s="73"/>
      <c r="O741" s="73"/>
      <c r="P741" s="73"/>
      <c r="Q741" s="73"/>
      <c r="R741" s="73"/>
      <c r="S741" s="73"/>
      <c r="T741" s="73"/>
      <c r="U741" s="73"/>
      <c r="V741" s="73"/>
      <c r="W741" s="73"/>
      <c r="X741" s="73"/>
      <c r="Y741" s="73"/>
      <c r="Z741" s="73"/>
      <c r="AA741" s="73"/>
      <c r="AB741" s="73"/>
      <c r="AC741" s="122"/>
      <c r="AD741" s="108"/>
      <c r="AF741" s="108"/>
      <c r="AG741" s="73"/>
      <c r="AH741" s="73"/>
      <c r="AI741" s="73"/>
      <c r="AJ741" s="73"/>
      <c r="AK741" s="73"/>
      <c r="AL741" s="73"/>
      <c r="AM741" s="73"/>
      <c r="AN741" s="73"/>
      <c r="AO741" s="73"/>
      <c r="AP741" s="73"/>
      <c r="DL741" s="34"/>
    </row>
    <row r="742" spans="10:116" x14ac:dyDescent="0.25">
      <c r="J742" s="73"/>
      <c r="K742" s="73"/>
      <c r="L742" s="73"/>
      <c r="M742" s="73"/>
      <c r="N742" s="73"/>
      <c r="O742" s="73"/>
      <c r="P742" s="73"/>
      <c r="Q742" s="73"/>
      <c r="R742" s="73"/>
      <c r="S742" s="73"/>
      <c r="T742" s="73"/>
      <c r="U742" s="73"/>
      <c r="V742" s="73"/>
      <c r="W742" s="73"/>
      <c r="X742" s="73"/>
      <c r="Y742" s="73"/>
      <c r="Z742" s="73"/>
      <c r="AA742" s="73"/>
      <c r="AB742" s="73"/>
      <c r="AC742" s="122"/>
      <c r="AD742" s="108"/>
      <c r="AF742" s="108"/>
      <c r="AG742" s="73"/>
      <c r="AH742" s="73"/>
      <c r="AI742" s="73"/>
      <c r="AJ742" s="73"/>
      <c r="AK742" s="73"/>
      <c r="AL742" s="73"/>
      <c r="AM742" s="73"/>
      <c r="AN742" s="73"/>
      <c r="AO742" s="73"/>
      <c r="AP742" s="73"/>
      <c r="DL742" s="34"/>
    </row>
    <row r="743" spans="10:116" x14ac:dyDescent="0.25">
      <c r="J743" s="73"/>
      <c r="K743" s="73"/>
      <c r="L743" s="73"/>
      <c r="M743" s="73"/>
      <c r="N743" s="73"/>
      <c r="O743" s="73"/>
      <c r="P743" s="73"/>
      <c r="Q743" s="73"/>
      <c r="R743" s="73"/>
      <c r="S743" s="73"/>
      <c r="T743" s="73"/>
      <c r="U743" s="73"/>
      <c r="V743" s="73"/>
      <c r="W743" s="73"/>
      <c r="X743" s="73"/>
      <c r="Y743" s="73"/>
      <c r="Z743" s="73"/>
      <c r="AA743" s="73"/>
      <c r="AB743" s="73"/>
      <c r="AC743" s="122"/>
      <c r="AD743" s="108"/>
      <c r="AF743" s="108"/>
      <c r="AG743" s="73"/>
      <c r="AH743" s="73"/>
      <c r="AI743" s="73"/>
      <c r="AJ743" s="73"/>
      <c r="AK743" s="73"/>
      <c r="AL743" s="73"/>
      <c r="AM743" s="73"/>
      <c r="AN743" s="73"/>
      <c r="AO743" s="73"/>
      <c r="AP743" s="73"/>
      <c r="DL743" s="34"/>
    </row>
    <row r="744" spans="10:116" x14ac:dyDescent="0.25">
      <c r="J744" s="73"/>
      <c r="K744" s="73"/>
      <c r="L744" s="73"/>
      <c r="M744" s="73"/>
      <c r="N744" s="73"/>
      <c r="O744" s="73"/>
      <c r="P744" s="73"/>
      <c r="Q744" s="73"/>
      <c r="R744" s="73"/>
      <c r="S744" s="73"/>
      <c r="T744" s="73"/>
      <c r="U744" s="73"/>
      <c r="V744" s="73"/>
      <c r="W744" s="73"/>
      <c r="X744" s="73"/>
      <c r="Y744" s="73"/>
      <c r="Z744" s="73"/>
      <c r="AA744" s="73"/>
      <c r="AB744" s="73"/>
      <c r="AC744" s="122"/>
      <c r="AD744" s="108"/>
      <c r="AF744" s="108"/>
      <c r="AG744" s="73"/>
      <c r="AH744" s="73"/>
      <c r="AI744" s="73"/>
      <c r="AJ744" s="73"/>
      <c r="AK744" s="73"/>
      <c r="AL744" s="73"/>
      <c r="AM744" s="73"/>
      <c r="AN744" s="73"/>
      <c r="AO744" s="73"/>
      <c r="AP744" s="73"/>
      <c r="DL744" s="34"/>
    </row>
    <row r="745" spans="10:116" x14ac:dyDescent="0.25">
      <c r="J745" s="73"/>
      <c r="K745" s="73"/>
      <c r="L745" s="73"/>
      <c r="M745" s="73"/>
      <c r="N745" s="73"/>
      <c r="O745" s="73"/>
      <c r="P745" s="73"/>
      <c r="Q745" s="73"/>
      <c r="R745" s="73"/>
      <c r="S745" s="73"/>
      <c r="T745" s="73"/>
      <c r="U745" s="73"/>
      <c r="V745" s="73"/>
      <c r="W745" s="73"/>
      <c r="X745" s="73"/>
      <c r="Y745" s="73"/>
      <c r="Z745" s="73"/>
      <c r="AA745" s="73"/>
      <c r="AB745" s="73"/>
      <c r="AC745" s="122"/>
      <c r="AD745" s="108"/>
      <c r="AF745" s="108"/>
      <c r="AG745" s="73"/>
      <c r="AH745" s="73"/>
      <c r="AI745" s="73"/>
      <c r="AJ745" s="73"/>
      <c r="AK745" s="73"/>
      <c r="AL745" s="73"/>
      <c r="AM745" s="73"/>
      <c r="AN745" s="73"/>
      <c r="AO745" s="73"/>
      <c r="AP745" s="73"/>
      <c r="DL745" s="34"/>
    </row>
    <row r="746" spans="10:116" x14ac:dyDescent="0.25">
      <c r="J746" s="73"/>
      <c r="K746" s="73"/>
      <c r="L746" s="73"/>
      <c r="M746" s="73"/>
      <c r="N746" s="73"/>
      <c r="O746" s="73"/>
      <c r="P746" s="73"/>
      <c r="Q746" s="73"/>
      <c r="R746" s="73"/>
      <c r="S746" s="73"/>
      <c r="T746" s="73"/>
      <c r="U746" s="73"/>
      <c r="V746" s="73"/>
      <c r="W746" s="73"/>
      <c r="X746" s="73"/>
      <c r="Y746" s="73"/>
      <c r="Z746" s="73"/>
      <c r="AA746" s="73"/>
      <c r="AB746" s="73"/>
      <c r="AC746" s="122"/>
      <c r="AD746" s="108"/>
      <c r="AF746" s="108"/>
      <c r="AG746" s="73"/>
      <c r="AH746" s="73"/>
      <c r="AI746" s="73"/>
      <c r="AJ746" s="73"/>
      <c r="AK746" s="73"/>
      <c r="AL746" s="73"/>
      <c r="AM746" s="73"/>
      <c r="AN746" s="73"/>
      <c r="AO746" s="73"/>
      <c r="AP746" s="73"/>
      <c r="DL746" s="34"/>
    </row>
    <row r="747" spans="10:116" x14ac:dyDescent="0.25">
      <c r="J747" s="73"/>
      <c r="K747" s="73"/>
      <c r="L747" s="73"/>
      <c r="M747" s="73"/>
      <c r="N747" s="73"/>
      <c r="O747" s="73"/>
      <c r="P747" s="73"/>
      <c r="Q747" s="73"/>
      <c r="R747" s="73"/>
      <c r="S747" s="73"/>
      <c r="T747" s="73"/>
      <c r="U747" s="73"/>
      <c r="V747" s="73"/>
      <c r="W747" s="73"/>
      <c r="X747" s="73"/>
      <c r="Y747" s="73"/>
      <c r="Z747" s="73"/>
      <c r="AA747" s="73"/>
      <c r="AB747" s="73"/>
      <c r="AC747" s="122"/>
      <c r="AD747" s="108"/>
      <c r="AF747" s="108"/>
      <c r="AG747" s="73"/>
      <c r="AH747" s="73"/>
      <c r="AI747" s="73"/>
      <c r="AJ747" s="73"/>
      <c r="AK747" s="73"/>
      <c r="AL747" s="73"/>
      <c r="AM747" s="73"/>
      <c r="AN747" s="73"/>
      <c r="AO747" s="73"/>
      <c r="AP747" s="73"/>
      <c r="DL747" s="34"/>
    </row>
    <row r="748" spans="10:116" x14ac:dyDescent="0.25">
      <c r="J748" s="73"/>
      <c r="K748" s="73"/>
      <c r="L748" s="73"/>
      <c r="M748" s="73"/>
      <c r="N748" s="73"/>
      <c r="O748" s="73"/>
      <c r="P748" s="73"/>
      <c r="Q748" s="73"/>
      <c r="R748" s="73"/>
      <c r="S748" s="73"/>
      <c r="T748" s="73"/>
      <c r="U748" s="73"/>
      <c r="V748" s="73"/>
      <c r="W748" s="73"/>
      <c r="X748" s="73"/>
      <c r="Y748" s="73"/>
      <c r="Z748" s="73"/>
      <c r="AA748" s="73"/>
      <c r="AB748" s="73"/>
      <c r="AC748" s="122"/>
      <c r="AD748" s="108"/>
      <c r="AF748" s="108"/>
      <c r="AG748" s="73"/>
      <c r="AH748" s="73"/>
      <c r="AI748" s="73"/>
      <c r="AJ748" s="73"/>
      <c r="AK748" s="73"/>
      <c r="AL748" s="73"/>
      <c r="AM748" s="73"/>
      <c r="AN748" s="73"/>
      <c r="AO748" s="73"/>
      <c r="AP748" s="73"/>
      <c r="DL748" s="34"/>
    </row>
    <row r="749" spans="10:116" x14ac:dyDescent="0.25">
      <c r="J749" s="73"/>
      <c r="K749" s="73"/>
      <c r="L749" s="73"/>
      <c r="M749" s="73"/>
      <c r="N749" s="73"/>
      <c r="O749" s="73"/>
      <c r="P749" s="73"/>
      <c r="Q749" s="73"/>
      <c r="R749" s="73"/>
      <c r="S749" s="73"/>
      <c r="T749" s="73"/>
      <c r="U749" s="73"/>
      <c r="V749" s="73"/>
      <c r="W749" s="73"/>
      <c r="X749" s="73"/>
      <c r="Y749" s="73"/>
      <c r="Z749" s="73"/>
      <c r="AA749" s="73"/>
      <c r="AB749" s="73"/>
      <c r="AC749" s="122"/>
      <c r="AD749" s="108"/>
      <c r="AF749" s="108"/>
      <c r="AG749" s="73"/>
      <c r="AH749" s="73"/>
      <c r="AI749" s="73"/>
      <c r="AJ749" s="73"/>
      <c r="AK749" s="73"/>
      <c r="AL749" s="73"/>
      <c r="AM749" s="73"/>
      <c r="AN749" s="73"/>
      <c r="AO749" s="73"/>
      <c r="AP749" s="73"/>
      <c r="DL749" s="34"/>
    </row>
    <row r="750" spans="10:116" x14ac:dyDescent="0.25">
      <c r="J750" s="73"/>
      <c r="K750" s="73"/>
      <c r="L750" s="73"/>
      <c r="M750" s="73"/>
      <c r="N750" s="73"/>
      <c r="O750" s="73"/>
      <c r="P750" s="73"/>
      <c r="Q750" s="73"/>
      <c r="R750" s="73"/>
      <c r="S750" s="73"/>
      <c r="T750" s="73"/>
      <c r="U750" s="73"/>
      <c r="V750" s="73"/>
      <c r="W750" s="73"/>
      <c r="X750" s="73"/>
      <c r="Y750" s="73"/>
      <c r="Z750" s="73"/>
      <c r="AA750" s="73"/>
      <c r="AB750" s="73"/>
      <c r="AC750" s="122"/>
      <c r="AD750" s="108"/>
      <c r="AF750" s="108"/>
      <c r="AG750" s="73"/>
      <c r="AH750" s="73"/>
      <c r="AI750" s="73"/>
      <c r="AJ750" s="73"/>
      <c r="AK750" s="73"/>
      <c r="AL750" s="73"/>
      <c r="AM750" s="73"/>
      <c r="AN750" s="73"/>
      <c r="AO750" s="73"/>
      <c r="AP750" s="73"/>
      <c r="DL750" s="34"/>
    </row>
    <row r="751" spans="10:116" x14ac:dyDescent="0.25">
      <c r="J751" s="73"/>
      <c r="K751" s="73"/>
      <c r="L751" s="73"/>
      <c r="M751" s="73"/>
      <c r="N751" s="73"/>
      <c r="O751" s="73"/>
      <c r="P751" s="73"/>
      <c r="Q751" s="73"/>
      <c r="R751" s="73"/>
      <c r="S751" s="73"/>
      <c r="T751" s="73"/>
      <c r="U751" s="73"/>
      <c r="V751" s="73"/>
      <c r="W751" s="73"/>
      <c r="X751" s="73"/>
      <c r="Y751" s="73"/>
      <c r="Z751" s="73"/>
      <c r="AA751" s="73"/>
      <c r="AB751" s="73"/>
      <c r="AC751" s="122"/>
      <c r="AD751" s="108"/>
      <c r="AF751" s="108"/>
      <c r="AG751" s="73"/>
      <c r="AH751" s="73"/>
      <c r="AI751" s="73"/>
      <c r="AJ751" s="73"/>
      <c r="AK751" s="73"/>
      <c r="AL751" s="73"/>
      <c r="AM751" s="73"/>
      <c r="AN751" s="73"/>
      <c r="AO751" s="73"/>
      <c r="AP751" s="73"/>
      <c r="DL751" s="34"/>
    </row>
    <row r="752" spans="10:116" x14ac:dyDescent="0.25">
      <c r="J752" s="73"/>
      <c r="K752" s="73"/>
      <c r="L752" s="73"/>
      <c r="M752" s="73"/>
      <c r="N752" s="73"/>
      <c r="O752" s="73"/>
      <c r="P752" s="73"/>
      <c r="Q752" s="73"/>
      <c r="R752" s="73"/>
      <c r="S752" s="73"/>
      <c r="T752" s="73"/>
      <c r="U752" s="73"/>
      <c r="V752" s="73"/>
      <c r="W752" s="73"/>
      <c r="X752" s="73"/>
      <c r="Y752" s="73"/>
      <c r="Z752" s="73"/>
      <c r="AA752" s="73"/>
      <c r="AB752" s="73"/>
      <c r="AC752" s="122"/>
      <c r="AD752" s="108"/>
      <c r="AF752" s="108"/>
      <c r="AG752" s="73"/>
      <c r="AH752" s="73"/>
      <c r="AI752" s="73"/>
      <c r="AJ752" s="73"/>
      <c r="AK752" s="73"/>
      <c r="AL752" s="73"/>
      <c r="AM752" s="73"/>
      <c r="AN752" s="73"/>
      <c r="AO752" s="73"/>
      <c r="AP752" s="73"/>
      <c r="DL752" s="34"/>
    </row>
    <row r="753" spans="10:116" x14ac:dyDescent="0.25">
      <c r="J753" s="73"/>
      <c r="K753" s="73"/>
      <c r="L753" s="73"/>
      <c r="M753" s="73"/>
      <c r="N753" s="73"/>
      <c r="O753" s="73"/>
      <c r="P753" s="73"/>
      <c r="Q753" s="73"/>
      <c r="R753" s="73"/>
      <c r="S753" s="73"/>
      <c r="T753" s="73"/>
      <c r="U753" s="73"/>
      <c r="V753" s="73"/>
      <c r="W753" s="73"/>
      <c r="X753" s="73"/>
      <c r="Y753" s="73"/>
      <c r="Z753" s="73"/>
      <c r="AA753" s="73"/>
      <c r="AB753" s="73"/>
      <c r="AC753" s="122"/>
      <c r="AD753" s="108"/>
      <c r="AF753" s="108"/>
      <c r="AG753" s="73"/>
      <c r="AH753" s="73"/>
      <c r="AI753" s="73"/>
      <c r="AJ753" s="73"/>
      <c r="AK753" s="73"/>
      <c r="AL753" s="73"/>
      <c r="AM753" s="73"/>
      <c r="AN753" s="73"/>
      <c r="AO753" s="73"/>
      <c r="AP753" s="73"/>
      <c r="DL753" s="34"/>
    </row>
    <row r="754" spans="10:116" x14ac:dyDescent="0.25">
      <c r="J754" s="73"/>
      <c r="K754" s="73"/>
      <c r="L754" s="73"/>
      <c r="M754" s="73"/>
      <c r="N754" s="73"/>
      <c r="O754" s="73"/>
      <c r="P754" s="73"/>
      <c r="Q754" s="73"/>
      <c r="R754" s="73"/>
      <c r="S754" s="73"/>
      <c r="T754" s="73"/>
      <c r="U754" s="73"/>
      <c r="V754" s="73"/>
      <c r="W754" s="73"/>
      <c r="X754" s="73"/>
      <c r="Y754" s="73"/>
      <c r="Z754" s="73"/>
      <c r="AA754" s="73"/>
      <c r="AB754" s="73"/>
      <c r="AC754" s="122"/>
      <c r="AD754" s="108"/>
      <c r="AF754" s="108"/>
      <c r="AG754" s="73"/>
      <c r="AH754" s="73"/>
      <c r="AI754" s="73"/>
      <c r="AJ754" s="73"/>
      <c r="AK754" s="73"/>
      <c r="AL754" s="73"/>
      <c r="AM754" s="73"/>
      <c r="AN754" s="73"/>
      <c r="AO754" s="73"/>
      <c r="AP754" s="73"/>
      <c r="DL754" s="34"/>
    </row>
    <row r="755" spans="10:116" x14ac:dyDescent="0.25">
      <c r="J755" s="73"/>
      <c r="K755" s="73"/>
      <c r="L755" s="73"/>
      <c r="M755" s="73"/>
      <c r="N755" s="73"/>
      <c r="O755" s="73"/>
      <c r="P755" s="73"/>
      <c r="Q755" s="73"/>
      <c r="R755" s="73"/>
      <c r="S755" s="73"/>
      <c r="T755" s="73"/>
      <c r="U755" s="73"/>
      <c r="V755" s="73"/>
      <c r="W755" s="73"/>
      <c r="X755" s="73"/>
      <c r="Y755" s="73"/>
      <c r="Z755" s="73"/>
      <c r="AA755" s="73"/>
      <c r="AB755" s="73"/>
      <c r="AC755" s="122"/>
      <c r="AD755" s="108"/>
      <c r="AF755" s="108"/>
      <c r="AG755" s="73"/>
      <c r="AH755" s="73"/>
      <c r="AI755" s="73"/>
      <c r="AJ755" s="73"/>
      <c r="AK755" s="73"/>
      <c r="AL755" s="73"/>
      <c r="AM755" s="73"/>
      <c r="AN755" s="73"/>
      <c r="AO755" s="73"/>
      <c r="AP755" s="73"/>
      <c r="DL755" s="34"/>
    </row>
    <row r="756" spans="10:116" x14ac:dyDescent="0.25">
      <c r="J756" s="73"/>
      <c r="K756" s="73"/>
      <c r="L756" s="73"/>
      <c r="M756" s="73"/>
      <c r="N756" s="73"/>
      <c r="O756" s="73"/>
      <c r="P756" s="73"/>
      <c r="Q756" s="73"/>
      <c r="R756" s="73"/>
      <c r="S756" s="73"/>
      <c r="T756" s="73"/>
      <c r="U756" s="73"/>
      <c r="V756" s="73"/>
      <c r="W756" s="73"/>
      <c r="X756" s="73"/>
      <c r="Y756" s="73"/>
      <c r="Z756" s="73"/>
      <c r="AA756" s="73"/>
      <c r="AB756" s="73"/>
      <c r="AC756" s="122"/>
      <c r="AD756" s="108"/>
      <c r="AF756" s="108"/>
      <c r="AG756" s="73"/>
      <c r="AH756" s="73"/>
      <c r="AI756" s="73"/>
      <c r="AJ756" s="73"/>
      <c r="AK756" s="73"/>
      <c r="AL756" s="73"/>
      <c r="AM756" s="73"/>
      <c r="AN756" s="73"/>
      <c r="AO756" s="73"/>
      <c r="AP756" s="73"/>
      <c r="DL756" s="34"/>
    </row>
    <row r="757" spans="10:116" x14ac:dyDescent="0.25">
      <c r="J757" s="73"/>
      <c r="K757" s="73"/>
      <c r="L757" s="73"/>
      <c r="M757" s="73"/>
      <c r="N757" s="73"/>
      <c r="O757" s="73"/>
      <c r="P757" s="73"/>
      <c r="Q757" s="73"/>
      <c r="R757" s="73"/>
      <c r="S757" s="73"/>
      <c r="T757" s="73"/>
      <c r="U757" s="73"/>
      <c r="V757" s="73"/>
      <c r="W757" s="73"/>
      <c r="X757" s="73"/>
      <c r="Y757" s="73"/>
      <c r="Z757" s="73"/>
      <c r="AA757" s="73"/>
      <c r="AB757" s="73"/>
      <c r="AC757" s="122"/>
      <c r="AD757" s="108"/>
      <c r="AF757" s="108"/>
      <c r="AG757" s="73"/>
      <c r="AH757" s="73"/>
      <c r="AI757" s="73"/>
      <c r="AJ757" s="73"/>
      <c r="AK757" s="73"/>
      <c r="AL757" s="73"/>
      <c r="AM757" s="73"/>
      <c r="AN757" s="73"/>
      <c r="AO757" s="73"/>
      <c r="AP757" s="73"/>
      <c r="DL757" s="34"/>
    </row>
    <row r="758" spans="10:116" x14ac:dyDescent="0.25">
      <c r="J758" s="73"/>
      <c r="K758" s="73"/>
      <c r="L758" s="73"/>
      <c r="M758" s="73"/>
      <c r="N758" s="73"/>
      <c r="O758" s="73"/>
      <c r="P758" s="73"/>
      <c r="Q758" s="73"/>
      <c r="R758" s="73"/>
      <c r="S758" s="73"/>
      <c r="T758" s="73"/>
      <c r="U758" s="73"/>
      <c r="V758" s="73"/>
      <c r="W758" s="73"/>
      <c r="X758" s="73"/>
      <c r="Y758" s="73"/>
      <c r="Z758" s="73"/>
      <c r="AA758" s="73"/>
      <c r="AB758" s="73"/>
      <c r="AC758" s="122"/>
      <c r="AD758" s="108"/>
      <c r="AF758" s="108"/>
      <c r="AG758" s="73"/>
      <c r="AH758" s="73"/>
      <c r="AI758" s="73"/>
      <c r="AJ758" s="73"/>
      <c r="AK758" s="73"/>
      <c r="AL758" s="73"/>
      <c r="AM758" s="73"/>
      <c r="AN758" s="73"/>
      <c r="AO758" s="73"/>
      <c r="AP758" s="73"/>
      <c r="DL758" s="34"/>
    </row>
    <row r="759" spans="10:116" x14ac:dyDescent="0.25">
      <c r="J759" s="73"/>
      <c r="K759" s="73"/>
      <c r="L759" s="73"/>
      <c r="M759" s="73"/>
      <c r="N759" s="73"/>
      <c r="O759" s="73"/>
      <c r="P759" s="73"/>
      <c r="Q759" s="73"/>
      <c r="R759" s="73"/>
      <c r="S759" s="73"/>
      <c r="T759" s="73"/>
      <c r="U759" s="73"/>
      <c r="V759" s="73"/>
      <c r="W759" s="73"/>
      <c r="X759" s="73"/>
      <c r="Y759" s="73"/>
      <c r="Z759" s="73"/>
      <c r="AA759" s="73"/>
      <c r="AB759" s="73"/>
      <c r="AC759" s="122"/>
      <c r="AD759" s="108"/>
      <c r="AF759" s="108"/>
      <c r="AG759" s="73"/>
      <c r="AH759" s="73"/>
      <c r="AI759" s="73"/>
      <c r="AJ759" s="73"/>
      <c r="AK759" s="73"/>
      <c r="AL759" s="73"/>
      <c r="AM759" s="73"/>
      <c r="AN759" s="73"/>
      <c r="AO759" s="73"/>
      <c r="AP759" s="73"/>
      <c r="DL759" s="34"/>
    </row>
    <row r="760" spans="10:116" x14ac:dyDescent="0.25">
      <c r="J760" s="73"/>
      <c r="K760" s="73"/>
      <c r="L760" s="73"/>
      <c r="M760" s="73"/>
      <c r="N760" s="73"/>
      <c r="O760" s="73"/>
      <c r="P760" s="73"/>
      <c r="Q760" s="73"/>
      <c r="R760" s="73"/>
      <c r="S760" s="73"/>
      <c r="T760" s="73"/>
      <c r="U760" s="73"/>
      <c r="V760" s="73"/>
      <c r="W760" s="73"/>
      <c r="X760" s="73"/>
      <c r="Y760" s="73"/>
      <c r="Z760" s="73"/>
      <c r="AA760" s="73"/>
      <c r="AB760" s="73"/>
      <c r="AC760" s="122"/>
      <c r="AD760" s="108"/>
      <c r="AF760" s="108"/>
      <c r="AG760" s="73"/>
      <c r="AH760" s="73"/>
      <c r="AI760" s="73"/>
      <c r="AJ760" s="73"/>
      <c r="AK760" s="73"/>
      <c r="AL760" s="73"/>
      <c r="AM760" s="73"/>
      <c r="AN760" s="73"/>
      <c r="AO760" s="73"/>
      <c r="AP760" s="73"/>
      <c r="DL760" s="34"/>
    </row>
    <row r="761" spans="10:116" x14ac:dyDescent="0.25">
      <c r="J761" s="73"/>
      <c r="K761" s="73"/>
      <c r="L761" s="73"/>
      <c r="M761" s="73"/>
      <c r="N761" s="73"/>
      <c r="O761" s="73"/>
      <c r="P761" s="73"/>
      <c r="Q761" s="73"/>
      <c r="R761" s="73"/>
      <c r="S761" s="73"/>
      <c r="T761" s="73"/>
      <c r="U761" s="73"/>
      <c r="V761" s="73"/>
      <c r="W761" s="73"/>
      <c r="X761" s="73"/>
      <c r="Y761" s="73"/>
      <c r="Z761" s="73"/>
      <c r="AA761" s="73"/>
      <c r="AB761" s="73"/>
      <c r="AC761" s="122"/>
      <c r="AD761" s="108"/>
      <c r="AF761" s="108"/>
      <c r="AG761" s="73"/>
      <c r="AH761" s="73"/>
      <c r="AI761" s="73"/>
      <c r="AJ761" s="73"/>
      <c r="AK761" s="73"/>
      <c r="AL761" s="73"/>
      <c r="AM761" s="73"/>
      <c r="AN761" s="73"/>
      <c r="AO761" s="73"/>
      <c r="AP761" s="73"/>
      <c r="DL761" s="34"/>
    </row>
    <row r="762" spans="10:116" x14ac:dyDescent="0.25">
      <c r="J762" s="73"/>
      <c r="K762" s="73"/>
      <c r="L762" s="73"/>
      <c r="M762" s="73"/>
      <c r="N762" s="73"/>
      <c r="O762" s="73"/>
      <c r="P762" s="73"/>
      <c r="Q762" s="73"/>
      <c r="R762" s="73"/>
      <c r="S762" s="73"/>
      <c r="T762" s="73"/>
      <c r="U762" s="73"/>
      <c r="V762" s="73"/>
      <c r="W762" s="73"/>
      <c r="X762" s="73"/>
      <c r="Y762" s="73"/>
      <c r="Z762" s="73"/>
      <c r="AA762" s="73"/>
      <c r="AB762" s="73"/>
      <c r="AC762" s="122"/>
      <c r="AD762" s="108"/>
      <c r="AF762" s="108"/>
      <c r="AG762" s="73"/>
      <c r="AH762" s="73"/>
      <c r="AI762" s="73"/>
      <c r="AJ762" s="73"/>
      <c r="AK762" s="73"/>
      <c r="AL762" s="73"/>
      <c r="AM762" s="73"/>
      <c r="AN762" s="73"/>
      <c r="AO762" s="73"/>
      <c r="AP762" s="73"/>
      <c r="DL762" s="34"/>
    </row>
    <row r="763" spans="10:116" x14ac:dyDescent="0.25">
      <c r="J763" s="73"/>
      <c r="K763" s="73"/>
      <c r="L763" s="73"/>
      <c r="M763" s="73"/>
      <c r="N763" s="73"/>
      <c r="O763" s="73"/>
      <c r="P763" s="73"/>
      <c r="Q763" s="73"/>
      <c r="R763" s="73"/>
      <c r="S763" s="73"/>
      <c r="T763" s="73"/>
      <c r="U763" s="73"/>
      <c r="V763" s="73"/>
      <c r="W763" s="73"/>
      <c r="X763" s="73"/>
      <c r="Y763" s="73"/>
      <c r="Z763" s="73"/>
      <c r="AA763" s="73"/>
      <c r="AB763" s="73"/>
      <c r="AC763" s="122"/>
      <c r="AD763" s="108"/>
      <c r="AF763" s="108"/>
      <c r="AG763" s="73"/>
      <c r="AH763" s="73"/>
      <c r="AI763" s="73"/>
      <c r="AJ763" s="73"/>
      <c r="AK763" s="73"/>
      <c r="AL763" s="73"/>
      <c r="AM763" s="73"/>
      <c r="AN763" s="73"/>
      <c r="AO763" s="73"/>
      <c r="AP763" s="73"/>
      <c r="DL763" s="34"/>
    </row>
    <row r="764" spans="10:116" x14ac:dyDescent="0.25">
      <c r="J764" s="73"/>
      <c r="K764" s="73"/>
      <c r="L764" s="73"/>
      <c r="M764" s="73"/>
      <c r="N764" s="73"/>
      <c r="O764" s="73"/>
      <c r="P764" s="73"/>
      <c r="Q764" s="73"/>
      <c r="R764" s="73"/>
      <c r="S764" s="73"/>
      <c r="T764" s="73"/>
      <c r="U764" s="73"/>
      <c r="V764" s="73"/>
      <c r="W764" s="73"/>
      <c r="X764" s="73"/>
      <c r="Y764" s="73"/>
      <c r="Z764" s="73"/>
      <c r="AA764" s="73"/>
      <c r="AB764" s="73"/>
      <c r="AC764" s="122"/>
      <c r="AD764" s="108"/>
      <c r="AF764" s="108"/>
      <c r="AG764" s="73"/>
      <c r="AH764" s="73"/>
      <c r="AI764" s="73"/>
      <c r="AJ764" s="73"/>
      <c r="AK764" s="73"/>
      <c r="AL764" s="73"/>
      <c r="AM764" s="73"/>
      <c r="AN764" s="73"/>
      <c r="AO764" s="73"/>
      <c r="AP764" s="73"/>
      <c r="DL764" s="34"/>
    </row>
    <row r="765" spans="10:116" x14ac:dyDescent="0.25">
      <c r="J765" s="73"/>
      <c r="K765" s="73"/>
      <c r="L765" s="73"/>
      <c r="M765" s="73"/>
      <c r="N765" s="73"/>
      <c r="O765" s="73"/>
      <c r="P765" s="73"/>
      <c r="Q765" s="73"/>
      <c r="R765" s="73"/>
      <c r="S765" s="73"/>
      <c r="T765" s="73"/>
      <c r="U765" s="73"/>
      <c r="V765" s="73"/>
      <c r="W765" s="73"/>
      <c r="X765" s="73"/>
      <c r="Y765" s="73"/>
      <c r="Z765" s="73"/>
      <c r="AA765" s="73"/>
      <c r="AB765" s="73"/>
      <c r="AC765" s="122"/>
      <c r="AD765" s="108"/>
      <c r="AF765" s="108"/>
      <c r="AG765" s="73"/>
      <c r="AH765" s="73"/>
      <c r="AI765" s="73"/>
      <c r="AJ765" s="73"/>
      <c r="AK765" s="73"/>
      <c r="AL765" s="73"/>
      <c r="AM765" s="73"/>
      <c r="AN765" s="73"/>
      <c r="AO765" s="73"/>
      <c r="AP765" s="73"/>
      <c r="DL765" s="34"/>
    </row>
    <row r="766" spans="10:116" x14ac:dyDescent="0.25">
      <c r="J766" s="73"/>
      <c r="K766" s="73"/>
      <c r="L766" s="73"/>
      <c r="M766" s="73"/>
      <c r="N766" s="73"/>
      <c r="O766" s="73"/>
      <c r="P766" s="73"/>
      <c r="Q766" s="73"/>
      <c r="R766" s="73"/>
      <c r="S766" s="73"/>
      <c r="T766" s="73"/>
      <c r="U766" s="73"/>
      <c r="V766" s="73"/>
      <c r="W766" s="73"/>
      <c r="X766" s="73"/>
      <c r="Y766" s="73"/>
      <c r="Z766" s="73"/>
      <c r="AA766" s="73"/>
      <c r="AB766" s="73"/>
      <c r="AC766" s="122"/>
      <c r="AD766" s="108"/>
      <c r="AF766" s="108"/>
      <c r="AG766" s="73"/>
      <c r="AH766" s="73"/>
      <c r="AI766" s="73"/>
      <c r="AJ766" s="73"/>
      <c r="AK766" s="73"/>
      <c r="AL766" s="73"/>
      <c r="AM766" s="73"/>
      <c r="AN766" s="73"/>
      <c r="AO766" s="73"/>
      <c r="AP766" s="73"/>
      <c r="DL766" s="34"/>
    </row>
    <row r="767" spans="10:116" x14ac:dyDescent="0.25">
      <c r="J767" s="73"/>
      <c r="K767" s="73"/>
      <c r="L767" s="73"/>
      <c r="M767" s="73"/>
      <c r="N767" s="73"/>
      <c r="O767" s="73"/>
      <c r="P767" s="73"/>
      <c r="Q767" s="73"/>
      <c r="R767" s="73"/>
      <c r="S767" s="73"/>
      <c r="T767" s="73"/>
      <c r="U767" s="73"/>
      <c r="V767" s="73"/>
      <c r="W767" s="73"/>
      <c r="X767" s="73"/>
      <c r="Y767" s="73"/>
      <c r="Z767" s="73"/>
      <c r="AA767" s="73"/>
      <c r="AB767" s="73"/>
      <c r="AC767" s="122"/>
      <c r="AD767" s="108"/>
      <c r="AF767" s="108"/>
      <c r="AG767" s="73"/>
      <c r="AH767" s="73"/>
      <c r="AI767" s="73"/>
      <c r="AJ767" s="73"/>
      <c r="AK767" s="73"/>
      <c r="AL767" s="73"/>
      <c r="AM767" s="73"/>
      <c r="AN767" s="73"/>
      <c r="AO767" s="73"/>
      <c r="AP767" s="73"/>
      <c r="DL767" s="34"/>
    </row>
    <row r="768" spans="10:116" x14ac:dyDescent="0.25">
      <c r="J768" s="73"/>
      <c r="K768" s="73"/>
      <c r="L768" s="73"/>
      <c r="M768" s="73"/>
      <c r="N768" s="73"/>
      <c r="O768" s="73"/>
      <c r="P768" s="73"/>
      <c r="Q768" s="73"/>
      <c r="R768" s="73"/>
      <c r="S768" s="73"/>
      <c r="T768" s="73"/>
      <c r="U768" s="73"/>
      <c r="V768" s="73"/>
      <c r="W768" s="73"/>
      <c r="X768" s="73"/>
      <c r="Y768" s="73"/>
      <c r="Z768" s="73"/>
      <c r="AA768" s="73"/>
      <c r="AB768" s="73"/>
      <c r="AC768" s="122"/>
      <c r="AD768" s="108"/>
      <c r="AF768" s="108"/>
      <c r="AG768" s="73"/>
      <c r="AH768" s="73"/>
      <c r="AI768" s="73"/>
      <c r="AJ768" s="73"/>
      <c r="AK768" s="73"/>
      <c r="AL768" s="73"/>
      <c r="AM768" s="73"/>
      <c r="AN768" s="73"/>
      <c r="AO768" s="73"/>
      <c r="AP768" s="73"/>
      <c r="DL768" s="34"/>
    </row>
    <row r="769" spans="10:116" x14ac:dyDescent="0.25">
      <c r="J769" s="73"/>
      <c r="K769" s="73"/>
      <c r="L769" s="73"/>
      <c r="M769" s="73"/>
      <c r="N769" s="73"/>
      <c r="O769" s="73"/>
      <c r="P769" s="73"/>
      <c r="Q769" s="73"/>
      <c r="R769" s="73"/>
      <c r="S769" s="73"/>
      <c r="T769" s="73"/>
      <c r="U769" s="73"/>
      <c r="V769" s="73"/>
      <c r="W769" s="73"/>
      <c r="X769" s="73"/>
      <c r="Y769" s="73"/>
      <c r="Z769" s="73"/>
      <c r="AA769" s="73"/>
      <c r="AB769" s="73"/>
      <c r="AC769" s="122"/>
      <c r="AD769" s="108"/>
      <c r="AF769" s="108"/>
      <c r="AG769" s="73"/>
      <c r="AH769" s="73"/>
      <c r="AI769" s="73"/>
      <c r="AJ769" s="73"/>
      <c r="AK769" s="73"/>
      <c r="AL769" s="73"/>
      <c r="AM769" s="73"/>
      <c r="AN769" s="73"/>
      <c r="AO769" s="73"/>
      <c r="AP769" s="73"/>
      <c r="DL769" s="34"/>
    </row>
    <row r="770" spans="10:116" x14ac:dyDescent="0.25">
      <c r="J770" s="73"/>
      <c r="K770" s="73"/>
      <c r="L770" s="73"/>
      <c r="M770" s="73"/>
      <c r="N770" s="73"/>
      <c r="O770" s="73"/>
      <c r="P770" s="73"/>
      <c r="Q770" s="73"/>
      <c r="R770" s="73"/>
      <c r="S770" s="73"/>
      <c r="T770" s="73"/>
      <c r="U770" s="73"/>
      <c r="V770" s="73"/>
      <c r="W770" s="73"/>
      <c r="X770" s="73"/>
      <c r="Y770" s="73"/>
      <c r="Z770" s="73"/>
      <c r="AA770" s="73"/>
      <c r="AB770" s="73"/>
      <c r="AC770" s="122"/>
      <c r="AD770" s="108"/>
      <c r="AF770" s="108"/>
      <c r="AG770" s="73"/>
      <c r="AH770" s="73"/>
      <c r="AI770" s="73"/>
      <c r="AJ770" s="73"/>
      <c r="AK770" s="73"/>
      <c r="AL770" s="73"/>
      <c r="AM770" s="73"/>
      <c r="AN770" s="73"/>
      <c r="AO770" s="73"/>
      <c r="AP770" s="73"/>
      <c r="DL770" s="34"/>
    </row>
    <row r="771" spans="10:116" x14ac:dyDescent="0.25">
      <c r="J771" s="73"/>
      <c r="K771" s="73"/>
      <c r="L771" s="73"/>
      <c r="M771" s="73"/>
      <c r="N771" s="73"/>
      <c r="O771" s="73"/>
      <c r="P771" s="73"/>
      <c r="Q771" s="73"/>
      <c r="R771" s="73"/>
      <c r="S771" s="73"/>
      <c r="T771" s="73"/>
      <c r="U771" s="73"/>
      <c r="V771" s="73"/>
      <c r="W771" s="73"/>
      <c r="X771" s="73"/>
      <c r="Y771" s="73"/>
      <c r="Z771" s="73"/>
      <c r="AA771" s="73"/>
      <c r="AB771" s="73"/>
      <c r="AC771" s="122"/>
      <c r="AD771" s="108"/>
      <c r="AF771" s="108"/>
      <c r="AG771" s="73"/>
      <c r="AH771" s="73"/>
      <c r="AI771" s="73"/>
      <c r="AJ771" s="73"/>
      <c r="AK771" s="73"/>
      <c r="AL771" s="73"/>
      <c r="AM771" s="73"/>
      <c r="AN771" s="73"/>
      <c r="AO771" s="73"/>
      <c r="AP771" s="73"/>
      <c r="DL771" s="34"/>
    </row>
    <row r="772" spans="10:116" x14ac:dyDescent="0.25">
      <c r="J772" s="73"/>
      <c r="K772" s="73"/>
      <c r="L772" s="73"/>
      <c r="M772" s="73"/>
      <c r="N772" s="73"/>
      <c r="O772" s="73"/>
      <c r="P772" s="73"/>
      <c r="Q772" s="73"/>
      <c r="R772" s="73"/>
      <c r="S772" s="73"/>
      <c r="T772" s="73"/>
      <c r="U772" s="73"/>
      <c r="V772" s="73"/>
      <c r="W772" s="73"/>
      <c r="X772" s="73"/>
      <c r="Y772" s="73"/>
      <c r="Z772" s="73"/>
      <c r="AA772" s="73"/>
      <c r="AB772" s="73"/>
      <c r="AC772" s="122"/>
      <c r="AD772" s="108"/>
      <c r="AF772" s="108"/>
      <c r="AG772" s="73"/>
      <c r="AH772" s="73"/>
      <c r="AI772" s="73"/>
      <c r="AJ772" s="73"/>
      <c r="AK772" s="73"/>
      <c r="AL772" s="73"/>
      <c r="AM772" s="73"/>
      <c r="AN772" s="73"/>
      <c r="AO772" s="73"/>
      <c r="AP772" s="73"/>
      <c r="DL772" s="34"/>
    </row>
    <row r="773" spans="10:116" x14ac:dyDescent="0.25">
      <c r="J773" s="73"/>
      <c r="K773" s="73"/>
      <c r="L773" s="73"/>
      <c r="M773" s="73"/>
      <c r="N773" s="73"/>
      <c r="O773" s="73"/>
      <c r="P773" s="73"/>
      <c r="Q773" s="73"/>
      <c r="R773" s="73"/>
      <c r="S773" s="73"/>
      <c r="T773" s="73"/>
      <c r="U773" s="73"/>
      <c r="V773" s="73"/>
      <c r="W773" s="73"/>
      <c r="X773" s="73"/>
      <c r="Y773" s="73"/>
      <c r="Z773" s="73"/>
      <c r="AA773" s="73"/>
      <c r="AB773" s="73"/>
      <c r="AC773" s="122"/>
      <c r="AD773" s="108"/>
      <c r="AF773" s="108"/>
      <c r="AG773" s="73"/>
      <c r="AH773" s="73"/>
      <c r="AI773" s="73"/>
      <c r="AJ773" s="73"/>
      <c r="AK773" s="73"/>
      <c r="AL773" s="73"/>
      <c r="AM773" s="73"/>
      <c r="AN773" s="73"/>
      <c r="AO773" s="73"/>
      <c r="AP773" s="73"/>
      <c r="DL773" s="34"/>
    </row>
    <row r="774" spans="10:116" x14ac:dyDescent="0.25">
      <c r="J774" s="73"/>
      <c r="K774" s="73"/>
      <c r="L774" s="73"/>
      <c r="M774" s="73"/>
      <c r="N774" s="73"/>
      <c r="O774" s="73"/>
      <c r="P774" s="73"/>
      <c r="Q774" s="73"/>
      <c r="R774" s="73"/>
      <c r="S774" s="73"/>
      <c r="T774" s="73"/>
      <c r="U774" s="73"/>
      <c r="V774" s="73"/>
      <c r="W774" s="73"/>
      <c r="X774" s="73"/>
      <c r="Y774" s="73"/>
      <c r="Z774" s="73"/>
      <c r="AA774" s="73"/>
      <c r="AB774" s="73"/>
      <c r="AC774" s="122"/>
      <c r="AD774" s="108"/>
      <c r="AF774" s="108"/>
      <c r="AG774" s="73"/>
      <c r="AH774" s="73"/>
      <c r="AI774" s="73"/>
      <c r="AJ774" s="73"/>
      <c r="AK774" s="73"/>
      <c r="AL774" s="73"/>
      <c r="AM774" s="73"/>
      <c r="AN774" s="73"/>
      <c r="AO774" s="73"/>
      <c r="AP774" s="73"/>
      <c r="DL774" s="34"/>
    </row>
    <row r="775" spans="10:116" x14ac:dyDescent="0.25">
      <c r="J775" s="73"/>
      <c r="K775" s="73"/>
      <c r="L775" s="73"/>
      <c r="M775" s="73"/>
      <c r="N775" s="73"/>
      <c r="O775" s="73"/>
      <c r="P775" s="73"/>
      <c r="Q775" s="73"/>
      <c r="R775" s="73"/>
      <c r="S775" s="73"/>
      <c r="T775" s="73"/>
      <c r="U775" s="73"/>
      <c r="V775" s="73"/>
      <c r="W775" s="73"/>
      <c r="X775" s="73"/>
      <c r="Y775" s="73"/>
      <c r="Z775" s="73"/>
      <c r="AA775" s="73"/>
      <c r="AB775" s="73"/>
      <c r="AC775" s="122"/>
      <c r="AD775" s="108"/>
      <c r="AF775" s="108"/>
      <c r="AG775" s="73"/>
      <c r="AH775" s="73"/>
      <c r="AI775" s="73"/>
      <c r="AJ775" s="73"/>
      <c r="AK775" s="73"/>
      <c r="AL775" s="73"/>
      <c r="AM775" s="73"/>
      <c r="AN775" s="73"/>
      <c r="AO775" s="73"/>
      <c r="AP775" s="73"/>
      <c r="DL775" s="34"/>
    </row>
    <row r="776" spans="10:116" x14ac:dyDescent="0.25">
      <c r="J776" s="73"/>
      <c r="K776" s="73"/>
      <c r="L776" s="73"/>
      <c r="M776" s="73"/>
      <c r="N776" s="73"/>
      <c r="O776" s="73"/>
      <c r="P776" s="73"/>
      <c r="Q776" s="73"/>
      <c r="R776" s="73"/>
      <c r="S776" s="73"/>
      <c r="T776" s="73"/>
      <c r="U776" s="73"/>
      <c r="V776" s="73"/>
      <c r="W776" s="73"/>
      <c r="X776" s="73"/>
      <c r="Y776" s="73"/>
      <c r="Z776" s="73"/>
      <c r="AA776" s="73"/>
      <c r="AB776" s="73"/>
      <c r="AC776" s="122"/>
      <c r="AD776" s="108"/>
      <c r="AF776" s="108"/>
      <c r="AG776" s="73"/>
      <c r="AH776" s="73"/>
      <c r="AI776" s="73"/>
      <c r="AJ776" s="73"/>
      <c r="AK776" s="73"/>
      <c r="AL776" s="73"/>
      <c r="AM776" s="73"/>
      <c r="AN776" s="73"/>
      <c r="AO776" s="73"/>
      <c r="AP776" s="73"/>
      <c r="DL776" s="34"/>
    </row>
    <row r="777" spans="10:116" x14ac:dyDescent="0.25">
      <c r="J777" s="73"/>
      <c r="K777" s="73"/>
      <c r="L777" s="73"/>
      <c r="M777" s="73"/>
      <c r="N777" s="73"/>
      <c r="O777" s="73"/>
      <c r="P777" s="73"/>
      <c r="Q777" s="73"/>
      <c r="R777" s="73"/>
      <c r="S777" s="73"/>
      <c r="T777" s="73"/>
      <c r="U777" s="73"/>
      <c r="V777" s="73"/>
      <c r="W777" s="73"/>
      <c r="X777" s="73"/>
      <c r="Y777" s="73"/>
      <c r="Z777" s="73"/>
      <c r="AA777" s="73"/>
      <c r="AB777" s="73"/>
      <c r="AC777" s="122"/>
      <c r="AD777" s="108"/>
      <c r="AF777" s="108"/>
      <c r="AG777" s="73"/>
      <c r="AH777" s="73"/>
      <c r="AI777" s="73"/>
      <c r="AJ777" s="73"/>
      <c r="AK777" s="73"/>
      <c r="AL777" s="73"/>
      <c r="AM777" s="73"/>
      <c r="AN777" s="73"/>
      <c r="AO777" s="73"/>
      <c r="AP777" s="73"/>
      <c r="DL777" s="34"/>
    </row>
    <row r="778" spans="10:116" x14ac:dyDescent="0.25">
      <c r="J778" s="73"/>
      <c r="K778" s="73"/>
      <c r="L778" s="73"/>
      <c r="M778" s="73"/>
      <c r="N778" s="73"/>
      <c r="O778" s="73"/>
      <c r="P778" s="73"/>
      <c r="Q778" s="73"/>
      <c r="R778" s="73"/>
      <c r="S778" s="73"/>
      <c r="T778" s="73"/>
      <c r="U778" s="73"/>
      <c r="V778" s="73"/>
      <c r="W778" s="73"/>
      <c r="X778" s="73"/>
      <c r="Y778" s="73"/>
      <c r="Z778" s="73"/>
      <c r="AA778" s="73"/>
      <c r="AB778" s="73"/>
      <c r="AC778" s="122"/>
      <c r="AD778" s="108"/>
      <c r="AF778" s="108"/>
      <c r="AG778" s="73"/>
      <c r="AH778" s="73"/>
      <c r="AI778" s="73"/>
      <c r="AJ778" s="73"/>
      <c r="AK778" s="73"/>
      <c r="AL778" s="73"/>
      <c r="AM778" s="73"/>
      <c r="AN778" s="73"/>
      <c r="AO778" s="73"/>
      <c r="AP778" s="73"/>
      <c r="DL778" s="34"/>
    </row>
    <row r="779" spans="10:116" x14ac:dyDescent="0.25">
      <c r="J779" s="73"/>
      <c r="K779" s="73"/>
      <c r="L779" s="73"/>
      <c r="M779" s="73"/>
      <c r="N779" s="73"/>
      <c r="O779" s="73"/>
      <c r="P779" s="73"/>
      <c r="Q779" s="73"/>
      <c r="R779" s="73"/>
      <c r="S779" s="73"/>
      <c r="T779" s="73"/>
      <c r="U779" s="73"/>
      <c r="V779" s="73"/>
      <c r="W779" s="73"/>
      <c r="X779" s="73"/>
      <c r="Y779" s="73"/>
      <c r="Z779" s="73"/>
      <c r="AA779" s="73"/>
      <c r="AB779" s="73"/>
      <c r="AC779" s="122"/>
      <c r="AD779" s="108"/>
      <c r="AF779" s="108"/>
      <c r="AG779" s="73"/>
      <c r="AH779" s="73"/>
      <c r="AI779" s="73"/>
      <c r="AJ779" s="73"/>
      <c r="AK779" s="73"/>
      <c r="AL779" s="73"/>
      <c r="AM779" s="73"/>
      <c r="AN779" s="73"/>
      <c r="AO779" s="73"/>
      <c r="AP779" s="73"/>
      <c r="DL779" s="34"/>
    </row>
    <row r="780" spans="10:116" x14ac:dyDescent="0.25">
      <c r="J780" s="73"/>
      <c r="K780" s="73"/>
      <c r="L780" s="73"/>
      <c r="M780" s="73"/>
      <c r="N780" s="73"/>
      <c r="O780" s="73"/>
      <c r="P780" s="73"/>
      <c r="Q780" s="73"/>
      <c r="R780" s="73"/>
      <c r="S780" s="73"/>
      <c r="T780" s="73"/>
      <c r="U780" s="73"/>
      <c r="V780" s="73"/>
      <c r="W780" s="73"/>
      <c r="X780" s="73"/>
      <c r="Y780" s="73"/>
      <c r="Z780" s="73"/>
      <c r="AA780" s="73"/>
      <c r="AB780" s="73"/>
      <c r="AC780" s="122"/>
      <c r="AD780" s="108"/>
      <c r="AF780" s="108"/>
      <c r="AG780" s="73"/>
      <c r="AH780" s="73"/>
      <c r="AI780" s="73"/>
      <c r="AJ780" s="73"/>
      <c r="AK780" s="73"/>
      <c r="AL780" s="73"/>
      <c r="AM780" s="73"/>
      <c r="AN780" s="73"/>
      <c r="AO780" s="73"/>
      <c r="AP780" s="73"/>
      <c r="DL780" s="34"/>
    </row>
    <row r="781" spans="10:116" x14ac:dyDescent="0.25">
      <c r="J781" s="73"/>
      <c r="K781" s="73"/>
      <c r="L781" s="73"/>
      <c r="M781" s="73"/>
      <c r="N781" s="73"/>
      <c r="O781" s="73"/>
      <c r="P781" s="73"/>
      <c r="Q781" s="73"/>
      <c r="R781" s="73"/>
      <c r="S781" s="73"/>
      <c r="T781" s="73"/>
      <c r="U781" s="73"/>
      <c r="V781" s="73"/>
      <c r="W781" s="73"/>
      <c r="X781" s="73"/>
      <c r="Y781" s="73"/>
      <c r="Z781" s="73"/>
      <c r="AA781" s="73"/>
      <c r="AB781" s="73"/>
      <c r="AC781" s="122"/>
      <c r="AD781" s="108"/>
      <c r="AF781" s="108"/>
      <c r="AG781" s="73"/>
      <c r="AH781" s="73"/>
      <c r="AI781" s="73"/>
      <c r="AJ781" s="73"/>
      <c r="AK781" s="73"/>
      <c r="AL781" s="73"/>
      <c r="AM781" s="73"/>
      <c r="AN781" s="73"/>
      <c r="AO781" s="73"/>
      <c r="AP781" s="73"/>
      <c r="DL781" s="34"/>
    </row>
    <row r="782" spans="10:116" x14ac:dyDescent="0.25">
      <c r="J782" s="73"/>
      <c r="K782" s="73"/>
      <c r="L782" s="73"/>
      <c r="M782" s="73"/>
      <c r="N782" s="73"/>
      <c r="O782" s="73"/>
      <c r="P782" s="73"/>
      <c r="Q782" s="73"/>
      <c r="R782" s="73"/>
      <c r="S782" s="73"/>
      <c r="T782" s="73"/>
      <c r="U782" s="73"/>
      <c r="V782" s="73"/>
      <c r="W782" s="73"/>
      <c r="X782" s="73"/>
      <c r="Y782" s="73"/>
      <c r="Z782" s="73"/>
      <c r="AA782" s="73"/>
      <c r="AB782" s="73"/>
      <c r="AC782" s="122"/>
      <c r="AD782" s="108"/>
      <c r="AF782" s="108"/>
      <c r="AG782" s="73"/>
      <c r="AH782" s="73"/>
      <c r="AI782" s="73"/>
      <c r="AJ782" s="73"/>
      <c r="AK782" s="73"/>
      <c r="AL782" s="73"/>
      <c r="AM782" s="73"/>
      <c r="AN782" s="73"/>
      <c r="AO782" s="73"/>
      <c r="AP782" s="73"/>
      <c r="DL782" s="34"/>
    </row>
    <row r="783" spans="10:116" x14ac:dyDescent="0.25">
      <c r="J783" s="73"/>
      <c r="K783" s="73"/>
      <c r="L783" s="73"/>
      <c r="M783" s="73"/>
      <c r="N783" s="73"/>
      <c r="O783" s="73"/>
      <c r="P783" s="73"/>
      <c r="Q783" s="73"/>
      <c r="R783" s="73"/>
      <c r="S783" s="73"/>
      <c r="T783" s="73"/>
      <c r="U783" s="73"/>
      <c r="V783" s="73"/>
      <c r="W783" s="73"/>
      <c r="X783" s="73"/>
      <c r="Y783" s="73"/>
      <c r="Z783" s="73"/>
      <c r="AA783" s="73"/>
      <c r="AB783" s="73"/>
      <c r="AC783" s="122"/>
      <c r="AD783" s="108"/>
      <c r="AF783" s="108"/>
      <c r="AG783" s="73"/>
      <c r="AH783" s="73"/>
      <c r="AI783" s="73"/>
      <c r="AJ783" s="73"/>
      <c r="AK783" s="73"/>
      <c r="AL783" s="73"/>
      <c r="AM783" s="73"/>
      <c r="AN783" s="73"/>
      <c r="AO783" s="73"/>
      <c r="AP783" s="73"/>
      <c r="DL783" s="34"/>
    </row>
    <row r="784" spans="10:116" x14ac:dyDescent="0.25">
      <c r="J784" s="73"/>
      <c r="K784" s="73"/>
      <c r="L784" s="73"/>
      <c r="M784" s="73"/>
      <c r="N784" s="73"/>
      <c r="O784" s="73"/>
      <c r="P784" s="73"/>
      <c r="Q784" s="73"/>
      <c r="R784" s="73"/>
      <c r="S784" s="73"/>
      <c r="T784" s="73"/>
      <c r="U784" s="73"/>
      <c r="V784" s="73"/>
      <c r="W784" s="73"/>
      <c r="X784" s="73"/>
      <c r="Y784" s="73"/>
      <c r="Z784" s="73"/>
      <c r="AA784" s="73"/>
      <c r="AB784" s="73"/>
      <c r="AC784" s="122"/>
      <c r="AD784" s="108"/>
      <c r="AF784" s="108"/>
      <c r="AG784" s="73"/>
      <c r="AH784" s="73"/>
      <c r="AI784" s="73"/>
      <c r="AJ784" s="73"/>
      <c r="AK784" s="73"/>
      <c r="AL784" s="73"/>
      <c r="AM784" s="73"/>
      <c r="AN784" s="73"/>
      <c r="AO784" s="73"/>
      <c r="AP784" s="73"/>
      <c r="DL784" s="34"/>
    </row>
    <row r="785" spans="10:116" x14ac:dyDescent="0.25">
      <c r="J785" s="73"/>
      <c r="K785" s="73"/>
      <c r="L785" s="73"/>
      <c r="M785" s="73"/>
      <c r="N785" s="73"/>
      <c r="O785" s="73"/>
      <c r="P785" s="73"/>
      <c r="Q785" s="73"/>
      <c r="R785" s="73"/>
      <c r="S785" s="73"/>
      <c r="T785" s="73"/>
      <c r="U785" s="73"/>
      <c r="V785" s="73"/>
      <c r="W785" s="73"/>
      <c r="X785" s="73"/>
      <c r="Y785" s="73"/>
      <c r="Z785" s="73"/>
      <c r="AA785" s="73"/>
      <c r="AB785" s="73"/>
      <c r="AC785" s="122"/>
      <c r="AD785" s="108"/>
      <c r="AF785" s="108"/>
      <c r="AG785" s="73"/>
      <c r="AH785" s="73"/>
      <c r="AI785" s="73"/>
      <c r="AJ785" s="73"/>
      <c r="AK785" s="73"/>
      <c r="AL785" s="73"/>
      <c r="AM785" s="73"/>
      <c r="AN785" s="73"/>
      <c r="AO785" s="73"/>
      <c r="AP785" s="73"/>
      <c r="DL785" s="34"/>
    </row>
    <row r="786" spans="10:116" x14ac:dyDescent="0.25">
      <c r="J786" s="73"/>
      <c r="K786" s="73"/>
      <c r="L786" s="73"/>
      <c r="M786" s="73"/>
      <c r="N786" s="73"/>
      <c r="O786" s="73"/>
      <c r="P786" s="73"/>
      <c r="Q786" s="73"/>
      <c r="R786" s="73"/>
      <c r="S786" s="73"/>
      <c r="T786" s="73"/>
      <c r="U786" s="73"/>
      <c r="V786" s="73"/>
      <c r="W786" s="73"/>
      <c r="X786" s="73"/>
      <c r="Y786" s="73"/>
      <c r="Z786" s="73"/>
      <c r="AA786" s="73"/>
      <c r="AB786" s="73"/>
      <c r="AC786" s="122"/>
      <c r="AD786" s="108"/>
      <c r="AF786" s="108"/>
      <c r="AG786" s="73"/>
      <c r="AH786" s="73"/>
      <c r="AI786" s="73"/>
      <c r="AJ786" s="73"/>
      <c r="AK786" s="73"/>
      <c r="AL786" s="73"/>
      <c r="AM786" s="73"/>
      <c r="AN786" s="73"/>
      <c r="AO786" s="73"/>
      <c r="AP786" s="73"/>
      <c r="DL786" s="34"/>
    </row>
    <row r="787" spans="10:116" x14ac:dyDescent="0.25">
      <c r="J787" s="73"/>
      <c r="K787" s="73"/>
      <c r="L787" s="73"/>
      <c r="M787" s="73"/>
      <c r="N787" s="73"/>
      <c r="O787" s="73"/>
      <c r="P787" s="73"/>
      <c r="Q787" s="73"/>
      <c r="R787" s="73"/>
      <c r="S787" s="73"/>
      <c r="T787" s="73"/>
      <c r="U787" s="73"/>
      <c r="V787" s="73"/>
      <c r="W787" s="73"/>
      <c r="X787" s="73"/>
      <c r="Y787" s="73"/>
      <c r="Z787" s="73"/>
      <c r="AA787" s="73"/>
      <c r="AB787" s="73"/>
      <c r="AC787" s="122"/>
      <c r="AD787" s="108"/>
      <c r="AF787" s="108"/>
      <c r="AG787" s="73"/>
      <c r="AH787" s="73"/>
      <c r="AI787" s="73"/>
      <c r="AJ787" s="73"/>
      <c r="AK787" s="73"/>
      <c r="AL787" s="73"/>
      <c r="AM787" s="73"/>
      <c r="AN787" s="73"/>
      <c r="AO787" s="73"/>
      <c r="AP787" s="73"/>
      <c r="DL787" s="34"/>
    </row>
    <row r="788" spans="10:116" x14ac:dyDescent="0.25">
      <c r="J788" s="73"/>
      <c r="K788" s="73"/>
      <c r="L788" s="73"/>
      <c r="M788" s="73"/>
      <c r="N788" s="73"/>
      <c r="O788" s="73"/>
      <c r="P788" s="73"/>
      <c r="Q788" s="73"/>
      <c r="R788" s="73"/>
      <c r="S788" s="73"/>
      <c r="T788" s="73"/>
      <c r="U788" s="73"/>
      <c r="V788" s="73"/>
      <c r="W788" s="73"/>
      <c r="X788" s="73"/>
      <c r="Y788" s="73"/>
      <c r="Z788" s="73"/>
      <c r="AA788" s="73"/>
      <c r="AB788" s="73"/>
      <c r="AC788" s="122"/>
      <c r="AD788" s="108"/>
      <c r="AF788" s="108"/>
      <c r="AG788" s="73"/>
      <c r="AH788" s="73"/>
      <c r="AI788" s="73"/>
      <c r="AJ788" s="73"/>
      <c r="AK788" s="73"/>
      <c r="AL788" s="73"/>
      <c r="AM788" s="73"/>
      <c r="AN788" s="73"/>
      <c r="AO788" s="73"/>
      <c r="AP788" s="73"/>
      <c r="DL788" s="34"/>
    </row>
    <row r="789" spans="10:116" x14ac:dyDescent="0.25">
      <c r="J789" s="73"/>
      <c r="K789" s="73"/>
      <c r="L789" s="73"/>
      <c r="M789" s="73"/>
      <c r="N789" s="73"/>
      <c r="O789" s="73"/>
      <c r="P789" s="73"/>
      <c r="Q789" s="73"/>
      <c r="R789" s="73"/>
      <c r="S789" s="73"/>
      <c r="T789" s="73"/>
      <c r="U789" s="73"/>
      <c r="V789" s="73"/>
      <c r="W789" s="73"/>
      <c r="X789" s="73"/>
      <c r="Y789" s="73"/>
      <c r="Z789" s="73"/>
      <c r="AA789" s="73"/>
      <c r="AB789" s="73"/>
      <c r="AC789" s="122"/>
      <c r="AD789" s="108"/>
      <c r="AF789" s="108"/>
      <c r="AG789" s="73"/>
      <c r="AH789" s="73"/>
      <c r="AI789" s="73"/>
      <c r="AJ789" s="73"/>
      <c r="AK789" s="73"/>
      <c r="AL789" s="73"/>
      <c r="AM789" s="73"/>
      <c r="AN789" s="73"/>
      <c r="AO789" s="73"/>
      <c r="AP789" s="73"/>
      <c r="DL789" s="34"/>
    </row>
    <row r="790" spans="10:116" x14ac:dyDescent="0.25">
      <c r="J790" s="73"/>
      <c r="K790" s="73"/>
      <c r="L790" s="73"/>
      <c r="M790" s="73"/>
      <c r="N790" s="73"/>
      <c r="O790" s="73"/>
      <c r="P790" s="73"/>
      <c r="Q790" s="73"/>
      <c r="R790" s="73"/>
      <c r="S790" s="73"/>
      <c r="T790" s="73"/>
      <c r="U790" s="73"/>
      <c r="V790" s="73"/>
      <c r="W790" s="73"/>
      <c r="X790" s="73"/>
      <c r="Y790" s="73"/>
      <c r="Z790" s="73"/>
      <c r="AA790" s="73"/>
      <c r="AB790" s="73"/>
      <c r="AC790" s="122"/>
      <c r="AD790" s="108"/>
      <c r="AF790" s="108"/>
      <c r="AG790" s="73"/>
      <c r="AH790" s="73"/>
      <c r="AI790" s="73"/>
      <c r="AJ790" s="73"/>
      <c r="AK790" s="73"/>
      <c r="AL790" s="73"/>
      <c r="AM790" s="73"/>
      <c r="AN790" s="73"/>
      <c r="AO790" s="73"/>
      <c r="AP790" s="73"/>
      <c r="DL790" s="34"/>
    </row>
    <row r="791" spans="10:116" x14ac:dyDescent="0.25">
      <c r="J791" s="73"/>
      <c r="K791" s="73"/>
      <c r="L791" s="73"/>
      <c r="M791" s="73"/>
      <c r="N791" s="73"/>
      <c r="O791" s="73"/>
      <c r="P791" s="73"/>
      <c r="Q791" s="73"/>
      <c r="R791" s="73"/>
      <c r="S791" s="73"/>
      <c r="T791" s="73"/>
      <c r="U791" s="73"/>
      <c r="V791" s="73"/>
      <c r="W791" s="73"/>
      <c r="X791" s="73"/>
      <c r="Y791" s="73"/>
      <c r="Z791" s="73"/>
      <c r="AA791" s="73"/>
      <c r="AB791" s="73"/>
      <c r="AC791" s="122"/>
      <c r="AD791" s="108"/>
      <c r="AF791" s="108"/>
      <c r="AG791" s="73"/>
      <c r="AH791" s="73"/>
      <c r="AI791" s="73"/>
      <c r="AJ791" s="73"/>
      <c r="AK791" s="73"/>
      <c r="AL791" s="73"/>
      <c r="AM791" s="73"/>
      <c r="AN791" s="73"/>
      <c r="AO791" s="73"/>
      <c r="AP791" s="73"/>
      <c r="DL791" s="34"/>
    </row>
    <row r="792" spans="10:116" x14ac:dyDescent="0.25">
      <c r="J792" s="73"/>
      <c r="K792" s="73"/>
      <c r="L792" s="73"/>
      <c r="M792" s="73"/>
      <c r="N792" s="73"/>
      <c r="O792" s="73"/>
      <c r="P792" s="73"/>
      <c r="Q792" s="73"/>
      <c r="R792" s="73"/>
      <c r="S792" s="73"/>
      <c r="T792" s="73"/>
      <c r="U792" s="73"/>
      <c r="V792" s="73"/>
      <c r="W792" s="73"/>
      <c r="X792" s="73"/>
      <c r="Y792" s="73"/>
      <c r="Z792" s="73"/>
      <c r="AA792" s="73"/>
      <c r="AB792" s="73"/>
      <c r="AC792" s="122"/>
      <c r="AD792" s="108"/>
      <c r="AF792" s="108"/>
      <c r="AG792" s="73"/>
      <c r="AH792" s="73"/>
      <c r="AI792" s="73"/>
      <c r="AJ792" s="73"/>
      <c r="AK792" s="73"/>
      <c r="AL792" s="73"/>
      <c r="AM792" s="73"/>
      <c r="AN792" s="73"/>
      <c r="AO792" s="73"/>
      <c r="AP792" s="73"/>
      <c r="DL792" s="34"/>
    </row>
    <row r="793" spans="10:116" x14ac:dyDescent="0.25">
      <c r="J793" s="73"/>
      <c r="K793" s="73"/>
      <c r="L793" s="73"/>
      <c r="M793" s="73"/>
      <c r="N793" s="73"/>
      <c r="O793" s="73"/>
      <c r="P793" s="73"/>
      <c r="Q793" s="73"/>
      <c r="R793" s="73"/>
      <c r="S793" s="73"/>
      <c r="T793" s="73"/>
      <c r="U793" s="73"/>
      <c r="V793" s="73"/>
      <c r="W793" s="73"/>
      <c r="X793" s="73"/>
      <c r="Y793" s="73"/>
      <c r="Z793" s="73"/>
      <c r="AA793" s="73"/>
      <c r="AB793" s="73"/>
      <c r="AC793" s="122"/>
      <c r="AD793" s="108"/>
      <c r="AF793" s="108"/>
      <c r="AG793" s="73"/>
      <c r="AH793" s="73"/>
      <c r="AI793" s="73"/>
      <c r="AJ793" s="73"/>
      <c r="AK793" s="73"/>
      <c r="AL793" s="73"/>
      <c r="AM793" s="73"/>
      <c r="AN793" s="73"/>
      <c r="AO793" s="73"/>
      <c r="AP793" s="73"/>
      <c r="DL793" s="34"/>
    </row>
    <row r="794" spans="10:116" x14ac:dyDescent="0.25">
      <c r="J794" s="73"/>
      <c r="K794" s="73"/>
      <c r="L794" s="73"/>
      <c r="M794" s="73"/>
      <c r="N794" s="73"/>
      <c r="O794" s="73"/>
      <c r="P794" s="73"/>
      <c r="Q794" s="73"/>
      <c r="R794" s="73"/>
      <c r="S794" s="73"/>
      <c r="T794" s="73"/>
      <c r="U794" s="73"/>
      <c r="V794" s="73"/>
      <c r="W794" s="73"/>
      <c r="X794" s="73"/>
      <c r="Y794" s="73"/>
      <c r="Z794" s="73"/>
      <c r="AA794" s="73"/>
      <c r="AB794" s="73"/>
      <c r="AC794" s="122"/>
      <c r="AD794" s="108"/>
      <c r="AF794" s="108"/>
      <c r="AG794" s="73"/>
      <c r="AH794" s="73"/>
      <c r="AI794" s="73"/>
      <c r="AJ794" s="73"/>
      <c r="AK794" s="73"/>
      <c r="AL794" s="73"/>
      <c r="AM794" s="73"/>
      <c r="AN794" s="73"/>
      <c r="AO794" s="73"/>
      <c r="AP794" s="73"/>
      <c r="DL794" s="34"/>
    </row>
    <row r="795" spans="10:116" x14ac:dyDescent="0.25">
      <c r="J795" s="73"/>
      <c r="K795" s="73"/>
      <c r="L795" s="73"/>
      <c r="M795" s="73"/>
      <c r="N795" s="73"/>
      <c r="O795" s="73"/>
      <c r="P795" s="73"/>
      <c r="Q795" s="73"/>
      <c r="R795" s="73"/>
      <c r="S795" s="73"/>
      <c r="T795" s="73"/>
      <c r="U795" s="73"/>
      <c r="V795" s="73"/>
      <c r="W795" s="73"/>
      <c r="X795" s="73"/>
      <c r="Y795" s="73"/>
      <c r="Z795" s="73"/>
      <c r="AA795" s="73"/>
      <c r="AB795" s="73"/>
      <c r="AC795" s="122"/>
      <c r="AD795" s="108"/>
      <c r="AF795" s="108"/>
      <c r="AG795" s="73"/>
      <c r="AH795" s="73"/>
      <c r="AI795" s="73"/>
      <c r="AJ795" s="73"/>
      <c r="AK795" s="73"/>
      <c r="AL795" s="73"/>
      <c r="AM795" s="73"/>
      <c r="AN795" s="73"/>
      <c r="AO795" s="73"/>
      <c r="AP795" s="73"/>
      <c r="DL795" s="34"/>
    </row>
    <row r="796" spans="10:116" x14ac:dyDescent="0.25">
      <c r="J796" s="73"/>
      <c r="K796" s="73"/>
      <c r="L796" s="73"/>
      <c r="M796" s="73"/>
      <c r="N796" s="73"/>
      <c r="O796" s="73"/>
      <c r="P796" s="73"/>
      <c r="Q796" s="73"/>
      <c r="R796" s="73"/>
      <c r="S796" s="73"/>
      <c r="T796" s="73"/>
      <c r="U796" s="73"/>
      <c r="V796" s="73"/>
      <c r="W796" s="73"/>
      <c r="X796" s="73"/>
      <c r="Y796" s="73"/>
      <c r="Z796" s="73"/>
      <c r="AA796" s="73"/>
      <c r="AB796" s="73"/>
      <c r="AC796" s="122"/>
      <c r="AD796" s="108"/>
      <c r="AF796" s="108"/>
      <c r="AG796" s="73"/>
      <c r="AH796" s="73"/>
      <c r="AI796" s="73"/>
      <c r="AJ796" s="73"/>
      <c r="AK796" s="73"/>
      <c r="AL796" s="73"/>
      <c r="AM796" s="73"/>
      <c r="AN796" s="73"/>
      <c r="AO796" s="73"/>
      <c r="AP796" s="73"/>
      <c r="DL796" s="34"/>
    </row>
    <row r="797" spans="10:116" x14ac:dyDescent="0.25">
      <c r="J797" s="73"/>
      <c r="K797" s="73"/>
      <c r="L797" s="73"/>
      <c r="M797" s="73"/>
      <c r="N797" s="73"/>
      <c r="O797" s="73"/>
      <c r="P797" s="73"/>
      <c r="Q797" s="73"/>
      <c r="R797" s="73"/>
      <c r="S797" s="73"/>
      <c r="T797" s="73"/>
      <c r="U797" s="73"/>
      <c r="V797" s="73"/>
      <c r="W797" s="73"/>
      <c r="X797" s="73"/>
      <c r="Y797" s="73"/>
      <c r="Z797" s="73"/>
      <c r="AA797" s="73"/>
      <c r="AB797" s="73"/>
      <c r="AC797" s="122"/>
      <c r="AD797" s="108"/>
      <c r="AF797" s="108"/>
      <c r="AG797" s="73"/>
      <c r="AH797" s="73"/>
      <c r="AI797" s="73"/>
      <c r="AJ797" s="73"/>
      <c r="AK797" s="73"/>
      <c r="AL797" s="73"/>
      <c r="AM797" s="73"/>
      <c r="AN797" s="73"/>
      <c r="AO797" s="73"/>
      <c r="AP797" s="73"/>
      <c r="DL797" s="34"/>
    </row>
    <row r="798" spans="10:116" x14ac:dyDescent="0.25">
      <c r="J798" s="73"/>
      <c r="K798" s="73"/>
      <c r="L798" s="73"/>
      <c r="M798" s="73"/>
      <c r="N798" s="73"/>
      <c r="O798" s="73"/>
      <c r="P798" s="73"/>
      <c r="Q798" s="73"/>
      <c r="R798" s="73"/>
      <c r="S798" s="73"/>
      <c r="T798" s="73"/>
      <c r="U798" s="73"/>
      <c r="V798" s="73"/>
      <c r="W798" s="73"/>
      <c r="X798" s="73"/>
      <c r="Y798" s="73"/>
      <c r="Z798" s="73"/>
      <c r="AA798" s="73"/>
      <c r="AB798" s="73"/>
      <c r="AC798" s="122"/>
      <c r="AD798" s="108"/>
      <c r="AF798" s="108"/>
      <c r="AG798" s="73"/>
      <c r="AH798" s="73"/>
      <c r="AI798" s="73"/>
      <c r="AJ798" s="73"/>
      <c r="AK798" s="73"/>
      <c r="AL798" s="73"/>
      <c r="AM798" s="73"/>
      <c r="AN798" s="73"/>
      <c r="AO798" s="73"/>
      <c r="AP798" s="73"/>
      <c r="DL798" s="34"/>
    </row>
    <row r="799" spans="10:116" x14ac:dyDescent="0.25">
      <c r="J799" s="73"/>
      <c r="K799" s="73"/>
      <c r="L799" s="73"/>
      <c r="M799" s="73"/>
      <c r="N799" s="73"/>
      <c r="O799" s="73"/>
      <c r="P799" s="73"/>
      <c r="Q799" s="73"/>
      <c r="R799" s="73"/>
      <c r="S799" s="73"/>
      <c r="T799" s="73"/>
      <c r="U799" s="73"/>
      <c r="V799" s="73"/>
      <c r="W799" s="73"/>
      <c r="X799" s="73"/>
      <c r="Y799" s="73"/>
      <c r="Z799" s="73"/>
      <c r="AA799" s="73"/>
      <c r="AB799" s="73"/>
      <c r="AC799" s="122"/>
      <c r="AD799" s="108"/>
      <c r="AF799" s="108"/>
      <c r="AG799" s="73"/>
      <c r="AH799" s="73"/>
      <c r="AI799" s="73"/>
      <c r="AJ799" s="73"/>
      <c r="AK799" s="73"/>
      <c r="AL799" s="73"/>
      <c r="AM799" s="73"/>
      <c r="AN799" s="73"/>
      <c r="AO799" s="73"/>
      <c r="AP799" s="73"/>
      <c r="DL799" s="34"/>
    </row>
    <row r="800" spans="10:116" x14ac:dyDescent="0.25">
      <c r="J800" s="73"/>
      <c r="K800" s="73"/>
      <c r="L800" s="73"/>
      <c r="M800" s="73"/>
      <c r="N800" s="73"/>
      <c r="O800" s="73"/>
      <c r="P800" s="73"/>
      <c r="Q800" s="73"/>
      <c r="R800" s="73"/>
      <c r="S800" s="73"/>
      <c r="T800" s="73"/>
      <c r="U800" s="73"/>
      <c r="V800" s="73"/>
      <c r="W800" s="73"/>
      <c r="X800" s="73"/>
      <c r="Y800" s="73"/>
      <c r="Z800" s="73"/>
      <c r="AA800" s="73"/>
      <c r="AB800" s="73"/>
      <c r="AC800" s="122"/>
      <c r="AD800" s="108"/>
      <c r="AF800" s="108"/>
      <c r="AG800" s="73"/>
      <c r="AH800" s="73"/>
      <c r="AI800" s="73"/>
      <c r="AJ800" s="73"/>
      <c r="AK800" s="73"/>
      <c r="AL800" s="73"/>
      <c r="AM800" s="73"/>
      <c r="AN800" s="73"/>
      <c r="AO800" s="73"/>
      <c r="AP800" s="73"/>
      <c r="DL800" s="34"/>
    </row>
    <row r="801" spans="10:116" x14ac:dyDescent="0.25">
      <c r="J801" s="73"/>
      <c r="K801" s="73"/>
      <c r="L801" s="73"/>
      <c r="M801" s="73"/>
      <c r="N801" s="73"/>
      <c r="O801" s="73"/>
      <c r="P801" s="73"/>
      <c r="Q801" s="73"/>
      <c r="R801" s="73"/>
      <c r="S801" s="73"/>
      <c r="T801" s="73"/>
      <c r="U801" s="73"/>
      <c r="V801" s="73"/>
      <c r="W801" s="73"/>
      <c r="X801" s="73"/>
      <c r="Y801" s="73"/>
      <c r="Z801" s="73"/>
      <c r="AA801" s="73"/>
      <c r="AB801" s="73"/>
      <c r="AC801" s="122"/>
      <c r="AD801" s="108"/>
      <c r="AF801" s="108"/>
      <c r="AG801" s="73"/>
      <c r="AH801" s="73"/>
      <c r="AI801" s="73"/>
      <c r="AJ801" s="73"/>
      <c r="AK801" s="73"/>
      <c r="AL801" s="73"/>
      <c r="AM801" s="73"/>
      <c r="AN801" s="73"/>
      <c r="AO801" s="73"/>
      <c r="AP801" s="73"/>
      <c r="DL801" s="34"/>
    </row>
    <row r="802" spans="10:116" x14ac:dyDescent="0.25">
      <c r="J802" s="73"/>
      <c r="K802" s="73"/>
      <c r="L802" s="73"/>
      <c r="M802" s="73"/>
      <c r="N802" s="73"/>
      <c r="O802" s="73"/>
      <c r="P802" s="73"/>
      <c r="Q802" s="73"/>
      <c r="R802" s="73"/>
      <c r="S802" s="73"/>
      <c r="T802" s="73"/>
      <c r="U802" s="73"/>
      <c r="V802" s="73"/>
      <c r="W802" s="73"/>
      <c r="X802" s="73"/>
      <c r="Y802" s="73"/>
      <c r="Z802" s="73"/>
      <c r="AA802" s="73"/>
      <c r="AB802" s="73"/>
      <c r="AC802" s="122"/>
      <c r="AD802" s="108"/>
      <c r="AF802" s="108"/>
      <c r="AG802" s="73"/>
      <c r="AH802" s="73"/>
      <c r="AI802" s="73"/>
      <c r="AJ802" s="73"/>
      <c r="AK802" s="73"/>
      <c r="AL802" s="73"/>
      <c r="AM802" s="73"/>
      <c r="AN802" s="73"/>
      <c r="AO802" s="73"/>
      <c r="AP802" s="73"/>
      <c r="DL802" s="34"/>
    </row>
    <row r="803" spans="10:116" x14ac:dyDescent="0.25">
      <c r="J803" s="73"/>
      <c r="K803" s="73"/>
      <c r="L803" s="73"/>
      <c r="M803" s="73"/>
      <c r="N803" s="73"/>
      <c r="O803" s="73"/>
      <c r="P803" s="73"/>
      <c r="Q803" s="73"/>
      <c r="R803" s="73"/>
      <c r="S803" s="73"/>
      <c r="T803" s="73"/>
      <c r="U803" s="73"/>
      <c r="V803" s="73"/>
      <c r="W803" s="73"/>
      <c r="X803" s="73"/>
      <c r="Y803" s="73"/>
      <c r="Z803" s="73"/>
      <c r="AA803" s="73"/>
      <c r="AB803" s="73"/>
      <c r="AC803" s="122"/>
      <c r="AD803" s="108"/>
      <c r="AF803" s="108"/>
      <c r="AG803" s="73"/>
      <c r="AH803" s="73"/>
      <c r="AI803" s="73"/>
      <c r="AJ803" s="73"/>
      <c r="AK803" s="73"/>
      <c r="AL803" s="73"/>
      <c r="AM803" s="73"/>
      <c r="AN803" s="73"/>
      <c r="AO803" s="73"/>
      <c r="AP803" s="73"/>
      <c r="DL803" s="34"/>
    </row>
    <row r="804" spans="10:116" x14ac:dyDescent="0.25">
      <c r="J804" s="73"/>
      <c r="K804" s="73"/>
      <c r="L804" s="73"/>
      <c r="M804" s="73"/>
      <c r="N804" s="73"/>
      <c r="O804" s="73"/>
      <c r="P804" s="73"/>
      <c r="Q804" s="73"/>
      <c r="R804" s="73"/>
      <c r="S804" s="73"/>
      <c r="T804" s="73"/>
      <c r="U804" s="73"/>
      <c r="V804" s="73"/>
      <c r="W804" s="73"/>
      <c r="X804" s="73"/>
      <c r="Y804" s="73"/>
      <c r="Z804" s="73"/>
      <c r="AA804" s="73"/>
      <c r="AB804" s="73"/>
      <c r="AC804" s="122"/>
      <c r="AD804" s="108"/>
      <c r="AF804" s="108"/>
      <c r="AG804" s="73"/>
      <c r="AH804" s="73"/>
      <c r="AI804" s="73"/>
      <c r="AJ804" s="73"/>
      <c r="AK804" s="73"/>
      <c r="AL804" s="73"/>
      <c r="AM804" s="73"/>
      <c r="AN804" s="73"/>
      <c r="AO804" s="73"/>
      <c r="AP804" s="73"/>
      <c r="DL804" s="34"/>
    </row>
    <row r="805" spans="10:116" x14ac:dyDescent="0.25">
      <c r="J805" s="73"/>
      <c r="K805" s="73"/>
      <c r="L805" s="73"/>
      <c r="M805" s="73"/>
      <c r="N805" s="73"/>
      <c r="O805" s="73"/>
      <c r="P805" s="73"/>
      <c r="Q805" s="73"/>
      <c r="R805" s="73"/>
      <c r="S805" s="73"/>
      <c r="T805" s="73"/>
      <c r="U805" s="73"/>
      <c r="V805" s="73"/>
      <c r="W805" s="73"/>
      <c r="X805" s="73"/>
      <c r="Y805" s="73"/>
      <c r="Z805" s="73"/>
      <c r="AA805" s="73"/>
      <c r="AB805" s="73"/>
      <c r="AC805" s="122"/>
      <c r="AD805" s="108"/>
      <c r="AF805" s="108"/>
      <c r="AG805" s="73"/>
      <c r="AH805" s="73"/>
      <c r="AI805" s="73"/>
      <c r="AJ805" s="73"/>
      <c r="AK805" s="73"/>
      <c r="AL805" s="73"/>
      <c r="AM805" s="73"/>
      <c r="AN805" s="73"/>
      <c r="AO805" s="73"/>
      <c r="AP805" s="73"/>
      <c r="DL805" s="34"/>
    </row>
    <row r="806" spans="10:116" x14ac:dyDescent="0.25">
      <c r="J806" s="73"/>
      <c r="K806" s="73"/>
      <c r="L806" s="73"/>
      <c r="M806" s="73"/>
      <c r="N806" s="73"/>
      <c r="O806" s="73"/>
      <c r="P806" s="73"/>
      <c r="Q806" s="73"/>
      <c r="R806" s="73"/>
      <c r="S806" s="73"/>
      <c r="T806" s="73"/>
      <c r="U806" s="73"/>
      <c r="V806" s="73"/>
      <c r="W806" s="73"/>
      <c r="X806" s="73"/>
      <c r="Y806" s="73"/>
      <c r="Z806" s="73"/>
      <c r="AA806" s="73"/>
      <c r="AB806" s="73"/>
      <c r="AC806" s="122"/>
      <c r="AD806" s="108"/>
      <c r="AF806" s="108"/>
      <c r="AG806" s="73"/>
      <c r="AH806" s="73"/>
      <c r="AI806" s="73"/>
      <c r="AJ806" s="73"/>
      <c r="AK806" s="73"/>
      <c r="AL806" s="73"/>
      <c r="AM806" s="73"/>
      <c r="AN806" s="73"/>
      <c r="AO806" s="73"/>
      <c r="AP806" s="73"/>
      <c r="DL806" s="34"/>
    </row>
    <row r="807" spans="10:116" x14ac:dyDescent="0.25">
      <c r="J807" s="73"/>
      <c r="K807" s="73"/>
      <c r="L807" s="73"/>
      <c r="M807" s="73"/>
      <c r="N807" s="73"/>
      <c r="O807" s="73"/>
      <c r="P807" s="73"/>
      <c r="Q807" s="73"/>
      <c r="R807" s="73"/>
      <c r="S807" s="73"/>
      <c r="T807" s="73"/>
      <c r="U807" s="73"/>
      <c r="V807" s="73"/>
      <c r="W807" s="73"/>
      <c r="X807" s="73"/>
      <c r="Y807" s="73"/>
      <c r="Z807" s="73"/>
      <c r="AA807" s="73"/>
      <c r="AB807" s="73"/>
      <c r="AC807" s="122"/>
      <c r="AD807" s="108"/>
      <c r="AF807" s="108"/>
      <c r="AG807" s="73"/>
      <c r="AH807" s="73"/>
      <c r="AI807" s="73"/>
      <c r="AJ807" s="73"/>
      <c r="AK807" s="73"/>
      <c r="AL807" s="73"/>
      <c r="AM807" s="73"/>
      <c r="AN807" s="73"/>
      <c r="AO807" s="73"/>
      <c r="AP807" s="73"/>
      <c r="DL807" s="34"/>
    </row>
    <row r="808" spans="10:116" x14ac:dyDescent="0.25">
      <c r="J808" s="73"/>
      <c r="K808" s="73"/>
      <c r="L808" s="73"/>
      <c r="M808" s="73"/>
      <c r="N808" s="73"/>
      <c r="O808" s="73"/>
      <c r="P808" s="73"/>
      <c r="Q808" s="73"/>
      <c r="R808" s="73"/>
      <c r="S808" s="73"/>
      <c r="T808" s="73"/>
      <c r="U808" s="73"/>
      <c r="V808" s="73"/>
      <c r="W808" s="73"/>
      <c r="X808" s="73"/>
      <c r="Y808" s="73"/>
      <c r="Z808" s="73"/>
      <c r="AA808" s="73"/>
      <c r="AB808" s="73"/>
      <c r="AC808" s="122"/>
      <c r="AD808" s="108"/>
      <c r="AF808" s="108"/>
      <c r="AG808" s="73"/>
      <c r="AH808" s="73"/>
      <c r="AI808" s="73"/>
      <c r="AJ808" s="73"/>
      <c r="AK808" s="73"/>
      <c r="AL808" s="73"/>
      <c r="AM808" s="73"/>
      <c r="AN808" s="73"/>
      <c r="AO808" s="73"/>
      <c r="AP808" s="73"/>
      <c r="DL808" s="34"/>
    </row>
    <row r="809" spans="10:116" x14ac:dyDescent="0.25">
      <c r="J809" s="73"/>
      <c r="K809" s="73"/>
      <c r="L809" s="73"/>
      <c r="M809" s="73"/>
      <c r="N809" s="73"/>
      <c r="O809" s="73"/>
      <c r="P809" s="73"/>
      <c r="Q809" s="73"/>
      <c r="R809" s="73"/>
      <c r="S809" s="73"/>
      <c r="T809" s="73"/>
      <c r="U809" s="73"/>
      <c r="V809" s="73"/>
      <c r="W809" s="73"/>
      <c r="X809" s="73"/>
      <c r="Y809" s="73"/>
      <c r="Z809" s="73"/>
      <c r="AA809" s="73"/>
      <c r="AB809" s="73"/>
      <c r="AC809" s="122"/>
      <c r="AD809" s="108"/>
      <c r="AF809" s="108"/>
      <c r="AG809" s="73"/>
      <c r="AH809" s="73"/>
      <c r="AI809" s="73"/>
      <c r="AJ809" s="73"/>
      <c r="AK809" s="73"/>
      <c r="AL809" s="73"/>
      <c r="AM809" s="73"/>
      <c r="AN809" s="73"/>
      <c r="AO809" s="73"/>
      <c r="AP809" s="73"/>
      <c r="DL809" s="34"/>
    </row>
    <row r="810" spans="10:116" x14ac:dyDescent="0.25">
      <c r="J810" s="73"/>
      <c r="K810" s="73"/>
      <c r="L810" s="73"/>
      <c r="M810" s="73"/>
      <c r="N810" s="73"/>
      <c r="O810" s="73"/>
      <c r="P810" s="73"/>
      <c r="Q810" s="73"/>
      <c r="R810" s="73"/>
      <c r="S810" s="73"/>
      <c r="T810" s="73"/>
      <c r="U810" s="73"/>
      <c r="V810" s="73"/>
      <c r="W810" s="73"/>
      <c r="X810" s="73"/>
      <c r="Y810" s="73"/>
      <c r="Z810" s="73"/>
      <c r="AA810" s="73"/>
      <c r="AB810" s="73"/>
      <c r="AC810" s="122"/>
      <c r="AD810" s="108"/>
      <c r="AF810" s="108"/>
      <c r="AG810" s="73"/>
      <c r="AH810" s="73"/>
      <c r="AI810" s="73"/>
      <c r="AJ810" s="73"/>
      <c r="AK810" s="73"/>
      <c r="AL810" s="73"/>
      <c r="AM810" s="73"/>
      <c r="AN810" s="73"/>
      <c r="AO810" s="73"/>
      <c r="AP810" s="73"/>
      <c r="DL810" s="34"/>
    </row>
    <row r="811" spans="10:116" x14ac:dyDescent="0.25">
      <c r="J811" s="73"/>
      <c r="K811" s="73"/>
      <c r="L811" s="73"/>
      <c r="M811" s="73"/>
      <c r="N811" s="73"/>
      <c r="O811" s="73"/>
      <c r="P811" s="73"/>
      <c r="Q811" s="73"/>
      <c r="R811" s="73"/>
      <c r="S811" s="73"/>
      <c r="T811" s="73"/>
      <c r="U811" s="73"/>
      <c r="V811" s="73"/>
      <c r="W811" s="73"/>
      <c r="X811" s="73"/>
      <c r="Y811" s="73"/>
      <c r="Z811" s="73"/>
      <c r="AA811" s="73"/>
      <c r="AB811" s="73"/>
      <c r="AC811" s="122"/>
      <c r="AD811" s="108"/>
      <c r="AF811" s="108"/>
      <c r="AG811" s="73"/>
      <c r="AH811" s="73"/>
      <c r="AI811" s="73"/>
      <c r="AJ811" s="73"/>
      <c r="AK811" s="73"/>
      <c r="AL811" s="73"/>
      <c r="AM811" s="73"/>
      <c r="AN811" s="73"/>
      <c r="AO811" s="73"/>
      <c r="AP811" s="73"/>
      <c r="DL811" s="34"/>
    </row>
    <row r="812" spans="10:116" x14ac:dyDescent="0.25">
      <c r="J812" s="73"/>
      <c r="K812" s="73"/>
      <c r="L812" s="73"/>
      <c r="M812" s="73"/>
      <c r="N812" s="73"/>
      <c r="O812" s="73"/>
      <c r="P812" s="73"/>
      <c r="Q812" s="73"/>
      <c r="R812" s="73"/>
      <c r="S812" s="73"/>
      <c r="T812" s="73"/>
      <c r="U812" s="73"/>
      <c r="V812" s="73"/>
      <c r="W812" s="73"/>
      <c r="X812" s="73"/>
      <c r="Y812" s="73"/>
      <c r="Z812" s="73"/>
      <c r="AA812" s="73"/>
      <c r="AB812" s="73"/>
      <c r="AC812" s="122"/>
      <c r="AD812" s="108"/>
      <c r="AF812" s="108"/>
      <c r="AG812" s="73"/>
      <c r="AH812" s="73"/>
      <c r="AI812" s="73"/>
      <c r="AJ812" s="73"/>
      <c r="AK812" s="73"/>
      <c r="AL812" s="73"/>
      <c r="AM812" s="73"/>
      <c r="AN812" s="73"/>
      <c r="AO812" s="73"/>
      <c r="AP812" s="73"/>
      <c r="DL812" s="34"/>
    </row>
    <row r="813" spans="10:116" x14ac:dyDescent="0.25">
      <c r="J813" s="73"/>
      <c r="K813" s="73"/>
      <c r="L813" s="73"/>
      <c r="M813" s="73"/>
      <c r="N813" s="73"/>
      <c r="O813" s="73"/>
      <c r="P813" s="73"/>
      <c r="Q813" s="73"/>
      <c r="R813" s="73"/>
      <c r="S813" s="73"/>
      <c r="T813" s="73"/>
      <c r="U813" s="73"/>
      <c r="V813" s="73"/>
      <c r="W813" s="73"/>
      <c r="X813" s="73"/>
      <c r="Y813" s="73"/>
      <c r="Z813" s="73"/>
      <c r="AA813" s="73"/>
      <c r="AB813" s="73"/>
      <c r="AC813" s="122"/>
      <c r="AD813" s="108"/>
      <c r="AF813" s="108"/>
      <c r="AG813" s="73"/>
      <c r="AH813" s="73"/>
      <c r="AI813" s="73"/>
      <c r="AJ813" s="73"/>
      <c r="AK813" s="73"/>
      <c r="AL813" s="73"/>
      <c r="AM813" s="73"/>
      <c r="AN813" s="73"/>
      <c r="AO813" s="73"/>
      <c r="AP813" s="73"/>
      <c r="DL813" s="34"/>
    </row>
    <row r="814" spans="10:116" x14ac:dyDescent="0.25">
      <c r="J814" s="73"/>
      <c r="K814" s="73"/>
      <c r="L814" s="73"/>
      <c r="M814" s="73"/>
      <c r="N814" s="73"/>
      <c r="O814" s="73"/>
      <c r="P814" s="73"/>
      <c r="Q814" s="73"/>
      <c r="R814" s="73"/>
      <c r="S814" s="73"/>
      <c r="T814" s="73"/>
      <c r="U814" s="73"/>
      <c r="V814" s="73"/>
      <c r="W814" s="73"/>
      <c r="X814" s="73"/>
      <c r="Y814" s="73"/>
      <c r="Z814" s="73"/>
      <c r="AA814" s="73"/>
      <c r="AB814" s="73"/>
      <c r="AC814" s="122"/>
      <c r="AD814" s="108"/>
      <c r="AF814" s="108"/>
      <c r="AG814" s="73"/>
      <c r="AH814" s="73"/>
      <c r="AI814" s="73"/>
      <c r="AJ814" s="73"/>
      <c r="AK814" s="73"/>
      <c r="AL814" s="73"/>
      <c r="AM814" s="73"/>
      <c r="AN814" s="73"/>
      <c r="AO814" s="73"/>
      <c r="AP814" s="73"/>
      <c r="DL814" s="34"/>
    </row>
    <row r="815" spans="10:116" x14ac:dyDescent="0.25">
      <c r="J815" s="73"/>
      <c r="K815" s="73"/>
      <c r="L815" s="73"/>
      <c r="M815" s="73"/>
      <c r="N815" s="73"/>
      <c r="O815" s="73"/>
      <c r="P815" s="73"/>
      <c r="Q815" s="73"/>
      <c r="R815" s="73"/>
      <c r="S815" s="73"/>
      <c r="T815" s="73"/>
      <c r="U815" s="73"/>
      <c r="V815" s="73"/>
      <c r="W815" s="73"/>
      <c r="X815" s="73"/>
      <c r="Y815" s="73"/>
      <c r="Z815" s="73"/>
      <c r="AA815" s="73"/>
      <c r="AB815" s="73"/>
      <c r="AC815" s="122"/>
      <c r="AD815" s="108"/>
      <c r="AF815" s="108"/>
      <c r="AG815" s="73"/>
      <c r="AH815" s="73"/>
      <c r="AI815" s="73"/>
      <c r="AJ815" s="73"/>
      <c r="AK815" s="73"/>
      <c r="AL815" s="73"/>
      <c r="AM815" s="73"/>
      <c r="AN815" s="73"/>
      <c r="AO815" s="73"/>
      <c r="AP815" s="73"/>
      <c r="DL815" s="34"/>
    </row>
    <row r="816" spans="10:116" x14ac:dyDescent="0.25">
      <c r="J816" s="73"/>
      <c r="K816" s="73"/>
      <c r="L816" s="73"/>
      <c r="M816" s="73"/>
      <c r="N816" s="73"/>
      <c r="O816" s="73"/>
      <c r="P816" s="73"/>
      <c r="Q816" s="73"/>
      <c r="R816" s="73"/>
      <c r="S816" s="73"/>
      <c r="T816" s="73"/>
      <c r="U816" s="73"/>
      <c r="V816" s="73"/>
      <c r="W816" s="73"/>
      <c r="X816" s="73"/>
      <c r="Y816" s="73"/>
      <c r="Z816" s="73"/>
      <c r="AA816" s="73"/>
      <c r="AB816" s="73"/>
      <c r="AC816" s="122"/>
      <c r="AD816" s="108"/>
      <c r="AF816" s="108"/>
      <c r="AG816" s="73"/>
      <c r="AH816" s="73"/>
      <c r="AI816" s="73"/>
      <c r="AJ816" s="73"/>
      <c r="AK816" s="73"/>
      <c r="AL816" s="73"/>
      <c r="AM816" s="73"/>
      <c r="AN816" s="73"/>
      <c r="AO816" s="73"/>
      <c r="AP816" s="73"/>
      <c r="DL816" s="34"/>
    </row>
    <row r="817" spans="10:116" x14ac:dyDescent="0.25">
      <c r="J817" s="73"/>
      <c r="K817" s="73"/>
      <c r="L817" s="73"/>
      <c r="M817" s="73"/>
      <c r="N817" s="73"/>
      <c r="O817" s="73"/>
      <c r="P817" s="73"/>
      <c r="Q817" s="73"/>
      <c r="R817" s="73"/>
      <c r="S817" s="73"/>
      <c r="T817" s="73"/>
      <c r="U817" s="73"/>
      <c r="V817" s="73"/>
      <c r="W817" s="73"/>
      <c r="X817" s="73"/>
      <c r="Y817" s="73"/>
      <c r="Z817" s="73"/>
      <c r="AA817" s="73"/>
      <c r="AB817" s="73"/>
      <c r="AC817" s="122"/>
      <c r="AD817" s="108"/>
      <c r="AF817" s="108"/>
      <c r="AG817" s="73"/>
      <c r="AH817" s="73"/>
      <c r="AI817" s="73"/>
      <c r="AJ817" s="73"/>
      <c r="AK817" s="73"/>
      <c r="AL817" s="73"/>
      <c r="AM817" s="73"/>
      <c r="AN817" s="73"/>
      <c r="AO817" s="73"/>
      <c r="AP817" s="73"/>
      <c r="DL817" s="34"/>
    </row>
    <row r="818" spans="10:116" x14ac:dyDescent="0.25">
      <c r="J818" s="73"/>
      <c r="K818" s="73"/>
      <c r="L818" s="73"/>
      <c r="M818" s="73"/>
      <c r="N818" s="73"/>
      <c r="O818" s="73"/>
      <c r="P818" s="73"/>
      <c r="Q818" s="73"/>
      <c r="R818" s="73"/>
      <c r="S818" s="73"/>
      <c r="T818" s="73"/>
      <c r="U818" s="73"/>
      <c r="V818" s="73"/>
      <c r="W818" s="73"/>
      <c r="X818" s="73"/>
      <c r="Y818" s="73"/>
      <c r="Z818" s="73"/>
      <c r="AA818" s="73"/>
      <c r="AB818" s="73"/>
      <c r="AC818" s="122"/>
      <c r="AD818" s="108"/>
      <c r="AF818" s="108"/>
      <c r="AG818" s="73"/>
      <c r="AH818" s="73"/>
      <c r="AI818" s="73"/>
      <c r="AJ818" s="73"/>
      <c r="AK818" s="73"/>
      <c r="AL818" s="73"/>
      <c r="AM818" s="73"/>
      <c r="AN818" s="73"/>
      <c r="AO818" s="73"/>
      <c r="AP818" s="73"/>
      <c r="DL818" s="34"/>
    </row>
    <row r="819" spans="10:116" x14ac:dyDescent="0.25">
      <c r="J819" s="73"/>
      <c r="K819" s="73"/>
      <c r="L819" s="73"/>
      <c r="M819" s="73"/>
      <c r="N819" s="73"/>
      <c r="O819" s="73"/>
      <c r="P819" s="73"/>
      <c r="Q819" s="73"/>
      <c r="R819" s="73"/>
      <c r="S819" s="73"/>
      <c r="T819" s="73"/>
      <c r="U819" s="73"/>
      <c r="V819" s="73"/>
      <c r="W819" s="73"/>
      <c r="X819" s="73"/>
      <c r="Y819" s="73"/>
      <c r="Z819" s="73"/>
      <c r="AA819" s="73"/>
      <c r="AB819" s="73"/>
      <c r="AC819" s="122"/>
      <c r="AD819" s="108"/>
      <c r="AF819" s="108"/>
      <c r="AG819" s="73"/>
      <c r="AH819" s="73"/>
      <c r="AI819" s="73"/>
      <c r="AJ819" s="73"/>
      <c r="AK819" s="73"/>
      <c r="AL819" s="73"/>
      <c r="AM819" s="73"/>
      <c r="AN819" s="73"/>
      <c r="AO819" s="73"/>
      <c r="AP819" s="73"/>
      <c r="DL819" s="34"/>
    </row>
    <row r="820" spans="10:116" x14ac:dyDescent="0.25">
      <c r="J820" s="73"/>
      <c r="K820" s="73"/>
      <c r="L820" s="73"/>
      <c r="M820" s="73"/>
      <c r="N820" s="73"/>
      <c r="O820" s="73"/>
      <c r="P820" s="73"/>
      <c r="Q820" s="73"/>
      <c r="R820" s="73"/>
      <c r="S820" s="73"/>
      <c r="T820" s="73"/>
      <c r="U820" s="73"/>
      <c r="V820" s="73"/>
      <c r="W820" s="73"/>
      <c r="X820" s="73"/>
      <c r="Y820" s="73"/>
      <c r="Z820" s="73"/>
      <c r="AA820" s="73"/>
      <c r="AB820" s="73"/>
      <c r="AC820" s="122"/>
      <c r="AD820" s="108"/>
      <c r="AF820" s="108"/>
      <c r="AG820" s="73"/>
      <c r="AH820" s="73"/>
      <c r="AI820" s="73"/>
      <c r="AJ820" s="73"/>
      <c r="AK820" s="73"/>
      <c r="AL820" s="73"/>
      <c r="AM820" s="73"/>
      <c r="AN820" s="73"/>
      <c r="AO820" s="73"/>
      <c r="AP820" s="73"/>
      <c r="DL820" s="34"/>
    </row>
    <row r="821" spans="10:116" x14ac:dyDescent="0.25">
      <c r="J821" s="73"/>
      <c r="K821" s="73"/>
      <c r="L821" s="73"/>
      <c r="M821" s="73"/>
      <c r="N821" s="73"/>
      <c r="O821" s="73"/>
      <c r="P821" s="73"/>
      <c r="Q821" s="73"/>
      <c r="R821" s="73"/>
      <c r="S821" s="73"/>
      <c r="T821" s="73"/>
      <c r="U821" s="73"/>
      <c r="V821" s="73"/>
      <c r="W821" s="73"/>
      <c r="X821" s="73"/>
      <c r="Y821" s="73"/>
      <c r="Z821" s="73"/>
      <c r="AA821" s="73"/>
      <c r="AB821" s="73"/>
      <c r="AC821" s="122"/>
      <c r="AD821" s="108"/>
      <c r="AF821" s="108"/>
      <c r="AG821" s="73"/>
      <c r="AH821" s="73"/>
      <c r="AI821" s="73"/>
      <c r="AJ821" s="73"/>
      <c r="AK821" s="73"/>
      <c r="AL821" s="73"/>
      <c r="AM821" s="73"/>
      <c r="AN821" s="73"/>
      <c r="AO821" s="73"/>
      <c r="AP821" s="73"/>
      <c r="DL821" s="34"/>
    </row>
    <row r="822" spans="10:116" x14ac:dyDescent="0.25">
      <c r="J822" s="73"/>
      <c r="K822" s="73"/>
      <c r="L822" s="73"/>
      <c r="M822" s="73"/>
      <c r="N822" s="73"/>
      <c r="O822" s="73"/>
      <c r="P822" s="73"/>
      <c r="Q822" s="73"/>
      <c r="R822" s="73"/>
      <c r="S822" s="73"/>
      <c r="T822" s="73"/>
      <c r="U822" s="73"/>
      <c r="V822" s="73"/>
      <c r="W822" s="73"/>
      <c r="X822" s="73"/>
      <c r="Y822" s="73"/>
      <c r="Z822" s="73"/>
      <c r="AA822" s="73"/>
      <c r="AB822" s="73"/>
      <c r="AC822" s="122"/>
      <c r="AD822" s="108"/>
      <c r="AF822" s="108"/>
      <c r="AG822" s="73"/>
      <c r="AH822" s="73"/>
      <c r="AI822" s="73"/>
      <c r="AJ822" s="73"/>
      <c r="AK822" s="73"/>
      <c r="AL822" s="73"/>
      <c r="AM822" s="73"/>
      <c r="AN822" s="73"/>
      <c r="AO822" s="73"/>
      <c r="AP822" s="73"/>
      <c r="DL822" s="34"/>
    </row>
    <row r="823" spans="10:116" x14ac:dyDescent="0.25">
      <c r="J823" s="73"/>
      <c r="K823" s="73"/>
      <c r="L823" s="73"/>
      <c r="M823" s="73"/>
      <c r="N823" s="73"/>
      <c r="O823" s="73"/>
      <c r="P823" s="73"/>
      <c r="Q823" s="73"/>
      <c r="R823" s="73"/>
      <c r="S823" s="73"/>
      <c r="T823" s="73"/>
      <c r="U823" s="73"/>
      <c r="V823" s="73"/>
      <c r="W823" s="73"/>
      <c r="X823" s="73"/>
      <c r="Y823" s="73"/>
      <c r="Z823" s="73"/>
      <c r="AA823" s="73"/>
      <c r="AB823" s="73"/>
      <c r="AC823" s="122"/>
      <c r="AD823" s="108"/>
      <c r="AF823" s="108"/>
      <c r="AG823" s="73"/>
      <c r="AH823" s="73"/>
      <c r="AI823" s="73"/>
      <c r="AJ823" s="73"/>
      <c r="AK823" s="73"/>
      <c r="AL823" s="73"/>
      <c r="AM823" s="73"/>
      <c r="AN823" s="73"/>
      <c r="AO823" s="73"/>
      <c r="AP823" s="73"/>
      <c r="DL823" s="34"/>
    </row>
    <row r="824" spans="10:116" x14ac:dyDescent="0.25">
      <c r="J824" s="73"/>
      <c r="K824" s="73"/>
      <c r="L824" s="73"/>
      <c r="M824" s="73"/>
      <c r="N824" s="73"/>
      <c r="O824" s="73"/>
      <c r="P824" s="73"/>
      <c r="Q824" s="73"/>
      <c r="R824" s="73"/>
      <c r="S824" s="73"/>
      <c r="T824" s="73"/>
      <c r="U824" s="73"/>
      <c r="V824" s="73"/>
      <c r="W824" s="73"/>
      <c r="X824" s="73"/>
      <c r="Y824" s="73"/>
      <c r="Z824" s="73"/>
      <c r="AA824" s="73"/>
      <c r="AB824" s="73"/>
      <c r="AC824" s="122"/>
      <c r="AD824" s="108"/>
      <c r="AF824" s="108"/>
      <c r="AG824" s="73"/>
      <c r="AH824" s="73"/>
      <c r="AI824" s="73"/>
      <c r="AJ824" s="73"/>
      <c r="AK824" s="73"/>
      <c r="AL824" s="73"/>
      <c r="AM824" s="73"/>
      <c r="AN824" s="73"/>
      <c r="AO824" s="73"/>
      <c r="AP824" s="73"/>
      <c r="DL824" s="34"/>
    </row>
    <row r="825" spans="10:116" x14ac:dyDescent="0.25">
      <c r="J825" s="73"/>
      <c r="K825" s="73"/>
      <c r="L825" s="73"/>
      <c r="M825" s="73"/>
      <c r="N825" s="73"/>
      <c r="O825" s="73"/>
      <c r="P825" s="73"/>
      <c r="Q825" s="73"/>
      <c r="R825" s="73"/>
      <c r="S825" s="73"/>
      <c r="T825" s="73"/>
      <c r="U825" s="73"/>
      <c r="V825" s="73"/>
      <c r="W825" s="73"/>
      <c r="X825" s="73"/>
      <c r="Y825" s="73"/>
      <c r="Z825" s="73"/>
      <c r="AA825" s="73"/>
      <c r="AB825" s="73"/>
      <c r="AC825" s="122"/>
      <c r="AD825" s="108"/>
      <c r="AF825" s="108"/>
      <c r="AG825" s="73"/>
      <c r="AH825" s="73"/>
      <c r="AI825" s="73"/>
      <c r="AJ825" s="73"/>
      <c r="AK825" s="73"/>
      <c r="AL825" s="73"/>
      <c r="AM825" s="73"/>
      <c r="AN825" s="73"/>
      <c r="AO825" s="73"/>
      <c r="AP825" s="73"/>
      <c r="DL825" s="34"/>
    </row>
    <row r="826" spans="10:116" x14ac:dyDescent="0.25">
      <c r="J826" s="73"/>
      <c r="K826" s="73"/>
      <c r="L826" s="73"/>
      <c r="M826" s="73"/>
      <c r="N826" s="73"/>
      <c r="O826" s="73"/>
      <c r="P826" s="73"/>
      <c r="Q826" s="73"/>
      <c r="R826" s="73"/>
      <c r="S826" s="73"/>
      <c r="T826" s="73"/>
      <c r="U826" s="73"/>
      <c r="V826" s="73"/>
      <c r="W826" s="73"/>
      <c r="X826" s="73"/>
      <c r="Y826" s="73"/>
      <c r="Z826" s="73"/>
      <c r="AA826" s="73"/>
      <c r="AB826" s="73"/>
      <c r="AC826" s="122"/>
      <c r="AD826" s="108"/>
      <c r="AF826" s="108"/>
      <c r="AG826" s="73"/>
      <c r="AH826" s="73"/>
      <c r="AI826" s="73"/>
      <c r="AJ826" s="73"/>
      <c r="AK826" s="73"/>
      <c r="AL826" s="73"/>
      <c r="AM826" s="73"/>
      <c r="AN826" s="73"/>
      <c r="AO826" s="73"/>
      <c r="AP826" s="73"/>
      <c r="DL826" s="34"/>
    </row>
    <row r="827" spans="10:116" x14ac:dyDescent="0.25">
      <c r="J827" s="73"/>
      <c r="K827" s="73"/>
      <c r="L827" s="73"/>
      <c r="M827" s="73"/>
      <c r="N827" s="73"/>
      <c r="O827" s="73"/>
      <c r="P827" s="73"/>
      <c r="Q827" s="73"/>
      <c r="R827" s="73"/>
      <c r="S827" s="73"/>
      <c r="T827" s="73"/>
      <c r="U827" s="73"/>
      <c r="V827" s="73"/>
      <c r="W827" s="73"/>
      <c r="X827" s="73"/>
      <c r="Y827" s="73"/>
      <c r="Z827" s="73"/>
      <c r="AA827" s="73"/>
      <c r="AB827" s="73"/>
      <c r="AC827" s="122"/>
      <c r="AD827" s="108"/>
      <c r="AF827" s="108"/>
      <c r="AG827" s="73"/>
      <c r="AH827" s="73"/>
      <c r="AI827" s="73"/>
      <c r="AJ827" s="73"/>
      <c r="AK827" s="73"/>
      <c r="AL827" s="73"/>
      <c r="AM827" s="73"/>
      <c r="AN827" s="73"/>
      <c r="AO827" s="73"/>
      <c r="AP827" s="73"/>
      <c r="DL827" s="34"/>
    </row>
    <row r="828" spans="10:116" x14ac:dyDescent="0.25">
      <c r="J828" s="73"/>
      <c r="K828" s="73"/>
      <c r="L828" s="73"/>
      <c r="M828" s="73"/>
      <c r="N828" s="73"/>
      <c r="O828" s="73"/>
      <c r="P828" s="73"/>
      <c r="Q828" s="73"/>
      <c r="R828" s="73"/>
      <c r="S828" s="73"/>
      <c r="T828" s="73"/>
      <c r="U828" s="73"/>
      <c r="V828" s="73"/>
      <c r="W828" s="73"/>
      <c r="X828" s="73"/>
      <c r="Y828" s="73"/>
      <c r="Z828" s="73"/>
      <c r="AA828" s="73"/>
      <c r="AB828" s="73"/>
      <c r="AC828" s="122"/>
      <c r="AD828" s="108"/>
      <c r="AF828" s="108"/>
      <c r="AG828" s="73"/>
      <c r="AH828" s="73"/>
      <c r="AI828" s="73"/>
      <c r="AJ828" s="73"/>
      <c r="AK828" s="73"/>
      <c r="AL828" s="73"/>
      <c r="AM828" s="73"/>
      <c r="AN828" s="73"/>
      <c r="AO828" s="73"/>
      <c r="AP828" s="73"/>
      <c r="DL828" s="34"/>
    </row>
    <row r="829" spans="10:116" x14ac:dyDescent="0.25">
      <c r="J829" s="73"/>
      <c r="K829" s="73"/>
      <c r="L829" s="73"/>
      <c r="M829" s="73"/>
      <c r="N829" s="73"/>
      <c r="O829" s="73"/>
      <c r="P829" s="73"/>
      <c r="Q829" s="73"/>
      <c r="R829" s="73"/>
      <c r="S829" s="73"/>
      <c r="T829" s="73"/>
      <c r="U829" s="73"/>
      <c r="V829" s="73"/>
      <c r="W829" s="73"/>
      <c r="X829" s="73"/>
      <c r="Y829" s="73"/>
      <c r="Z829" s="73"/>
      <c r="AA829" s="73"/>
      <c r="AB829" s="73"/>
      <c r="AC829" s="122"/>
      <c r="AD829" s="108"/>
      <c r="AF829" s="108"/>
      <c r="AG829" s="73"/>
      <c r="AH829" s="73"/>
      <c r="AI829" s="73"/>
      <c r="AJ829" s="73"/>
      <c r="AK829" s="73"/>
      <c r="AL829" s="73"/>
      <c r="AM829" s="73"/>
      <c r="AN829" s="73"/>
      <c r="AO829" s="73"/>
      <c r="AP829" s="73"/>
      <c r="DL829" s="34"/>
    </row>
    <row r="830" spans="10:116" x14ac:dyDescent="0.25">
      <c r="J830" s="73"/>
      <c r="K830" s="73"/>
      <c r="L830" s="73"/>
      <c r="M830" s="73"/>
      <c r="N830" s="73"/>
      <c r="O830" s="73"/>
      <c r="P830" s="73"/>
      <c r="Q830" s="73"/>
      <c r="R830" s="73"/>
      <c r="S830" s="73"/>
      <c r="T830" s="73"/>
      <c r="U830" s="73"/>
      <c r="V830" s="73"/>
      <c r="W830" s="73"/>
      <c r="X830" s="73"/>
      <c r="Y830" s="73"/>
      <c r="Z830" s="73"/>
      <c r="AA830" s="73"/>
      <c r="AB830" s="73"/>
      <c r="AC830" s="122"/>
      <c r="AD830" s="108"/>
      <c r="AF830" s="108"/>
      <c r="AG830" s="73"/>
      <c r="AH830" s="73"/>
      <c r="AI830" s="73"/>
      <c r="AJ830" s="73"/>
      <c r="AK830" s="73"/>
      <c r="AL830" s="73"/>
      <c r="AM830" s="73"/>
      <c r="AN830" s="73"/>
      <c r="AO830" s="73"/>
      <c r="AP830" s="73"/>
      <c r="DL830" s="34"/>
    </row>
    <row r="831" spans="10:116" x14ac:dyDescent="0.25">
      <c r="J831" s="73"/>
      <c r="K831" s="73"/>
      <c r="L831" s="73"/>
      <c r="M831" s="73"/>
      <c r="N831" s="73"/>
      <c r="O831" s="73"/>
      <c r="P831" s="73"/>
      <c r="Q831" s="73"/>
      <c r="R831" s="73"/>
      <c r="S831" s="73"/>
      <c r="T831" s="73"/>
      <c r="U831" s="73"/>
      <c r="V831" s="73"/>
      <c r="W831" s="73"/>
      <c r="X831" s="73"/>
      <c r="Y831" s="73"/>
      <c r="Z831" s="73"/>
      <c r="AA831" s="73"/>
      <c r="AB831" s="73"/>
      <c r="AC831" s="122"/>
      <c r="AD831" s="108"/>
      <c r="AF831" s="108"/>
      <c r="AG831" s="73"/>
      <c r="AH831" s="73"/>
      <c r="AI831" s="73"/>
      <c r="AJ831" s="73"/>
      <c r="AK831" s="73"/>
      <c r="AL831" s="73"/>
      <c r="AM831" s="73"/>
      <c r="AN831" s="73"/>
      <c r="AO831" s="73"/>
      <c r="AP831" s="73"/>
      <c r="DL831" s="34"/>
    </row>
    <row r="832" spans="10:116" x14ac:dyDescent="0.25">
      <c r="J832" s="73"/>
      <c r="K832" s="73"/>
      <c r="L832" s="73"/>
      <c r="M832" s="73"/>
      <c r="N832" s="73"/>
      <c r="O832" s="73"/>
      <c r="P832" s="73"/>
      <c r="Q832" s="73"/>
      <c r="R832" s="73"/>
      <c r="S832" s="73"/>
      <c r="T832" s="73"/>
      <c r="U832" s="73"/>
      <c r="V832" s="73"/>
      <c r="W832" s="73"/>
      <c r="X832" s="73"/>
      <c r="Y832" s="73"/>
      <c r="Z832" s="73"/>
      <c r="AA832" s="73"/>
      <c r="AB832" s="73"/>
      <c r="AC832" s="122"/>
      <c r="AD832" s="108"/>
      <c r="AF832" s="108"/>
      <c r="AG832" s="73"/>
      <c r="AH832" s="73"/>
      <c r="AI832" s="73"/>
      <c r="AJ832" s="73"/>
      <c r="AK832" s="73"/>
      <c r="AL832" s="73"/>
      <c r="AM832" s="73"/>
      <c r="AN832" s="73"/>
      <c r="AO832" s="73"/>
      <c r="AP832" s="73"/>
      <c r="DL832" s="34"/>
    </row>
    <row r="833" spans="10:116" x14ac:dyDescent="0.25">
      <c r="J833" s="73"/>
      <c r="K833" s="73"/>
      <c r="L833" s="73"/>
      <c r="M833" s="73"/>
      <c r="N833" s="73"/>
      <c r="O833" s="73"/>
      <c r="P833" s="73"/>
      <c r="Q833" s="73"/>
      <c r="R833" s="73"/>
      <c r="S833" s="73"/>
      <c r="T833" s="73"/>
      <c r="U833" s="73"/>
      <c r="V833" s="73"/>
      <c r="W833" s="73"/>
      <c r="X833" s="73"/>
      <c r="Y833" s="73"/>
      <c r="Z833" s="73"/>
      <c r="AA833" s="73"/>
      <c r="AB833" s="73"/>
      <c r="AC833" s="122"/>
      <c r="AD833" s="108"/>
      <c r="AF833" s="108"/>
      <c r="AG833" s="73"/>
      <c r="AH833" s="73"/>
      <c r="AI833" s="73"/>
      <c r="AJ833" s="73"/>
      <c r="AK833" s="73"/>
      <c r="AL833" s="73"/>
      <c r="AM833" s="73"/>
      <c r="AN833" s="73"/>
      <c r="AO833" s="73"/>
      <c r="AP833" s="73"/>
      <c r="DL833" s="34"/>
    </row>
    <row r="834" spans="10:116" x14ac:dyDescent="0.25">
      <c r="J834" s="73"/>
      <c r="K834" s="73"/>
      <c r="L834" s="73"/>
      <c r="M834" s="73"/>
      <c r="N834" s="73"/>
      <c r="O834" s="73"/>
      <c r="P834" s="73"/>
      <c r="Q834" s="73"/>
      <c r="R834" s="73"/>
      <c r="S834" s="73"/>
      <c r="T834" s="73"/>
      <c r="U834" s="73"/>
      <c r="V834" s="73"/>
      <c r="W834" s="73"/>
      <c r="X834" s="73"/>
      <c r="Y834" s="73"/>
      <c r="Z834" s="73"/>
      <c r="AA834" s="73"/>
      <c r="AB834" s="73"/>
      <c r="AC834" s="122"/>
      <c r="AD834" s="108"/>
      <c r="AF834" s="108"/>
      <c r="AG834" s="73"/>
      <c r="AH834" s="73"/>
      <c r="AI834" s="73"/>
      <c r="AJ834" s="73"/>
      <c r="AK834" s="73"/>
      <c r="AL834" s="73"/>
      <c r="AM834" s="73"/>
      <c r="AN834" s="73"/>
      <c r="AO834" s="73"/>
      <c r="AP834" s="73"/>
      <c r="DL834" s="34"/>
    </row>
    <row r="835" spans="10:116" x14ac:dyDescent="0.25">
      <c r="J835" s="73"/>
      <c r="K835" s="73"/>
      <c r="L835" s="73"/>
      <c r="M835" s="73"/>
      <c r="N835" s="73"/>
      <c r="O835" s="73"/>
      <c r="P835" s="73"/>
      <c r="Q835" s="73"/>
      <c r="R835" s="73"/>
      <c r="S835" s="73"/>
      <c r="T835" s="73"/>
      <c r="U835" s="73"/>
      <c r="V835" s="73"/>
      <c r="W835" s="73"/>
      <c r="X835" s="73"/>
      <c r="Y835" s="73"/>
      <c r="Z835" s="73"/>
      <c r="AA835" s="73"/>
      <c r="AB835" s="73"/>
      <c r="AC835" s="122"/>
      <c r="AD835" s="108"/>
      <c r="AF835" s="108"/>
      <c r="AG835" s="73"/>
      <c r="AH835" s="73"/>
      <c r="AI835" s="73"/>
      <c r="AJ835" s="73"/>
      <c r="AK835" s="73"/>
      <c r="AL835" s="73"/>
      <c r="AM835" s="73"/>
      <c r="AN835" s="73"/>
      <c r="AO835" s="73"/>
      <c r="AP835" s="73"/>
      <c r="DL835" s="34"/>
    </row>
    <row r="836" spans="10:116" x14ac:dyDescent="0.25">
      <c r="J836" s="73"/>
      <c r="K836" s="73"/>
      <c r="L836" s="73"/>
      <c r="M836" s="73"/>
      <c r="N836" s="73"/>
      <c r="O836" s="73"/>
      <c r="P836" s="73"/>
      <c r="Q836" s="73"/>
      <c r="R836" s="73"/>
      <c r="S836" s="73"/>
      <c r="T836" s="73"/>
      <c r="U836" s="73"/>
      <c r="V836" s="73"/>
      <c r="W836" s="73"/>
      <c r="X836" s="73"/>
      <c r="Y836" s="73"/>
      <c r="Z836" s="73"/>
      <c r="AA836" s="73"/>
      <c r="AB836" s="73"/>
      <c r="AC836" s="122"/>
      <c r="AD836" s="108"/>
      <c r="AF836" s="108"/>
      <c r="AG836" s="73"/>
      <c r="AH836" s="73"/>
      <c r="AI836" s="73"/>
      <c r="AJ836" s="73"/>
      <c r="AK836" s="73"/>
      <c r="AL836" s="73"/>
      <c r="AM836" s="73"/>
      <c r="AN836" s="73"/>
      <c r="AO836" s="73"/>
      <c r="AP836" s="73"/>
      <c r="DL836" s="34"/>
    </row>
    <row r="837" spans="10:116" x14ac:dyDescent="0.25">
      <c r="J837" s="73"/>
      <c r="K837" s="73"/>
      <c r="L837" s="73"/>
      <c r="M837" s="73"/>
      <c r="N837" s="73"/>
      <c r="O837" s="73"/>
      <c r="P837" s="73"/>
      <c r="Q837" s="73"/>
      <c r="R837" s="73"/>
      <c r="S837" s="73"/>
      <c r="T837" s="73"/>
      <c r="U837" s="73"/>
      <c r="V837" s="73"/>
      <c r="W837" s="73"/>
      <c r="X837" s="73"/>
      <c r="Y837" s="73"/>
      <c r="Z837" s="73"/>
      <c r="AA837" s="73"/>
      <c r="AB837" s="73"/>
      <c r="AC837" s="122"/>
      <c r="AD837" s="108"/>
      <c r="AF837" s="108"/>
      <c r="AG837" s="73"/>
      <c r="AH837" s="73"/>
      <c r="AI837" s="73"/>
      <c r="AJ837" s="73"/>
      <c r="AK837" s="73"/>
      <c r="AL837" s="73"/>
      <c r="AM837" s="73"/>
      <c r="AN837" s="73"/>
      <c r="AO837" s="73"/>
      <c r="AP837" s="73"/>
      <c r="DL837" s="34"/>
    </row>
    <row r="838" spans="10:116" x14ac:dyDescent="0.25">
      <c r="J838" s="73"/>
      <c r="K838" s="73"/>
      <c r="L838" s="73"/>
      <c r="M838" s="73"/>
      <c r="N838" s="73"/>
      <c r="O838" s="73"/>
      <c r="P838" s="73"/>
      <c r="Q838" s="73"/>
      <c r="R838" s="73"/>
      <c r="S838" s="73"/>
      <c r="T838" s="73"/>
      <c r="U838" s="73"/>
      <c r="V838" s="73"/>
      <c r="W838" s="73"/>
      <c r="X838" s="73"/>
      <c r="Y838" s="73"/>
      <c r="Z838" s="73"/>
      <c r="AA838" s="73"/>
      <c r="AB838" s="73"/>
      <c r="AC838" s="122"/>
      <c r="AD838" s="108"/>
      <c r="AF838" s="108"/>
      <c r="AG838" s="73"/>
      <c r="AH838" s="73"/>
      <c r="AI838" s="73"/>
      <c r="AJ838" s="73"/>
      <c r="AK838" s="73"/>
      <c r="AL838" s="73"/>
      <c r="AM838" s="73"/>
      <c r="AN838" s="73"/>
      <c r="AO838" s="73"/>
      <c r="AP838" s="73"/>
      <c r="DL838" s="34"/>
    </row>
    <row r="839" spans="10:116" x14ac:dyDescent="0.25">
      <c r="J839" s="73"/>
      <c r="K839" s="73"/>
      <c r="L839" s="73"/>
      <c r="M839" s="73"/>
      <c r="N839" s="73"/>
      <c r="O839" s="73"/>
      <c r="P839" s="73"/>
      <c r="Q839" s="73"/>
      <c r="R839" s="73"/>
      <c r="S839" s="73"/>
      <c r="T839" s="73"/>
      <c r="U839" s="73"/>
      <c r="V839" s="73"/>
      <c r="W839" s="73"/>
      <c r="X839" s="73"/>
      <c r="Y839" s="73"/>
      <c r="Z839" s="73"/>
      <c r="AA839" s="73"/>
      <c r="AB839" s="73"/>
      <c r="AC839" s="122"/>
      <c r="AD839" s="108"/>
      <c r="AF839" s="108"/>
      <c r="AG839" s="73"/>
      <c r="AH839" s="73"/>
      <c r="AI839" s="73"/>
      <c r="AJ839" s="73"/>
      <c r="AK839" s="73"/>
      <c r="AL839" s="73"/>
      <c r="AM839" s="73"/>
      <c r="AN839" s="73"/>
      <c r="AO839" s="73"/>
      <c r="AP839" s="73"/>
      <c r="DL839" s="34"/>
    </row>
    <row r="840" spans="10:116" x14ac:dyDescent="0.25">
      <c r="J840" s="73"/>
      <c r="K840" s="73"/>
      <c r="L840" s="73"/>
      <c r="M840" s="73"/>
      <c r="N840" s="73"/>
      <c r="O840" s="73"/>
      <c r="P840" s="73"/>
      <c r="Q840" s="73"/>
      <c r="R840" s="73"/>
      <c r="S840" s="73"/>
      <c r="T840" s="73"/>
      <c r="U840" s="73"/>
      <c r="V840" s="73"/>
      <c r="W840" s="73"/>
      <c r="X840" s="73"/>
      <c r="Y840" s="73"/>
      <c r="Z840" s="73"/>
      <c r="AA840" s="73"/>
      <c r="AB840" s="73"/>
      <c r="AC840" s="122"/>
      <c r="AD840" s="108"/>
      <c r="AF840" s="108"/>
      <c r="AG840" s="73"/>
      <c r="AH840" s="73"/>
      <c r="AI840" s="73"/>
      <c r="AJ840" s="73"/>
      <c r="AK840" s="73"/>
      <c r="AL840" s="73"/>
      <c r="AM840" s="73"/>
      <c r="AN840" s="73"/>
      <c r="AO840" s="73"/>
      <c r="AP840" s="73"/>
      <c r="DL840" s="34"/>
    </row>
    <row r="841" spans="10:116" x14ac:dyDescent="0.25">
      <c r="J841" s="73"/>
      <c r="K841" s="73"/>
      <c r="L841" s="73"/>
      <c r="M841" s="73"/>
      <c r="N841" s="73"/>
      <c r="O841" s="73"/>
      <c r="P841" s="73"/>
      <c r="Q841" s="73"/>
      <c r="R841" s="73"/>
      <c r="S841" s="73"/>
      <c r="T841" s="73"/>
      <c r="U841" s="73"/>
      <c r="V841" s="73"/>
      <c r="W841" s="73"/>
      <c r="X841" s="73"/>
      <c r="Y841" s="73"/>
      <c r="Z841" s="73"/>
      <c r="AA841" s="73"/>
      <c r="AB841" s="73"/>
      <c r="AC841" s="122"/>
      <c r="AD841" s="108"/>
      <c r="AF841" s="108"/>
      <c r="AG841" s="73"/>
      <c r="AH841" s="73"/>
      <c r="AI841" s="73"/>
      <c r="AJ841" s="73"/>
      <c r="AK841" s="73"/>
      <c r="AL841" s="73"/>
      <c r="AM841" s="73"/>
      <c r="AN841" s="73"/>
      <c r="AO841" s="73"/>
      <c r="AP841" s="73"/>
      <c r="DL841" s="34"/>
    </row>
    <row r="842" spans="10:116" x14ac:dyDescent="0.25">
      <c r="J842" s="73"/>
      <c r="K842" s="73"/>
      <c r="L842" s="73"/>
      <c r="M842" s="73"/>
      <c r="N842" s="73"/>
      <c r="O842" s="73"/>
      <c r="P842" s="73"/>
      <c r="Q842" s="73"/>
      <c r="R842" s="73"/>
      <c r="S842" s="73"/>
      <c r="T842" s="73"/>
      <c r="U842" s="73"/>
      <c r="V842" s="73"/>
      <c r="W842" s="73"/>
      <c r="X842" s="73"/>
      <c r="Y842" s="73"/>
      <c r="Z842" s="73"/>
      <c r="AA842" s="73"/>
      <c r="AB842" s="73"/>
      <c r="AC842" s="122"/>
      <c r="AD842" s="108"/>
      <c r="AF842" s="108"/>
      <c r="AG842" s="73"/>
      <c r="AH842" s="73"/>
      <c r="AI842" s="73"/>
      <c r="AJ842" s="73"/>
      <c r="AK842" s="73"/>
      <c r="AL842" s="73"/>
      <c r="AM842" s="73"/>
      <c r="AN842" s="73"/>
      <c r="AO842" s="73"/>
      <c r="AP842" s="73"/>
      <c r="DL842" s="34"/>
    </row>
    <row r="843" spans="10:116" x14ac:dyDescent="0.25">
      <c r="J843" s="73"/>
      <c r="K843" s="73"/>
      <c r="L843" s="73"/>
      <c r="M843" s="73"/>
      <c r="N843" s="73"/>
      <c r="O843" s="73"/>
      <c r="P843" s="73"/>
      <c r="Q843" s="73"/>
      <c r="R843" s="73"/>
      <c r="S843" s="73"/>
      <c r="T843" s="73"/>
      <c r="U843" s="73"/>
      <c r="V843" s="73"/>
      <c r="W843" s="73"/>
      <c r="X843" s="73"/>
      <c r="Y843" s="73"/>
      <c r="Z843" s="73"/>
      <c r="AA843" s="73"/>
      <c r="AB843" s="73"/>
      <c r="AC843" s="122"/>
      <c r="AD843" s="108"/>
      <c r="AF843" s="108"/>
      <c r="AG843" s="73"/>
      <c r="AH843" s="73"/>
      <c r="AI843" s="73"/>
      <c r="AJ843" s="73"/>
      <c r="AK843" s="73"/>
      <c r="AL843" s="73"/>
      <c r="AM843" s="73"/>
      <c r="AN843" s="73"/>
      <c r="AO843" s="73"/>
      <c r="AP843" s="73"/>
      <c r="DL843" s="34"/>
    </row>
    <row r="844" spans="10:116" x14ac:dyDescent="0.25">
      <c r="J844" s="73"/>
      <c r="K844" s="73"/>
      <c r="L844" s="73"/>
      <c r="M844" s="73"/>
      <c r="N844" s="73"/>
      <c r="O844" s="73"/>
      <c r="P844" s="73"/>
      <c r="Q844" s="73"/>
      <c r="R844" s="73"/>
      <c r="S844" s="73"/>
      <c r="T844" s="73"/>
      <c r="U844" s="73"/>
      <c r="V844" s="73"/>
      <c r="W844" s="73"/>
      <c r="X844" s="73"/>
      <c r="Y844" s="73"/>
      <c r="Z844" s="73"/>
      <c r="AA844" s="73"/>
      <c r="AB844" s="73"/>
      <c r="AC844" s="122"/>
      <c r="AD844" s="108"/>
      <c r="AF844" s="108"/>
      <c r="AG844" s="73"/>
      <c r="AH844" s="73"/>
      <c r="AI844" s="73"/>
      <c r="AJ844" s="73"/>
      <c r="AK844" s="73"/>
      <c r="AL844" s="73"/>
      <c r="AM844" s="73"/>
      <c r="AN844" s="73"/>
      <c r="AO844" s="73"/>
      <c r="AP844" s="73"/>
      <c r="DL844" s="34"/>
    </row>
    <row r="845" spans="10:116" x14ac:dyDescent="0.25">
      <c r="J845" s="73"/>
      <c r="K845" s="73"/>
      <c r="L845" s="73"/>
      <c r="M845" s="73"/>
      <c r="N845" s="73"/>
      <c r="O845" s="73"/>
      <c r="P845" s="73"/>
      <c r="Q845" s="73"/>
      <c r="R845" s="73"/>
      <c r="S845" s="73"/>
      <c r="T845" s="73"/>
      <c r="U845" s="73"/>
      <c r="V845" s="73"/>
      <c r="W845" s="73"/>
      <c r="X845" s="73"/>
      <c r="Y845" s="73"/>
      <c r="Z845" s="73"/>
      <c r="AA845" s="73"/>
      <c r="AB845" s="73"/>
      <c r="AC845" s="122"/>
      <c r="AD845" s="108"/>
      <c r="AF845" s="108"/>
      <c r="AG845" s="73"/>
      <c r="AH845" s="73"/>
      <c r="AI845" s="73"/>
      <c r="AJ845" s="73"/>
      <c r="AK845" s="73"/>
      <c r="AL845" s="73"/>
      <c r="AM845" s="73"/>
      <c r="AN845" s="73"/>
      <c r="AO845" s="73"/>
      <c r="AP845" s="73"/>
      <c r="DL845" s="34"/>
    </row>
    <row r="846" spans="10:116" x14ac:dyDescent="0.25">
      <c r="J846" s="73"/>
      <c r="K846" s="73"/>
      <c r="L846" s="73"/>
      <c r="M846" s="73"/>
      <c r="N846" s="73"/>
      <c r="O846" s="73"/>
      <c r="P846" s="73"/>
      <c r="Q846" s="73"/>
      <c r="R846" s="73"/>
      <c r="S846" s="73"/>
      <c r="T846" s="73"/>
      <c r="U846" s="73"/>
      <c r="V846" s="73"/>
      <c r="W846" s="73"/>
      <c r="X846" s="73"/>
      <c r="Y846" s="73"/>
      <c r="Z846" s="73"/>
      <c r="AA846" s="73"/>
      <c r="AB846" s="73"/>
      <c r="AC846" s="122"/>
      <c r="AD846" s="108"/>
      <c r="AF846" s="108"/>
      <c r="AG846" s="73"/>
      <c r="AH846" s="73"/>
      <c r="AI846" s="73"/>
      <c r="AJ846" s="73"/>
      <c r="AK846" s="73"/>
      <c r="AL846" s="73"/>
      <c r="AM846" s="73"/>
      <c r="AN846" s="73"/>
      <c r="AO846" s="73"/>
      <c r="AP846" s="73"/>
      <c r="DL846" s="34"/>
    </row>
    <row r="847" spans="10:116" x14ac:dyDescent="0.25">
      <c r="J847" s="73"/>
      <c r="K847" s="73"/>
      <c r="L847" s="73"/>
      <c r="M847" s="73"/>
      <c r="N847" s="73"/>
      <c r="O847" s="73"/>
      <c r="P847" s="73"/>
      <c r="Q847" s="73"/>
      <c r="R847" s="73"/>
      <c r="S847" s="73"/>
      <c r="T847" s="73"/>
      <c r="U847" s="73"/>
      <c r="V847" s="73"/>
      <c r="W847" s="73"/>
      <c r="X847" s="73"/>
      <c r="Y847" s="73"/>
      <c r="Z847" s="73"/>
      <c r="AA847" s="73"/>
      <c r="AB847" s="73"/>
      <c r="AC847" s="122"/>
      <c r="AD847" s="108"/>
      <c r="AF847" s="108"/>
      <c r="AG847" s="73"/>
      <c r="AH847" s="73"/>
      <c r="AI847" s="73"/>
      <c r="AJ847" s="73"/>
      <c r="AK847" s="73"/>
      <c r="AL847" s="73"/>
      <c r="AM847" s="73"/>
      <c r="AN847" s="73"/>
      <c r="AO847" s="73"/>
      <c r="AP847" s="73"/>
      <c r="DL847" s="34"/>
    </row>
    <row r="848" spans="10:116" x14ac:dyDescent="0.25">
      <c r="J848" s="73"/>
      <c r="K848" s="73"/>
      <c r="L848" s="73"/>
      <c r="M848" s="73"/>
      <c r="N848" s="73"/>
      <c r="O848" s="73"/>
      <c r="P848" s="73"/>
      <c r="Q848" s="73"/>
      <c r="R848" s="73"/>
      <c r="S848" s="73"/>
      <c r="T848" s="73"/>
      <c r="U848" s="73"/>
      <c r="V848" s="73"/>
      <c r="W848" s="73"/>
      <c r="X848" s="73"/>
      <c r="Y848" s="73"/>
      <c r="Z848" s="73"/>
      <c r="AA848" s="73"/>
      <c r="AB848" s="73"/>
      <c r="AC848" s="122"/>
      <c r="AD848" s="108"/>
      <c r="AF848" s="108"/>
      <c r="AG848" s="73"/>
      <c r="AH848" s="73"/>
      <c r="AI848" s="73"/>
      <c r="AJ848" s="73"/>
      <c r="AK848" s="73"/>
      <c r="AL848" s="73"/>
      <c r="AM848" s="73"/>
      <c r="AN848" s="73"/>
      <c r="AO848" s="73"/>
      <c r="AP848" s="73"/>
      <c r="DL848" s="34"/>
    </row>
    <row r="849" spans="10:116" x14ac:dyDescent="0.25">
      <c r="J849" s="73"/>
      <c r="K849" s="73"/>
      <c r="L849" s="73"/>
      <c r="M849" s="73"/>
      <c r="N849" s="73"/>
      <c r="O849" s="73"/>
      <c r="P849" s="73"/>
      <c r="Q849" s="73"/>
      <c r="R849" s="73"/>
      <c r="S849" s="73"/>
      <c r="T849" s="73"/>
      <c r="U849" s="73"/>
      <c r="V849" s="73"/>
      <c r="W849" s="73"/>
      <c r="X849" s="73"/>
      <c r="Y849" s="73"/>
      <c r="Z849" s="73"/>
      <c r="AA849" s="73"/>
      <c r="AB849" s="73"/>
      <c r="AC849" s="122"/>
      <c r="AD849" s="108"/>
      <c r="AF849" s="108"/>
      <c r="AG849" s="73"/>
      <c r="AH849" s="73"/>
      <c r="AI849" s="73"/>
      <c r="AJ849" s="73"/>
      <c r="AK849" s="73"/>
      <c r="AL849" s="73"/>
      <c r="AM849" s="73"/>
      <c r="AN849" s="73"/>
      <c r="AO849" s="73"/>
      <c r="AP849" s="73"/>
      <c r="DL849" s="34"/>
    </row>
    <row r="850" spans="10:116" x14ac:dyDescent="0.25">
      <c r="J850" s="73"/>
      <c r="K850" s="73"/>
      <c r="L850" s="73"/>
      <c r="M850" s="73"/>
      <c r="N850" s="73"/>
      <c r="O850" s="73"/>
      <c r="P850" s="73"/>
      <c r="Q850" s="73"/>
      <c r="R850" s="73"/>
      <c r="S850" s="73"/>
      <c r="T850" s="73"/>
      <c r="U850" s="73"/>
      <c r="V850" s="73"/>
      <c r="W850" s="73"/>
      <c r="X850" s="73"/>
      <c r="Y850" s="73"/>
      <c r="Z850" s="73"/>
      <c r="AA850" s="73"/>
      <c r="AB850" s="73"/>
      <c r="AC850" s="122"/>
      <c r="AD850" s="108"/>
      <c r="AF850" s="108"/>
      <c r="AG850" s="73"/>
      <c r="AH850" s="73"/>
      <c r="AI850" s="73"/>
      <c r="AJ850" s="73"/>
      <c r="AK850" s="73"/>
      <c r="AL850" s="73"/>
      <c r="AM850" s="73"/>
      <c r="AN850" s="73"/>
      <c r="AO850" s="73"/>
      <c r="AP850" s="73"/>
      <c r="DL850" s="34"/>
    </row>
    <row r="851" spans="10:116" x14ac:dyDescent="0.25">
      <c r="J851" s="73"/>
      <c r="K851" s="73"/>
      <c r="L851" s="73"/>
      <c r="M851" s="73"/>
      <c r="N851" s="73"/>
      <c r="O851" s="73"/>
      <c r="P851" s="73"/>
      <c r="Q851" s="73"/>
      <c r="R851" s="73"/>
      <c r="S851" s="73"/>
      <c r="T851" s="73"/>
      <c r="U851" s="73"/>
      <c r="V851" s="73"/>
      <c r="W851" s="73"/>
      <c r="X851" s="73"/>
      <c r="Y851" s="73"/>
      <c r="Z851" s="73"/>
      <c r="AA851" s="73"/>
      <c r="AB851" s="73"/>
      <c r="AC851" s="122"/>
      <c r="AD851" s="108"/>
      <c r="AF851" s="108"/>
      <c r="AG851" s="73"/>
      <c r="AH851" s="73"/>
      <c r="AI851" s="73"/>
      <c r="AJ851" s="73"/>
      <c r="AK851" s="73"/>
      <c r="AL851" s="73"/>
      <c r="AM851" s="73"/>
      <c r="AN851" s="73"/>
      <c r="AO851" s="73"/>
      <c r="AP851" s="73"/>
      <c r="DL851" s="34"/>
    </row>
    <row r="852" spans="10:116" x14ac:dyDescent="0.25">
      <c r="J852" s="73"/>
      <c r="K852" s="73"/>
      <c r="L852" s="73"/>
      <c r="M852" s="73"/>
      <c r="N852" s="73"/>
      <c r="O852" s="73"/>
      <c r="P852" s="73"/>
      <c r="Q852" s="73"/>
      <c r="R852" s="73"/>
      <c r="S852" s="73"/>
      <c r="T852" s="73"/>
      <c r="U852" s="73"/>
      <c r="V852" s="73"/>
      <c r="W852" s="73"/>
      <c r="X852" s="73"/>
      <c r="Y852" s="73"/>
      <c r="Z852" s="73"/>
      <c r="AA852" s="73"/>
      <c r="AB852" s="73"/>
      <c r="AC852" s="122"/>
      <c r="AD852" s="108"/>
      <c r="AF852" s="108"/>
      <c r="AG852" s="73"/>
      <c r="AH852" s="73"/>
      <c r="AI852" s="73"/>
      <c r="AJ852" s="73"/>
      <c r="AK852" s="73"/>
      <c r="AL852" s="73"/>
      <c r="AM852" s="73"/>
      <c r="AN852" s="73"/>
      <c r="AO852" s="73"/>
      <c r="AP852" s="73"/>
      <c r="DL852" s="34"/>
    </row>
    <row r="853" spans="10:116" x14ac:dyDescent="0.25">
      <c r="J853" s="73"/>
      <c r="K853" s="73"/>
      <c r="L853" s="73"/>
      <c r="M853" s="73"/>
      <c r="N853" s="73"/>
      <c r="O853" s="73"/>
      <c r="P853" s="73"/>
      <c r="Q853" s="73"/>
      <c r="R853" s="73"/>
      <c r="S853" s="73"/>
      <c r="T853" s="73"/>
      <c r="U853" s="73"/>
      <c r="V853" s="73"/>
      <c r="W853" s="73"/>
      <c r="X853" s="73"/>
      <c r="Y853" s="73"/>
      <c r="Z853" s="73"/>
      <c r="AA853" s="73"/>
      <c r="AB853" s="73"/>
      <c r="AC853" s="122"/>
      <c r="AD853" s="108"/>
      <c r="AF853" s="108"/>
      <c r="AG853" s="73"/>
      <c r="AH853" s="73"/>
      <c r="AI853" s="73"/>
      <c r="AJ853" s="73"/>
      <c r="AK853" s="73"/>
      <c r="AL853" s="73"/>
      <c r="AM853" s="73"/>
      <c r="AN853" s="73"/>
      <c r="AO853" s="73"/>
      <c r="AP853" s="73"/>
      <c r="DL853" s="34"/>
    </row>
    <row r="854" spans="10:116" x14ac:dyDescent="0.25">
      <c r="J854" s="73"/>
      <c r="K854" s="73"/>
      <c r="L854" s="73"/>
      <c r="M854" s="73"/>
      <c r="N854" s="73"/>
      <c r="O854" s="73"/>
      <c r="P854" s="73"/>
      <c r="Q854" s="73"/>
      <c r="R854" s="73"/>
      <c r="S854" s="73"/>
      <c r="T854" s="73"/>
      <c r="U854" s="73"/>
      <c r="V854" s="73"/>
      <c r="W854" s="73"/>
      <c r="X854" s="73"/>
      <c r="Y854" s="73"/>
      <c r="Z854" s="73"/>
      <c r="AA854" s="73"/>
      <c r="AB854" s="73"/>
      <c r="AC854" s="122"/>
      <c r="AD854" s="108"/>
      <c r="AF854" s="108"/>
      <c r="AG854" s="73"/>
      <c r="AH854" s="73"/>
      <c r="AI854" s="73"/>
      <c r="AJ854" s="73"/>
      <c r="AK854" s="73"/>
      <c r="AL854" s="73"/>
      <c r="AM854" s="73"/>
      <c r="AN854" s="73"/>
      <c r="AO854" s="73"/>
      <c r="AP854" s="73"/>
      <c r="DL854" s="34"/>
    </row>
    <row r="855" spans="10:116" x14ac:dyDescent="0.25">
      <c r="J855" s="73"/>
      <c r="K855" s="73"/>
      <c r="L855" s="73"/>
      <c r="M855" s="73"/>
      <c r="N855" s="73"/>
      <c r="O855" s="73"/>
      <c r="P855" s="73"/>
      <c r="Q855" s="73"/>
      <c r="R855" s="73"/>
      <c r="S855" s="73"/>
      <c r="T855" s="73"/>
      <c r="U855" s="73"/>
      <c r="V855" s="73"/>
      <c r="W855" s="73"/>
      <c r="X855" s="73"/>
      <c r="Y855" s="73"/>
      <c r="Z855" s="73"/>
      <c r="AA855" s="73"/>
      <c r="AB855" s="73"/>
      <c r="AC855" s="122"/>
      <c r="AD855" s="108"/>
      <c r="AF855" s="108"/>
      <c r="AG855" s="73"/>
      <c r="AH855" s="73"/>
      <c r="AI855" s="73"/>
      <c r="AJ855" s="73"/>
      <c r="AK855" s="73"/>
      <c r="AL855" s="73"/>
      <c r="AM855" s="73"/>
      <c r="AN855" s="73"/>
      <c r="AO855" s="73"/>
      <c r="AP855" s="73"/>
      <c r="DL855" s="34"/>
    </row>
    <row r="856" spans="10:116" x14ac:dyDescent="0.25">
      <c r="J856" s="73"/>
      <c r="K856" s="73"/>
      <c r="L856" s="73"/>
      <c r="M856" s="73"/>
      <c r="N856" s="73"/>
      <c r="O856" s="73"/>
      <c r="P856" s="73"/>
      <c r="Q856" s="73"/>
      <c r="R856" s="73"/>
      <c r="S856" s="73"/>
      <c r="T856" s="73"/>
      <c r="U856" s="73"/>
      <c r="V856" s="73"/>
      <c r="W856" s="73"/>
      <c r="X856" s="73"/>
      <c r="Y856" s="73"/>
      <c r="Z856" s="73"/>
      <c r="AA856" s="73"/>
      <c r="AB856" s="73"/>
      <c r="AC856" s="122"/>
      <c r="AD856" s="108"/>
      <c r="AF856" s="108"/>
      <c r="AG856" s="73"/>
      <c r="AH856" s="73"/>
      <c r="AI856" s="73"/>
      <c r="AJ856" s="73"/>
      <c r="AK856" s="73"/>
      <c r="AL856" s="73"/>
      <c r="AM856" s="73"/>
      <c r="AN856" s="73"/>
      <c r="AO856" s="73"/>
      <c r="AP856" s="73"/>
      <c r="DL856" s="34"/>
    </row>
    <row r="857" spans="10:116" x14ac:dyDescent="0.25">
      <c r="J857" s="73"/>
      <c r="K857" s="73"/>
      <c r="L857" s="73"/>
      <c r="M857" s="73"/>
      <c r="N857" s="73"/>
      <c r="O857" s="73"/>
      <c r="P857" s="73"/>
      <c r="Q857" s="73"/>
      <c r="R857" s="73"/>
      <c r="S857" s="73"/>
      <c r="T857" s="73"/>
      <c r="U857" s="73"/>
      <c r="V857" s="73"/>
      <c r="W857" s="73"/>
      <c r="X857" s="73"/>
      <c r="Y857" s="73"/>
      <c r="Z857" s="73"/>
      <c r="AA857" s="73"/>
      <c r="AB857" s="73"/>
      <c r="AC857" s="122"/>
      <c r="AD857" s="108"/>
      <c r="AF857" s="108"/>
      <c r="AG857" s="73"/>
      <c r="AH857" s="73"/>
      <c r="AI857" s="73"/>
      <c r="AJ857" s="73"/>
      <c r="AK857" s="73"/>
      <c r="AL857" s="73"/>
      <c r="AM857" s="73"/>
      <c r="AN857" s="73"/>
      <c r="AO857" s="73"/>
      <c r="AP857" s="73"/>
      <c r="DL857" s="34"/>
    </row>
    <row r="858" spans="10:116" x14ac:dyDescent="0.25">
      <c r="J858" s="73"/>
      <c r="K858" s="73"/>
      <c r="L858" s="73"/>
      <c r="M858" s="73"/>
      <c r="N858" s="73"/>
      <c r="O858" s="73"/>
      <c r="P858" s="73"/>
      <c r="Q858" s="73"/>
      <c r="R858" s="73"/>
      <c r="S858" s="73"/>
      <c r="T858" s="73"/>
      <c r="U858" s="73"/>
      <c r="V858" s="73"/>
      <c r="W858" s="73"/>
      <c r="X858" s="73"/>
      <c r="Y858" s="73"/>
      <c r="Z858" s="73"/>
      <c r="AA858" s="73"/>
      <c r="AB858" s="73"/>
      <c r="AC858" s="122"/>
      <c r="AD858" s="108"/>
      <c r="AF858" s="108"/>
      <c r="AG858" s="73"/>
      <c r="AH858" s="73"/>
      <c r="AI858" s="73"/>
      <c r="AJ858" s="73"/>
      <c r="AK858" s="73"/>
      <c r="AL858" s="73"/>
      <c r="AM858" s="73"/>
      <c r="AN858" s="73"/>
      <c r="AO858" s="73"/>
      <c r="AP858" s="73"/>
      <c r="DL858" s="34"/>
    </row>
    <row r="859" spans="10:116" x14ac:dyDescent="0.25">
      <c r="J859" s="73"/>
      <c r="K859" s="73"/>
      <c r="L859" s="73"/>
      <c r="M859" s="73"/>
      <c r="N859" s="73"/>
      <c r="O859" s="73"/>
      <c r="P859" s="73"/>
      <c r="Q859" s="73"/>
      <c r="R859" s="73"/>
      <c r="S859" s="73"/>
      <c r="T859" s="73"/>
      <c r="U859" s="73"/>
      <c r="V859" s="73"/>
      <c r="W859" s="73"/>
      <c r="X859" s="73"/>
      <c r="Y859" s="73"/>
      <c r="Z859" s="73"/>
      <c r="AA859" s="73"/>
      <c r="AB859" s="73"/>
      <c r="AC859" s="122"/>
      <c r="AD859" s="108"/>
      <c r="AF859" s="108"/>
      <c r="AG859" s="73"/>
      <c r="AH859" s="73"/>
      <c r="AI859" s="73"/>
      <c r="AJ859" s="73"/>
      <c r="AK859" s="73"/>
      <c r="AL859" s="73"/>
      <c r="AM859" s="73"/>
      <c r="AN859" s="73"/>
      <c r="AO859" s="73"/>
      <c r="AP859" s="73"/>
      <c r="DL859" s="34"/>
    </row>
    <row r="860" spans="10:116" x14ac:dyDescent="0.25">
      <c r="J860" s="73"/>
      <c r="K860" s="73"/>
      <c r="L860" s="73"/>
      <c r="M860" s="73"/>
      <c r="N860" s="73"/>
      <c r="O860" s="73"/>
      <c r="P860" s="73"/>
      <c r="Q860" s="73"/>
      <c r="R860" s="73"/>
      <c r="S860" s="73"/>
      <c r="T860" s="73"/>
      <c r="U860" s="73"/>
      <c r="V860" s="73"/>
      <c r="W860" s="73"/>
      <c r="X860" s="73"/>
      <c r="Y860" s="73"/>
      <c r="Z860" s="73"/>
      <c r="AA860" s="73"/>
      <c r="AB860" s="73"/>
      <c r="AC860" s="122"/>
      <c r="AD860" s="108"/>
      <c r="AF860" s="108"/>
      <c r="AG860" s="73"/>
      <c r="AH860" s="73"/>
      <c r="AI860" s="73"/>
      <c r="AJ860" s="73"/>
      <c r="AK860" s="73"/>
      <c r="AL860" s="73"/>
      <c r="AM860" s="73"/>
      <c r="AN860" s="73"/>
      <c r="AO860" s="73"/>
      <c r="AP860" s="73"/>
      <c r="DL860" s="34"/>
    </row>
    <row r="861" spans="10:116" x14ac:dyDescent="0.25">
      <c r="J861" s="73"/>
      <c r="K861" s="73"/>
      <c r="L861" s="73"/>
      <c r="M861" s="73"/>
      <c r="N861" s="73"/>
      <c r="O861" s="73"/>
      <c r="P861" s="73"/>
      <c r="Q861" s="73"/>
      <c r="R861" s="73"/>
      <c r="S861" s="73"/>
      <c r="T861" s="73"/>
      <c r="U861" s="73"/>
      <c r="V861" s="73"/>
      <c r="W861" s="73"/>
      <c r="X861" s="73"/>
      <c r="Y861" s="73"/>
      <c r="Z861" s="73"/>
      <c r="AA861" s="73"/>
      <c r="AB861" s="73"/>
      <c r="AC861" s="122"/>
      <c r="AD861" s="108"/>
      <c r="AF861" s="108"/>
      <c r="AG861" s="73"/>
      <c r="AH861" s="73"/>
      <c r="AI861" s="73"/>
      <c r="AJ861" s="73"/>
      <c r="AK861" s="73"/>
      <c r="AL861" s="73"/>
      <c r="AM861" s="73"/>
      <c r="AN861" s="73"/>
      <c r="AO861" s="73"/>
      <c r="AP861" s="73"/>
      <c r="DL861" s="34"/>
    </row>
    <row r="862" spans="10:116" x14ac:dyDescent="0.25">
      <c r="J862" s="73"/>
      <c r="K862" s="73"/>
      <c r="L862" s="73"/>
      <c r="M862" s="73"/>
      <c r="N862" s="73"/>
      <c r="O862" s="73"/>
      <c r="P862" s="73"/>
      <c r="Q862" s="73"/>
      <c r="R862" s="73"/>
      <c r="S862" s="73"/>
      <c r="T862" s="73"/>
      <c r="U862" s="73"/>
      <c r="V862" s="73"/>
      <c r="W862" s="73"/>
      <c r="X862" s="73"/>
      <c r="Y862" s="73"/>
      <c r="Z862" s="73"/>
      <c r="AA862" s="73"/>
      <c r="AB862" s="73"/>
      <c r="AC862" s="122"/>
      <c r="AD862" s="108"/>
      <c r="AF862" s="108"/>
      <c r="AG862" s="73"/>
      <c r="AH862" s="73"/>
      <c r="AI862" s="73"/>
      <c r="AJ862" s="73"/>
      <c r="AK862" s="73"/>
      <c r="AL862" s="73"/>
      <c r="AM862" s="73"/>
      <c r="AN862" s="73"/>
      <c r="AO862" s="73"/>
      <c r="AP862" s="73"/>
      <c r="DL862" s="34"/>
    </row>
    <row r="863" spans="10:116" x14ac:dyDescent="0.25">
      <c r="J863" s="73"/>
      <c r="K863" s="73"/>
      <c r="L863" s="73"/>
      <c r="M863" s="73"/>
      <c r="N863" s="73"/>
      <c r="O863" s="73"/>
      <c r="P863" s="73"/>
      <c r="Q863" s="73"/>
      <c r="R863" s="73"/>
      <c r="S863" s="73"/>
      <c r="T863" s="73"/>
      <c r="U863" s="73"/>
      <c r="V863" s="73"/>
      <c r="W863" s="73"/>
      <c r="X863" s="73"/>
      <c r="Y863" s="73"/>
      <c r="Z863" s="73"/>
      <c r="AA863" s="73"/>
      <c r="AB863" s="73"/>
      <c r="AC863" s="122"/>
      <c r="AD863" s="108"/>
      <c r="AF863" s="108"/>
      <c r="AG863" s="73"/>
      <c r="AH863" s="73"/>
      <c r="AI863" s="73"/>
      <c r="AJ863" s="73"/>
      <c r="AK863" s="73"/>
      <c r="AL863" s="73"/>
      <c r="AM863" s="73"/>
      <c r="AN863" s="73"/>
      <c r="AO863" s="73"/>
      <c r="AP863" s="73"/>
      <c r="DL863" s="34"/>
    </row>
    <row r="864" spans="10:116" x14ac:dyDescent="0.25">
      <c r="J864" s="73"/>
      <c r="K864" s="73"/>
      <c r="L864" s="73"/>
      <c r="M864" s="73"/>
      <c r="N864" s="73"/>
      <c r="O864" s="73"/>
      <c r="P864" s="73"/>
      <c r="Q864" s="73"/>
      <c r="R864" s="73"/>
      <c r="S864" s="73"/>
      <c r="T864" s="73"/>
      <c r="U864" s="73"/>
      <c r="V864" s="73"/>
      <c r="W864" s="73"/>
      <c r="X864" s="73"/>
      <c r="Y864" s="73"/>
      <c r="Z864" s="73"/>
      <c r="AA864" s="73"/>
      <c r="AB864" s="73"/>
      <c r="AC864" s="122"/>
      <c r="AG864" s="73"/>
      <c r="AH864" s="73"/>
      <c r="AI864" s="73"/>
      <c r="AJ864" s="73"/>
      <c r="AK864" s="73"/>
      <c r="AL864" s="73"/>
      <c r="AM864" s="73"/>
      <c r="AN864" s="73"/>
      <c r="AO864" s="73"/>
      <c r="AP864" s="73"/>
      <c r="DL864" s="34"/>
    </row>
    <row r="865" spans="10:116" x14ac:dyDescent="0.25">
      <c r="J865" s="73"/>
      <c r="K865" s="73"/>
      <c r="L865" s="73"/>
      <c r="M865" s="73"/>
      <c r="N865" s="73"/>
      <c r="O865" s="73"/>
      <c r="P865" s="73"/>
      <c r="Q865" s="73"/>
      <c r="R865" s="73"/>
      <c r="S865" s="73"/>
      <c r="T865" s="73"/>
      <c r="U865" s="73"/>
      <c r="V865" s="73"/>
      <c r="W865" s="73"/>
      <c r="X865" s="73"/>
      <c r="Y865" s="73"/>
      <c r="Z865" s="73"/>
      <c r="AA865" s="73"/>
      <c r="AB865" s="73"/>
      <c r="AC865" s="122"/>
      <c r="AG865" s="73"/>
      <c r="AH865" s="73"/>
      <c r="AI865" s="73"/>
      <c r="AJ865" s="73"/>
      <c r="AK865" s="73"/>
      <c r="AL865" s="73"/>
      <c r="AM865" s="73"/>
      <c r="AN865" s="73"/>
      <c r="AO865" s="73"/>
      <c r="AP865" s="73"/>
      <c r="DL865" s="34"/>
    </row>
    <row r="866" spans="10:116" x14ac:dyDescent="0.25">
      <c r="J866" s="73"/>
      <c r="K866" s="73"/>
      <c r="L866" s="73"/>
      <c r="M866" s="73"/>
      <c r="N866" s="73"/>
      <c r="O866" s="73"/>
      <c r="P866" s="73"/>
      <c r="Q866" s="73"/>
      <c r="R866" s="73"/>
      <c r="S866" s="73"/>
      <c r="T866" s="73"/>
      <c r="U866" s="73"/>
      <c r="V866" s="73"/>
      <c r="W866" s="73"/>
      <c r="X866" s="73"/>
      <c r="Y866" s="73"/>
      <c r="Z866" s="73"/>
      <c r="AA866" s="73"/>
      <c r="AB866" s="73"/>
      <c r="AC866" s="122"/>
      <c r="AG866" s="73"/>
      <c r="AH866" s="73"/>
      <c r="AI866" s="73"/>
      <c r="AJ866" s="73"/>
      <c r="AK866" s="73"/>
      <c r="AL866" s="73"/>
      <c r="AM866" s="73"/>
      <c r="AN866" s="73"/>
      <c r="AO866" s="73"/>
      <c r="AP866" s="73"/>
      <c r="DL866" s="34"/>
    </row>
    <row r="867" spans="10:116" x14ac:dyDescent="0.25">
      <c r="J867" s="73"/>
      <c r="K867" s="73"/>
      <c r="L867" s="73"/>
      <c r="M867" s="73"/>
      <c r="N867" s="73"/>
      <c r="O867" s="73"/>
      <c r="P867" s="73"/>
      <c r="Q867" s="73"/>
      <c r="R867" s="73"/>
      <c r="S867" s="73"/>
      <c r="T867" s="73"/>
      <c r="U867" s="73"/>
      <c r="V867" s="73"/>
      <c r="W867" s="73"/>
      <c r="X867" s="73"/>
      <c r="Y867" s="73"/>
      <c r="Z867" s="73"/>
      <c r="AA867" s="73"/>
      <c r="AB867" s="73"/>
      <c r="AC867" s="122"/>
      <c r="AG867" s="73"/>
      <c r="AH867" s="73"/>
      <c r="AI867" s="73"/>
      <c r="AJ867" s="73"/>
      <c r="AK867" s="73"/>
      <c r="AL867" s="73"/>
      <c r="AM867" s="73"/>
      <c r="AN867" s="73"/>
      <c r="AO867" s="73"/>
      <c r="AP867" s="73"/>
      <c r="DL867" s="34"/>
    </row>
    <row r="868" spans="10:116" x14ac:dyDescent="0.25">
      <c r="J868" s="73"/>
      <c r="K868" s="73"/>
      <c r="L868" s="73"/>
      <c r="M868" s="73"/>
      <c r="N868" s="73"/>
      <c r="O868" s="73"/>
      <c r="P868" s="73"/>
      <c r="Q868" s="73"/>
      <c r="R868" s="73"/>
      <c r="S868" s="73"/>
      <c r="T868" s="73"/>
      <c r="U868" s="73"/>
      <c r="V868" s="73"/>
      <c r="W868" s="73"/>
      <c r="X868" s="73"/>
      <c r="Y868" s="73"/>
      <c r="Z868" s="73"/>
      <c r="AA868" s="73"/>
      <c r="AB868" s="73"/>
      <c r="AC868" s="122"/>
      <c r="AG868" s="73"/>
      <c r="AH868" s="73"/>
      <c r="AI868" s="73"/>
      <c r="AJ868" s="73"/>
      <c r="AK868" s="73"/>
      <c r="AL868" s="73"/>
      <c r="AM868" s="73"/>
      <c r="AN868" s="73"/>
      <c r="AO868" s="73"/>
      <c r="AP868" s="73"/>
      <c r="DL868" s="34"/>
    </row>
    <row r="869" spans="10:116" x14ac:dyDescent="0.25">
      <c r="J869" s="73"/>
      <c r="K869" s="73"/>
      <c r="L869" s="73"/>
      <c r="M869" s="73"/>
      <c r="N869" s="73"/>
      <c r="O869" s="73"/>
      <c r="P869" s="73"/>
      <c r="Q869" s="73"/>
      <c r="R869" s="73"/>
      <c r="S869" s="73"/>
      <c r="T869" s="73"/>
      <c r="U869" s="73"/>
      <c r="V869" s="73"/>
      <c r="W869" s="73"/>
      <c r="X869" s="73"/>
      <c r="Y869" s="73"/>
      <c r="Z869" s="73"/>
      <c r="AA869" s="73"/>
      <c r="AB869" s="73"/>
      <c r="AC869" s="122"/>
      <c r="AG869" s="73"/>
      <c r="AH869" s="73"/>
      <c r="AI869" s="73"/>
      <c r="AJ869" s="73"/>
      <c r="AK869" s="73"/>
      <c r="AL869" s="73"/>
      <c r="AM869" s="73"/>
      <c r="AN869" s="73"/>
      <c r="AO869" s="73"/>
      <c r="AP869" s="73"/>
      <c r="DL869" s="34"/>
    </row>
    <row r="870" spans="10:116" x14ac:dyDescent="0.25">
      <c r="J870" s="73"/>
      <c r="K870" s="73"/>
      <c r="L870" s="73"/>
      <c r="M870" s="73"/>
      <c r="N870" s="73"/>
      <c r="O870" s="73"/>
      <c r="P870" s="73"/>
      <c r="Q870" s="73"/>
      <c r="R870" s="73"/>
      <c r="S870" s="73"/>
      <c r="T870" s="73"/>
      <c r="U870" s="73"/>
      <c r="V870" s="73"/>
      <c r="W870" s="73"/>
      <c r="X870" s="73"/>
      <c r="Y870" s="73"/>
      <c r="Z870" s="73"/>
      <c r="AA870" s="73"/>
      <c r="AB870" s="73"/>
      <c r="AC870" s="122"/>
      <c r="AG870" s="73"/>
      <c r="AH870" s="73"/>
      <c r="AI870" s="73"/>
      <c r="AJ870" s="73"/>
      <c r="AK870" s="73"/>
      <c r="AL870" s="73"/>
      <c r="AM870" s="73"/>
      <c r="AN870" s="73"/>
      <c r="AO870" s="73"/>
      <c r="AP870" s="73"/>
      <c r="DL870" s="34"/>
    </row>
    <row r="871" spans="10:116" x14ac:dyDescent="0.25">
      <c r="J871" s="73"/>
      <c r="K871" s="73"/>
      <c r="L871" s="73"/>
      <c r="M871" s="73"/>
      <c r="N871" s="73"/>
      <c r="O871" s="73"/>
      <c r="P871" s="73"/>
      <c r="Q871" s="73"/>
      <c r="R871" s="73"/>
      <c r="S871" s="73"/>
      <c r="T871" s="73"/>
      <c r="U871" s="73"/>
      <c r="V871" s="73"/>
      <c r="W871" s="73"/>
      <c r="X871" s="73"/>
      <c r="Y871" s="73"/>
      <c r="Z871" s="73"/>
      <c r="AA871" s="73"/>
      <c r="AB871" s="73"/>
      <c r="AC871" s="122"/>
      <c r="AG871" s="73"/>
      <c r="AH871" s="73"/>
      <c r="AI871" s="73"/>
      <c r="AJ871" s="73"/>
      <c r="AK871" s="73"/>
      <c r="AL871" s="73"/>
      <c r="AM871" s="73"/>
      <c r="AN871" s="73"/>
      <c r="AO871" s="73"/>
      <c r="AP871" s="73"/>
      <c r="DL871" s="34"/>
    </row>
    <row r="872" spans="10:116" x14ac:dyDescent="0.25">
      <c r="J872" s="73"/>
      <c r="K872" s="73"/>
      <c r="L872" s="73"/>
      <c r="M872" s="73"/>
      <c r="N872" s="73"/>
      <c r="O872" s="73"/>
      <c r="P872" s="73"/>
      <c r="Q872" s="73"/>
      <c r="R872" s="73"/>
      <c r="S872" s="73"/>
      <c r="T872" s="73"/>
      <c r="U872" s="73"/>
      <c r="V872" s="73"/>
      <c r="W872" s="73"/>
      <c r="X872" s="73"/>
      <c r="Y872" s="73"/>
      <c r="Z872" s="73"/>
      <c r="AA872" s="73"/>
      <c r="AB872" s="73"/>
      <c r="AC872" s="122"/>
      <c r="AG872" s="73"/>
      <c r="AH872" s="73"/>
      <c r="AI872" s="73"/>
      <c r="AJ872" s="73"/>
      <c r="AK872" s="73"/>
      <c r="AL872" s="73"/>
      <c r="AM872" s="73"/>
      <c r="AN872" s="73"/>
      <c r="AO872" s="73"/>
      <c r="AP872" s="73"/>
      <c r="DL872" s="34"/>
    </row>
    <row r="873" spans="10:116" x14ac:dyDescent="0.25">
      <c r="J873" s="73"/>
      <c r="K873" s="73"/>
      <c r="L873" s="73"/>
      <c r="M873" s="73"/>
      <c r="N873" s="73"/>
      <c r="O873" s="73"/>
      <c r="P873" s="73"/>
      <c r="Q873" s="73"/>
      <c r="R873" s="73"/>
      <c r="S873" s="73"/>
      <c r="T873" s="73"/>
      <c r="U873" s="73"/>
      <c r="V873" s="73"/>
      <c r="W873" s="73"/>
      <c r="X873" s="73"/>
      <c r="Y873" s="73"/>
      <c r="Z873" s="73"/>
      <c r="AA873" s="73"/>
      <c r="AB873" s="73"/>
      <c r="AC873" s="122"/>
      <c r="AG873" s="73"/>
      <c r="AH873" s="73"/>
      <c r="AI873" s="73"/>
      <c r="AJ873" s="73"/>
      <c r="AK873" s="73"/>
      <c r="AL873" s="73"/>
      <c r="AM873" s="73"/>
      <c r="AN873" s="73"/>
      <c r="AO873" s="73"/>
      <c r="AP873" s="73"/>
      <c r="DL873" s="34"/>
    </row>
    <row r="874" spans="10:116" x14ac:dyDescent="0.25">
      <c r="J874" s="73"/>
      <c r="K874" s="73"/>
      <c r="L874" s="73"/>
      <c r="M874" s="73"/>
      <c r="N874" s="73"/>
      <c r="O874" s="73"/>
      <c r="P874" s="73"/>
      <c r="Q874" s="73"/>
      <c r="R874" s="73"/>
      <c r="S874" s="73"/>
      <c r="T874" s="73"/>
      <c r="U874" s="73"/>
      <c r="V874" s="73"/>
      <c r="W874" s="73"/>
      <c r="X874" s="73"/>
      <c r="Y874" s="73"/>
      <c r="Z874" s="73"/>
      <c r="AA874" s="73"/>
      <c r="AB874" s="73"/>
      <c r="AC874" s="122"/>
      <c r="AD874" s="73"/>
      <c r="AE874" s="73"/>
      <c r="AF874" s="73"/>
      <c r="AG874" s="73"/>
      <c r="AH874" s="73"/>
      <c r="AI874" s="73"/>
      <c r="AJ874" s="73"/>
      <c r="AK874" s="73"/>
      <c r="AL874" s="73"/>
      <c r="AM874" s="73"/>
      <c r="AN874" s="73"/>
      <c r="AO874" s="73"/>
      <c r="AP874" s="73"/>
      <c r="DL874" s="34"/>
    </row>
    <row r="875" spans="10:116" x14ac:dyDescent="0.25">
      <c r="J875" s="73"/>
      <c r="K875" s="73"/>
      <c r="L875" s="73"/>
      <c r="M875" s="73"/>
      <c r="N875" s="73"/>
      <c r="O875" s="73"/>
      <c r="P875" s="73"/>
      <c r="Q875" s="73"/>
      <c r="R875" s="73"/>
      <c r="S875" s="73"/>
      <c r="T875" s="73"/>
      <c r="U875" s="73"/>
      <c r="V875" s="73"/>
      <c r="W875" s="73"/>
      <c r="X875" s="73"/>
      <c r="Y875" s="73"/>
      <c r="Z875" s="73"/>
      <c r="AA875" s="73"/>
      <c r="AB875" s="73"/>
      <c r="AC875" s="122"/>
      <c r="AD875" s="73"/>
      <c r="AE875" s="73"/>
      <c r="AF875" s="73"/>
      <c r="AG875" s="73"/>
      <c r="AH875" s="73"/>
      <c r="AI875" s="73"/>
      <c r="AJ875" s="73"/>
      <c r="AK875" s="73"/>
      <c r="AL875" s="73"/>
      <c r="AM875" s="73"/>
      <c r="AN875" s="73"/>
      <c r="AO875" s="73"/>
      <c r="AP875" s="73"/>
      <c r="DL875" s="34"/>
    </row>
    <row r="876" spans="10:116" x14ac:dyDescent="0.25">
      <c r="J876" s="73"/>
      <c r="K876" s="73"/>
      <c r="L876" s="73"/>
      <c r="M876" s="73"/>
      <c r="N876" s="73"/>
      <c r="O876" s="73"/>
      <c r="P876" s="73"/>
      <c r="Q876" s="73"/>
      <c r="R876" s="73"/>
      <c r="S876" s="73"/>
      <c r="T876" s="73"/>
      <c r="U876" s="73"/>
      <c r="V876" s="73"/>
      <c r="W876" s="73"/>
      <c r="X876" s="73"/>
      <c r="Y876" s="73"/>
      <c r="Z876" s="73"/>
      <c r="AA876" s="73"/>
      <c r="AB876" s="73"/>
      <c r="AC876" s="122"/>
      <c r="AD876" s="73"/>
      <c r="AE876" s="73"/>
      <c r="AF876" s="73"/>
      <c r="AG876" s="73"/>
      <c r="AH876" s="73"/>
      <c r="AI876" s="73"/>
      <c r="AJ876" s="73"/>
      <c r="AK876" s="73"/>
      <c r="AL876" s="73"/>
      <c r="AM876" s="73"/>
      <c r="AN876" s="73"/>
      <c r="AO876" s="73"/>
      <c r="AP876" s="73"/>
      <c r="DL876" s="34"/>
    </row>
    <row r="877" spans="10:116" x14ac:dyDescent="0.25">
      <c r="J877" s="73"/>
      <c r="K877" s="73"/>
      <c r="L877" s="73"/>
      <c r="M877" s="73"/>
      <c r="N877" s="73"/>
      <c r="O877" s="73"/>
      <c r="P877" s="73"/>
      <c r="Q877" s="73"/>
      <c r="R877" s="73"/>
      <c r="S877" s="73"/>
      <c r="T877" s="73"/>
      <c r="U877" s="73"/>
      <c r="V877" s="73"/>
      <c r="W877" s="73"/>
      <c r="X877" s="73"/>
      <c r="Y877" s="73"/>
      <c r="Z877" s="73"/>
      <c r="AA877" s="73"/>
      <c r="AB877" s="73"/>
      <c r="AC877" s="122"/>
      <c r="AD877" s="73"/>
      <c r="AE877" s="73"/>
      <c r="AF877" s="73"/>
      <c r="AG877" s="73"/>
      <c r="AH877" s="73"/>
      <c r="AI877" s="73"/>
      <c r="AJ877" s="73"/>
      <c r="AK877" s="73"/>
      <c r="AL877" s="73"/>
      <c r="AM877" s="73"/>
      <c r="AN877" s="73"/>
      <c r="AO877" s="73"/>
      <c r="AP877" s="73"/>
      <c r="DL877" s="34"/>
    </row>
    <row r="878" spans="10:116" x14ac:dyDescent="0.25">
      <c r="J878" s="73"/>
      <c r="K878" s="73"/>
      <c r="L878" s="73"/>
      <c r="M878" s="73"/>
      <c r="N878" s="73"/>
      <c r="O878" s="73"/>
      <c r="P878" s="73"/>
      <c r="Q878" s="73"/>
      <c r="R878" s="73"/>
      <c r="S878" s="73"/>
      <c r="T878" s="73"/>
      <c r="U878" s="73"/>
      <c r="V878" s="73"/>
      <c r="W878" s="73"/>
      <c r="X878" s="73"/>
      <c r="Y878" s="73"/>
      <c r="Z878" s="73"/>
      <c r="AA878" s="73"/>
      <c r="AB878" s="73"/>
      <c r="AC878" s="122"/>
      <c r="AD878" s="73"/>
      <c r="AE878" s="73"/>
      <c r="AF878" s="73"/>
      <c r="AG878" s="73"/>
      <c r="AH878" s="73"/>
      <c r="AI878" s="73"/>
      <c r="AJ878" s="73"/>
      <c r="AK878" s="73"/>
      <c r="AL878" s="73"/>
      <c r="AM878" s="73"/>
      <c r="AN878" s="73"/>
      <c r="AO878" s="73"/>
      <c r="AP878" s="73"/>
      <c r="DL878" s="34"/>
    </row>
    <row r="879" spans="10:116" x14ac:dyDescent="0.25">
      <c r="J879" s="73"/>
      <c r="K879" s="73"/>
      <c r="L879" s="73"/>
      <c r="M879" s="73"/>
      <c r="N879" s="73"/>
      <c r="O879" s="73"/>
      <c r="P879" s="73"/>
      <c r="Q879" s="73"/>
      <c r="R879" s="73"/>
      <c r="S879" s="73"/>
      <c r="T879" s="73"/>
      <c r="U879" s="73"/>
      <c r="V879" s="73"/>
      <c r="W879" s="73"/>
      <c r="X879" s="73"/>
      <c r="Y879" s="73"/>
      <c r="Z879" s="73"/>
      <c r="AA879" s="73"/>
      <c r="AB879" s="73"/>
      <c r="AC879" s="122"/>
      <c r="AD879" s="73"/>
      <c r="AE879" s="73"/>
      <c r="AF879" s="73"/>
      <c r="AG879" s="73"/>
      <c r="AH879" s="73"/>
      <c r="AI879" s="73"/>
      <c r="AJ879" s="73"/>
      <c r="AK879" s="73"/>
      <c r="AL879" s="73"/>
      <c r="AM879" s="73"/>
      <c r="AN879" s="73"/>
      <c r="AO879" s="73"/>
      <c r="AP879" s="73"/>
      <c r="DL879" s="34"/>
    </row>
    <row r="880" spans="10:116" x14ac:dyDescent="0.25">
      <c r="J880" s="73"/>
      <c r="K880" s="73"/>
      <c r="L880" s="73"/>
      <c r="M880" s="73"/>
      <c r="N880" s="73"/>
      <c r="O880" s="73"/>
      <c r="P880" s="73"/>
      <c r="Q880" s="73"/>
      <c r="R880" s="73"/>
      <c r="S880" s="73"/>
      <c r="T880" s="73"/>
      <c r="U880" s="73"/>
      <c r="V880" s="73"/>
      <c r="W880" s="73"/>
      <c r="X880" s="73"/>
      <c r="Y880" s="73"/>
      <c r="Z880" s="73"/>
      <c r="AA880" s="73"/>
      <c r="AB880" s="73"/>
      <c r="AC880" s="122"/>
      <c r="AD880" s="73"/>
      <c r="AE880" s="73"/>
      <c r="AF880" s="73"/>
      <c r="AG880" s="73"/>
      <c r="AH880" s="73"/>
      <c r="AI880" s="73"/>
      <c r="AJ880" s="73"/>
      <c r="AK880" s="73"/>
      <c r="AL880" s="73"/>
      <c r="AM880" s="73"/>
      <c r="AN880" s="73"/>
      <c r="AO880" s="73"/>
      <c r="AP880" s="73"/>
      <c r="DL880" s="34"/>
    </row>
    <row r="881" spans="10:116" x14ac:dyDescent="0.25">
      <c r="J881" s="73"/>
      <c r="K881" s="73"/>
      <c r="L881" s="73"/>
      <c r="M881" s="73"/>
      <c r="N881" s="73"/>
      <c r="O881" s="73"/>
      <c r="P881" s="73"/>
      <c r="Q881" s="73"/>
      <c r="R881" s="73"/>
      <c r="S881" s="73"/>
      <c r="T881" s="73"/>
      <c r="U881" s="73"/>
      <c r="V881" s="73"/>
      <c r="W881" s="73"/>
      <c r="X881" s="73"/>
      <c r="Y881" s="73"/>
      <c r="Z881" s="73"/>
      <c r="AA881" s="73"/>
      <c r="AB881" s="73"/>
      <c r="AC881" s="122"/>
      <c r="AD881" s="73"/>
      <c r="AE881" s="73"/>
      <c r="AF881" s="73"/>
      <c r="AG881" s="73"/>
      <c r="AH881" s="73"/>
      <c r="AI881" s="73"/>
      <c r="AJ881" s="73"/>
      <c r="AK881" s="73"/>
      <c r="AL881" s="73"/>
      <c r="AM881" s="73"/>
      <c r="AN881" s="73"/>
      <c r="AO881" s="73"/>
      <c r="AP881" s="73"/>
      <c r="DL881" s="34"/>
    </row>
    <row r="882" spans="10:116" x14ac:dyDescent="0.25">
      <c r="J882" s="73"/>
      <c r="K882" s="73"/>
      <c r="L882" s="73"/>
      <c r="M882" s="73"/>
      <c r="N882" s="73"/>
      <c r="O882" s="73"/>
      <c r="P882" s="73"/>
      <c r="Q882" s="73"/>
      <c r="R882" s="73"/>
      <c r="S882" s="73"/>
      <c r="T882" s="73"/>
      <c r="U882" s="73"/>
      <c r="V882" s="73"/>
      <c r="W882" s="73"/>
      <c r="X882" s="73"/>
      <c r="Y882" s="73"/>
      <c r="Z882" s="73"/>
      <c r="AA882" s="73"/>
      <c r="AB882" s="73"/>
      <c r="AC882" s="122"/>
      <c r="AD882" s="73"/>
      <c r="AE882" s="73"/>
      <c r="AF882" s="73"/>
      <c r="AG882" s="73"/>
      <c r="AH882" s="73"/>
      <c r="AI882" s="73"/>
      <c r="AJ882" s="73"/>
      <c r="AK882" s="73"/>
      <c r="AL882" s="73"/>
      <c r="AM882" s="73"/>
      <c r="AN882" s="73"/>
      <c r="AO882" s="73"/>
      <c r="AP882" s="73"/>
      <c r="DL882" s="34"/>
    </row>
    <row r="883" spans="10:116" x14ac:dyDescent="0.25">
      <c r="J883" s="73"/>
      <c r="K883" s="73"/>
      <c r="L883" s="73"/>
      <c r="M883" s="73"/>
      <c r="N883" s="73"/>
      <c r="O883" s="73"/>
      <c r="P883" s="73"/>
      <c r="Q883" s="73"/>
      <c r="R883" s="73"/>
      <c r="S883" s="73"/>
      <c r="T883" s="73"/>
      <c r="U883" s="73"/>
      <c r="V883" s="73"/>
      <c r="W883" s="73"/>
      <c r="X883" s="73"/>
      <c r="Y883" s="73"/>
      <c r="Z883" s="73"/>
      <c r="AA883" s="73"/>
      <c r="AB883" s="73"/>
      <c r="AC883" s="122"/>
      <c r="AD883" s="73"/>
      <c r="AE883" s="73"/>
      <c r="AF883" s="73"/>
      <c r="AG883" s="73"/>
      <c r="AH883" s="73"/>
      <c r="AI883" s="73"/>
      <c r="AJ883" s="73"/>
      <c r="AK883" s="73"/>
      <c r="AL883" s="73"/>
      <c r="AM883" s="73"/>
      <c r="AN883" s="73"/>
      <c r="AO883" s="73"/>
      <c r="AP883" s="73"/>
      <c r="DL883" s="34"/>
    </row>
    <row r="884" spans="10:116" x14ac:dyDescent="0.25">
      <c r="J884" s="73"/>
      <c r="K884" s="73"/>
      <c r="L884" s="73"/>
      <c r="M884" s="73"/>
      <c r="N884" s="73"/>
      <c r="O884" s="73"/>
      <c r="P884" s="73"/>
      <c r="Q884" s="73"/>
      <c r="R884" s="73"/>
      <c r="S884" s="73"/>
      <c r="T884" s="73"/>
      <c r="U884" s="73"/>
      <c r="V884" s="73"/>
      <c r="W884" s="73"/>
      <c r="X884" s="73"/>
      <c r="Y884" s="73"/>
      <c r="Z884" s="73"/>
      <c r="AA884" s="73"/>
      <c r="AB884" s="73"/>
      <c r="AC884" s="122"/>
      <c r="AD884" s="73"/>
      <c r="AE884" s="73"/>
      <c r="AF884" s="73"/>
      <c r="AG884" s="73"/>
      <c r="AH884" s="73"/>
      <c r="AI884" s="73"/>
      <c r="AJ884" s="73"/>
      <c r="AK884" s="73"/>
      <c r="AL884" s="73"/>
      <c r="AM884" s="73"/>
      <c r="AN884" s="73"/>
      <c r="AO884" s="73"/>
      <c r="AP884" s="73"/>
      <c r="DL884" s="34"/>
    </row>
    <row r="885" spans="10:116" x14ac:dyDescent="0.25">
      <c r="J885" s="73"/>
      <c r="K885" s="73"/>
      <c r="L885" s="73"/>
      <c r="M885" s="73"/>
      <c r="N885" s="73"/>
      <c r="O885" s="73"/>
      <c r="P885" s="73"/>
      <c r="Q885" s="73"/>
      <c r="R885" s="73"/>
      <c r="S885" s="73"/>
      <c r="T885" s="73"/>
      <c r="U885" s="73"/>
      <c r="V885" s="73"/>
      <c r="W885" s="73"/>
      <c r="X885" s="73"/>
      <c r="Y885" s="73"/>
      <c r="Z885" s="73"/>
      <c r="AA885" s="73"/>
      <c r="AB885" s="73"/>
      <c r="AC885" s="122"/>
      <c r="AD885" s="73"/>
      <c r="AE885" s="73"/>
      <c r="AF885" s="73"/>
      <c r="AG885" s="73"/>
      <c r="AH885" s="73"/>
      <c r="AI885" s="73"/>
      <c r="AJ885" s="73"/>
      <c r="AK885" s="73"/>
      <c r="AL885" s="73"/>
      <c r="AM885" s="73"/>
      <c r="AN885" s="73"/>
      <c r="AO885" s="73"/>
      <c r="AP885" s="73"/>
      <c r="DL885" s="34"/>
    </row>
    <row r="886" spans="10:116" x14ac:dyDescent="0.25">
      <c r="J886" s="73"/>
      <c r="K886" s="73"/>
      <c r="L886" s="73"/>
      <c r="M886" s="73"/>
      <c r="N886" s="73"/>
      <c r="O886" s="73"/>
      <c r="P886" s="73"/>
      <c r="Q886" s="73"/>
      <c r="R886" s="73"/>
      <c r="S886" s="73"/>
      <c r="T886" s="73"/>
      <c r="U886" s="73"/>
      <c r="V886" s="73"/>
      <c r="W886" s="73"/>
      <c r="X886" s="73"/>
      <c r="Y886" s="73"/>
      <c r="Z886" s="73"/>
      <c r="AA886" s="73"/>
      <c r="AB886" s="73"/>
      <c r="AC886" s="122"/>
      <c r="AD886" s="73"/>
      <c r="AE886" s="73"/>
      <c r="AF886" s="73"/>
      <c r="AG886" s="73"/>
      <c r="AH886" s="73"/>
      <c r="AI886" s="73"/>
      <c r="AJ886" s="73"/>
      <c r="AK886" s="73"/>
      <c r="AL886" s="73"/>
      <c r="AM886" s="73"/>
      <c r="AN886" s="73"/>
      <c r="AO886" s="73"/>
      <c r="AP886" s="73"/>
      <c r="DL886" s="34"/>
    </row>
    <row r="887" spans="10:116" x14ac:dyDescent="0.25">
      <c r="J887" s="73"/>
      <c r="K887" s="73"/>
      <c r="L887" s="73"/>
      <c r="M887" s="73"/>
      <c r="N887" s="73"/>
      <c r="O887" s="73"/>
      <c r="P887" s="73"/>
      <c r="Q887" s="73"/>
      <c r="R887" s="73"/>
      <c r="S887" s="73"/>
      <c r="T887" s="73"/>
      <c r="U887" s="73"/>
      <c r="V887" s="73"/>
      <c r="W887" s="73"/>
      <c r="X887" s="73"/>
      <c r="Y887" s="73"/>
      <c r="Z887" s="73"/>
      <c r="AA887" s="73"/>
      <c r="AB887" s="73"/>
      <c r="AC887" s="122"/>
      <c r="AD887" s="73"/>
      <c r="AE887" s="73"/>
      <c r="AF887" s="73"/>
      <c r="AG887" s="73"/>
      <c r="AH887" s="73"/>
      <c r="AI887" s="73"/>
      <c r="AJ887" s="73"/>
      <c r="AK887" s="73"/>
      <c r="AL887" s="73"/>
      <c r="AM887" s="73"/>
      <c r="AN887" s="73"/>
      <c r="AO887" s="73"/>
      <c r="AP887" s="73"/>
      <c r="DL887" s="34"/>
    </row>
    <row r="888" spans="10:116" x14ac:dyDescent="0.25">
      <c r="J888" s="73"/>
      <c r="K888" s="73"/>
      <c r="L888" s="73"/>
      <c r="M888" s="73"/>
      <c r="N888" s="73"/>
      <c r="O888" s="73"/>
      <c r="P888" s="73"/>
      <c r="Q888" s="73"/>
      <c r="R888" s="73"/>
      <c r="S888" s="73"/>
      <c r="T888" s="73"/>
      <c r="U888" s="73"/>
      <c r="V888" s="73"/>
      <c r="W888" s="73"/>
      <c r="X888" s="73"/>
      <c r="Y888" s="73"/>
      <c r="Z888" s="73"/>
      <c r="AA888" s="73"/>
      <c r="AB888" s="73"/>
      <c r="AC888" s="122"/>
      <c r="AD888" s="73"/>
      <c r="AE888" s="73"/>
      <c r="AF888" s="73"/>
      <c r="AG888" s="73"/>
      <c r="AH888" s="73"/>
      <c r="AI888" s="73"/>
      <c r="AJ888" s="73"/>
      <c r="AK888" s="73"/>
      <c r="AL888" s="73"/>
      <c r="AM888" s="73"/>
      <c r="AN888" s="73"/>
      <c r="AO888" s="73"/>
      <c r="AP888" s="73"/>
      <c r="DL888" s="34"/>
    </row>
    <row r="889" spans="10:116" x14ac:dyDescent="0.25">
      <c r="J889" s="73"/>
      <c r="K889" s="73"/>
      <c r="L889" s="73"/>
      <c r="M889" s="73"/>
      <c r="N889" s="73"/>
      <c r="O889" s="73"/>
      <c r="P889" s="73"/>
      <c r="Q889" s="73"/>
      <c r="R889" s="73"/>
      <c r="S889" s="73"/>
      <c r="T889" s="73"/>
      <c r="U889" s="73"/>
      <c r="V889" s="73"/>
      <c r="W889" s="73"/>
      <c r="X889" s="73"/>
      <c r="Y889" s="73"/>
      <c r="Z889" s="73"/>
      <c r="AA889" s="73"/>
      <c r="AB889" s="73"/>
      <c r="AC889" s="122"/>
      <c r="AD889" s="73"/>
      <c r="AE889" s="73"/>
      <c r="AF889" s="73"/>
      <c r="AG889" s="73"/>
      <c r="AH889" s="73"/>
      <c r="AI889" s="73"/>
      <c r="AJ889" s="73"/>
      <c r="AK889" s="73"/>
      <c r="AL889" s="73"/>
      <c r="AM889" s="73"/>
      <c r="AN889" s="73"/>
      <c r="AO889" s="73"/>
      <c r="AP889" s="73"/>
      <c r="DL889" s="34"/>
    </row>
    <row r="890" spans="10:116" x14ac:dyDescent="0.25">
      <c r="J890" s="73"/>
      <c r="K890" s="73"/>
      <c r="L890" s="73"/>
      <c r="M890" s="73"/>
      <c r="N890" s="73"/>
      <c r="O890" s="73"/>
      <c r="P890" s="73"/>
      <c r="Q890" s="73"/>
      <c r="R890" s="73"/>
      <c r="S890" s="73"/>
      <c r="T890" s="73"/>
      <c r="U890" s="73"/>
      <c r="V890" s="73"/>
      <c r="W890" s="73"/>
      <c r="X890" s="73"/>
      <c r="Y890" s="73"/>
      <c r="Z890" s="73"/>
      <c r="AA890" s="73"/>
      <c r="AB890" s="73"/>
      <c r="AC890" s="122"/>
      <c r="AD890" s="73"/>
      <c r="AE890" s="73"/>
      <c r="AF890" s="73"/>
      <c r="AG890" s="73"/>
      <c r="AH890" s="73"/>
      <c r="AI890" s="73"/>
      <c r="AJ890" s="73"/>
      <c r="AK890" s="73"/>
      <c r="AL890" s="73"/>
      <c r="AM890" s="73"/>
      <c r="AN890" s="73"/>
      <c r="AO890" s="73"/>
      <c r="AP890" s="73"/>
      <c r="DL890" s="34"/>
    </row>
    <row r="891" spans="10:116" x14ac:dyDescent="0.25">
      <c r="J891" s="73"/>
      <c r="K891" s="73"/>
      <c r="L891" s="73"/>
      <c r="M891" s="73"/>
      <c r="N891" s="73"/>
      <c r="O891" s="73"/>
      <c r="P891" s="73"/>
      <c r="Q891" s="73"/>
      <c r="R891" s="73"/>
      <c r="S891" s="73"/>
      <c r="T891" s="73"/>
      <c r="U891" s="73"/>
      <c r="V891" s="73"/>
      <c r="W891" s="73"/>
      <c r="X891" s="73"/>
      <c r="Y891" s="73"/>
      <c r="Z891" s="73"/>
      <c r="AA891" s="73"/>
      <c r="AB891" s="73"/>
      <c r="AC891" s="122"/>
      <c r="AD891" s="73"/>
      <c r="AE891" s="73"/>
      <c r="AF891" s="73"/>
      <c r="AG891" s="73"/>
      <c r="AH891" s="73"/>
      <c r="AI891" s="73"/>
      <c r="AJ891" s="73"/>
      <c r="AK891" s="73"/>
      <c r="AL891" s="73"/>
      <c r="AM891" s="73"/>
      <c r="AN891" s="73"/>
      <c r="AO891" s="73"/>
      <c r="AP891" s="73"/>
      <c r="DL891" s="34"/>
    </row>
    <row r="892" spans="10:116" x14ac:dyDescent="0.25">
      <c r="J892" s="73"/>
      <c r="K892" s="73"/>
      <c r="L892" s="73"/>
      <c r="M892" s="73"/>
      <c r="N892" s="73"/>
      <c r="O892" s="73"/>
      <c r="P892" s="73"/>
      <c r="Q892" s="73"/>
      <c r="R892" s="73"/>
      <c r="S892" s="73"/>
      <c r="T892" s="73"/>
      <c r="U892" s="73"/>
      <c r="V892" s="73"/>
      <c r="W892" s="73"/>
      <c r="X892" s="73"/>
      <c r="Y892" s="73"/>
      <c r="Z892" s="73"/>
      <c r="AA892" s="73"/>
      <c r="AB892" s="73"/>
      <c r="AC892" s="122"/>
      <c r="AD892" s="73"/>
      <c r="AE892" s="73"/>
      <c r="AF892" s="73"/>
      <c r="AG892" s="73"/>
      <c r="AH892" s="73"/>
      <c r="AI892" s="73"/>
      <c r="AJ892" s="73"/>
      <c r="AK892" s="73"/>
      <c r="AL892" s="73"/>
      <c r="AM892" s="73"/>
      <c r="AN892" s="73"/>
      <c r="AO892" s="73"/>
      <c r="AP892" s="73"/>
      <c r="DL892" s="34"/>
    </row>
    <row r="893" spans="10:116" x14ac:dyDescent="0.25">
      <c r="J893" s="73"/>
      <c r="K893" s="73"/>
      <c r="L893" s="73"/>
      <c r="M893" s="73"/>
      <c r="N893" s="73"/>
      <c r="O893" s="73"/>
      <c r="P893" s="73"/>
      <c r="Q893" s="73"/>
      <c r="R893" s="73"/>
      <c r="S893" s="73"/>
      <c r="T893" s="73"/>
      <c r="U893" s="73"/>
      <c r="V893" s="73"/>
      <c r="W893" s="73"/>
      <c r="X893" s="73"/>
      <c r="Y893" s="73"/>
      <c r="Z893" s="73"/>
      <c r="AA893" s="73"/>
      <c r="AB893" s="73"/>
      <c r="AC893" s="122"/>
      <c r="AD893" s="73"/>
      <c r="AE893" s="73"/>
      <c r="AF893" s="73"/>
      <c r="AG893" s="73"/>
      <c r="AH893" s="73"/>
      <c r="AI893" s="73"/>
      <c r="AJ893" s="73"/>
      <c r="AK893" s="73"/>
      <c r="AL893" s="73"/>
      <c r="AM893" s="73"/>
      <c r="AN893" s="73"/>
      <c r="AO893" s="73"/>
      <c r="AP893" s="73"/>
      <c r="DL893" s="34"/>
    </row>
    <row r="894" spans="10:116" x14ac:dyDescent="0.25">
      <c r="J894" s="73"/>
      <c r="K894" s="73"/>
      <c r="L894" s="73"/>
      <c r="M894" s="73"/>
      <c r="N894" s="73"/>
      <c r="O894" s="73"/>
      <c r="P894" s="73"/>
      <c r="Q894" s="73"/>
      <c r="R894" s="73"/>
      <c r="S894" s="73"/>
      <c r="T894" s="73"/>
      <c r="U894" s="73"/>
      <c r="V894" s="73"/>
      <c r="W894" s="73"/>
      <c r="X894" s="73"/>
      <c r="Y894" s="73"/>
      <c r="Z894" s="73"/>
      <c r="AA894" s="73"/>
      <c r="AB894" s="73"/>
      <c r="AC894" s="122"/>
      <c r="AD894" s="73"/>
      <c r="AE894" s="73"/>
      <c r="AF894" s="73"/>
      <c r="AG894" s="73"/>
      <c r="AH894" s="73"/>
      <c r="AI894" s="73"/>
      <c r="AJ894" s="73"/>
      <c r="AK894" s="73"/>
      <c r="AL894" s="73"/>
      <c r="AM894" s="73"/>
      <c r="AN894" s="73"/>
      <c r="AO894" s="73"/>
      <c r="AP894" s="73"/>
      <c r="DL894" s="34"/>
    </row>
    <row r="895" spans="10:116" x14ac:dyDescent="0.25">
      <c r="J895" s="73"/>
      <c r="K895" s="73"/>
      <c r="L895" s="73"/>
      <c r="M895" s="73"/>
      <c r="N895" s="73"/>
      <c r="O895" s="73"/>
      <c r="P895" s="73"/>
      <c r="Q895" s="73"/>
      <c r="R895" s="73"/>
      <c r="S895" s="73"/>
      <c r="T895" s="73"/>
      <c r="U895" s="73"/>
      <c r="V895" s="73"/>
      <c r="W895" s="73"/>
      <c r="X895" s="73"/>
      <c r="Y895" s="73"/>
      <c r="Z895" s="73"/>
      <c r="AA895" s="73"/>
      <c r="AB895" s="73"/>
      <c r="AC895" s="122"/>
      <c r="AD895" s="73"/>
      <c r="AE895" s="73"/>
      <c r="AF895" s="73"/>
      <c r="AG895" s="73"/>
      <c r="AH895" s="73"/>
      <c r="AI895" s="73"/>
      <c r="AJ895" s="73"/>
      <c r="AK895" s="73"/>
      <c r="AL895" s="73"/>
      <c r="AM895" s="73"/>
      <c r="AN895" s="73"/>
      <c r="AO895" s="73"/>
      <c r="AP895" s="73"/>
      <c r="DL895" s="34"/>
    </row>
    <row r="896" spans="10:116" x14ac:dyDescent="0.25">
      <c r="J896" s="73"/>
      <c r="K896" s="73"/>
      <c r="L896" s="73"/>
      <c r="M896" s="73"/>
      <c r="N896" s="73"/>
      <c r="O896" s="73"/>
      <c r="P896" s="73"/>
      <c r="Q896" s="73"/>
      <c r="R896" s="73"/>
      <c r="S896" s="73"/>
      <c r="T896" s="73"/>
      <c r="U896" s="73"/>
      <c r="V896" s="73"/>
      <c r="W896" s="73"/>
      <c r="X896" s="73"/>
      <c r="Y896" s="73"/>
      <c r="Z896" s="73"/>
      <c r="AA896" s="73"/>
      <c r="AB896" s="73"/>
      <c r="AC896" s="122"/>
      <c r="AD896" s="73"/>
      <c r="AE896" s="73"/>
      <c r="AF896" s="73"/>
      <c r="AG896" s="73"/>
      <c r="AH896" s="73"/>
      <c r="AI896" s="73"/>
      <c r="AJ896" s="73"/>
      <c r="AK896" s="73"/>
      <c r="AL896" s="73"/>
      <c r="AM896" s="73"/>
      <c r="AN896" s="73"/>
      <c r="AO896" s="73"/>
      <c r="AP896" s="73"/>
      <c r="DL896" s="34"/>
    </row>
    <row r="897" spans="10:116" x14ac:dyDescent="0.25">
      <c r="J897" s="73"/>
      <c r="K897" s="73"/>
      <c r="L897" s="73"/>
      <c r="M897" s="73"/>
      <c r="N897" s="73"/>
      <c r="O897" s="73"/>
      <c r="P897" s="73"/>
      <c r="Q897" s="73"/>
      <c r="R897" s="73"/>
      <c r="S897" s="73"/>
      <c r="T897" s="73"/>
      <c r="U897" s="73"/>
      <c r="V897" s="73"/>
      <c r="W897" s="73"/>
      <c r="X897" s="73"/>
      <c r="Y897" s="73"/>
      <c r="Z897" s="73"/>
      <c r="AA897" s="73"/>
      <c r="AB897" s="73"/>
      <c r="AC897" s="122"/>
      <c r="AD897" s="73"/>
      <c r="AE897" s="73"/>
      <c r="AF897" s="73"/>
      <c r="AG897" s="73"/>
      <c r="AH897" s="73"/>
      <c r="AI897" s="73"/>
      <c r="AJ897" s="73"/>
      <c r="AK897" s="73"/>
      <c r="AL897" s="73"/>
      <c r="AM897" s="73"/>
      <c r="AN897" s="73"/>
      <c r="AO897" s="73"/>
      <c r="AP897" s="73"/>
      <c r="DL897" s="34"/>
    </row>
    <row r="898" spans="10:116" x14ac:dyDescent="0.25">
      <c r="J898" s="73"/>
      <c r="K898" s="73"/>
      <c r="L898" s="73"/>
      <c r="M898" s="73"/>
      <c r="N898" s="73"/>
      <c r="O898" s="73"/>
      <c r="P898" s="73"/>
      <c r="Q898" s="73"/>
      <c r="R898" s="73"/>
      <c r="S898" s="73"/>
      <c r="T898" s="73"/>
      <c r="U898" s="73"/>
      <c r="V898" s="73"/>
      <c r="W898" s="73"/>
      <c r="X898" s="73"/>
      <c r="Y898" s="73"/>
      <c r="Z898" s="73"/>
      <c r="AA898" s="73"/>
      <c r="AB898" s="73"/>
      <c r="AC898" s="122"/>
      <c r="AD898" s="73"/>
      <c r="AE898" s="73"/>
      <c r="AF898" s="73"/>
      <c r="AG898" s="73"/>
      <c r="AH898" s="73"/>
      <c r="AI898" s="73"/>
      <c r="AJ898" s="73"/>
      <c r="AK898" s="73"/>
      <c r="AL898" s="73"/>
      <c r="AM898" s="73"/>
      <c r="AN898" s="73"/>
      <c r="AO898" s="73"/>
      <c r="AP898" s="73"/>
      <c r="DL898" s="34"/>
    </row>
    <row r="899" spans="10:116" x14ac:dyDescent="0.25">
      <c r="J899" s="73"/>
      <c r="K899" s="73"/>
      <c r="L899" s="73"/>
      <c r="M899" s="73"/>
      <c r="N899" s="73"/>
      <c r="O899" s="73"/>
      <c r="P899" s="73"/>
      <c r="Q899" s="73"/>
      <c r="R899" s="73"/>
      <c r="S899" s="73"/>
      <c r="T899" s="73"/>
      <c r="U899" s="73"/>
      <c r="V899" s="73"/>
      <c r="W899" s="73"/>
      <c r="X899" s="73"/>
      <c r="Y899" s="73"/>
      <c r="Z899" s="73"/>
      <c r="AA899" s="73"/>
      <c r="AB899" s="73"/>
      <c r="AC899" s="122"/>
      <c r="AD899" s="73"/>
      <c r="AE899" s="73"/>
      <c r="AF899" s="73"/>
      <c r="AG899" s="73"/>
      <c r="AH899" s="73"/>
      <c r="AI899" s="73"/>
      <c r="AJ899" s="73"/>
      <c r="AK899" s="73"/>
      <c r="AL899" s="73"/>
      <c r="AM899" s="73"/>
      <c r="AN899" s="73"/>
      <c r="AO899" s="73"/>
      <c r="AP899" s="73"/>
      <c r="DL899" s="34"/>
    </row>
    <row r="900" spans="10:116" x14ac:dyDescent="0.25">
      <c r="J900" s="73"/>
      <c r="K900" s="73"/>
      <c r="L900" s="73"/>
      <c r="M900" s="73"/>
      <c r="N900" s="73"/>
      <c r="O900" s="73"/>
      <c r="P900" s="73"/>
      <c r="Q900" s="73"/>
      <c r="R900" s="73"/>
      <c r="S900" s="73"/>
      <c r="T900" s="73"/>
      <c r="U900" s="73"/>
      <c r="V900" s="73"/>
      <c r="W900" s="73"/>
      <c r="X900" s="73"/>
      <c r="Y900" s="73"/>
      <c r="Z900" s="73"/>
      <c r="AA900" s="73"/>
      <c r="AB900" s="73"/>
      <c r="AC900" s="122"/>
      <c r="AD900" s="73"/>
      <c r="AE900" s="73"/>
      <c r="AF900" s="73"/>
      <c r="AG900" s="73"/>
      <c r="AH900" s="73"/>
      <c r="AI900" s="73"/>
      <c r="AJ900" s="73"/>
      <c r="AK900" s="73"/>
      <c r="AL900" s="73"/>
      <c r="AM900" s="73"/>
      <c r="AN900" s="73"/>
      <c r="AO900" s="73"/>
      <c r="AP900" s="73"/>
      <c r="DL900" s="34"/>
    </row>
    <row r="901" spans="10:116" x14ac:dyDescent="0.25">
      <c r="J901" s="73"/>
      <c r="K901" s="73"/>
      <c r="L901" s="73"/>
      <c r="M901" s="73"/>
      <c r="N901" s="73"/>
      <c r="O901" s="73"/>
      <c r="P901" s="73"/>
      <c r="Q901" s="73"/>
      <c r="R901" s="73"/>
      <c r="S901" s="73"/>
      <c r="T901" s="73"/>
      <c r="U901" s="73"/>
      <c r="V901" s="73"/>
      <c r="W901" s="73"/>
      <c r="X901" s="73"/>
      <c r="Y901" s="73"/>
      <c r="Z901" s="73"/>
      <c r="AA901" s="73"/>
      <c r="AB901" s="73"/>
      <c r="AC901" s="122"/>
      <c r="AD901" s="73"/>
      <c r="AE901" s="73"/>
      <c r="AF901" s="73"/>
      <c r="AG901" s="73"/>
      <c r="AH901" s="73"/>
      <c r="AI901" s="73"/>
      <c r="AJ901" s="73"/>
      <c r="AK901" s="73"/>
      <c r="AL901" s="73"/>
      <c r="AM901" s="73"/>
      <c r="AN901" s="73"/>
      <c r="AO901" s="73"/>
      <c r="AP901" s="73"/>
      <c r="DL901" s="34"/>
    </row>
    <row r="902" spans="10:116" x14ac:dyDescent="0.25">
      <c r="J902" s="73"/>
      <c r="K902" s="73"/>
      <c r="L902" s="73"/>
      <c r="M902" s="73"/>
      <c r="N902" s="73"/>
      <c r="O902" s="73"/>
      <c r="P902" s="73"/>
      <c r="Q902" s="73"/>
      <c r="R902" s="73"/>
      <c r="S902" s="73"/>
      <c r="T902" s="73"/>
      <c r="U902" s="73"/>
      <c r="V902" s="73"/>
      <c r="W902" s="73"/>
      <c r="X902" s="73"/>
      <c r="Y902" s="73"/>
      <c r="Z902" s="73"/>
      <c r="AA902" s="73"/>
      <c r="AB902" s="73"/>
      <c r="AC902" s="122"/>
      <c r="AD902" s="73"/>
      <c r="AE902" s="73"/>
      <c r="AF902" s="73"/>
      <c r="AG902" s="73"/>
      <c r="AH902" s="73"/>
      <c r="AI902" s="73"/>
      <c r="AJ902" s="73"/>
      <c r="AK902" s="73"/>
      <c r="AL902" s="73"/>
      <c r="AM902" s="73"/>
      <c r="AN902" s="73"/>
      <c r="AO902" s="73"/>
      <c r="AP902" s="73"/>
      <c r="DL902" s="34"/>
    </row>
    <row r="903" spans="10:116" x14ac:dyDescent="0.25">
      <c r="J903" s="73"/>
      <c r="K903" s="73"/>
      <c r="L903" s="73"/>
      <c r="M903" s="73"/>
      <c r="N903" s="73"/>
      <c r="O903" s="73"/>
      <c r="P903" s="73"/>
      <c r="Q903" s="73"/>
      <c r="R903" s="73"/>
      <c r="S903" s="73"/>
      <c r="T903" s="73"/>
      <c r="U903" s="73"/>
      <c r="V903" s="73"/>
      <c r="W903" s="73"/>
      <c r="X903" s="73"/>
      <c r="Y903" s="73"/>
      <c r="Z903" s="73"/>
      <c r="AA903" s="73"/>
      <c r="AB903" s="73"/>
      <c r="AC903" s="122"/>
      <c r="AD903" s="73"/>
      <c r="AE903" s="73"/>
      <c r="AF903" s="73"/>
      <c r="AG903" s="73"/>
      <c r="AH903" s="73"/>
      <c r="AI903" s="73"/>
      <c r="AJ903" s="73"/>
      <c r="AK903" s="73"/>
      <c r="AL903" s="73"/>
      <c r="AM903" s="73"/>
      <c r="AN903" s="73"/>
      <c r="AO903" s="73"/>
      <c r="AP903" s="73"/>
      <c r="DL903" s="34"/>
    </row>
    <row r="904" spans="10:116" x14ac:dyDescent="0.25">
      <c r="J904" s="73"/>
      <c r="K904" s="73"/>
      <c r="L904" s="73"/>
      <c r="M904" s="73"/>
      <c r="N904" s="73"/>
      <c r="O904" s="73"/>
      <c r="P904" s="73"/>
      <c r="Q904" s="73"/>
      <c r="R904" s="73"/>
      <c r="S904" s="73"/>
      <c r="T904" s="73"/>
      <c r="U904" s="73"/>
      <c r="V904" s="73"/>
      <c r="W904" s="73"/>
      <c r="X904" s="73"/>
      <c r="Y904" s="73"/>
      <c r="Z904" s="73"/>
      <c r="AA904" s="73"/>
      <c r="AB904" s="73"/>
      <c r="AC904" s="122"/>
      <c r="AD904" s="73"/>
      <c r="AE904" s="73"/>
      <c r="AF904" s="73"/>
      <c r="AG904" s="73"/>
      <c r="AH904" s="73"/>
      <c r="AI904" s="73"/>
      <c r="AJ904" s="73"/>
      <c r="AK904" s="73"/>
      <c r="AL904" s="73"/>
      <c r="AM904" s="73"/>
      <c r="AN904" s="73"/>
      <c r="AO904" s="73"/>
      <c r="AP904" s="73"/>
      <c r="DL904" s="34"/>
    </row>
    <row r="905" spans="10:116" x14ac:dyDescent="0.25">
      <c r="J905" s="73"/>
      <c r="K905" s="73"/>
      <c r="L905" s="73"/>
      <c r="M905" s="73"/>
      <c r="N905" s="73"/>
      <c r="O905" s="73"/>
      <c r="P905" s="73"/>
      <c r="Q905" s="73"/>
      <c r="R905" s="73"/>
      <c r="S905" s="73"/>
      <c r="T905" s="73"/>
      <c r="U905" s="73"/>
      <c r="V905" s="73"/>
      <c r="W905" s="73"/>
      <c r="X905" s="73"/>
      <c r="Y905" s="73"/>
      <c r="Z905" s="73"/>
      <c r="AA905" s="73"/>
      <c r="AB905" s="73"/>
      <c r="AD905" s="73"/>
      <c r="AE905" s="73"/>
      <c r="AF905" s="73"/>
      <c r="AG905" s="73"/>
      <c r="AH905" s="73"/>
      <c r="AI905" s="73"/>
      <c r="AJ905" s="73"/>
      <c r="AK905" s="73"/>
      <c r="AL905" s="73"/>
      <c r="AM905" s="73"/>
      <c r="AN905" s="73"/>
      <c r="AO905" s="73"/>
      <c r="AP905" s="73"/>
      <c r="DL905" s="34"/>
    </row>
    <row r="906" spans="10:116" x14ac:dyDescent="0.25">
      <c r="J906" s="73"/>
      <c r="K906" s="73"/>
      <c r="L906" s="73"/>
      <c r="M906" s="73"/>
      <c r="N906" s="73"/>
      <c r="O906" s="73"/>
      <c r="P906" s="73"/>
      <c r="Q906" s="73"/>
      <c r="R906" s="73"/>
      <c r="S906" s="73"/>
      <c r="T906" s="73"/>
      <c r="U906" s="73"/>
      <c r="V906" s="73"/>
      <c r="W906" s="73"/>
      <c r="X906" s="73"/>
      <c r="Y906" s="73"/>
      <c r="Z906" s="73"/>
      <c r="AA906" s="73"/>
      <c r="AF906" s="73"/>
      <c r="AG906" s="73"/>
      <c r="AH906" s="73"/>
      <c r="AI906" s="73"/>
      <c r="AJ906" s="73"/>
      <c r="AK906" s="73"/>
      <c r="AL906" s="73"/>
      <c r="AM906" s="73"/>
      <c r="AN906" s="73"/>
      <c r="AO906" s="73"/>
      <c r="AP906" s="73"/>
      <c r="DL906" s="34"/>
    </row>
    <row r="907" spans="10:116" x14ac:dyDescent="0.25">
      <c r="J907" s="73"/>
      <c r="K907" s="73"/>
      <c r="L907" s="73"/>
      <c r="M907" s="73"/>
      <c r="N907" s="73"/>
      <c r="O907" s="73"/>
      <c r="P907" s="73"/>
      <c r="Q907" s="73"/>
      <c r="R907" s="73"/>
      <c r="S907" s="73"/>
      <c r="T907" s="73"/>
      <c r="U907" s="73"/>
      <c r="V907" s="73"/>
      <c r="W907" s="73"/>
      <c r="X907" s="73"/>
      <c r="Y907" s="73"/>
      <c r="Z907" s="73"/>
      <c r="AA907" s="73"/>
      <c r="AF907" s="73"/>
      <c r="AG907" s="73"/>
      <c r="AH907" s="73"/>
      <c r="AI907" s="73"/>
      <c r="AJ907" s="73"/>
      <c r="AK907" s="73"/>
      <c r="AL907" s="73"/>
      <c r="AM907" s="73"/>
      <c r="AN907" s="73"/>
      <c r="AO907" s="73"/>
      <c r="AP907" s="73"/>
      <c r="DL907" s="34"/>
    </row>
    <row r="908" spans="10:116" x14ac:dyDescent="0.25">
      <c r="J908" s="73"/>
      <c r="K908" s="73"/>
      <c r="L908" s="73"/>
      <c r="M908" s="73"/>
      <c r="N908" s="73"/>
      <c r="O908" s="73"/>
      <c r="P908" s="73"/>
      <c r="Q908" s="73"/>
      <c r="R908" s="73"/>
      <c r="S908" s="73"/>
      <c r="T908" s="73"/>
      <c r="U908" s="73"/>
      <c r="V908" s="73"/>
      <c r="W908" s="73"/>
      <c r="X908" s="73"/>
      <c r="Y908" s="73"/>
      <c r="Z908" s="73"/>
      <c r="AA908" s="73"/>
      <c r="AF908" s="73"/>
      <c r="AG908" s="73"/>
      <c r="AH908" s="73"/>
      <c r="AI908" s="73"/>
      <c r="AJ908" s="73"/>
      <c r="AK908" s="73"/>
      <c r="AL908" s="73"/>
      <c r="AM908" s="73"/>
      <c r="AN908" s="73"/>
      <c r="AO908" s="73"/>
      <c r="AP908" s="73"/>
      <c r="DL908" s="34"/>
    </row>
    <row r="909" spans="10:116" x14ac:dyDescent="0.25">
      <c r="J909" s="73"/>
      <c r="K909" s="73"/>
      <c r="L909" s="73"/>
      <c r="M909" s="73"/>
      <c r="N909" s="73"/>
      <c r="O909" s="73"/>
      <c r="P909" s="73"/>
      <c r="Q909" s="73"/>
      <c r="R909" s="73"/>
      <c r="S909" s="73"/>
      <c r="T909" s="73"/>
      <c r="U909" s="73"/>
      <c r="V909" s="73"/>
      <c r="W909" s="73"/>
      <c r="X909" s="73"/>
      <c r="Y909" s="73"/>
      <c r="Z909" s="73"/>
      <c r="AA909" s="73"/>
      <c r="AF909" s="73"/>
      <c r="AG909" s="73"/>
      <c r="AH909" s="73"/>
      <c r="AI909" s="73"/>
      <c r="AJ909" s="73"/>
      <c r="AK909" s="73"/>
      <c r="AL909" s="73"/>
      <c r="AM909" s="73"/>
      <c r="AN909" s="73"/>
      <c r="AO909" s="73"/>
      <c r="AP909" s="73"/>
      <c r="DL909" s="34"/>
    </row>
    <row r="910" spans="10:116" x14ac:dyDescent="0.25">
      <c r="J910" s="73"/>
      <c r="K910" s="73"/>
      <c r="L910" s="73"/>
      <c r="M910" s="73"/>
      <c r="N910" s="73"/>
      <c r="O910" s="73"/>
      <c r="P910" s="73"/>
      <c r="Q910" s="73"/>
      <c r="R910" s="73"/>
      <c r="S910" s="73"/>
      <c r="T910" s="73"/>
      <c r="U910" s="73"/>
      <c r="V910" s="73"/>
      <c r="W910" s="73"/>
      <c r="X910" s="73"/>
      <c r="Y910" s="73"/>
      <c r="Z910" s="73"/>
      <c r="AA910" s="73"/>
      <c r="AF910" s="73"/>
      <c r="AG910" s="73"/>
      <c r="AH910" s="73"/>
      <c r="AI910" s="73"/>
      <c r="AJ910" s="73"/>
      <c r="AK910" s="73"/>
      <c r="AL910" s="73"/>
      <c r="AM910" s="73"/>
      <c r="AN910" s="73"/>
      <c r="AO910" s="73"/>
      <c r="AP910" s="73"/>
      <c r="DL910" s="34"/>
    </row>
    <row r="911" spans="10:116" x14ac:dyDescent="0.25">
      <c r="J911" s="73"/>
      <c r="K911" s="73"/>
      <c r="L911" s="73"/>
      <c r="M911" s="73"/>
      <c r="N911" s="73"/>
      <c r="O911" s="73"/>
      <c r="P911" s="73"/>
      <c r="Q911" s="73"/>
      <c r="R911" s="73"/>
      <c r="S911" s="73"/>
      <c r="T911" s="73"/>
      <c r="U911" s="73"/>
      <c r="V911" s="73"/>
      <c r="W911" s="73"/>
      <c r="X911" s="73"/>
      <c r="Y911" s="73"/>
      <c r="Z911" s="73"/>
      <c r="AA911" s="73"/>
      <c r="AF911" s="73"/>
      <c r="AG911" s="73"/>
      <c r="AH911" s="73"/>
      <c r="AI911" s="73"/>
      <c r="AJ911" s="73"/>
      <c r="AK911" s="73"/>
      <c r="AL911" s="73"/>
      <c r="AM911" s="73"/>
      <c r="AN911" s="73"/>
      <c r="AO911" s="73"/>
      <c r="AP911" s="73"/>
      <c r="DL911" s="34"/>
    </row>
    <row r="912" spans="10:116" x14ac:dyDescent="0.25">
      <c r="J912" s="73"/>
      <c r="K912" s="73"/>
      <c r="L912" s="73"/>
      <c r="M912" s="73"/>
      <c r="N912" s="73"/>
      <c r="O912" s="73"/>
      <c r="P912" s="73"/>
      <c r="Q912" s="73"/>
      <c r="R912" s="73"/>
      <c r="S912" s="73"/>
      <c r="T912" s="73"/>
      <c r="U912" s="73"/>
      <c r="V912" s="73"/>
      <c r="W912" s="73"/>
      <c r="X912" s="73"/>
      <c r="Y912" s="73"/>
      <c r="Z912" s="73"/>
      <c r="AA912" s="73"/>
      <c r="AF912" s="73"/>
      <c r="AG912" s="73"/>
      <c r="AH912" s="73"/>
      <c r="AI912" s="73"/>
      <c r="AJ912" s="73"/>
      <c r="AK912" s="73"/>
      <c r="AL912" s="73"/>
      <c r="AM912" s="73"/>
      <c r="AN912" s="73"/>
      <c r="AO912" s="73"/>
      <c r="AP912" s="73"/>
      <c r="DL912" s="34"/>
    </row>
    <row r="913" spans="10:116" x14ac:dyDescent="0.25">
      <c r="J913" s="73"/>
      <c r="K913" s="73"/>
      <c r="L913" s="73"/>
      <c r="M913" s="73"/>
      <c r="N913" s="73"/>
      <c r="O913" s="73"/>
      <c r="P913" s="73"/>
      <c r="Q913" s="73"/>
      <c r="R913" s="73"/>
      <c r="S913" s="73"/>
      <c r="T913" s="73"/>
      <c r="U913" s="73"/>
      <c r="V913" s="73"/>
      <c r="W913" s="73"/>
      <c r="X913" s="73"/>
      <c r="Y913" s="73"/>
      <c r="Z913" s="73"/>
      <c r="AA913" s="73"/>
      <c r="AF913" s="73"/>
      <c r="AG913" s="73"/>
      <c r="AH913" s="73"/>
      <c r="AI913" s="73"/>
      <c r="AJ913" s="73"/>
      <c r="AK913" s="73"/>
      <c r="AL913" s="73"/>
      <c r="AM913" s="73"/>
      <c r="AN913" s="73"/>
      <c r="AO913" s="73"/>
      <c r="AP913" s="73"/>
      <c r="DL913" s="34"/>
    </row>
    <row r="914" spans="10:116" x14ac:dyDescent="0.25">
      <c r="J914" s="73"/>
      <c r="K914" s="73"/>
      <c r="L914" s="73"/>
      <c r="M914" s="73"/>
      <c r="N914" s="73"/>
      <c r="O914" s="73"/>
      <c r="P914" s="73"/>
      <c r="Q914" s="73"/>
      <c r="R914" s="73"/>
      <c r="S914" s="73"/>
      <c r="T914" s="73"/>
      <c r="U914" s="73"/>
      <c r="V914" s="73"/>
      <c r="W914" s="73"/>
      <c r="X914" s="73"/>
      <c r="Y914" s="73"/>
      <c r="Z914" s="73"/>
      <c r="AA914" s="73"/>
      <c r="AF914" s="73"/>
      <c r="AG914" s="73"/>
      <c r="AH914" s="73"/>
      <c r="AI914" s="73"/>
      <c r="AJ914" s="73"/>
      <c r="AK914" s="73"/>
      <c r="AL914" s="73"/>
      <c r="AM914" s="73"/>
      <c r="AN914" s="73"/>
      <c r="AO914" s="73"/>
      <c r="AP914" s="73"/>
      <c r="DL914" s="34"/>
    </row>
    <row r="915" spans="10:116" x14ac:dyDescent="0.25">
      <c r="J915" s="73"/>
      <c r="K915" s="73"/>
      <c r="L915" s="73"/>
      <c r="M915" s="73"/>
      <c r="N915" s="73"/>
      <c r="O915" s="73"/>
      <c r="P915" s="73"/>
      <c r="Q915" s="73"/>
      <c r="R915" s="73"/>
      <c r="S915" s="73"/>
      <c r="T915" s="73"/>
      <c r="U915" s="73"/>
      <c r="V915" s="73"/>
      <c r="W915" s="73"/>
      <c r="X915" s="73"/>
      <c r="Y915" s="73"/>
      <c r="Z915" s="73"/>
      <c r="AA915" s="73"/>
      <c r="AB915" s="22"/>
      <c r="AD915" s="22"/>
      <c r="AE915" s="22"/>
      <c r="AF915" s="73"/>
      <c r="AG915" s="73"/>
      <c r="AH915" s="73"/>
      <c r="AI915" s="73"/>
      <c r="AJ915" s="73"/>
      <c r="AK915" s="73"/>
      <c r="AL915" s="73"/>
      <c r="AM915" s="73"/>
      <c r="AN915" s="73"/>
      <c r="AO915" s="73"/>
      <c r="AP915" s="73"/>
      <c r="DL915" s="34"/>
    </row>
    <row r="916" spans="10:116" x14ac:dyDescent="0.25">
      <c r="J916" s="73"/>
      <c r="K916" s="73"/>
      <c r="L916" s="73"/>
      <c r="M916" s="73"/>
      <c r="N916" s="73"/>
      <c r="O916" s="73"/>
      <c r="P916" s="73"/>
      <c r="Q916" s="73"/>
      <c r="R916" s="73"/>
      <c r="S916" s="73"/>
      <c r="T916" s="73"/>
      <c r="U916" s="73"/>
      <c r="V916" s="73"/>
      <c r="W916" s="73"/>
      <c r="X916" s="73"/>
      <c r="Y916" s="73"/>
      <c r="Z916" s="73"/>
      <c r="AA916" s="73"/>
      <c r="AB916" s="22"/>
      <c r="AD916" s="22"/>
      <c r="AE916" s="22"/>
      <c r="AF916" s="73"/>
      <c r="AG916" s="73"/>
      <c r="AH916" s="73"/>
      <c r="AI916" s="73"/>
      <c r="AJ916" s="73"/>
      <c r="AK916" s="73"/>
      <c r="AL916" s="73"/>
      <c r="AM916" s="73"/>
      <c r="AN916" s="73"/>
      <c r="AO916" s="73"/>
      <c r="AP916" s="73"/>
      <c r="DL916" s="34"/>
    </row>
    <row r="917" spans="10:116" x14ac:dyDescent="0.25">
      <c r="J917" s="73"/>
      <c r="K917" s="73"/>
      <c r="L917" s="73"/>
      <c r="M917" s="73"/>
      <c r="N917" s="73"/>
      <c r="O917" s="73"/>
      <c r="P917" s="73"/>
      <c r="Q917" s="73"/>
      <c r="R917" s="73"/>
      <c r="S917" s="73"/>
      <c r="T917" s="73"/>
      <c r="U917" s="73"/>
      <c r="V917" s="73"/>
      <c r="W917" s="73"/>
      <c r="X917" s="73"/>
      <c r="Y917" s="73"/>
      <c r="Z917" s="73"/>
      <c r="AA917" s="73"/>
      <c r="AB917" s="22"/>
      <c r="AD917" s="22"/>
      <c r="AE917" s="22"/>
      <c r="AF917" s="73"/>
      <c r="AG917" s="73"/>
      <c r="AH917" s="73"/>
      <c r="AI917" s="73"/>
      <c r="AJ917" s="73"/>
      <c r="AK917" s="73"/>
      <c r="AL917" s="73"/>
      <c r="AM917" s="73"/>
      <c r="AN917" s="73"/>
      <c r="AO917" s="73"/>
      <c r="AP917" s="73"/>
      <c r="DL917" s="34"/>
    </row>
    <row r="918" spans="10:116" x14ac:dyDescent="0.25">
      <c r="J918" s="73"/>
      <c r="K918" s="73"/>
      <c r="L918" s="73"/>
      <c r="M918" s="73"/>
      <c r="N918" s="73"/>
      <c r="O918" s="73"/>
      <c r="P918" s="73"/>
      <c r="Q918" s="73"/>
      <c r="R918" s="73"/>
      <c r="S918" s="73"/>
      <c r="T918" s="73"/>
      <c r="U918" s="73"/>
      <c r="V918" s="73"/>
      <c r="W918" s="73"/>
      <c r="X918" s="73"/>
      <c r="Y918" s="73"/>
      <c r="Z918" s="73"/>
      <c r="AA918" s="73"/>
      <c r="AB918" s="22"/>
      <c r="AD918" s="22"/>
      <c r="AE918" s="22"/>
      <c r="AF918" s="73"/>
      <c r="AG918" s="73"/>
      <c r="AH918" s="73"/>
      <c r="AI918" s="73"/>
      <c r="AJ918" s="73"/>
      <c r="AK918" s="73"/>
      <c r="AL918" s="73"/>
      <c r="AM918" s="73"/>
      <c r="AN918" s="73"/>
      <c r="AO918" s="73"/>
      <c r="AP918" s="73"/>
      <c r="DL918" s="34"/>
    </row>
    <row r="919" spans="10:116" x14ac:dyDescent="0.25">
      <c r="J919" s="73"/>
      <c r="K919" s="73"/>
      <c r="L919" s="73"/>
      <c r="M919" s="73"/>
      <c r="N919" s="73"/>
      <c r="O919" s="73"/>
      <c r="P919" s="73"/>
      <c r="Q919" s="73"/>
      <c r="R919" s="73"/>
      <c r="S919" s="73"/>
      <c r="T919" s="73"/>
      <c r="U919" s="73"/>
      <c r="V919" s="73"/>
      <c r="W919" s="73"/>
      <c r="X919" s="73"/>
      <c r="Y919" s="73"/>
      <c r="Z919" s="73"/>
      <c r="AA919" s="73"/>
      <c r="AB919" s="22"/>
      <c r="AD919" s="22"/>
      <c r="AE919" s="22"/>
      <c r="AF919" s="73"/>
      <c r="AG919" s="73"/>
      <c r="AH919" s="73"/>
      <c r="AI919" s="73"/>
      <c r="AJ919" s="73"/>
      <c r="AK919" s="73"/>
      <c r="AL919" s="73"/>
      <c r="AM919" s="73"/>
      <c r="AN919" s="73"/>
      <c r="AO919" s="73"/>
      <c r="AP919" s="73"/>
      <c r="DL919" s="34"/>
    </row>
    <row r="920" spans="10:116" x14ac:dyDescent="0.25">
      <c r="J920" s="73"/>
      <c r="K920" s="73"/>
      <c r="L920" s="73"/>
      <c r="M920" s="73"/>
      <c r="N920" s="73"/>
      <c r="O920" s="73"/>
      <c r="P920" s="73"/>
      <c r="Q920" s="73"/>
      <c r="R920" s="73"/>
      <c r="S920" s="73"/>
      <c r="T920" s="73"/>
      <c r="U920" s="73"/>
      <c r="V920" s="73"/>
      <c r="W920" s="73"/>
      <c r="X920" s="73"/>
      <c r="Y920" s="73"/>
      <c r="Z920" s="73"/>
      <c r="AA920" s="73"/>
      <c r="AB920" s="22"/>
      <c r="AD920" s="22"/>
      <c r="AE920" s="22"/>
      <c r="AF920" s="73"/>
      <c r="AG920" s="73"/>
      <c r="AH920" s="73"/>
      <c r="AI920" s="73"/>
      <c r="AJ920" s="73"/>
      <c r="AK920" s="73"/>
      <c r="AL920" s="73"/>
      <c r="AM920" s="73"/>
      <c r="AN920" s="73"/>
      <c r="AO920" s="73"/>
      <c r="AP920" s="73"/>
      <c r="DL920" s="34"/>
    </row>
    <row r="921" spans="10:116" x14ac:dyDescent="0.25">
      <c r="J921" s="73"/>
      <c r="K921" s="73"/>
      <c r="L921" s="73"/>
      <c r="M921" s="73"/>
      <c r="N921" s="73"/>
      <c r="O921" s="73"/>
      <c r="P921" s="73"/>
      <c r="Q921" s="73"/>
      <c r="R921" s="73"/>
      <c r="S921" s="73"/>
      <c r="T921" s="73"/>
      <c r="U921" s="73"/>
      <c r="V921" s="73"/>
      <c r="W921" s="73"/>
      <c r="X921" s="73"/>
      <c r="Y921" s="73"/>
      <c r="Z921" s="73"/>
      <c r="AA921" s="73"/>
      <c r="AB921" s="22"/>
      <c r="AD921" s="22"/>
      <c r="AE921" s="22"/>
      <c r="AF921" s="73"/>
      <c r="AG921" s="73"/>
      <c r="AH921" s="73"/>
      <c r="AI921" s="73"/>
      <c r="AJ921" s="73"/>
      <c r="AK921" s="73"/>
      <c r="AL921" s="73"/>
      <c r="AM921" s="73"/>
      <c r="AN921" s="73"/>
      <c r="AO921" s="73"/>
      <c r="AP921" s="73"/>
      <c r="DL921" s="34"/>
    </row>
    <row r="922" spans="10:116" x14ac:dyDescent="0.25">
      <c r="J922" s="73"/>
      <c r="K922" s="73"/>
      <c r="L922" s="73"/>
      <c r="M922" s="73"/>
      <c r="N922" s="73"/>
      <c r="O922" s="73"/>
      <c r="P922" s="73"/>
      <c r="Q922" s="73"/>
      <c r="R922" s="73"/>
      <c r="S922" s="73"/>
      <c r="T922" s="73"/>
      <c r="U922" s="73"/>
      <c r="V922" s="73"/>
      <c r="W922" s="73"/>
      <c r="X922" s="73"/>
      <c r="Y922" s="73"/>
      <c r="Z922" s="73"/>
      <c r="AA922" s="73"/>
      <c r="AB922" s="22"/>
      <c r="AD922" s="22"/>
      <c r="AE922" s="22"/>
      <c r="AF922" s="73"/>
      <c r="AG922" s="73"/>
      <c r="AH922" s="73"/>
      <c r="AI922" s="73"/>
      <c r="AJ922" s="73"/>
      <c r="AK922" s="73"/>
      <c r="AL922" s="73"/>
      <c r="AM922" s="73"/>
      <c r="AN922" s="73"/>
      <c r="AO922" s="73"/>
      <c r="AP922" s="73"/>
      <c r="DL922" s="34"/>
    </row>
    <row r="923" spans="10:116" x14ac:dyDescent="0.25">
      <c r="J923" s="73"/>
      <c r="K923" s="73"/>
      <c r="L923" s="73"/>
      <c r="M923" s="73"/>
      <c r="N923" s="73"/>
      <c r="O923" s="73"/>
      <c r="P923" s="73"/>
      <c r="Q923" s="73"/>
      <c r="R923" s="73"/>
      <c r="S923" s="73"/>
      <c r="T923" s="73"/>
      <c r="U923" s="73"/>
      <c r="V923" s="73"/>
      <c r="W923" s="73"/>
      <c r="X923" s="73"/>
      <c r="Y923" s="73"/>
      <c r="Z923" s="73"/>
      <c r="AA923" s="73"/>
      <c r="AB923" s="22"/>
      <c r="AD923" s="22"/>
      <c r="AE923" s="22"/>
      <c r="AF923" s="73"/>
      <c r="AG923" s="73"/>
      <c r="AH923" s="73"/>
      <c r="AI923" s="73"/>
      <c r="AJ923" s="73"/>
      <c r="AK923" s="73"/>
      <c r="AL923" s="73"/>
      <c r="AM923" s="73"/>
      <c r="AN923" s="73"/>
      <c r="AO923" s="73"/>
      <c r="AP923" s="73"/>
      <c r="DL923" s="34"/>
    </row>
    <row r="924" spans="10:116" x14ac:dyDescent="0.25">
      <c r="J924" s="73"/>
      <c r="K924" s="73"/>
      <c r="L924" s="73"/>
      <c r="M924" s="73"/>
      <c r="N924" s="73"/>
      <c r="O924" s="73"/>
      <c r="P924" s="73"/>
      <c r="Q924" s="73"/>
      <c r="R924" s="73"/>
      <c r="S924" s="73"/>
      <c r="T924" s="73"/>
      <c r="U924" s="73"/>
      <c r="V924" s="73"/>
      <c r="W924" s="73"/>
      <c r="X924" s="73"/>
      <c r="Y924" s="73"/>
      <c r="Z924" s="73"/>
      <c r="AA924" s="73"/>
      <c r="AB924" s="22"/>
      <c r="AD924" s="22"/>
      <c r="AE924" s="22"/>
      <c r="AF924" s="73"/>
      <c r="AG924" s="73"/>
      <c r="AH924" s="73"/>
      <c r="AI924" s="73"/>
      <c r="AJ924" s="73"/>
      <c r="AK924" s="73"/>
      <c r="AL924" s="73"/>
      <c r="AM924" s="73"/>
      <c r="AN924" s="73"/>
      <c r="AO924" s="73"/>
      <c r="AP924" s="73"/>
      <c r="DL924" s="34"/>
    </row>
    <row r="925" spans="10:116" x14ac:dyDescent="0.25">
      <c r="J925" s="73"/>
      <c r="K925" s="73"/>
      <c r="L925" s="73"/>
      <c r="M925" s="73"/>
      <c r="N925" s="73"/>
      <c r="O925" s="73"/>
      <c r="P925" s="73"/>
      <c r="Q925" s="73"/>
      <c r="R925" s="73"/>
      <c r="S925" s="73"/>
      <c r="T925" s="73"/>
      <c r="U925" s="73"/>
      <c r="V925" s="73"/>
      <c r="W925" s="73"/>
      <c r="X925" s="73"/>
      <c r="Y925" s="73"/>
      <c r="Z925" s="73"/>
      <c r="AA925" s="73"/>
      <c r="AB925" s="22"/>
      <c r="AD925" s="22"/>
      <c r="AE925" s="22"/>
      <c r="AF925" s="73"/>
      <c r="AG925" s="73"/>
      <c r="AH925" s="73"/>
      <c r="AI925" s="73"/>
      <c r="AJ925" s="73"/>
      <c r="AK925" s="73"/>
      <c r="AL925" s="73"/>
      <c r="AM925" s="73"/>
      <c r="AN925" s="73"/>
      <c r="AO925" s="73"/>
      <c r="AP925" s="73"/>
      <c r="DL925" s="34"/>
    </row>
    <row r="926" spans="10:116" x14ac:dyDescent="0.25">
      <c r="J926" s="73"/>
      <c r="K926" s="73"/>
      <c r="L926" s="73"/>
      <c r="M926" s="73"/>
      <c r="N926" s="73"/>
      <c r="O926" s="73"/>
      <c r="P926" s="73"/>
      <c r="Q926" s="73"/>
      <c r="R926" s="73"/>
      <c r="S926" s="73"/>
      <c r="T926" s="73"/>
      <c r="U926" s="73"/>
      <c r="V926" s="73"/>
      <c r="W926" s="73"/>
      <c r="X926" s="73"/>
      <c r="Y926" s="73"/>
      <c r="Z926" s="73"/>
      <c r="AA926" s="73"/>
      <c r="AB926" s="22"/>
      <c r="AD926" s="22"/>
      <c r="AE926" s="22"/>
      <c r="AF926" s="73"/>
      <c r="AG926" s="73"/>
      <c r="AH926" s="73"/>
      <c r="AI926" s="73"/>
      <c r="AJ926" s="73"/>
      <c r="AK926" s="73"/>
      <c r="AL926" s="73"/>
      <c r="AM926" s="73"/>
      <c r="AN926" s="73"/>
      <c r="AO926" s="73"/>
      <c r="AP926" s="73"/>
      <c r="DL926" s="34"/>
    </row>
    <row r="927" spans="10:116" x14ac:dyDescent="0.25">
      <c r="J927" s="73"/>
      <c r="K927" s="73"/>
      <c r="L927" s="73"/>
      <c r="M927" s="73"/>
      <c r="N927" s="73"/>
      <c r="O927" s="73"/>
      <c r="P927" s="73"/>
      <c r="Q927" s="73"/>
      <c r="R927" s="73"/>
      <c r="S927" s="73"/>
      <c r="T927" s="73"/>
      <c r="U927" s="73"/>
      <c r="V927" s="73"/>
      <c r="W927" s="73"/>
      <c r="X927" s="73"/>
      <c r="Y927" s="73"/>
      <c r="Z927" s="73"/>
      <c r="AA927" s="73"/>
      <c r="AB927" s="22"/>
      <c r="AD927" s="22"/>
      <c r="AE927" s="22"/>
      <c r="AF927" s="73"/>
      <c r="AG927" s="73"/>
      <c r="AH927" s="73"/>
      <c r="AI927" s="73"/>
      <c r="AJ927" s="73"/>
      <c r="AK927" s="73"/>
      <c r="AL927" s="73"/>
      <c r="AM927" s="73"/>
      <c r="AN927" s="73"/>
      <c r="AO927" s="73"/>
      <c r="AP927" s="73"/>
      <c r="DL927" s="34"/>
    </row>
    <row r="928" spans="10:116" x14ac:dyDescent="0.25">
      <c r="J928" s="73"/>
      <c r="K928" s="73"/>
      <c r="L928" s="73"/>
      <c r="M928" s="73"/>
      <c r="N928" s="73"/>
      <c r="O928" s="73"/>
      <c r="P928" s="73"/>
      <c r="Q928" s="73"/>
      <c r="R928" s="73"/>
      <c r="S928" s="73"/>
      <c r="T928" s="73"/>
      <c r="U928" s="73"/>
      <c r="V928" s="73"/>
      <c r="W928" s="73"/>
      <c r="X928" s="73"/>
      <c r="Y928" s="73"/>
      <c r="Z928" s="73"/>
      <c r="AA928" s="73"/>
      <c r="AB928" s="22"/>
      <c r="AD928" s="22"/>
      <c r="AE928" s="22"/>
      <c r="AF928" s="73"/>
      <c r="AG928" s="73"/>
      <c r="AH928" s="73"/>
      <c r="AI928" s="73"/>
      <c r="AJ928" s="73"/>
      <c r="AK928" s="73"/>
      <c r="AL928" s="73"/>
      <c r="AM928" s="73"/>
      <c r="AN928" s="73"/>
      <c r="AO928" s="73"/>
      <c r="AP928" s="73"/>
      <c r="DL928" s="34"/>
    </row>
    <row r="929" spans="10:116" x14ac:dyDescent="0.25">
      <c r="J929" s="73"/>
      <c r="K929" s="73"/>
      <c r="L929" s="73"/>
      <c r="M929" s="73"/>
      <c r="N929" s="73"/>
      <c r="O929" s="73"/>
      <c r="P929" s="73"/>
      <c r="Q929" s="73"/>
      <c r="R929" s="73"/>
      <c r="S929" s="73"/>
      <c r="T929" s="73"/>
      <c r="U929" s="73"/>
      <c r="V929" s="73"/>
      <c r="W929" s="73"/>
      <c r="X929" s="73"/>
      <c r="Y929" s="73"/>
      <c r="Z929" s="73"/>
      <c r="AA929" s="73"/>
      <c r="AB929" s="22"/>
      <c r="AD929" s="22"/>
      <c r="AE929" s="22"/>
      <c r="AF929" s="73"/>
      <c r="AG929" s="73"/>
      <c r="AH929" s="73"/>
      <c r="AI929" s="73"/>
      <c r="AJ929" s="73"/>
      <c r="AK929" s="73"/>
      <c r="AL929" s="73"/>
      <c r="AM929" s="73"/>
      <c r="AN929" s="73"/>
      <c r="AO929" s="73"/>
      <c r="AP929" s="73"/>
      <c r="DL929" s="34"/>
    </row>
    <row r="930" spans="10:116" x14ac:dyDescent="0.25">
      <c r="J930" s="73"/>
      <c r="K930" s="73"/>
      <c r="L930" s="73"/>
      <c r="M930" s="73"/>
      <c r="N930" s="73"/>
      <c r="O930" s="73"/>
      <c r="P930" s="73"/>
      <c r="Q930" s="73"/>
      <c r="R930" s="73"/>
      <c r="S930" s="73"/>
      <c r="T930" s="73"/>
      <c r="U930" s="73"/>
      <c r="V930" s="73"/>
      <c r="W930" s="73"/>
      <c r="X930" s="73"/>
      <c r="Y930" s="73"/>
      <c r="Z930" s="73"/>
      <c r="AA930" s="73"/>
      <c r="AB930" s="22"/>
      <c r="AD930" s="22"/>
      <c r="AE930" s="22"/>
      <c r="AF930" s="73"/>
      <c r="AG930" s="73"/>
      <c r="AH930" s="73"/>
      <c r="AI930" s="73"/>
      <c r="AJ930" s="73"/>
      <c r="AK930" s="73"/>
      <c r="AL930" s="73"/>
      <c r="AM930" s="73"/>
      <c r="AN930" s="73"/>
      <c r="AO930" s="73"/>
      <c r="AP930" s="73"/>
      <c r="DL930" s="34"/>
    </row>
    <row r="931" spans="10:116" x14ac:dyDescent="0.25">
      <c r="J931" s="73"/>
      <c r="K931" s="73"/>
      <c r="L931" s="73"/>
      <c r="M931" s="73"/>
      <c r="N931" s="73"/>
      <c r="O931" s="73"/>
      <c r="P931" s="73"/>
      <c r="Q931" s="73"/>
      <c r="R931" s="73"/>
      <c r="S931" s="73"/>
      <c r="T931" s="73"/>
      <c r="U931" s="73"/>
      <c r="V931" s="73"/>
      <c r="W931" s="73"/>
      <c r="X931" s="73"/>
      <c r="Y931" s="73"/>
      <c r="Z931" s="73"/>
      <c r="AA931" s="73"/>
      <c r="AB931" s="22"/>
      <c r="AD931" s="22"/>
      <c r="AE931" s="22"/>
      <c r="AF931" s="73"/>
      <c r="AG931" s="73"/>
      <c r="AH931" s="73"/>
      <c r="AI931" s="73"/>
      <c r="AJ931" s="73"/>
      <c r="AK931" s="73"/>
      <c r="AL931" s="73"/>
      <c r="AM931" s="73"/>
      <c r="AN931" s="73"/>
      <c r="AO931" s="73"/>
      <c r="AP931" s="73"/>
      <c r="DL931" s="34"/>
    </row>
    <row r="932" spans="10:116" x14ac:dyDescent="0.25">
      <c r="J932" s="73"/>
      <c r="K932" s="73"/>
      <c r="L932" s="73"/>
      <c r="M932" s="73"/>
      <c r="N932" s="73"/>
      <c r="O932" s="73"/>
      <c r="P932" s="73"/>
      <c r="Q932" s="73"/>
      <c r="R932" s="73"/>
      <c r="S932" s="73"/>
      <c r="T932" s="73"/>
      <c r="U932" s="73"/>
      <c r="V932" s="73"/>
      <c r="W932" s="73"/>
      <c r="X932" s="73"/>
      <c r="Y932" s="73"/>
      <c r="Z932" s="73"/>
      <c r="AA932" s="73"/>
      <c r="AB932" s="22"/>
      <c r="AD932" s="22"/>
      <c r="AE932" s="22"/>
      <c r="AF932" s="73"/>
      <c r="AG932" s="73"/>
      <c r="AH932" s="73"/>
      <c r="AI932" s="73"/>
      <c r="AJ932" s="73"/>
      <c r="AK932" s="73"/>
      <c r="AL932" s="73"/>
      <c r="AM932" s="73"/>
      <c r="AN932" s="73"/>
      <c r="AO932" s="73"/>
      <c r="AP932" s="73"/>
      <c r="DL932" s="34"/>
    </row>
    <row r="933" spans="10:116" x14ac:dyDescent="0.25">
      <c r="J933" s="73"/>
      <c r="K933" s="73"/>
      <c r="L933" s="73"/>
      <c r="M933" s="73"/>
      <c r="N933" s="73"/>
      <c r="O933" s="73"/>
      <c r="P933" s="73"/>
      <c r="Q933" s="73"/>
      <c r="R933" s="73"/>
      <c r="S933" s="73"/>
      <c r="T933" s="73"/>
      <c r="U933" s="73"/>
      <c r="V933" s="73"/>
      <c r="W933" s="73"/>
      <c r="X933" s="73"/>
      <c r="Y933" s="73"/>
      <c r="Z933" s="73"/>
      <c r="AA933" s="73"/>
      <c r="AB933" s="22"/>
      <c r="AD933" s="22"/>
      <c r="AE933" s="22"/>
      <c r="AF933" s="73"/>
      <c r="AG933" s="73"/>
      <c r="AH933" s="73"/>
      <c r="AI933" s="73"/>
      <c r="AJ933" s="73"/>
      <c r="AK933" s="73"/>
      <c r="AL933" s="73"/>
      <c r="AM933" s="73"/>
      <c r="AN933" s="73"/>
      <c r="AO933" s="73"/>
      <c r="AP933" s="73"/>
      <c r="DL933" s="34"/>
    </row>
    <row r="934" spans="10:116" x14ac:dyDescent="0.25">
      <c r="J934" s="73"/>
      <c r="K934" s="73"/>
      <c r="L934" s="73"/>
      <c r="M934" s="73"/>
      <c r="N934" s="73"/>
      <c r="O934" s="73"/>
      <c r="P934" s="73"/>
      <c r="Q934" s="73"/>
      <c r="R934" s="73"/>
      <c r="S934" s="73"/>
      <c r="T934" s="73"/>
      <c r="U934" s="73"/>
      <c r="V934" s="73"/>
      <c r="W934" s="73"/>
      <c r="X934" s="73"/>
      <c r="Y934" s="73"/>
      <c r="Z934" s="73"/>
      <c r="AA934" s="73"/>
      <c r="AB934" s="22"/>
      <c r="AD934" s="22"/>
      <c r="AE934" s="22"/>
      <c r="AF934" s="73"/>
      <c r="AG934" s="73"/>
      <c r="AH934" s="73"/>
      <c r="AI934" s="73"/>
      <c r="AJ934" s="73"/>
      <c r="AK934" s="73"/>
      <c r="AL934" s="73"/>
      <c r="AM934" s="73"/>
      <c r="AN934" s="73"/>
      <c r="AO934" s="73"/>
      <c r="AP934" s="73"/>
      <c r="DL934" s="34"/>
    </row>
    <row r="935" spans="10:116" x14ac:dyDescent="0.25">
      <c r="J935" s="73"/>
      <c r="K935" s="73"/>
      <c r="L935" s="73"/>
      <c r="M935" s="73"/>
      <c r="N935" s="73"/>
      <c r="O935" s="73"/>
      <c r="P935" s="73"/>
      <c r="Q935" s="73"/>
      <c r="R935" s="73"/>
      <c r="S935" s="73"/>
      <c r="T935" s="73"/>
      <c r="U935" s="73"/>
      <c r="V935" s="73"/>
      <c r="W935" s="73"/>
      <c r="X935" s="73"/>
      <c r="Y935" s="73"/>
      <c r="Z935" s="73"/>
      <c r="AA935" s="73"/>
      <c r="AB935" s="22"/>
      <c r="AD935" s="22"/>
      <c r="AE935" s="22"/>
      <c r="AF935" s="73"/>
      <c r="AG935" s="73"/>
      <c r="AH935" s="73"/>
      <c r="AI935" s="73"/>
      <c r="AJ935" s="73"/>
      <c r="AK935" s="73"/>
      <c r="AL935" s="73"/>
      <c r="AM935" s="73"/>
      <c r="AN935" s="73"/>
      <c r="AO935" s="73"/>
      <c r="AP935" s="73"/>
      <c r="DL935" s="34"/>
    </row>
    <row r="936" spans="10:116" x14ac:dyDescent="0.25">
      <c r="J936" s="73"/>
      <c r="K936" s="73"/>
      <c r="L936" s="73"/>
      <c r="M936" s="73"/>
      <c r="N936" s="73"/>
      <c r="O936" s="73"/>
      <c r="P936" s="73"/>
      <c r="Q936" s="73"/>
      <c r="R936" s="73"/>
      <c r="S936" s="73"/>
      <c r="T936" s="73"/>
      <c r="U936" s="73"/>
      <c r="V936" s="73"/>
      <c r="W936" s="73"/>
      <c r="X936" s="73"/>
      <c r="Y936" s="73"/>
      <c r="Z936" s="73"/>
      <c r="AA936" s="73"/>
      <c r="AB936" s="22"/>
      <c r="AD936" s="22"/>
      <c r="AE936" s="22"/>
      <c r="AF936" s="73"/>
      <c r="AG936" s="73"/>
      <c r="AH936" s="73"/>
      <c r="AI936" s="73"/>
      <c r="AJ936" s="73"/>
      <c r="AK936" s="73"/>
      <c r="AL936" s="73"/>
      <c r="AM936" s="73"/>
      <c r="AN936" s="73"/>
      <c r="AO936" s="73"/>
      <c r="AP936" s="73"/>
      <c r="DL936" s="34"/>
    </row>
    <row r="937" spans="10:116" x14ac:dyDescent="0.25">
      <c r="J937" s="73"/>
      <c r="K937" s="73"/>
      <c r="L937" s="73"/>
      <c r="M937" s="73"/>
      <c r="N937" s="73"/>
      <c r="O937" s="73"/>
      <c r="P937" s="73"/>
      <c r="Q937" s="73"/>
      <c r="R937" s="73"/>
      <c r="S937" s="73"/>
      <c r="T937" s="73"/>
      <c r="U937" s="73"/>
      <c r="V937" s="73"/>
      <c r="W937" s="73"/>
      <c r="X937" s="73"/>
      <c r="Y937" s="73"/>
      <c r="Z937" s="73"/>
      <c r="AA937" s="73"/>
      <c r="AB937" s="22"/>
      <c r="AD937" s="22"/>
      <c r="AE937" s="22"/>
      <c r="AF937" s="73"/>
      <c r="AG937" s="73"/>
      <c r="AH937" s="73"/>
      <c r="AI937" s="73"/>
      <c r="AJ937" s="73"/>
      <c r="AK937" s="73"/>
      <c r="AL937" s="73"/>
      <c r="AM937" s="73"/>
      <c r="AN937" s="73"/>
      <c r="AO937" s="73"/>
      <c r="AP937" s="73"/>
      <c r="DL937" s="34"/>
    </row>
    <row r="938" spans="10:116" x14ac:dyDescent="0.25">
      <c r="J938" s="73"/>
      <c r="K938" s="73"/>
      <c r="L938" s="73"/>
      <c r="M938" s="73"/>
      <c r="N938" s="73"/>
      <c r="O938" s="73"/>
      <c r="P938" s="73"/>
      <c r="Q938" s="73"/>
      <c r="R938" s="73"/>
      <c r="S938" s="73"/>
      <c r="T938" s="73"/>
      <c r="U938" s="73"/>
      <c r="V938" s="73"/>
      <c r="W938" s="73"/>
      <c r="X938" s="73"/>
      <c r="Y938" s="73"/>
      <c r="Z938" s="73"/>
      <c r="AA938" s="73"/>
      <c r="AB938" s="22"/>
      <c r="AD938" s="22"/>
      <c r="AE938" s="22"/>
      <c r="AF938" s="73"/>
      <c r="AG938" s="73"/>
      <c r="AH938" s="73"/>
      <c r="AI938" s="73"/>
      <c r="AJ938" s="73"/>
      <c r="AK938" s="73"/>
      <c r="AL938" s="73"/>
      <c r="AM938" s="73"/>
      <c r="AN938" s="73"/>
      <c r="AO938" s="73"/>
      <c r="AP938" s="73"/>
      <c r="DL938" s="34"/>
    </row>
    <row r="939" spans="10:116" x14ac:dyDescent="0.25">
      <c r="J939" s="73"/>
      <c r="K939" s="73"/>
      <c r="L939" s="73"/>
      <c r="M939" s="73"/>
      <c r="N939" s="73"/>
      <c r="O939" s="73"/>
      <c r="P939" s="73"/>
      <c r="Q939" s="73"/>
      <c r="R939" s="73"/>
      <c r="S939" s="73"/>
      <c r="T939" s="73"/>
      <c r="U939" s="73"/>
      <c r="V939" s="73"/>
      <c r="W939" s="73"/>
      <c r="X939" s="73"/>
      <c r="Y939" s="73"/>
      <c r="Z939" s="73"/>
      <c r="AA939" s="73"/>
      <c r="AB939" s="22"/>
      <c r="AD939" s="22"/>
      <c r="AE939" s="22"/>
      <c r="AF939" s="73"/>
      <c r="AG939" s="73"/>
      <c r="AH939" s="73"/>
      <c r="AI939" s="73"/>
      <c r="AJ939" s="73"/>
      <c r="AK939" s="73"/>
      <c r="AL939" s="73"/>
      <c r="AM939" s="73"/>
      <c r="AN939" s="73"/>
      <c r="AO939" s="73"/>
      <c r="AP939" s="73"/>
      <c r="DL939" s="34"/>
    </row>
    <row r="940" spans="10:116" x14ac:dyDescent="0.25">
      <c r="J940" s="73"/>
      <c r="K940" s="73"/>
      <c r="L940" s="73"/>
      <c r="M940" s="73"/>
      <c r="N940" s="73"/>
      <c r="O940" s="73"/>
      <c r="P940" s="73"/>
      <c r="Q940" s="73"/>
      <c r="R940" s="73"/>
      <c r="S940" s="73"/>
      <c r="T940" s="73"/>
      <c r="U940" s="73"/>
      <c r="V940" s="73"/>
      <c r="W940" s="73"/>
      <c r="X940" s="73"/>
      <c r="Y940" s="73"/>
      <c r="Z940" s="73"/>
      <c r="AA940" s="73"/>
      <c r="AB940" s="22"/>
      <c r="AD940" s="22"/>
      <c r="AE940" s="22"/>
      <c r="AF940" s="73"/>
      <c r="AG940" s="73"/>
      <c r="AH940" s="73"/>
      <c r="AI940" s="73"/>
      <c r="AJ940" s="73"/>
      <c r="AK940" s="73"/>
      <c r="AL940" s="73"/>
      <c r="AM940" s="73"/>
      <c r="AN940" s="73"/>
      <c r="AO940" s="73"/>
      <c r="AP940" s="73"/>
      <c r="DL940" s="34"/>
    </row>
  </sheetData>
  <sortState ref="A4:EF299">
    <sortCondition ref="B4:B299"/>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204"/>
  <sheetViews>
    <sheetView tabSelected="1" zoomScale="80" zoomScaleNormal="80" workbookViewId="0">
      <pane ySplit="4" topLeftCell="A5" activePane="bottomLeft" state="frozen"/>
      <selection pane="bottomLeft" activeCell="AA81" sqref="AA81"/>
    </sheetView>
  </sheetViews>
  <sheetFormatPr defaultRowHeight="15.75" x14ac:dyDescent="0.25"/>
  <cols>
    <col min="27" max="49" width="9.140625" style="17"/>
  </cols>
  <sheetData>
    <row r="1" spans="1:49" s="18" customFormat="1" x14ac:dyDescent="0.25">
      <c r="A1" s="15" t="s">
        <v>421</v>
      </c>
      <c r="B1" s="15"/>
      <c r="C1" s="15"/>
      <c r="D1" s="15"/>
      <c r="E1" s="15"/>
      <c r="F1" s="15"/>
      <c r="G1" s="15"/>
      <c r="H1" s="15"/>
      <c r="I1" s="15"/>
      <c r="J1" s="15"/>
      <c r="K1" s="15"/>
      <c r="L1" s="15"/>
      <c r="M1" s="16"/>
      <c r="N1" s="16"/>
      <c r="O1" s="16"/>
      <c r="P1" s="16"/>
      <c r="Q1" s="16"/>
      <c r="R1" s="16"/>
      <c r="S1" s="16"/>
      <c r="T1" s="16"/>
      <c r="U1" s="16"/>
      <c r="V1" s="16"/>
      <c r="W1" s="16"/>
      <c r="X1" s="16"/>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18" customFormat="1" x14ac:dyDescent="0.25">
      <c r="A2" s="15" t="s">
        <v>422</v>
      </c>
      <c r="B2" s="15"/>
      <c r="C2" s="15"/>
      <c r="D2" s="15"/>
      <c r="E2" s="15"/>
      <c r="F2" s="15"/>
      <c r="G2" s="15"/>
      <c r="H2" s="15"/>
      <c r="I2" s="15"/>
      <c r="J2" s="15"/>
      <c r="K2" s="15"/>
      <c r="L2" s="15"/>
      <c r="M2" s="16"/>
      <c r="N2" s="16"/>
      <c r="O2" s="16"/>
      <c r="P2" s="16"/>
      <c r="Q2" s="16"/>
      <c r="R2" s="16"/>
      <c r="S2" s="16"/>
      <c r="T2" s="16"/>
      <c r="U2" s="16"/>
      <c r="V2" s="16"/>
      <c r="W2" s="16"/>
      <c r="X2" s="16"/>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x14ac:dyDescent="0.25">
      <c r="A3" s="19"/>
      <c r="B3" s="19"/>
      <c r="C3" s="19"/>
      <c r="D3" s="19"/>
      <c r="E3" s="19"/>
      <c r="F3" s="19"/>
      <c r="G3" s="19"/>
      <c r="H3" s="19"/>
      <c r="I3" s="19"/>
      <c r="J3" s="19"/>
      <c r="K3" s="19"/>
      <c r="L3" s="19"/>
      <c r="M3" s="20"/>
      <c r="N3" s="20"/>
      <c r="O3" s="20"/>
      <c r="P3" s="20"/>
      <c r="Q3" s="20"/>
      <c r="R3" s="20"/>
      <c r="S3" s="20"/>
      <c r="T3" s="20"/>
      <c r="U3" s="20"/>
      <c r="V3" s="20"/>
      <c r="W3" s="20"/>
      <c r="X3" s="20"/>
      <c r="Y3" s="21"/>
      <c r="Z3" s="21"/>
    </row>
    <row r="4" spans="1:49" x14ac:dyDescent="0.25">
      <c r="A4" s="19"/>
      <c r="B4" s="19"/>
      <c r="C4" s="19"/>
      <c r="D4" s="19"/>
      <c r="E4" s="19"/>
      <c r="F4" s="19"/>
      <c r="G4" s="19"/>
      <c r="H4" s="19"/>
      <c r="I4" s="19"/>
      <c r="J4" s="19"/>
      <c r="K4" s="19"/>
      <c r="L4" s="19"/>
      <c r="M4" s="20"/>
      <c r="N4" s="20"/>
      <c r="O4" s="20"/>
      <c r="P4" s="20"/>
      <c r="Q4" s="20"/>
      <c r="R4" s="20"/>
      <c r="S4" s="20"/>
      <c r="T4" s="20"/>
      <c r="U4" s="20"/>
      <c r="V4" s="20"/>
      <c r="W4" s="20"/>
      <c r="X4" s="20"/>
      <c r="Y4" s="21"/>
      <c r="Z4" s="21"/>
    </row>
    <row r="5" spans="1:49" x14ac:dyDescent="0.25">
      <c r="A5" s="19"/>
      <c r="B5" s="19"/>
      <c r="C5" s="19"/>
      <c r="D5" s="19"/>
      <c r="E5" s="19"/>
      <c r="F5" s="19"/>
      <c r="G5" s="19"/>
      <c r="H5" s="19"/>
      <c r="I5" s="19"/>
      <c r="J5" s="19"/>
      <c r="K5" s="19"/>
      <c r="L5" s="19"/>
      <c r="M5" s="20"/>
      <c r="N5" s="20"/>
      <c r="O5" s="20"/>
      <c r="P5" s="20"/>
      <c r="Q5" s="20"/>
      <c r="R5" s="20"/>
      <c r="S5" s="20"/>
      <c r="T5" s="20"/>
      <c r="U5" s="20"/>
      <c r="V5" s="20"/>
      <c r="W5" s="20"/>
      <c r="X5" s="20"/>
      <c r="Y5" s="21"/>
      <c r="Z5" s="21"/>
    </row>
    <row r="6" spans="1:49" x14ac:dyDescent="0.25">
      <c r="A6" s="19"/>
      <c r="B6" s="19"/>
      <c r="C6" s="19"/>
      <c r="D6" s="19"/>
      <c r="E6" s="19"/>
      <c r="F6" s="19"/>
      <c r="G6" s="19"/>
      <c r="H6" s="19"/>
      <c r="I6" s="19"/>
      <c r="J6" s="19"/>
      <c r="K6" s="19"/>
      <c r="L6" s="19"/>
      <c r="M6" s="20"/>
      <c r="N6" s="20"/>
      <c r="O6" s="20"/>
      <c r="P6" s="20"/>
      <c r="Q6" s="20"/>
      <c r="R6" s="20"/>
      <c r="S6" s="20"/>
      <c r="T6" s="20"/>
      <c r="U6" s="20"/>
      <c r="V6" s="20"/>
      <c r="W6" s="20"/>
      <c r="X6" s="20"/>
      <c r="Y6" s="21"/>
      <c r="Z6" s="21"/>
    </row>
    <row r="7" spans="1:49" x14ac:dyDescent="0.25">
      <c r="J7">
        <v>19</v>
      </c>
      <c r="Y7" s="21"/>
      <c r="Z7" s="21"/>
    </row>
    <row r="8" spans="1:49" x14ac:dyDescent="0.25">
      <c r="Y8" s="21"/>
      <c r="Z8" s="21"/>
    </row>
    <row r="9" spans="1:49" x14ac:dyDescent="0.25">
      <c r="Y9" s="21"/>
      <c r="Z9" s="21"/>
    </row>
    <row r="10" spans="1:49" x14ac:dyDescent="0.25">
      <c r="Y10" s="21"/>
      <c r="Z10" s="21"/>
    </row>
    <row r="11" spans="1:49" x14ac:dyDescent="0.25">
      <c r="Y11" s="21"/>
      <c r="Z11" s="21"/>
    </row>
    <row r="12" spans="1:49" x14ac:dyDescent="0.25">
      <c r="Y12" s="21"/>
      <c r="Z12" s="21"/>
    </row>
    <row r="13" spans="1:49" x14ac:dyDescent="0.25">
      <c r="Y13" s="21"/>
      <c r="Z13" s="21"/>
    </row>
    <row r="14" spans="1:49" x14ac:dyDescent="0.25">
      <c r="Y14" s="21"/>
      <c r="Z14" s="21"/>
    </row>
    <row r="15" spans="1:49" x14ac:dyDescent="0.25">
      <c r="Y15" s="21"/>
      <c r="Z15" s="21"/>
    </row>
    <row r="16" spans="1:49" x14ac:dyDescent="0.25">
      <c r="Y16" s="21"/>
      <c r="Z16" s="21"/>
    </row>
    <row r="17" spans="25:26" x14ac:dyDescent="0.25">
      <c r="Y17" s="21"/>
      <c r="Z17" s="21"/>
    </row>
    <row r="18" spans="25:26" x14ac:dyDescent="0.25">
      <c r="Y18" s="21"/>
      <c r="Z18" s="21"/>
    </row>
    <row r="19" spans="25:26" x14ac:dyDescent="0.25">
      <c r="Y19" s="21"/>
      <c r="Z19" s="21"/>
    </row>
    <row r="20" spans="25:26" x14ac:dyDescent="0.25">
      <c r="Y20" s="21"/>
      <c r="Z20" s="21"/>
    </row>
    <row r="21" spans="25:26" x14ac:dyDescent="0.25">
      <c r="Y21" s="21"/>
      <c r="Z21" s="21"/>
    </row>
    <row r="22" spans="25:26" x14ac:dyDescent="0.25">
      <c r="Y22" s="21"/>
      <c r="Z22" s="21"/>
    </row>
    <row r="23" spans="25:26" x14ac:dyDescent="0.25">
      <c r="Y23" s="21"/>
      <c r="Z23" s="21"/>
    </row>
    <row r="24" spans="25:26" x14ac:dyDescent="0.25">
      <c r="Y24" s="21"/>
      <c r="Z24" s="21"/>
    </row>
    <row r="25" spans="25:26" x14ac:dyDescent="0.25">
      <c r="Y25" s="21"/>
      <c r="Z25" s="21"/>
    </row>
    <row r="26" spans="25:26" x14ac:dyDescent="0.25">
      <c r="Y26" s="21"/>
      <c r="Z26" s="21"/>
    </row>
    <row r="27" spans="25:26" x14ac:dyDescent="0.25">
      <c r="Y27" s="21"/>
      <c r="Z27" s="21"/>
    </row>
    <row r="28" spans="25:26" x14ac:dyDescent="0.25">
      <c r="Y28" s="21"/>
      <c r="Z28" s="21"/>
    </row>
    <row r="29" spans="25:26" x14ac:dyDescent="0.25">
      <c r="Y29" s="21"/>
      <c r="Z29" s="21"/>
    </row>
    <row r="30" spans="25:26" x14ac:dyDescent="0.25">
      <c r="Y30" s="21"/>
      <c r="Z30" s="21"/>
    </row>
    <row r="31" spans="25:26" x14ac:dyDescent="0.25">
      <c r="Y31" s="21"/>
      <c r="Z31" s="21"/>
    </row>
    <row r="32" spans="25:26" x14ac:dyDescent="0.25">
      <c r="Y32" s="21"/>
      <c r="Z32" s="21"/>
    </row>
    <row r="33" spans="25:26" x14ac:dyDescent="0.25">
      <c r="Y33" s="21"/>
      <c r="Z33" s="21"/>
    </row>
    <row r="34" spans="25:26" x14ac:dyDescent="0.25">
      <c r="Y34" s="21"/>
      <c r="Z34" s="21"/>
    </row>
    <row r="35" spans="25:26" x14ac:dyDescent="0.25">
      <c r="Y35" s="21"/>
      <c r="Z35" s="21"/>
    </row>
    <row r="36" spans="25:26" x14ac:dyDescent="0.25">
      <c r="Y36" s="21"/>
      <c r="Z36" s="21"/>
    </row>
    <row r="37" spans="25:26" x14ac:dyDescent="0.25">
      <c r="Y37" s="21"/>
      <c r="Z37" s="21"/>
    </row>
    <row r="38" spans="25:26" x14ac:dyDescent="0.25">
      <c r="Y38" s="21"/>
      <c r="Z38" s="21"/>
    </row>
    <row r="39" spans="25:26" x14ac:dyDescent="0.25">
      <c r="Y39" s="21"/>
      <c r="Z39" s="21"/>
    </row>
    <row r="40" spans="25:26" x14ac:dyDescent="0.25">
      <c r="Y40" s="21"/>
      <c r="Z40" s="21"/>
    </row>
    <row r="41" spans="25:26" x14ac:dyDescent="0.25">
      <c r="Y41" s="21"/>
      <c r="Z41" s="21"/>
    </row>
    <row r="42" spans="25:26" x14ac:dyDescent="0.25">
      <c r="Y42" s="21"/>
      <c r="Z42" s="21"/>
    </row>
    <row r="43" spans="25:26" x14ac:dyDescent="0.25">
      <c r="Y43" s="21"/>
      <c r="Z43" s="21"/>
    </row>
    <row r="44" spans="25:26" x14ac:dyDescent="0.25">
      <c r="Y44" s="21"/>
      <c r="Z44" s="21"/>
    </row>
    <row r="45" spans="25:26" x14ac:dyDescent="0.25">
      <c r="Y45" s="21"/>
      <c r="Z45" s="21"/>
    </row>
    <row r="46" spans="25:26" x14ac:dyDescent="0.25">
      <c r="Y46" s="21"/>
      <c r="Z46" s="21"/>
    </row>
    <row r="47" spans="25:26" x14ac:dyDescent="0.25">
      <c r="Y47" s="21"/>
      <c r="Z47" s="21"/>
    </row>
    <row r="48" spans="25:26" x14ac:dyDescent="0.25">
      <c r="Y48" s="21"/>
      <c r="Z48" s="21"/>
    </row>
    <row r="49" spans="25:26" x14ac:dyDescent="0.25">
      <c r="Y49" s="21"/>
      <c r="Z49" s="21"/>
    </row>
    <row r="50" spans="25:26" x14ac:dyDescent="0.25">
      <c r="Y50" s="21"/>
      <c r="Z50" s="21"/>
    </row>
    <row r="51" spans="25:26" x14ac:dyDescent="0.25">
      <c r="Y51" s="21"/>
      <c r="Z51" s="21"/>
    </row>
    <row r="52" spans="25:26" x14ac:dyDescent="0.25">
      <c r="Y52" s="21"/>
      <c r="Z52" s="21"/>
    </row>
    <row r="53" spans="25:26" x14ac:dyDescent="0.25">
      <c r="Y53" s="21"/>
      <c r="Z53" s="21"/>
    </row>
    <row r="54" spans="25:26" x14ac:dyDescent="0.25">
      <c r="Y54" s="21"/>
      <c r="Z54" s="21"/>
    </row>
    <row r="55" spans="25:26" x14ac:dyDescent="0.25">
      <c r="Y55" s="21"/>
      <c r="Z55" s="21"/>
    </row>
    <row r="56" spans="25:26" x14ac:dyDescent="0.25">
      <c r="Y56" s="21"/>
      <c r="Z56" s="21"/>
    </row>
    <row r="57" spans="25:26" x14ac:dyDescent="0.25">
      <c r="Y57" s="21"/>
      <c r="Z57" s="21"/>
    </row>
    <row r="58" spans="25:26" x14ac:dyDescent="0.25">
      <c r="Y58" s="21"/>
      <c r="Z58" s="21"/>
    </row>
    <row r="59" spans="25:26" x14ac:dyDescent="0.25">
      <c r="Y59" s="21"/>
      <c r="Z59" s="21"/>
    </row>
    <row r="60" spans="25:26" x14ac:dyDescent="0.25">
      <c r="Y60" s="21"/>
      <c r="Z60" s="21"/>
    </row>
    <row r="61" spans="25:26" x14ac:dyDescent="0.25">
      <c r="Y61" s="21"/>
      <c r="Z61" s="21"/>
    </row>
    <row r="62" spans="25:26" x14ac:dyDescent="0.25">
      <c r="Y62" s="21"/>
      <c r="Z62" s="21"/>
    </row>
    <row r="63" spans="25:26" x14ac:dyDescent="0.25">
      <c r="Y63" s="21"/>
      <c r="Z63" s="21"/>
    </row>
    <row r="64" spans="25:26" x14ac:dyDescent="0.25">
      <c r="Y64" s="21"/>
      <c r="Z64" s="21"/>
    </row>
    <row r="65" spans="25:26" x14ac:dyDescent="0.25">
      <c r="Y65" s="21"/>
      <c r="Z65" s="21"/>
    </row>
    <row r="66" spans="25:26" x14ac:dyDescent="0.25">
      <c r="Y66" s="21"/>
      <c r="Z66" s="21"/>
    </row>
    <row r="67" spans="25:26" x14ac:dyDescent="0.25">
      <c r="Y67" s="21"/>
      <c r="Z67" s="21"/>
    </row>
    <row r="68" spans="25:26" x14ac:dyDescent="0.25">
      <c r="Y68" s="21"/>
      <c r="Z68" s="21"/>
    </row>
    <row r="69" spans="25:26" x14ac:dyDescent="0.25">
      <c r="Y69" s="21"/>
      <c r="Z69" s="21"/>
    </row>
    <row r="70" spans="25:26" x14ac:dyDescent="0.25">
      <c r="Y70" s="21"/>
      <c r="Z70" s="21"/>
    </row>
    <row r="71" spans="25:26" x14ac:dyDescent="0.25">
      <c r="Y71" s="21"/>
      <c r="Z71" s="21"/>
    </row>
    <row r="72" spans="25:26" x14ac:dyDescent="0.25">
      <c r="Y72" s="21"/>
      <c r="Z72" s="21"/>
    </row>
    <row r="73" spans="25:26" x14ac:dyDescent="0.25">
      <c r="Y73" s="21"/>
      <c r="Z73" s="21"/>
    </row>
    <row r="74" spans="25:26" x14ac:dyDescent="0.25">
      <c r="Y74" s="21"/>
      <c r="Z74" s="21"/>
    </row>
    <row r="75" spans="25:26" x14ac:dyDescent="0.25">
      <c r="Y75" s="21"/>
      <c r="Z75" s="21"/>
    </row>
    <row r="76" spans="25:26" x14ac:dyDescent="0.25">
      <c r="Y76" s="21"/>
      <c r="Z76" s="21"/>
    </row>
    <row r="77" spans="25:26" x14ac:dyDescent="0.25">
      <c r="Y77" s="21"/>
      <c r="Z77" s="21"/>
    </row>
    <row r="78" spans="25:26" x14ac:dyDescent="0.25">
      <c r="Y78" s="21"/>
      <c r="Z78" s="21"/>
    </row>
    <row r="79" spans="25:26" x14ac:dyDescent="0.25">
      <c r="Y79" s="21"/>
      <c r="Z79" s="21"/>
    </row>
    <row r="80" spans="25:26" x14ac:dyDescent="0.25">
      <c r="Y80" s="21"/>
      <c r="Z80" s="21"/>
    </row>
    <row r="81" spans="1:49" x14ac:dyDescent="0.25">
      <c r="Y81" s="21"/>
      <c r="Z81" s="21"/>
    </row>
    <row r="82" spans="1:49" x14ac:dyDescent="0.25">
      <c r="Y82" s="21"/>
      <c r="Z82" s="21"/>
    </row>
    <row r="83" spans="1:49" x14ac:dyDescent="0.25">
      <c r="Y83" s="21"/>
      <c r="Z83" s="21"/>
    </row>
    <row r="84" spans="1:49" x14ac:dyDescent="0.25">
      <c r="Y84" s="21"/>
      <c r="Z84" s="21"/>
    </row>
    <row r="85" spans="1:49" x14ac:dyDescent="0.25">
      <c r="Y85" s="21"/>
      <c r="Z85" s="21"/>
    </row>
    <row r="86" spans="1:49" x14ac:dyDescent="0.25">
      <c r="Y86" s="21"/>
      <c r="Z86" s="21"/>
    </row>
    <row r="87" spans="1:49" x14ac:dyDescent="0.25">
      <c r="Y87" s="21"/>
      <c r="Z87" s="21"/>
    </row>
    <row r="88" spans="1:49" s="16" customFormat="1" x14ac:dyDescent="0.25">
      <c r="A88" s="15"/>
      <c r="B88" s="15"/>
      <c r="C88" s="15"/>
      <c r="D88" s="15"/>
      <c r="E88" s="15"/>
      <c r="F88" s="15"/>
      <c r="G88" s="15"/>
      <c r="H88" s="15"/>
      <c r="I88" s="15"/>
      <c r="J88" s="15"/>
      <c r="K88" s="15"/>
      <c r="L88" s="15"/>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16" customFormat="1" x14ac:dyDescent="0.25">
      <c r="A89" s="15"/>
      <c r="B89" s="15"/>
      <c r="C89" s="15"/>
      <c r="D89" s="15"/>
      <c r="E89" s="15"/>
      <c r="F89" s="15"/>
      <c r="G89" s="15"/>
      <c r="H89" s="15"/>
      <c r="I89" s="15"/>
      <c r="J89" s="15"/>
      <c r="K89" s="15"/>
      <c r="L89" s="15"/>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16" customFormat="1" x14ac:dyDescent="0.25">
      <c r="A90" s="15"/>
      <c r="B90" s="15"/>
      <c r="C90" s="15"/>
      <c r="D90" s="15"/>
      <c r="E90" s="15"/>
      <c r="F90" s="15"/>
      <c r="G90" s="15"/>
      <c r="H90" s="15"/>
      <c r="I90" s="15"/>
      <c r="J90" s="15"/>
      <c r="K90" s="15"/>
      <c r="L90" s="15"/>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16" customFormat="1" x14ac:dyDescent="0.25">
      <c r="A91" s="15"/>
      <c r="B91" s="15"/>
      <c r="C91" s="15"/>
      <c r="D91" s="15"/>
      <c r="E91" s="15"/>
      <c r="F91" s="15"/>
      <c r="G91" s="15"/>
      <c r="H91" s="15"/>
      <c r="I91" s="15"/>
      <c r="J91" s="15"/>
      <c r="K91" s="15"/>
      <c r="L91" s="15"/>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16" customFormat="1" x14ac:dyDescent="0.25">
      <c r="A92" s="15"/>
      <c r="B92" s="15"/>
      <c r="C92" s="15"/>
      <c r="D92" s="15"/>
      <c r="E92" s="15"/>
      <c r="F92" s="15"/>
      <c r="G92" s="15"/>
      <c r="H92" s="15"/>
      <c r="I92" s="15"/>
      <c r="J92" s="15"/>
      <c r="K92" s="15"/>
      <c r="L92" s="15"/>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16" customFormat="1" x14ac:dyDescent="0.25">
      <c r="A93" s="15"/>
      <c r="B93" s="15"/>
      <c r="C93" s="15"/>
      <c r="D93" s="15"/>
      <c r="E93" s="15"/>
      <c r="F93" s="15"/>
      <c r="G93" s="15"/>
      <c r="H93" s="15"/>
      <c r="I93" s="15"/>
      <c r="J93" s="15"/>
      <c r="K93" s="15"/>
      <c r="L93" s="15"/>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16" customFormat="1" x14ac:dyDescent="0.25">
      <c r="A94" s="15"/>
      <c r="B94" s="15"/>
      <c r="C94" s="15"/>
      <c r="D94" s="15"/>
      <c r="E94" s="15"/>
      <c r="F94" s="15"/>
      <c r="G94" s="15"/>
      <c r="H94" s="15"/>
      <c r="I94" s="15"/>
      <c r="J94" s="15"/>
      <c r="K94" s="15"/>
      <c r="L94" s="15"/>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16" customFormat="1" x14ac:dyDescent="0.25">
      <c r="A95" s="15"/>
      <c r="B95" s="15"/>
      <c r="C95" s="15"/>
      <c r="D95" s="15"/>
      <c r="E95" s="15"/>
      <c r="F95" s="15"/>
      <c r="G95" s="15"/>
      <c r="H95" s="15"/>
      <c r="I95" s="15"/>
      <c r="J95" s="15"/>
      <c r="K95" s="15"/>
      <c r="L95" s="15"/>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16" customFormat="1" x14ac:dyDescent="0.25">
      <c r="A96" s="15"/>
      <c r="B96" s="15"/>
      <c r="C96" s="15"/>
      <c r="D96" s="15"/>
      <c r="E96" s="15"/>
      <c r="F96" s="15"/>
      <c r="G96" s="15"/>
      <c r="H96" s="15"/>
      <c r="I96" s="15"/>
      <c r="J96" s="15"/>
      <c r="K96" s="15"/>
      <c r="L96" s="15"/>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27:49" s="20" customFormat="1" x14ac:dyDescent="0.25">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27:49" s="20" customFormat="1" x14ac:dyDescent="0.25">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27:49" s="20" customFormat="1" x14ac:dyDescent="0.25">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27:49" s="20" customFormat="1" x14ac:dyDescent="0.25">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27:49" s="20" customFormat="1" x14ac:dyDescent="0.25">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27:49" s="20" customFormat="1" x14ac:dyDescent="0.25">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27:49" s="20" customFormat="1" x14ac:dyDescent="0.25">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27:49" s="20" customFormat="1" x14ac:dyDescent="0.25">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27:49" s="20" customFormat="1" x14ac:dyDescent="0.25">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27:49" s="20" customFormat="1" x14ac:dyDescent="0.25">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27:49" s="20" customFormat="1" x14ac:dyDescent="0.25">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27:49" s="20" customFormat="1" x14ac:dyDescent="0.25">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27:49" s="20" customFormat="1" x14ac:dyDescent="0.25">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27:49" s="20" customFormat="1" x14ac:dyDescent="0.25">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27:49" s="20" customFormat="1" x14ac:dyDescent="0.25">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27:49" s="20" customFormat="1" x14ac:dyDescent="0.25">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27:49" s="20" customFormat="1" x14ac:dyDescent="0.25">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27:49" s="20" customFormat="1" x14ac:dyDescent="0.25">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27:49" s="21" customFormat="1" x14ac:dyDescent="0.25">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27:49" s="21" customFormat="1" x14ac:dyDescent="0.25">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27:49" s="21" customFormat="1" x14ac:dyDescent="0.25">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27:49" s="21" customFormat="1" x14ac:dyDescent="0.25">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27:49" s="21" customFormat="1" x14ac:dyDescent="0.25">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27:49" s="21" customFormat="1" x14ac:dyDescent="0.25">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27:49" s="21" customFormat="1" x14ac:dyDescent="0.25">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27:49" s="21" customFormat="1" x14ac:dyDescent="0.25">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27:49" s="21" customFormat="1" x14ac:dyDescent="0.25">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27:49" s="21" customFormat="1" x14ac:dyDescent="0.25">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27:49" s="21" customFormat="1" x14ac:dyDescent="0.25">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27:49" s="21" customFormat="1" x14ac:dyDescent="0.25">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27:49" s="21" customFormat="1" x14ac:dyDescent="0.25">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27:49" s="21" customFormat="1" x14ac:dyDescent="0.25">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27:49" s="21" customFormat="1" x14ac:dyDescent="0.25">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27:49" s="21" customFormat="1" x14ac:dyDescent="0.25">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27:49" s="21" customFormat="1" x14ac:dyDescent="0.25">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27:49" s="21" customFormat="1" x14ac:dyDescent="0.25">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27:49" s="21" customFormat="1" x14ac:dyDescent="0.25">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27:49" s="21" customFormat="1" x14ac:dyDescent="0.25">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27:49" s="21" customFormat="1" x14ac:dyDescent="0.25">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27:49" s="21" customFormat="1" x14ac:dyDescent="0.25">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27:49" s="21" customFormat="1" x14ac:dyDescent="0.25">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27:49" s="21" customFormat="1" x14ac:dyDescent="0.25">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27:49" s="21" customFormat="1" x14ac:dyDescent="0.25">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27:49" s="21" customFormat="1" x14ac:dyDescent="0.25">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27:49" s="21" customFormat="1" x14ac:dyDescent="0.25">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27:49" s="21" customFormat="1" x14ac:dyDescent="0.25">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27:49" s="21" customFormat="1" x14ac:dyDescent="0.25">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27:49" s="21" customFormat="1" x14ac:dyDescent="0.25">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26:26" x14ac:dyDescent="0.25">
      <c r="Z145" s="17"/>
    </row>
    <row r="146" spans="26:26" x14ac:dyDescent="0.25">
      <c r="Z146" s="17"/>
    </row>
    <row r="147" spans="26:26" x14ac:dyDescent="0.25">
      <c r="Z147" s="17"/>
    </row>
    <row r="148" spans="26:26" x14ac:dyDescent="0.25">
      <c r="Z148" s="17"/>
    </row>
    <row r="149" spans="26:26" x14ac:dyDescent="0.25">
      <c r="Z149" s="17"/>
    </row>
    <row r="150" spans="26:26" x14ac:dyDescent="0.25">
      <c r="Z150" s="17"/>
    </row>
    <row r="151" spans="26:26" x14ac:dyDescent="0.25">
      <c r="Z151" s="17"/>
    </row>
    <row r="152" spans="26:26" x14ac:dyDescent="0.25">
      <c r="Z152" s="17"/>
    </row>
    <row r="153" spans="26:26" x14ac:dyDescent="0.25">
      <c r="Z153" s="17"/>
    </row>
    <row r="154" spans="26:26" x14ac:dyDescent="0.25">
      <c r="Z154" s="17"/>
    </row>
    <row r="155" spans="26:26" x14ac:dyDescent="0.25">
      <c r="Z155" s="17"/>
    </row>
    <row r="156" spans="26:26" x14ac:dyDescent="0.25">
      <c r="Z156" s="17"/>
    </row>
    <row r="157" spans="26:26" x14ac:dyDescent="0.25">
      <c r="Z157" s="17"/>
    </row>
    <row r="158" spans="26:26" x14ac:dyDescent="0.25">
      <c r="Z158" s="17"/>
    </row>
    <row r="159" spans="26:26" x14ac:dyDescent="0.25">
      <c r="Z159" s="17"/>
    </row>
    <row r="160" spans="26:26" x14ac:dyDescent="0.25">
      <c r="Z160" s="17"/>
    </row>
    <row r="161" spans="26:26" x14ac:dyDescent="0.25">
      <c r="Z161" s="17"/>
    </row>
    <row r="162" spans="26:26" x14ac:dyDescent="0.25">
      <c r="Z162" s="17"/>
    </row>
    <row r="163" spans="26:26" x14ac:dyDescent="0.25">
      <c r="Z163" s="17"/>
    </row>
    <row r="164" spans="26:26" x14ac:dyDescent="0.25">
      <c r="Z164" s="17"/>
    </row>
    <row r="165" spans="26:26" s="17" customFormat="1" x14ac:dyDescent="0.25"/>
    <row r="166" spans="26:26" s="17" customFormat="1" x14ac:dyDescent="0.25"/>
    <row r="167" spans="26:26" s="17" customFormat="1" x14ac:dyDescent="0.25"/>
    <row r="168" spans="26:26" s="17" customFormat="1" x14ac:dyDescent="0.25"/>
    <row r="169" spans="26:26" s="17" customFormat="1" x14ac:dyDescent="0.25"/>
    <row r="170" spans="26:26" s="17" customFormat="1" x14ac:dyDescent="0.25"/>
    <row r="171" spans="26:26" s="17" customFormat="1" x14ac:dyDescent="0.25"/>
    <row r="172" spans="26:26" s="17" customFormat="1" x14ac:dyDescent="0.25"/>
    <row r="173" spans="26:26" s="17" customFormat="1" x14ac:dyDescent="0.25"/>
    <row r="174" spans="26:26" s="17" customFormat="1" x14ac:dyDescent="0.25"/>
    <row r="175" spans="26:26" s="17" customFormat="1" x14ac:dyDescent="0.25"/>
    <row r="176" spans="26:2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sheetData>
  <phoneticPr fontId="13" type="noConversion"/>
  <pageMargins left="0.75" right="0.75" top="1" bottom="1" header="0.4921259845" footer="0.4921259845"/>
  <pageSetup paperSize="9" orientation="portrait"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1" r:id="rId4" name="Drop Down 7">
              <controlPr defaultSize="0" autoFill="0" autoLine="0" autoPict="0">
                <anchor moveWithCells="1">
                  <from>
                    <xdr:col>2</xdr:col>
                    <xdr:colOff>209550</xdr:colOff>
                    <xdr:row>2</xdr:row>
                    <xdr:rowOff>57150</xdr:rowOff>
                  </from>
                  <to>
                    <xdr:col>5</xdr:col>
                    <xdr:colOff>161925</xdr:colOff>
                    <xdr:row>3</xdr:row>
                    <xdr:rowOff>47625</xdr:rowOff>
                  </to>
                </anchor>
              </controlPr>
            </control>
          </mc:Choice>
        </mc:AlternateContent>
        <mc:AlternateContent xmlns:mc="http://schemas.openxmlformats.org/markup-compatibility/2006">
          <mc:Choice Requires="x14">
            <control shapeId="1032" r:id="rId5" name="Drop Down 8">
              <controlPr defaultSize="0" autoFill="0" autoLine="0" autoPict="0">
                <anchor moveWithCells="1">
                  <from>
                    <xdr:col>7</xdr:col>
                    <xdr:colOff>457200</xdr:colOff>
                    <xdr:row>2</xdr:row>
                    <xdr:rowOff>57150</xdr:rowOff>
                  </from>
                  <to>
                    <xdr:col>10</xdr:col>
                    <xdr:colOff>409575</xdr:colOff>
                    <xdr:row>3</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topLeftCell="A2" workbookViewId="0">
      <selection activeCell="Q3" sqref="Q3"/>
    </sheetView>
  </sheetViews>
  <sheetFormatPr defaultRowHeight="12.75" x14ac:dyDescent="0.2"/>
  <cols>
    <col min="17" max="17" width="22" customWidth="1"/>
    <col min="18" max="18" width="23.7109375" customWidth="1"/>
  </cols>
  <sheetData>
    <row r="1" spans="1:20" x14ac:dyDescent="0.2">
      <c r="A1" t="s">
        <v>0</v>
      </c>
    </row>
    <row r="3" spans="1:20" ht="15.75" x14ac:dyDescent="0.2">
      <c r="Q3" s="196" t="s">
        <v>766</v>
      </c>
    </row>
    <row r="4" spans="1:20" ht="15.75" x14ac:dyDescent="0.2">
      <c r="A4" t="s">
        <v>446</v>
      </c>
      <c r="Q4" s="196"/>
    </row>
    <row r="5" spans="1:20" ht="15.75" x14ac:dyDescent="0.2">
      <c r="A5" t="s">
        <v>447</v>
      </c>
      <c r="Q5" s="196" t="s">
        <v>767</v>
      </c>
    </row>
    <row r="6" spans="1:20" ht="15" x14ac:dyDescent="0.2">
      <c r="A6" t="s">
        <v>448</v>
      </c>
      <c r="Q6" s="197"/>
      <c r="R6" s="197"/>
      <c r="S6" s="198" t="s">
        <v>768</v>
      </c>
      <c r="T6" s="198" t="s">
        <v>769</v>
      </c>
    </row>
    <row r="7" spans="1:20" ht="15" x14ac:dyDescent="0.2">
      <c r="A7" t="s">
        <v>449</v>
      </c>
      <c r="Q7" s="199" t="s">
        <v>770</v>
      </c>
      <c r="R7" s="199" t="s">
        <v>771</v>
      </c>
      <c r="S7" s="200">
        <v>110</v>
      </c>
      <c r="T7" s="201">
        <v>10</v>
      </c>
    </row>
    <row r="8" spans="1:20" ht="15" x14ac:dyDescent="0.2">
      <c r="A8" t="s">
        <v>450</v>
      </c>
      <c r="Q8" s="199" t="s">
        <v>770</v>
      </c>
      <c r="R8" s="199" t="s">
        <v>772</v>
      </c>
      <c r="S8" s="202">
        <v>120</v>
      </c>
      <c r="T8" s="198">
        <v>16</v>
      </c>
    </row>
    <row r="9" spans="1:20" ht="15" x14ac:dyDescent="0.2">
      <c r="A9" t="s">
        <v>451</v>
      </c>
      <c r="Q9" s="199" t="s">
        <v>770</v>
      </c>
      <c r="R9" s="199" t="s">
        <v>773</v>
      </c>
      <c r="S9" s="202">
        <v>130</v>
      </c>
      <c r="T9" s="198">
        <v>20</v>
      </c>
    </row>
    <row r="10" spans="1:20" ht="15" x14ac:dyDescent="0.2">
      <c r="Q10" s="199" t="s">
        <v>770</v>
      </c>
      <c r="R10" s="199" t="s">
        <v>774</v>
      </c>
      <c r="S10" s="203">
        <v>140</v>
      </c>
      <c r="T10" s="204">
        <v>11</v>
      </c>
    </row>
    <row r="11" spans="1:20" ht="15" x14ac:dyDescent="0.2">
      <c r="A11" t="s">
        <v>452</v>
      </c>
      <c r="Q11" s="199" t="s">
        <v>775</v>
      </c>
      <c r="R11" s="199" t="s">
        <v>771</v>
      </c>
      <c r="S11" s="200">
        <v>210</v>
      </c>
      <c r="T11" s="201">
        <v>4</v>
      </c>
    </row>
    <row r="12" spans="1:20" ht="15" x14ac:dyDescent="0.2">
      <c r="Q12" s="199" t="s">
        <v>775</v>
      </c>
      <c r="R12" s="199" t="s">
        <v>772</v>
      </c>
      <c r="S12" s="202">
        <v>220</v>
      </c>
      <c r="T12" s="198">
        <v>10</v>
      </c>
    </row>
    <row r="13" spans="1:20" ht="15" x14ac:dyDescent="0.2">
      <c r="Q13" s="199" t="s">
        <v>775</v>
      </c>
      <c r="R13" s="199" t="s">
        <v>773</v>
      </c>
      <c r="S13" s="202">
        <v>230</v>
      </c>
      <c r="T13" s="198">
        <v>23</v>
      </c>
    </row>
    <row r="14" spans="1:20" ht="15" x14ac:dyDescent="0.2">
      <c r="A14" s="54" t="s">
        <v>445</v>
      </c>
      <c r="B14" s="55"/>
      <c r="C14" s="55"/>
      <c r="D14" s="55"/>
      <c r="E14" s="55"/>
      <c r="F14" s="55"/>
      <c r="G14" s="55"/>
      <c r="H14" s="55"/>
      <c r="I14" s="55"/>
      <c r="J14" s="55"/>
      <c r="K14" s="55"/>
      <c r="L14" s="55"/>
      <c r="M14" s="55"/>
      <c r="N14" s="55"/>
      <c r="O14" s="55"/>
      <c r="Q14" s="199" t="s">
        <v>775</v>
      </c>
      <c r="R14" s="199" t="s">
        <v>774</v>
      </c>
      <c r="S14" s="203">
        <v>240</v>
      </c>
      <c r="T14" s="204">
        <v>26</v>
      </c>
    </row>
    <row r="15" spans="1:20" ht="15" x14ac:dyDescent="0.2">
      <c r="A15" s="56" t="s">
        <v>708</v>
      </c>
      <c r="B15" s="55"/>
      <c r="C15" s="55"/>
      <c r="D15" s="55"/>
      <c r="E15" s="55"/>
      <c r="F15" s="55"/>
      <c r="G15" s="55"/>
      <c r="H15" s="55"/>
      <c r="I15" s="55"/>
      <c r="J15" s="55"/>
      <c r="K15" s="55"/>
      <c r="L15" s="55"/>
      <c r="M15" s="55"/>
      <c r="N15" s="55"/>
      <c r="O15" s="55"/>
      <c r="Q15" s="199" t="s">
        <v>776</v>
      </c>
      <c r="R15" s="199" t="s">
        <v>771</v>
      </c>
      <c r="S15" s="200">
        <v>310</v>
      </c>
      <c r="T15" s="201">
        <v>2</v>
      </c>
    </row>
    <row r="16" spans="1:20" ht="15" x14ac:dyDescent="0.2">
      <c r="A16" s="56" t="s">
        <v>709</v>
      </c>
      <c r="B16" s="55"/>
      <c r="C16" s="55"/>
      <c r="D16" s="55"/>
      <c r="E16" s="55"/>
      <c r="F16" s="55"/>
      <c r="G16" s="55"/>
      <c r="H16" s="55"/>
      <c r="I16" s="55"/>
      <c r="J16" s="55"/>
      <c r="K16" s="55"/>
      <c r="L16" s="55"/>
      <c r="M16" s="55"/>
      <c r="N16" s="55"/>
      <c r="O16" s="55"/>
      <c r="Q16" s="199" t="s">
        <v>776</v>
      </c>
      <c r="R16" s="199" t="s">
        <v>772</v>
      </c>
      <c r="S16" s="202">
        <v>320</v>
      </c>
      <c r="T16" s="198">
        <v>13</v>
      </c>
    </row>
    <row r="17" spans="1:20" ht="15" x14ac:dyDescent="0.2">
      <c r="A17" s="55"/>
      <c r="B17" s="55"/>
      <c r="C17" s="55"/>
      <c r="D17" s="55"/>
      <c r="E17" s="55"/>
      <c r="F17" s="55"/>
      <c r="G17" s="55"/>
      <c r="H17" s="55"/>
      <c r="I17" s="55"/>
      <c r="J17" s="55"/>
      <c r="K17" s="55"/>
      <c r="L17" s="55"/>
      <c r="M17" s="55"/>
      <c r="N17" s="55"/>
      <c r="O17" s="55"/>
      <c r="Q17" s="199" t="s">
        <v>776</v>
      </c>
      <c r="R17" s="199" t="s">
        <v>773</v>
      </c>
      <c r="S17" s="202">
        <v>330</v>
      </c>
      <c r="T17" s="198">
        <v>38</v>
      </c>
    </row>
    <row r="18" spans="1:20" ht="15" x14ac:dyDescent="0.2">
      <c r="A18" s="169" t="s">
        <v>689</v>
      </c>
      <c r="Q18" s="199" t="s">
        <v>776</v>
      </c>
      <c r="R18" s="199" t="s">
        <v>774</v>
      </c>
      <c r="S18" s="203">
        <v>340</v>
      </c>
      <c r="T18" s="204">
        <v>122</v>
      </c>
    </row>
    <row r="19" spans="1:20" x14ac:dyDescent="0.2">
      <c r="A19" s="163" t="s">
        <v>690</v>
      </c>
      <c r="Q19" s="197"/>
      <c r="R19" s="197"/>
      <c r="S19" s="197"/>
      <c r="T19" s="197"/>
    </row>
    <row r="20" spans="1:20" ht="15" x14ac:dyDescent="0.2">
      <c r="Q20" s="197"/>
      <c r="R20" s="197"/>
      <c r="S20" s="205" t="s">
        <v>777</v>
      </c>
      <c r="T20" s="198">
        <v>295</v>
      </c>
    </row>
    <row r="21" spans="1:20" ht="15.75" x14ac:dyDescent="0.2">
      <c r="A21" t="s">
        <v>601</v>
      </c>
      <c r="Q21" s="196"/>
    </row>
    <row r="22" spans="1:20" ht="15.75" x14ac:dyDescent="0.2">
      <c r="A22" t="s">
        <v>602</v>
      </c>
      <c r="Q22" s="196" t="s">
        <v>778</v>
      </c>
    </row>
    <row r="23" spans="1:20" ht="15.75" x14ac:dyDescent="0.2">
      <c r="Q23" s="196"/>
    </row>
    <row r="24" spans="1:20" ht="15.75" x14ac:dyDescent="0.2">
      <c r="A24" s="163" t="s">
        <v>688</v>
      </c>
      <c r="Q24" s="196" t="s">
        <v>779</v>
      </c>
    </row>
    <row r="26" spans="1:20" x14ac:dyDescent="0.2">
      <c r="A26" t="s">
        <v>603</v>
      </c>
    </row>
    <row r="27" spans="1:20" x14ac:dyDescent="0.2">
      <c r="A27" s="61" t="s">
        <v>604</v>
      </c>
    </row>
  </sheetData>
  <phoneticPr fontId="13" type="noConversion"/>
  <hyperlinks>
    <hyperlink ref="A27" r:id="rId1"/>
  </hyperlinks>
  <pageMargins left="0.75" right="0.75" top="1" bottom="1" header="0.4921259845" footer="0.492125984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85"/>
  <sheetViews>
    <sheetView zoomScale="70" zoomScaleNormal="70" workbookViewId="0">
      <pane xSplit="1" ySplit="4" topLeftCell="B28" activePane="bottomRight" state="frozen"/>
      <selection pane="topRight" activeCell="B1" sqref="B1"/>
      <selection pane="bottomLeft" activeCell="A5" sqref="A5"/>
      <selection pane="bottomRight" activeCell="DF47" sqref="DF47"/>
    </sheetView>
  </sheetViews>
  <sheetFormatPr defaultColWidth="9.140625" defaultRowHeight="12.75" x14ac:dyDescent="0.2"/>
  <cols>
    <col min="1" max="1" width="22.5703125" style="2" customWidth="1"/>
    <col min="2" max="2" width="13.42578125" style="2" customWidth="1"/>
    <col min="3" max="3" width="10.5703125" style="11" customWidth="1"/>
    <col min="4" max="4" width="10.7109375" style="11" customWidth="1"/>
    <col min="5" max="5" width="9.85546875" style="11" customWidth="1"/>
    <col min="6" max="19" width="10.140625" style="2" customWidth="1"/>
    <col min="20" max="22" width="10.28515625" style="2" customWidth="1"/>
    <col min="23" max="23" width="4" style="2" customWidth="1"/>
    <col min="24" max="24" width="10.42578125" style="2" customWidth="1"/>
    <col min="25" max="25" width="9.85546875" style="2" customWidth="1"/>
    <col min="26" max="26" width="11" style="2" customWidth="1"/>
    <col min="27" max="27" width="10" style="2" customWidth="1"/>
    <col min="28" max="44" width="10.85546875" style="2" customWidth="1"/>
    <col min="45" max="45" width="7.85546875" style="2" customWidth="1"/>
    <col min="46" max="46" width="12.140625" style="2" customWidth="1"/>
    <col min="47" max="47" width="11" style="2" customWidth="1"/>
    <col min="48" max="48" width="12.28515625" style="2" customWidth="1"/>
    <col min="49" max="49" width="10.7109375" style="2" customWidth="1"/>
    <col min="50" max="52" width="11.28515625" style="2" customWidth="1"/>
    <col min="53" max="58" width="10.85546875" style="2" customWidth="1"/>
    <col min="59" max="59" width="11.7109375" style="2" customWidth="1"/>
    <col min="60" max="60" width="11" style="2" customWidth="1"/>
    <col min="61" max="63" width="11" style="56" customWidth="1"/>
    <col min="64" max="66" width="11" style="2" customWidth="1"/>
    <col min="67" max="67" width="9.140625" style="2"/>
    <col min="68" max="68" width="12.5703125" style="2" customWidth="1"/>
    <col min="69" max="69" width="12.42578125" style="2" customWidth="1"/>
    <col min="70" max="70" width="11.7109375" style="2" customWidth="1"/>
    <col min="71" max="71" width="11.5703125" style="2" customWidth="1"/>
    <col min="72" max="72" width="12.42578125" style="2" customWidth="1"/>
    <col min="73" max="73" width="8.85546875" style="2" customWidth="1"/>
    <col min="74" max="76" width="12.42578125" style="2" customWidth="1"/>
    <col min="77" max="78" width="13" style="2" customWidth="1"/>
    <col min="79" max="79" width="13.85546875" style="2" customWidth="1"/>
    <col min="80" max="82" width="12" style="2" customWidth="1"/>
    <col min="83" max="85" width="10.42578125" style="2" bestFit="1" customWidth="1"/>
    <col min="86" max="86" width="11.28515625" style="2" bestFit="1" customWidth="1"/>
    <col min="87" max="89" width="10.42578125" style="2" bestFit="1" customWidth="1"/>
    <col min="90" max="90" width="12.140625" style="2" customWidth="1"/>
    <col min="91" max="91" width="11" style="2" customWidth="1"/>
    <col min="92" max="92" width="12.28515625" style="2" customWidth="1"/>
    <col min="93" max="93" width="10.7109375" style="2" customWidth="1"/>
    <col min="94" max="96" width="11.28515625" style="2" customWidth="1"/>
    <col min="97" max="102" width="10.85546875" style="2" customWidth="1"/>
    <col min="103" max="103" width="11.7109375" style="2" customWidth="1"/>
    <col min="104" max="110" width="11" style="2" customWidth="1"/>
    <col min="111" max="112" width="10.42578125" style="2" bestFit="1" customWidth="1"/>
    <col min="113" max="16384" width="9.140625" style="2"/>
  </cols>
  <sheetData>
    <row r="1" spans="1:112" x14ac:dyDescent="0.2">
      <c r="A1" s="2" t="s">
        <v>423</v>
      </c>
      <c r="B1" s="3">
        <v>1</v>
      </c>
      <c r="C1" s="4"/>
      <c r="D1" s="4"/>
      <c r="E1" s="4"/>
      <c r="F1" s="4"/>
      <c r="G1" s="4"/>
      <c r="H1" s="4"/>
      <c r="I1" s="4"/>
      <c r="J1" s="4"/>
      <c r="K1" s="4"/>
      <c r="L1" s="4"/>
      <c r="M1" s="4"/>
      <c r="N1" s="4"/>
      <c r="O1" s="4"/>
      <c r="P1" s="4"/>
      <c r="Q1" s="4"/>
      <c r="R1" s="4"/>
      <c r="S1" s="4"/>
      <c r="T1" s="4"/>
      <c r="U1" s="4"/>
      <c r="V1" s="4"/>
      <c r="W1" s="5"/>
      <c r="X1" s="210">
        <v>296</v>
      </c>
      <c r="Y1" s="208"/>
      <c r="Z1" s="208"/>
      <c r="AA1" s="208"/>
      <c r="AB1" s="208"/>
      <c r="AC1" s="208"/>
      <c r="AD1" s="208"/>
      <c r="AE1" s="208"/>
      <c r="AF1" s="208"/>
      <c r="AG1" s="208"/>
      <c r="AH1" s="208"/>
      <c r="AI1" s="208"/>
      <c r="AJ1" s="208"/>
      <c r="AK1" s="208"/>
      <c r="AL1" s="208"/>
      <c r="AM1" s="208"/>
      <c r="AN1" s="208"/>
      <c r="AO1" s="208"/>
      <c r="AP1" s="208"/>
      <c r="AQ1" s="208"/>
      <c r="AR1" s="208"/>
      <c r="AS1" s="6"/>
      <c r="AT1" s="210" t="s">
        <v>425</v>
      </c>
      <c r="AU1" s="208"/>
      <c r="AV1" s="208"/>
      <c r="AW1" s="208"/>
      <c r="AX1" s="208"/>
      <c r="AY1" s="208"/>
      <c r="AZ1" s="208"/>
      <c r="BA1" s="208"/>
      <c r="BB1" s="208"/>
      <c r="BC1" s="208"/>
      <c r="BD1" s="208"/>
      <c r="BE1" s="208"/>
      <c r="BF1" s="208"/>
      <c r="BG1" s="208"/>
      <c r="BH1" s="208"/>
      <c r="BI1" s="208"/>
      <c r="BJ1" s="208"/>
      <c r="BK1" s="208"/>
      <c r="BL1" s="208"/>
      <c r="BM1" s="208"/>
      <c r="BN1" s="208"/>
      <c r="BP1" s="210" t="s">
        <v>424</v>
      </c>
      <c r="BQ1" s="208"/>
      <c r="BR1" s="208"/>
      <c r="BS1" s="208"/>
      <c r="BT1" s="208"/>
      <c r="BU1" s="208"/>
      <c r="BV1" s="208"/>
      <c r="BW1" s="208"/>
      <c r="BX1" s="208"/>
      <c r="BY1" s="208"/>
      <c r="BZ1" s="208"/>
      <c r="CA1" s="208"/>
      <c r="CB1" s="208"/>
      <c r="CC1" s="208"/>
      <c r="CD1" s="208"/>
      <c r="CE1" s="208"/>
      <c r="CF1" s="208"/>
      <c r="CG1" s="208"/>
      <c r="CH1" s="208"/>
      <c r="CI1" s="208"/>
      <c r="CJ1" s="208"/>
      <c r="CL1" s="206" t="str">
        <f>B57</f>
        <v>Taajaan as, taantuva</v>
      </c>
      <c r="CM1" s="207"/>
      <c r="CN1" s="207"/>
      <c r="CO1" s="207"/>
      <c r="CP1" s="207"/>
      <c r="CQ1" s="207"/>
      <c r="CR1" s="207"/>
      <c r="CS1" s="207"/>
      <c r="CT1" s="207"/>
      <c r="CU1" s="207"/>
      <c r="CV1" s="207"/>
      <c r="CW1" s="207"/>
      <c r="CX1" s="207"/>
      <c r="CY1" s="207"/>
      <c r="CZ1" s="207"/>
      <c r="DA1" s="207"/>
      <c r="DB1" s="207"/>
      <c r="DC1" s="207"/>
      <c r="DD1" s="207"/>
      <c r="DE1" s="207"/>
      <c r="DF1" s="207"/>
    </row>
    <row r="2" spans="1:112" x14ac:dyDescent="0.2">
      <c r="A2" s="7" t="s">
        <v>426</v>
      </c>
      <c r="B2" s="209" t="str">
        <f>INDEX(Perusaineisto!B3:'Perusaineisto'!B298,B1)</f>
        <v>Akaa</v>
      </c>
      <c r="C2" s="211"/>
      <c r="D2" s="208"/>
      <c r="E2" s="208"/>
      <c r="F2" s="208"/>
      <c r="G2" s="208"/>
      <c r="H2" s="208"/>
      <c r="I2" s="208"/>
      <c r="J2" s="208"/>
      <c r="K2" s="208"/>
      <c r="L2" s="208"/>
      <c r="M2" s="208"/>
      <c r="N2" s="208"/>
      <c r="O2" s="208"/>
      <c r="P2" s="208"/>
      <c r="Q2" s="208"/>
      <c r="R2" s="208"/>
      <c r="S2" s="208"/>
      <c r="T2" s="208"/>
      <c r="U2" s="208"/>
      <c r="V2" s="208"/>
      <c r="W2" s="9"/>
      <c r="X2" s="8" t="str">
        <f>INDEX(Perusaineisto!B3:'Perusaineisto'!B298,X1)</f>
        <v>Äänekoski</v>
      </c>
      <c r="Y2" s="4"/>
      <c r="Z2" s="4"/>
      <c r="AA2" s="4"/>
      <c r="AB2" s="4"/>
      <c r="AC2" s="4"/>
      <c r="AD2" s="4"/>
      <c r="AE2" s="4"/>
      <c r="AF2" s="4"/>
      <c r="AG2" s="4"/>
      <c r="AH2" s="4"/>
      <c r="AI2" s="4"/>
      <c r="AJ2" s="4"/>
      <c r="AK2" s="4"/>
      <c r="AL2" s="4"/>
      <c r="AM2" s="4"/>
      <c r="AN2" s="4"/>
      <c r="AO2" s="4"/>
      <c r="AP2" s="4"/>
      <c r="AQ2" s="4"/>
      <c r="AR2" s="4"/>
      <c r="AS2" s="9"/>
      <c r="AT2" s="206" t="str">
        <f>B53</f>
        <v>10 000-20 000 as</v>
      </c>
      <c r="AU2" s="208"/>
      <c r="AV2" s="208"/>
      <c r="AW2" s="208"/>
      <c r="AX2" s="208"/>
      <c r="AY2" s="208"/>
      <c r="AZ2" s="208"/>
      <c r="BA2" s="208"/>
      <c r="BB2" s="208"/>
      <c r="BC2" s="208"/>
      <c r="BD2" s="208"/>
      <c r="BE2" s="208"/>
      <c r="BF2" s="208"/>
      <c r="BG2" s="208"/>
      <c r="BH2" s="208"/>
      <c r="BI2" s="208"/>
      <c r="BJ2" s="208"/>
      <c r="BK2" s="208"/>
      <c r="BL2" s="208"/>
      <c r="BM2" s="208"/>
      <c r="BN2" s="208"/>
      <c r="BP2" s="206" t="str">
        <f>B51</f>
        <v>Pirkanmaa</v>
      </c>
      <c r="BQ2" s="208"/>
      <c r="BR2" s="208"/>
      <c r="BS2" s="208"/>
      <c r="BT2" s="208"/>
      <c r="BU2" s="208"/>
      <c r="BV2" s="208"/>
      <c r="BW2" s="208"/>
      <c r="BX2" s="208"/>
      <c r="BY2" s="208"/>
      <c r="BZ2" s="208"/>
      <c r="CA2" s="208"/>
      <c r="CB2" s="208"/>
      <c r="CC2" s="208"/>
      <c r="CD2" s="208"/>
      <c r="CE2" s="208"/>
      <c r="CF2" s="208"/>
      <c r="CG2" s="208"/>
      <c r="CH2" s="208"/>
      <c r="CI2" s="208"/>
      <c r="CJ2" s="208"/>
      <c r="CL2" s="206">
        <f>B56</f>
        <v>230</v>
      </c>
      <c r="CM2" s="208"/>
      <c r="CN2" s="208"/>
      <c r="CO2" s="208"/>
      <c r="CP2" s="208"/>
      <c r="CQ2" s="208"/>
      <c r="CR2" s="208"/>
      <c r="CS2" s="208"/>
      <c r="CT2" s="208"/>
      <c r="CU2" s="208"/>
      <c r="CV2" s="208"/>
      <c r="CW2" s="208"/>
      <c r="CX2" s="208"/>
      <c r="CY2" s="208"/>
      <c r="CZ2" s="208"/>
      <c r="DA2" s="208"/>
      <c r="DB2" s="208"/>
      <c r="DC2" s="208"/>
      <c r="DD2" s="208"/>
      <c r="DE2" s="208"/>
      <c r="DF2" s="208"/>
    </row>
    <row r="3" spans="1:112" s="7" customFormat="1" x14ac:dyDescent="0.2">
      <c r="A3" s="7" t="s">
        <v>427</v>
      </c>
      <c r="B3" s="7">
        <v>1998</v>
      </c>
      <c r="C3" s="7">
        <v>1999</v>
      </c>
      <c r="D3" s="7">
        <v>2000</v>
      </c>
      <c r="E3" s="7">
        <v>2001</v>
      </c>
      <c r="F3" s="7">
        <v>2002</v>
      </c>
      <c r="G3" s="7">
        <v>2003</v>
      </c>
      <c r="H3" s="7">
        <v>2004</v>
      </c>
      <c r="I3" s="7">
        <v>2005</v>
      </c>
      <c r="J3" s="7">
        <v>2006</v>
      </c>
      <c r="K3" s="7">
        <v>2007</v>
      </c>
      <c r="L3" s="7">
        <v>2008</v>
      </c>
      <c r="M3" s="7">
        <v>2009</v>
      </c>
      <c r="N3" s="7">
        <v>2010</v>
      </c>
      <c r="O3" s="7">
        <v>2011</v>
      </c>
      <c r="P3" s="7">
        <v>2012</v>
      </c>
      <c r="Q3" s="7">
        <v>2013</v>
      </c>
      <c r="R3" s="7">
        <v>2014</v>
      </c>
      <c r="S3" s="7">
        <v>2015</v>
      </c>
      <c r="T3" s="7">
        <v>2016</v>
      </c>
      <c r="U3" s="7">
        <v>2017</v>
      </c>
      <c r="V3" s="7">
        <v>2018</v>
      </c>
      <c r="X3" s="7">
        <v>1998</v>
      </c>
      <c r="Y3" s="7">
        <v>1999</v>
      </c>
      <c r="Z3" s="7">
        <v>2000</v>
      </c>
      <c r="AA3" s="7">
        <v>2001</v>
      </c>
      <c r="AB3" s="10">
        <v>2002</v>
      </c>
      <c r="AC3" s="7">
        <v>2003</v>
      </c>
      <c r="AD3" s="7">
        <v>2004</v>
      </c>
      <c r="AE3" s="7">
        <v>2005</v>
      </c>
      <c r="AF3" s="7">
        <v>2006</v>
      </c>
      <c r="AG3" s="7">
        <v>2007</v>
      </c>
      <c r="AH3" s="7">
        <v>2008</v>
      </c>
      <c r="AI3" s="7">
        <v>2009</v>
      </c>
      <c r="AJ3" s="7">
        <v>2010</v>
      </c>
      <c r="AK3" s="7">
        <v>2011</v>
      </c>
      <c r="AL3" s="7">
        <v>2012</v>
      </c>
      <c r="AM3" s="7">
        <v>2013</v>
      </c>
      <c r="AN3" s="7">
        <v>2014</v>
      </c>
      <c r="AO3" s="7">
        <v>2015</v>
      </c>
      <c r="AP3" s="7">
        <v>2016</v>
      </c>
      <c r="AQ3" s="7">
        <v>2017</v>
      </c>
      <c r="AR3" s="7">
        <v>2018</v>
      </c>
      <c r="AT3" s="7">
        <v>1998</v>
      </c>
      <c r="AU3" s="7">
        <v>1999</v>
      </c>
      <c r="AV3" s="7">
        <v>2000</v>
      </c>
      <c r="AW3" s="7">
        <v>2001</v>
      </c>
      <c r="AX3" s="7">
        <v>2002</v>
      </c>
      <c r="AY3" s="7">
        <v>2003</v>
      </c>
      <c r="AZ3" s="7">
        <v>2004</v>
      </c>
      <c r="BA3" s="7">
        <v>2005</v>
      </c>
      <c r="BB3" s="7">
        <v>2006</v>
      </c>
      <c r="BC3" s="7">
        <v>2007</v>
      </c>
      <c r="BD3" s="7">
        <v>2008</v>
      </c>
      <c r="BE3" s="7">
        <v>2009</v>
      </c>
      <c r="BF3" s="7">
        <v>2010</v>
      </c>
      <c r="BG3" s="7">
        <v>2011</v>
      </c>
      <c r="BH3" s="7">
        <v>2012</v>
      </c>
      <c r="BI3" s="7">
        <v>2013</v>
      </c>
      <c r="BJ3" s="7">
        <v>2014</v>
      </c>
      <c r="BK3" s="7">
        <v>2015</v>
      </c>
      <c r="BL3" s="7">
        <v>2016</v>
      </c>
      <c r="BM3" s="7">
        <v>2017</v>
      </c>
      <c r="BN3" s="7">
        <v>2018</v>
      </c>
      <c r="BP3" s="7">
        <v>1998</v>
      </c>
      <c r="BQ3" s="7">
        <v>1999</v>
      </c>
      <c r="BR3" s="7">
        <v>2000</v>
      </c>
      <c r="BS3" s="7">
        <v>2001</v>
      </c>
      <c r="BT3" s="7">
        <v>2002</v>
      </c>
      <c r="BU3" s="7">
        <v>2003</v>
      </c>
      <c r="BV3" s="7">
        <v>2004</v>
      </c>
      <c r="BW3" s="7">
        <v>2005</v>
      </c>
      <c r="BX3" s="7">
        <v>2006</v>
      </c>
      <c r="BY3" s="7">
        <v>2007</v>
      </c>
      <c r="BZ3" s="7">
        <v>2008</v>
      </c>
      <c r="CA3" s="7">
        <v>2009</v>
      </c>
      <c r="CB3" s="7">
        <v>2010</v>
      </c>
      <c r="CC3" s="7">
        <v>2011</v>
      </c>
      <c r="CD3" s="7">
        <v>2012</v>
      </c>
      <c r="CE3" s="7">
        <v>2013</v>
      </c>
      <c r="CF3" s="7">
        <v>2014</v>
      </c>
      <c r="CG3" s="7">
        <v>2015</v>
      </c>
      <c r="CH3" s="7">
        <v>2016</v>
      </c>
      <c r="CI3" s="7">
        <v>2017</v>
      </c>
      <c r="CJ3" s="7">
        <v>2018</v>
      </c>
      <c r="CL3" s="7">
        <v>1998</v>
      </c>
      <c r="CM3" s="7">
        <v>1999</v>
      </c>
      <c r="CN3" s="7">
        <v>2000</v>
      </c>
      <c r="CO3" s="7">
        <v>2001</v>
      </c>
      <c r="CP3" s="7">
        <v>2002</v>
      </c>
      <c r="CQ3" s="7">
        <v>2003</v>
      </c>
      <c r="CR3" s="7">
        <v>2004</v>
      </c>
      <c r="CS3" s="7">
        <v>2005</v>
      </c>
      <c r="CT3" s="7">
        <v>2006</v>
      </c>
      <c r="CU3" s="7">
        <v>2007</v>
      </c>
      <c r="CV3" s="7">
        <v>2008</v>
      </c>
      <c r="CW3" s="7">
        <v>2009</v>
      </c>
      <c r="CX3" s="7">
        <v>2010</v>
      </c>
      <c r="CY3" s="7">
        <v>2011</v>
      </c>
      <c r="CZ3" s="7">
        <v>2012</v>
      </c>
      <c r="DA3" s="7">
        <v>2013</v>
      </c>
      <c r="DB3" s="7">
        <v>2014</v>
      </c>
      <c r="DC3" s="7">
        <v>2015</v>
      </c>
      <c r="DD3" s="7">
        <v>2016</v>
      </c>
      <c r="DE3" s="7">
        <v>2017</v>
      </c>
      <c r="DF3" s="7">
        <v>2018</v>
      </c>
    </row>
    <row r="4" spans="1:112" s="7" customFormat="1" x14ac:dyDescent="0.2">
      <c r="F4" s="10"/>
      <c r="AB4" s="10"/>
      <c r="AX4" s="10"/>
      <c r="BI4" s="54"/>
      <c r="BJ4" s="54"/>
      <c r="BK4" s="54"/>
      <c r="BT4" s="10"/>
    </row>
    <row r="5" spans="1:112" x14ac:dyDescent="0.2">
      <c r="A5" s="2" t="s">
        <v>1</v>
      </c>
      <c r="B5" s="12">
        <f>VLOOKUP($B$2,Perusaineisto!$B$3:'Perusaineisto'!$FI$400,9)</f>
        <v>15857</v>
      </c>
      <c r="C5" s="2"/>
      <c r="D5" s="2"/>
      <c r="E5" s="2"/>
      <c r="F5" s="11"/>
      <c r="X5" s="12">
        <f>VLOOKUP($X$2,Perusaineisto!$B$3:'Perusaineisto'!$FI$400,9)</f>
        <v>20975</v>
      </c>
      <c r="AB5" s="11"/>
      <c r="AT5" s="12">
        <f>VLOOKUP($AT$2,Luokittelut!$A$25:'Luokittelut'!$MJ$31,2)</f>
        <v>593661</v>
      </c>
      <c r="AX5" s="11"/>
      <c r="BP5" s="12">
        <f>VLOOKUP($BP$2,Luokittelut!$A$3:'Luokittelut'!$MJ$20,2)</f>
        <v>444992</v>
      </c>
      <c r="BT5" s="11"/>
      <c r="CE5" s="56"/>
      <c r="CF5" s="56"/>
      <c r="CG5" s="56"/>
      <c r="CK5" s="13"/>
      <c r="CL5" s="12">
        <f>VLOOKUP($CL$2,Luokittelut!$A$36:'Luokittelut'!$MJ$47,2)</f>
        <v>310759</v>
      </c>
      <c r="CP5" s="11"/>
      <c r="DA5" s="56"/>
      <c r="DB5" s="56"/>
      <c r="DC5" s="56"/>
      <c r="DG5" s="13"/>
      <c r="DH5" s="13"/>
    </row>
    <row r="6" spans="1:112" x14ac:dyDescent="0.2">
      <c r="A6" s="2" t="s">
        <v>2</v>
      </c>
      <c r="C6" s="12">
        <f>VLOOKUP($B$2,Perusaineisto!$B$3:'Perusaineisto'!$FI$400,10)</f>
        <v>15954</v>
      </c>
      <c r="D6" s="2"/>
      <c r="E6" s="2"/>
      <c r="F6" s="11"/>
      <c r="Y6" s="12">
        <f>VLOOKUP($X$2,Perusaineisto!$B$3:'Perusaineisto'!$FI$400,10)</f>
        <v>20898</v>
      </c>
      <c r="AB6" s="11"/>
      <c r="AU6" s="12">
        <f>VLOOKUP($AT$2,Luokittelut!$A$25:'Luokittelut'!$MJ$31,3)</f>
        <v>592060</v>
      </c>
      <c r="AX6" s="11"/>
      <c r="BQ6" s="12">
        <f>VLOOKUP($BP$2,Luokittelut!$A$3:'Luokittelut'!$MJ$20,3)</f>
        <v>447524</v>
      </c>
      <c r="BT6" s="11"/>
      <c r="CE6" s="56"/>
      <c r="CF6" s="56"/>
      <c r="CG6" s="56"/>
      <c r="CK6" s="13"/>
      <c r="CM6" s="12">
        <f>VLOOKUP($CL$2,Luokittelut!$A$36:'Luokittelut'!$MJ$47,3)</f>
        <v>310676</v>
      </c>
      <c r="CP6" s="11"/>
      <c r="DA6" s="56"/>
      <c r="DB6" s="56"/>
      <c r="DC6" s="56"/>
      <c r="DG6" s="13"/>
      <c r="DH6" s="13"/>
    </row>
    <row r="7" spans="1:112" x14ac:dyDescent="0.2">
      <c r="A7" s="2" t="s">
        <v>3</v>
      </c>
      <c r="C7" s="2"/>
      <c r="D7" s="12">
        <f>VLOOKUP($B$2,Perusaineisto!$B$3:'Perusaineisto'!$FI$400,11)</f>
        <v>15945</v>
      </c>
      <c r="E7" s="2"/>
      <c r="F7" s="11"/>
      <c r="Z7" s="12">
        <f>VLOOKUP($X$2,Perusaineisto!$B$3:'Perusaineisto'!$FI$400,11)</f>
        <v>20713</v>
      </c>
      <c r="AB7" s="11"/>
      <c r="AV7" s="12">
        <f>VLOOKUP($AT$2,Luokittelut!$A$25:'Luokittelut'!$MJ$31,4)</f>
        <v>590807</v>
      </c>
      <c r="AX7" s="11"/>
      <c r="BR7" s="12">
        <f>VLOOKUP($BP$2,Luokittelut!$A$3:'Luokittelut'!$MJ$20,4)</f>
        <v>450346</v>
      </c>
      <c r="BT7" s="11"/>
      <c r="CE7" s="56"/>
      <c r="CF7" s="56"/>
      <c r="CG7" s="56"/>
      <c r="CK7" s="13"/>
      <c r="CN7" s="12">
        <f>VLOOKUP($CL$2,Luokittelut!$A$36:'Luokittelut'!$MJ$47,4)</f>
        <v>310503</v>
      </c>
      <c r="CP7" s="11"/>
      <c r="DA7" s="56"/>
      <c r="DB7" s="56"/>
      <c r="DC7" s="56"/>
      <c r="DG7" s="13"/>
      <c r="DH7" s="13"/>
    </row>
    <row r="8" spans="1:112" x14ac:dyDescent="0.2">
      <c r="A8" s="2" t="s">
        <v>4</v>
      </c>
      <c r="C8" s="2"/>
      <c r="D8" s="2"/>
      <c r="E8" s="12">
        <f>VLOOKUP($B$2,Perusaineisto!$B$3:'Perusaineisto'!$FI$400,12)</f>
        <v>16022</v>
      </c>
      <c r="F8" s="11"/>
      <c r="AA8" s="12">
        <f>VLOOKUP($X$2,Perusaineisto!$B$3:'Perusaineisto'!$FI$400,12)</f>
        <v>20543</v>
      </c>
      <c r="AB8" s="11"/>
      <c r="AW8" s="12">
        <f>VLOOKUP($AT$2,Luokittelut!$A$25:'Luokittelut'!$MJ$31,5)</f>
        <v>590177</v>
      </c>
      <c r="AX8" s="11"/>
      <c r="BS8" s="12">
        <f>VLOOKUP($BP$2,Luokittelut!$A$3:'Luokittelut'!$MJ$20,5)</f>
        <v>453986</v>
      </c>
      <c r="BT8" s="11"/>
      <c r="CE8" s="56"/>
      <c r="CF8" s="56"/>
      <c r="CG8" s="56"/>
      <c r="CK8" s="13"/>
      <c r="CO8" s="12">
        <f>VLOOKUP($CL$2,Luokittelut!$A$36:'Luokittelut'!$MJ$47,5)</f>
        <v>310757</v>
      </c>
      <c r="CP8" s="11"/>
      <c r="DA8" s="56"/>
      <c r="DB8" s="56"/>
      <c r="DC8" s="56"/>
      <c r="DG8" s="13"/>
      <c r="DH8" s="13"/>
    </row>
    <row r="9" spans="1:112" x14ac:dyDescent="0.2">
      <c r="A9" s="2" t="s">
        <v>5</v>
      </c>
      <c r="E9" s="2"/>
      <c r="F9" s="12">
        <f>VLOOKUP($B$2,Perusaineisto!$B$3:'Perusaineisto'!$FI$400,13)</f>
        <v>16117</v>
      </c>
      <c r="G9" s="12"/>
      <c r="H9" s="12"/>
      <c r="I9" s="12"/>
      <c r="J9" s="12"/>
      <c r="K9" s="12"/>
      <c r="L9" s="12"/>
      <c r="M9" s="12"/>
      <c r="N9" s="12"/>
      <c r="O9" s="12"/>
      <c r="P9" s="12"/>
      <c r="Q9" s="12"/>
      <c r="R9" s="12"/>
      <c r="S9" s="12"/>
      <c r="T9" s="12"/>
      <c r="U9" s="12"/>
      <c r="V9" s="12"/>
      <c r="Y9" s="11"/>
      <c r="Z9" s="11"/>
      <c r="AB9" s="12">
        <f>VLOOKUP($X$2,Perusaineisto!$B$3:'Perusaineisto'!$FI$400,13)</f>
        <v>20425</v>
      </c>
      <c r="AC9" s="12"/>
      <c r="AD9" s="12"/>
      <c r="AE9" s="12"/>
      <c r="AF9" s="12"/>
      <c r="AG9" s="12"/>
      <c r="AH9" s="12"/>
      <c r="AI9" s="12"/>
      <c r="AJ9" s="12"/>
      <c r="AK9" s="12"/>
      <c r="AL9" s="12"/>
      <c r="AM9" s="12"/>
      <c r="AN9" s="12"/>
      <c r="AO9" s="12"/>
      <c r="AP9" s="12"/>
      <c r="AQ9" s="12"/>
      <c r="AR9" s="12"/>
      <c r="AX9" s="12">
        <f>VLOOKUP($AT$2,Luokittelut!$A$25:'Luokittelut'!$MJ$31,6)</f>
        <v>590089</v>
      </c>
      <c r="AY9" s="12"/>
      <c r="AZ9" s="12"/>
      <c r="BA9" s="12"/>
      <c r="BB9" s="12"/>
      <c r="BC9" s="12"/>
      <c r="BD9" s="12"/>
      <c r="BE9" s="12"/>
      <c r="BF9" s="12"/>
      <c r="BG9" s="12"/>
      <c r="BH9" s="12"/>
      <c r="BI9" s="192"/>
      <c r="BJ9" s="192"/>
      <c r="BK9" s="192"/>
      <c r="BL9" s="12"/>
      <c r="BM9" s="12"/>
      <c r="BN9" s="12"/>
      <c r="BT9" s="12">
        <f>VLOOKUP($BP$2,Luokittelut!$A$3:'Luokittelut'!$MJ$20,6)</f>
        <v>457186</v>
      </c>
      <c r="BU9" s="12"/>
      <c r="BV9" s="12"/>
      <c r="BW9" s="12"/>
      <c r="BX9" s="12"/>
      <c r="BY9" s="12"/>
      <c r="BZ9" s="12"/>
      <c r="CA9" s="12"/>
      <c r="CB9" s="12"/>
      <c r="CC9" s="12"/>
      <c r="CD9" s="12"/>
      <c r="CE9" s="192"/>
      <c r="CF9" s="192"/>
      <c r="CG9" s="192"/>
      <c r="CH9" s="12"/>
      <c r="CI9" s="12"/>
      <c r="CJ9" s="12"/>
      <c r="CK9" s="13"/>
      <c r="CP9" s="12">
        <f>VLOOKUP($CL$2,Luokittelut!$A$36:'Luokittelut'!$MJ$47,6)</f>
        <v>311252</v>
      </c>
      <c r="CQ9" s="12"/>
      <c r="CR9" s="12"/>
      <c r="CS9" s="12"/>
      <c r="CT9" s="12"/>
      <c r="CU9" s="12"/>
      <c r="CV9" s="12"/>
      <c r="CW9" s="12"/>
      <c r="CX9" s="12"/>
      <c r="CY9" s="12"/>
      <c r="CZ9" s="12"/>
      <c r="DA9" s="192"/>
      <c r="DB9" s="192"/>
      <c r="DC9" s="192"/>
      <c r="DD9" s="12"/>
      <c r="DE9" s="12"/>
      <c r="DF9" s="12"/>
      <c r="DG9" s="13"/>
      <c r="DH9" s="13"/>
    </row>
    <row r="10" spans="1:112" x14ac:dyDescent="0.2">
      <c r="A10" s="2" t="s">
        <v>6</v>
      </c>
      <c r="B10" s="12"/>
      <c r="C10" s="12"/>
      <c r="D10" s="12"/>
      <c r="E10" s="12"/>
      <c r="F10" s="12"/>
      <c r="G10" s="12">
        <f>VLOOKUP($B$2,Perusaineisto!$B$3:'Perusaineisto'!$FI$400,14)</f>
        <v>16269</v>
      </c>
      <c r="H10" s="12"/>
      <c r="I10" s="12"/>
      <c r="J10" s="12"/>
      <c r="K10" s="12"/>
      <c r="L10" s="12"/>
      <c r="M10" s="12"/>
      <c r="N10" s="12"/>
      <c r="O10" s="12"/>
      <c r="P10" s="12"/>
      <c r="Q10" s="12"/>
      <c r="R10" s="12"/>
      <c r="S10" s="12"/>
      <c r="T10" s="12"/>
      <c r="U10" s="12"/>
      <c r="V10" s="12"/>
      <c r="W10" s="12"/>
      <c r="X10" s="12"/>
      <c r="Y10" s="12"/>
      <c r="Z10" s="12"/>
      <c r="AA10" s="12"/>
      <c r="AB10" s="12"/>
      <c r="AC10" s="12">
        <f>VLOOKUP($X$2,Perusaineisto!$B$3:'Perusaineisto'!$FI$400,14)</f>
        <v>20457</v>
      </c>
      <c r="AD10" s="12"/>
      <c r="AE10" s="12"/>
      <c r="AF10" s="12"/>
      <c r="AG10" s="12"/>
      <c r="AH10" s="12"/>
      <c r="AI10" s="12"/>
      <c r="AJ10" s="12"/>
      <c r="AK10" s="12"/>
      <c r="AL10" s="12"/>
      <c r="AM10" s="12"/>
      <c r="AN10" s="12"/>
      <c r="AO10" s="12"/>
      <c r="AP10" s="12"/>
      <c r="AQ10" s="12"/>
      <c r="AR10" s="12"/>
      <c r="AY10" s="12">
        <f>VLOOKUP($AT$2,Luokittelut!$A$25:'Luokittelut'!$MJ$31,7)</f>
        <v>590961</v>
      </c>
      <c r="AZ10" s="12"/>
      <c r="BA10" s="12"/>
      <c r="BB10" s="12"/>
      <c r="BC10" s="12"/>
      <c r="BD10" s="12"/>
      <c r="BE10" s="12"/>
      <c r="BF10" s="12"/>
      <c r="BG10" s="12"/>
      <c r="BH10" s="12"/>
      <c r="BI10" s="192"/>
      <c r="BJ10" s="192"/>
      <c r="BK10" s="192"/>
      <c r="BL10" s="12"/>
      <c r="BM10" s="12"/>
      <c r="BN10" s="12"/>
      <c r="BU10" s="12">
        <f>VLOOKUP($BP$2,Luokittelut!$A$3:'Luokittelut'!$MJ$20,7)</f>
        <v>460450</v>
      </c>
      <c r="BV10" s="12"/>
      <c r="BW10" s="12"/>
      <c r="BX10" s="12"/>
      <c r="BY10" s="12"/>
      <c r="BZ10" s="12"/>
      <c r="CA10" s="12"/>
      <c r="CB10" s="12"/>
      <c r="CC10" s="12"/>
      <c r="CD10" s="12"/>
      <c r="CE10" s="192"/>
      <c r="CF10" s="192"/>
      <c r="CG10" s="192"/>
      <c r="CH10" s="12"/>
      <c r="CI10" s="12"/>
      <c r="CJ10" s="12"/>
      <c r="CK10" s="13"/>
      <c r="CQ10" s="12">
        <f>VLOOKUP($CL$2,Luokittelut!$A$36:'Luokittelut'!$MJ$47,7)</f>
        <v>312179</v>
      </c>
      <c r="CR10" s="12"/>
      <c r="CS10" s="12"/>
      <c r="CT10" s="12"/>
      <c r="CU10" s="12"/>
      <c r="CV10" s="12"/>
      <c r="CW10" s="12"/>
      <c r="CX10" s="12"/>
      <c r="CY10" s="12"/>
      <c r="CZ10" s="12"/>
      <c r="DA10" s="192"/>
      <c r="DB10" s="192"/>
      <c r="DC10" s="192"/>
      <c r="DD10" s="12"/>
      <c r="DE10" s="12"/>
      <c r="DF10" s="12"/>
      <c r="DG10" s="13"/>
      <c r="DH10" s="13"/>
    </row>
    <row r="11" spans="1:112" x14ac:dyDescent="0.2">
      <c r="A11" s="2" t="s">
        <v>7</v>
      </c>
      <c r="C11" s="2"/>
      <c r="D11" s="2"/>
      <c r="E11" s="2"/>
      <c r="F11" s="11"/>
      <c r="H11" s="12">
        <f>VLOOKUP($B$2,Perusaineisto!$B$3:'Perusaineisto'!$FI$400,15)</f>
        <v>16324</v>
      </c>
      <c r="I11" s="12"/>
      <c r="J11" s="12"/>
      <c r="K11" s="12"/>
      <c r="L11" s="12"/>
      <c r="M11" s="12"/>
      <c r="N11" s="12"/>
      <c r="O11" s="12"/>
      <c r="P11" s="12"/>
      <c r="Q11" s="12"/>
      <c r="R11" s="12"/>
      <c r="S11" s="12"/>
      <c r="T11" s="12"/>
      <c r="U11" s="12"/>
      <c r="V11" s="12"/>
      <c r="AB11" s="11"/>
      <c r="AD11" s="12">
        <f>VLOOKUP($X$2,Perusaineisto!$B$3:'Perusaineisto'!$FI$400,15)</f>
        <v>20384</v>
      </c>
      <c r="AE11" s="12"/>
      <c r="AF11" s="12"/>
      <c r="AG11" s="12"/>
      <c r="AH11" s="12"/>
      <c r="AI11" s="12"/>
      <c r="AJ11" s="12"/>
      <c r="AK11" s="12"/>
      <c r="AL11" s="12"/>
      <c r="AM11" s="12"/>
      <c r="AN11" s="12"/>
      <c r="AO11" s="12"/>
      <c r="AP11" s="12"/>
      <c r="AQ11" s="12"/>
      <c r="AR11" s="12"/>
      <c r="AX11" s="11"/>
      <c r="AZ11" s="12">
        <f>VLOOKUP($AT$2,Luokittelut!$A$25:'Luokittelut'!$MJ$31,8)</f>
        <v>592782</v>
      </c>
      <c r="BA11" s="12"/>
      <c r="BB11" s="12"/>
      <c r="BC11" s="12"/>
      <c r="BD11" s="12"/>
      <c r="BE11" s="12"/>
      <c r="BF11" s="12"/>
      <c r="BG11" s="12"/>
      <c r="BH11" s="12"/>
      <c r="BI11" s="192"/>
      <c r="BJ11" s="192"/>
      <c r="BK11" s="192"/>
      <c r="BL11" s="12"/>
      <c r="BM11" s="12"/>
      <c r="BN11" s="12"/>
      <c r="BT11" s="11"/>
      <c r="BV11" s="12">
        <f>VLOOKUP($BP$2,Luokittelut!$A$3:'Luokittelut'!$MJ$20,8)</f>
        <v>464586</v>
      </c>
      <c r="BW11" s="12"/>
      <c r="BX11" s="12"/>
      <c r="BY11" s="12"/>
      <c r="BZ11" s="12"/>
      <c r="CA11" s="12"/>
      <c r="CB11" s="12"/>
      <c r="CC11" s="12"/>
      <c r="CD11" s="12"/>
      <c r="CE11" s="192"/>
      <c r="CF11" s="192"/>
      <c r="CG11" s="192"/>
      <c r="CH11" s="12"/>
      <c r="CI11" s="12"/>
      <c r="CJ11" s="12"/>
      <c r="CK11" s="13"/>
      <c r="CP11" s="11"/>
      <c r="CR11" s="12">
        <f>VLOOKUP($CL$2,Luokittelut!$A$36:'Luokittelut'!$MJ$47,8)</f>
        <v>313332</v>
      </c>
      <c r="CS11" s="12"/>
      <c r="CT11" s="12"/>
      <c r="CU11" s="12"/>
      <c r="CV11" s="12"/>
      <c r="CW11" s="12"/>
      <c r="CX11" s="12"/>
      <c r="CY11" s="12"/>
      <c r="CZ11" s="12"/>
      <c r="DA11" s="192"/>
      <c r="DB11" s="192"/>
      <c r="DC11" s="192"/>
      <c r="DD11" s="12"/>
      <c r="DE11" s="12"/>
      <c r="DF11" s="12"/>
      <c r="DG11" s="13"/>
      <c r="DH11" s="13"/>
    </row>
    <row r="12" spans="1:112" x14ac:dyDescent="0.2">
      <c r="A12" s="2" t="s">
        <v>8</v>
      </c>
      <c r="C12" s="2"/>
      <c r="D12" s="2"/>
      <c r="E12" s="2"/>
      <c r="F12" s="11"/>
      <c r="H12" s="12"/>
      <c r="I12" s="12">
        <f>VLOOKUP($B$2,Perusaineisto!$B$3:'Perusaineisto'!$FI$400,16)</f>
        <v>16422</v>
      </c>
      <c r="J12" s="12"/>
      <c r="K12" s="12"/>
      <c r="L12" s="12"/>
      <c r="M12" s="12"/>
      <c r="N12" s="12"/>
      <c r="O12" s="12"/>
      <c r="P12" s="12"/>
      <c r="Q12" s="12"/>
      <c r="R12" s="12"/>
      <c r="S12" s="12"/>
      <c r="T12" s="12"/>
      <c r="U12" s="12"/>
      <c r="V12" s="12"/>
      <c r="AB12" s="11"/>
      <c r="AD12" s="12"/>
      <c r="AE12" s="12">
        <f>VLOOKUP($X$2,Perusaineisto!$B$3:'Perusaineisto'!$FI$400,16)</f>
        <v>20345</v>
      </c>
      <c r="AF12" s="12"/>
      <c r="AG12" s="12"/>
      <c r="AH12" s="12"/>
      <c r="AI12" s="12"/>
      <c r="AJ12" s="12"/>
      <c r="AK12" s="12"/>
      <c r="AL12" s="12"/>
      <c r="AM12" s="12"/>
      <c r="AN12" s="12"/>
      <c r="AO12" s="12"/>
      <c r="AP12" s="12"/>
      <c r="AQ12" s="12"/>
      <c r="AR12" s="12"/>
      <c r="AX12" s="11"/>
      <c r="AZ12" s="12"/>
      <c r="BA12" s="12">
        <f>VLOOKUP($AT$2,Luokittelut!$A$25:'Luokittelut'!$MJ$31,9)</f>
        <v>594283</v>
      </c>
      <c r="BB12" s="12"/>
      <c r="BC12" s="12"/>
      <c r="BD12" s="12"/>
      <c r="BE12" s="12"/>
      <c r="BF12" s="12"/>
      <c r="BG12" s="12"/>
      <c r="BH12" s="12"/>
      <c r="BI12" s="192"/>
      <c r="BJ12" s="192"/>
      <c r="BK12" s="192"/>
      <c r="BL12" s="12"/>
      <c r="BM12" s="12"/>
      <c r="BN12" s="12"/>
      <c r="BT12" s="11"/>
      <c r="BV12" s="12"/>
      <c r="BW12" s="12">
        <f>VLOOKUP($BP$2,Luokittelut!$A$3:'Luokittelut'!$MJ$20,9)</f>
        <v>468604</v>
      </c>
      <c r="BX12" s="12"/>
      <c r="BY12" s="12"/>
      <c r="BZ12" s="12"/>
      <c r="CA12" s="12"/>
      <c r="CB12" s="12"/>
      <c r="CC12" s="12"/>
      <c r="CD12" s="12"/>
      <c r="CE12" s="192"/>
      <c r="CF12" s="192"/>
      <c r="CG12" s="192"/>
      <c r="CH12" s="12"/>
      <c r="CI12" s="12"/>
      <c r="CJ12" s="12"/>
      <c r="CK12" s="13"/>
      <c r="CP12" s="11"/>
      <c r="CR12" s="12"/>
      <c r="CS12" s="12">
        <f>VLOOKUP($CL$2,Luokittelut!$A$36:'Luokittelut'!$MJ$47,9)</f>
        <v>314660</v>
      </c>
      <c r="CT12" s="12"/>
      <c r="CU12" s="12"/>
      <c r="CV12" s="12"/>
      <c r="CW12" s="12"/>
      <c r="CX12" s="12"/>
      <c r="CY12" s="12"/>
      <c r="CZ12" s="12"/>
      <c r="DA12" s="192"/>
      <c r="DB12" s="192"/>
      <c r="DC12" s="192"/>
      <c r="DD12" s="12"/>
      <c r="DE12" s="12"/>
      <c r="DF12" s="12"/>
      <c r="DG12" s="13"/>
      <c r="DH12" s="13"/>
    </row>
    <row r="13" spans="1:112" x14ac:dyDescent="0.2">
      <c r="A13" s="2" t="s">
        <v>453</v>
      </c>
      <c r="C13" s="2"/>
      <c r="D13" s="2"/>
      <c r="E13" s="2"/>
      <c r="F13" s="11"/>
      <c r="H13" s="12"/>
      <c r="I13" s="12"/>
      <c r="J13" s="12">
        <f>VLOOKUP($B$2,Perusaineisto!$B$3:'Perusaineisto'!$FI$400,17)</f>
        <v>16586</v>
      </c>
      <c r="K13" s="12"/>
      <c r="L13" s="12"/>
      <c r="M13" s="12"/>
      <c r="N13" s="12"/>
      <c r="O13" s="12"/>
      <c r="P13" s="12"/>
      <c r="Q13" s="12"/>
      <c r="R13" s="12"/>
      <c r="S13" s="12"/>
      <c r="T13" s="12"/>
      <c r="U13" s="12"/>
      <c r="V13" s="12"/>
      <c r="AB13" s="11"/>
      <c r="AD13" s="12"/>
      <c r="AE13" s="12"/>
      <c r="AF13" s="12">
        <f>VLOOKUP($X$2,Perusaineisto!$B$3:'Perusaineisto'!$FI$400,17)</f>
        <v>20341</v>
      </c>
      <c r="AG13" s="12"/>
      <c r="AH13" s="12"/>
      <c r="AI13" s="12"/>
      <c r="AJ13" s="12"/>
      <c r="AK13" s="12"/>
      <c r="AL13" s="12"/>
      <c r="AM13" s="12"/>
      <c r="AN13" s="12"/>
      <c r="AO13" s="12"/>
      <c r="AP13" s="12"/>
      <c r="AQ13" s="12"/>
      <c r="AR13" s="12"/>
      <c r="AX13" s="11"/>
      <c r="AZ13" s="12"/>
      <c r="BA13" s="12"/>
      <c r="BB13" s="12">
        <f>VLOOKUP($AT$2,Luokittelut!$A$25:'Luokittelut'!$MJ$31,10)</f>
        <v>596806</v>
      </c>
      <c r="BC13" s="12"/>
      <c r="BD13" s="12"/>
      <c r="BE13" s="12"/>
      <c r="BF13" s="12"/>
      <c r="BG13" s="12"/>
      <c r="BH13" s="12"/>
      <c r="BI13" s="192"/>
      <c r="BJ13" s="192"/>
      <c r="BK13" s="192"/>
      <c r="BL13" s="12"/>
      <c r="BM13" s="12"/>
      <c r="BN13" s="12"/>
      <c r="BT13" s="11"/>
      <c r="BV13" s="12"/>
      <c r="BW13" s="12"/>
      <c r="BX13" s="12">
        <f>VLOOKUP($BP$2,Luokittelut!$A$3:'Luokittelut'!$MJ$20,10)</f>
        <v>472914</v>
      </c>
      <c r="BY13" s="12"/>
      <c r="BZ13" s="12"/>
      <c r="CA13" s="12"/>
      <c r="CB13" s="12"/>
      <c r="CC13" s="12"/>
      <c r="CD13" s="12"/>
      <c r="CE13" s="192"/>
      <c r="CF13" s="192"/>
      <c r="CG13" s="192"/>
      <c r="CH13" s="12"/>
      <c r="CI13" s="12"/>
      <c r="CJ13" s="12"/>
      <c r="CK13" s="13"/>
      <c r="CP13" s="11"/>
      <c r="CR13" s="12"/>
      <c r="CS13" s="12"/>
      <c r="CT13" s="12">
        <f>VLOOKUP($CL$2,Luokittelut!$A$36:'Luokittelut'!$MJ$47,10)</f>
        <v>316848</v>
      </c>
      <c r="CU13" s="12"/>
      <c r="CV13" s="12"/>
      <c r="CW13" s="12"/>
      <c r="CX13" s="12"/>
      <c r="CY13" s="12"/>
      <c r="CZ13" s="12"/>
      <c r="DA13" s="192"/>
      <c r="DB13" s="192"/>
      <c r="DC13" s="192"/>
      <c r="DD13" s="12"/>
      <c r="DE13" s="12"/>
      <c r="DF13" s="12"/>
      <c r="DG13" s="13"/>
      <c r="DH13" s="13"/>
    </row>
    <row r="14" spans="1:112" x14ac:dyDescent="0.2">
      <c r="A14" s="2" t="s">
        <v>466</v>
      </c>
      <c r="C14" s="2"/>
      <c r="D14" s="2"/>
      <c r="E14" s="2"/>
      <c r="F14" s="11"/>
      <c r="H14" s="12"/>
      <c r="I14" s="12"/>
      <c r="J14" s="12"/>
      <c r="K14" s="12">
        <f>VLOOKUP($B$2,Perusaineisto!$B$3:'Perusaineisto'!$FI$400,18)</f>
        <v>16738</v>
      </c>
      <c r="L14" s="12"/>
      <c r="M14" s="12"/>
      <c r="N14" s="12"/>
      <c r="O14" s="12"/>
      <c r="P14" s="12"/>
      <c r="Q14" s="12"/>
      <c r="R14" s="12"/>
      <c r="S14" s="12"/>
      <c r="T14" s="12"/>
      <c r="U14" s="12"/>
      <c r="V14" s="12"/>
      <c r="AB14" s="11"/>
      <c r="AD14" s="12"/>
      <c r="AE14" s="12"/>
      <c r="AF14" s="12"/>
      <c r="AG14" s="12">
        <f>VLOOKUP($X$2,Perusaineisto!$B$3:'Perusaineisto'!$FI$400,18)</f>
        <v>20404</v>
      </c>
      <c r="AH14" s="12"/>
      <c r="AI14" s="12"/>
      <c r="AJ14" s="12"/>
      <c r="AK14" s="12"/>
      <c r="AL14" s="12"/>
      <c r="AM14" s="12"/>
      <c r="AN14" s="12"/>
      <c r="AO14" s="12"/>
      <c r="AP14" s="12"/>
      <c r="AQ14" s="12"/>
      <c r="AR14" s="12"/>
      <c r="AX14" s="11"/>
      <c r="AZ14" s="12"/>
      <c r="BA14" s="12"/>
      <c r="BB14" s="12"/>
      <c r="BC14" s="12">
        <f>VLOOKUP($AT$2,Luokittelut!$A$25:'Luokittelut'!$MJ$31,11)</f>
        <v>598909</v>
      </c>
      <c r="BD14" s="12"/>
      <c r="BE14" s="12"/>
      <c r="BF14" s="12"/>
      <c r="BG14" s="12"/>
      <c r="BH14" s="12"/>
      <c r="BI14" s="192"/>
      <c r="BJ14" s="192"/>
      <c r="BK14" s="192"/>
      <c r="BL14" s="12"/>
      <c r="BM14" s="12"/>
      <c r="BN14" s="12"/>
      <c r="BT14" s="11"/>
      <c r="BV14" s="12"/>
      <c r="BW14" s="12"/>
      <c r="BX14" s="12"/>
      <c r="BY14" s="12">
        <f>VLOOKUP($BP$2,Luokittelut!$A$3:'Luokittelut'!$MJ$20,11)</f>
        <v>477931</v>
      </c>
      <c r="BZ14" s="12"/>
      <c r="CA14" s="12"/>
      <c r="CB14" s="12"/>
      <c r="CC14" s="12"/>
      <c r="CD14" s="12"/>
      <c r="CE14" s="192"/>
      <c r="CF14" s="192"/>
      <c r="CG14" s="192"/>
      <c r="CH14" s="12"/>
      <c r="CI14" s="12"/>
      <c r="CJ14" s="12"/>
      <c r="CK14" s="13"/>
      <c r="CP14" s="11"/>
      <c r="CR14" s="12"/>
      <c r="CS14" s="12"/>
      <c r="CT14" s="12"/>
      <c r="CU14" s="12">
        <f>VLOOKUP($CL$2,Luokittelut!$A$36:'Luokittelut'!$MJ$47,11)</f>
        <v>319376</v>
      </c>
      <c r="CV14" s="12"/>
      <c r="CW14" s="12"/>
      <c r="CX14" s="12"/>
      <c r="CY14" s="12"/>
      <c r="CZ14" s="12"/>
      <c r="DA14" s="192"/>
      <c r="DB14" s="192"/>
      <c r="DC14" s="192"/>
      <c r="DD14" s="12"/>
      <c r="DE14" s="12"/>
      <c r="DF14" s="12"/>
      <c r="DG14" s="13"/>
      <c r="DH14" s="13"/>
    </row>
    <row r="15" spans="1:112" x14ac:dyDescent="0.2">
      <c r="A15" s="2" t="s">
        <v>515</v>
      </c>
      <c r="C15" s="2"/>
      <c r="D15" s="2"/>
      <c r="E15" s="2"/>
      <c r="F15" s="11"/>
      <c r="H15" s="12"/>
      <c r="I15" s="12"/>
      <c r="J15" s="12"/>
      <c r="K15" s="12"/>
      <c r="L15" s="12">
        <f>VLOOKUP($B$2,Perusaineisto!$B$3:'Perusaineisto'!$FI$400,19)</f>
        <v>16837</v>
      </c>
      <c r="M15" s="12"/>
      <c r="N15" s="12"/>
      <c r="O15" s="12"/>
      <c r="P15" s="12"/>
      <c r="Q15" s="12"/>
      <c r="R15" s="12"/>
      <c r="S15" s="12"/>
      <c r="T15" s="12"/>
      <c r="U15" s="12"/>
      <c r="V15" s="12"/>
      <c r="AB15" s="11"/>
      <c r="AD15" s="12"/>
      <c r="AE15" s="12"/>
      <c r="AF15" s="12"/>
      <c r="AG15" s="12"/>
      <c r="AH15" s="12">
        <f>VLOOKUP($X$2,Perusaineisto!$B$3:'Perusaineisto'!$FI$400,19)</f>
        <v>20325</v>
      </c>
      <c r="AI15" s="12"/>
      <c r="AJ15" s="12"/>
      <c r="AK15" s="12"/>
      <c r="AL15" s="12"/>
      <c r="AM15" s="12"/>
      <c r="AN15" s="12"/>
      <c r="AO15" s="12"/>
      <c r="AP15" s="12"/>
      <c r="AQ15" s="12"/>
      <c r="AR15" s="12"/>
      <c r="AX15" s="11"/>
      <c r="AZ15" s="12"/>
      <c r="BA15" s="12"/>
      <c r="BB15" s="12"/>
      <c r="BC15" s="12"/>
      <c r="BD15" s="12">
        <f>VLOOKUP($AT$2,Luokittelut!$A$25:'Luokittelut'!$MJ$31,12)</f>
        <v>600298</v>
      </c>
      <c r="BE15" s="12"/>
      <c r="BF15" s="12"/>
      <c r="BG15" s="12"/>
      <c r="BH15" s="12"/>
      <c r="BI15" s="192"/>
      <c r="BJ15" s="192"/>
      <c r="BK15" s="192"/>
      <c r="BL15" s="12"/>
      <c r="BM15" s="12"/>
      <c r="BN15" s="12"/>
      <c r="BT15" s="11"/>
      <c r="BV15" s="12"/>
      <c r="BW15" s="12"/>
      <c r="BX15" s="12"/>
      <c r="BY15" s="12"/>
      <c r="BZ15" s="12">
        <f>VLOOKUP($BP$2,Luokittelut!$A$3:'Luokittelut'!$MJ$20,12)</f>
        <v>481999</v>
      </c>
      <c r="CA15" s="12"/>
      <c r="CB15" s="12"/>
      <c r="CC15" s="12"/>
      <c r="CD15" s="12"/>
      <c r="CE15" s="192"/>
      <c r="CF15" s="192"/>
      <c r="CG15" s="192"/>
      <c r="CH15" s="12"/>
      <c r="CI15" s="12"/>
      <c r="CJ15" s="12"/>
      <c r="CK15" s="13"/>
      <c r="CP15" s="11"/>
      <c r="CR15" s="12"/>
      <c r="CS15" s="12"/>
      <c r="CT15" s="12"/>
      <c r="CU15" s="12"/>
      <c r="CV15" s="12">
        <f>VLOOKUP($CL$2,Luokittelut!$A$36:'Luokittelut'!$MJ$47,12)</f>
        <v>321030</v>
      </c>
      <c r="CW15" s="12"/>
      <c r="CX15" s="12"/>
      <c r="CY15" s="12"/>
      <c r="CZ15" s="12"/>
      <c r="DA15" s="192"/>
      <c r="DB15" s="192"/>
      <c r="DC15" s="192"/>
      <c r="DD15" s="12"/>
      <c r="DE15" s="12"/>
      <c r="DF15" s="12"/>
      <c r="DG15" s="13"/>
      <c r="DH15" s="13"/>
    </row>
    <row r="16" spans="1:112" x14ac:dyDescent="0.2">
      <c r="A16" s="2" t="s">
        <v>542</v>
      </c>
      <c r="C16" s="2"/>
      <c r="D16" s="2"/>
      <c r="E16" s="2"/>
      <c r="F16" s="11"/>
      <c r="H16" s="12"/>
      <c r="I16" s="12"/>
      <c r="J16" s="12"/>
      <c r="K16" s="12"/>
      <c r="L16" s="12"/>
      <c r="M16" s="12">
        <f>VLOOKUP($B$2,Perusaineisto!$B$3:'Perusaineisto'!$FX$333,165)</f>
        <v>16858</v>
      </c>
      <c r="N16" s="12"/>
      <c r="O16" s="12"/>
      <c r="P16" s="12"/>
      <c r="Q16" s="12"/>
      <c r="R16" s="12"/>
      <c r="S16" s="12"/>
      <c r="T16" s="12"/>
      <c r="U16" s="12"/>
      <c r="V16" s="12"/>
      <c r="AB16" s="11"/>
      <c r="AD16" s="12"/>
      <c r="AE16" s="12"/>
      <c r="AF16" s="12"/>
      <c r="AG16" s="12"/>
      <c r="AH16" s="12"/>
      <c r="AI16" s="12">
        <f>VLOOKUP($X$2,Perusaineisto!$B$3:'Perusaineisto'!$FX$333,165)</f>
        <v>20243</v>
      </c>
      <c r="AJ16" s="12"/>
      <c r="AK16" s="12"/>
      <c r="AL16" s="12"/>
      <c r="AM16" s="12"/>
      <c r="AN16" s="12"/>
      <c r="AO16" s="12"/>
      <c r="AP16" s="12"/>
      <c r="AQ16" s="12"/>
      <c r="AR16" s="12"/>
      <c r="AX16" s="11"/>
      <c r="AZ16" s="12"/>
      <c r="BA16" s="12"/>
      <c r="BB16" s="12"/>
      <c r="BC16" s="12"/>
      <c r="BD16" s="12"/>
      <c r="BE16" s="12">
        <f>VLOOKUP($AT$2,Luokittelut!$A$25:'Luokittelut'!$MJ$31,158)</f>
        <v>602027</v>
      </c>
      <c r="BF16" s="12"/>
      <c r="BG16" s="12"/>
      <c r="BH16" s="12"/>
      <c r="BI16" s="192"/>
      <c r="BJ16" s="192"/>
      <c r="BK16" s="192"/>
      <c r="BL16" s="12"/>
      <c r="BM16" s="12"/>
      <c r="BN16" s="12"/>
      <c r="BT16" s="11"/>
      <c r="BV16" s="12"/>
      <c r="BW16" s="12"/>
      <c r="BX16" s="12"/>
      <c r="BY16" s="12"/>
      <c r="BZ16" s="12"/>
      <c r="CA16" s="12">
        <f>VLOOKUP($BP$2,Luokittelut!$A$3:'Luokittelut'!$MJ$20,158)</f>
        <v>485706</v>
      </c>
      <c r="CB16" s="12"/>
      <c r="CC16" s="12"/>
      <c r="CD16" s="12"/>
      <c r="CE16" s="192"/>
      <c r="CF16" s="192"/>
      <c r="CG16" s="192"/>
      <c r="CH16" s="12"/>
      <c r="CI16" s="12"/>
      <c r="CJ16" s="12"/>
      <c r="CK16" s="13"/>
      <c r="CP16" s="11"/>
      <c r="CR16" s="12"/>
      <c r="CS16" s="12"/>
      <c r="CT16" s="12"/>
      <c r="CU16" s="12"/>
      <c r="CV16" s="12"/>
      <c r="CW16" s="12">
        <f>VLOOKUP($CL$2,Luokittelut!$A$36:'Luokittelut'!$MJ$47,158)</f>
        <v>322406</v>
      </c>
      <c r="CX16" s="12"/>
      <c r="CY16" s="12"/>
      <c r="CZ16" s="12"/>
      <c r="DA16" s="192"/>
      <c r="DB16" s="192"/>
      <c r="DC16" s="192"/>
      <c r="DD16" s="12"/>
      <c r="DE16" s="12"/>
      <c r="DF16" s="12"/>
      <c r="DG16" s="13"/>
      <c r="DH16" s="13"/>
    </row>
    <row r="17" spans="1:112" x14ac:dyDescent="0.2">
      <c r="A17" s="2" t="s">
        <v>561</v>
      </c>
      <c r="C17" s="2"/>
      <c r="D17" s="2"/>
      <c r="E17" s="2"/>
      <c r="F17" s="11"/>
      <c r="H17" s="12"/>
      <c r="I17" s="12"/>
      <c r="J17" s="12"/>
      <c r="K17" s="12"/>
      <c r="L17" s="12"/>
      <c r="M17" s="12"/>
      <c r="N17" s="12">
        <f>VLOOKUP($B$2,Perusaineisto!$B$3:'Perusaineisto'!$GO$321,180)</f>
        <v>17012</v>
      </c>
      <c r="O17" s="12"/>
      <c r="P17" s="12"/>
      <c r="Q17" s="12"/>
      <c r="R17" s="12"/>
      <c r="S17" s="12"/>
      <c r="T17" s="12"/>
      <c r="U17" s="12"/>
      <c r="V17" s="12"/>
      <c r="AB17" s="11"/>
      <c r="AD17" s="12"/>
      <c r="AE17" s="12"/>
      <c r="AF17" s="12"/>
      <c r="AG17" s="12"/>
      <c r="AH17" s="12"/>
      <c r="AI17" s="12"/>
      <c r="AJ17" s="12">
        <f>VLOOKUP($X$2,Perusaineisto!$B$3:'Perusaineisto'!$GO$321,180)</f>
        <v>20244</v>
      </c>
      <c r="AK17" s="12"/>
      <c r="AL17" s="12"/>
      <c r="AM17" s="12"/>
      <c r="AN17" s="12"/>
      <c r="AO17" s="12"/>
      <c r="AP17" s="12"/>
      <c r="AQ17" s="12"/>
      <c r="AR17" s="12"/>
      <c r="AX17" s="11"/>
      <c r="AZ17" s="12"/>
      <c r="BA17" s="12"/>
      <c r="BB17" s="12"/>
      <c r="BC17" s="12"/>
      <c r="BD17" s="12"/>
      <c r="BE17" s="12"/>
      <c r="BF17" s="12">
        <f>VLOOKUP($AT$2,Luokittelut!$A$25:'Luokittelut'!$MJ$31,173)</f>
        <v>603167</v>
      </c>
      <c r="BG17" s="12"/>
      <c r="BH17" s="12"/>
      <c r="BI17" s="192"/>
      <c r="BJ17" s="192"/>
      <c r="BK17" s="192"/>
      <c r="BL17" s="12"/>
      <c r="BM17" s="12"/>
      <c r="BN17" s="12"/>
      <c r="BT17" s="11"/>
      <c r="BV17" s="12"/>
      <c r="BW17" s="12"/>
      <c r="BX17" s="12"/>
      <c r="BY17" s="12"/>
      <c r="BZ17" s="12"/>
      <c r="CA17" s="12"/>
      <c r="CB17" s="12">
        <f>VLOOKUP($BP$2,Luokittelut!$A$3:'Luokittelut'!$MJ$20,173)</f>
        <v>489192</v>
      </c>
      <c r="CC17" s="12"/>
      <c r="CD17" s="12"/>
      <c r="CE17" s="192"/>
      <c r="CF17" s="192"/>
      <c r="CG17" s="192"/>
      <c r="CH17" s="12"/>
      <c r="CI17" s="12"/>
      <c r="CJ17" s="12"/>
      <c r="CK17" s="13"/>
      <c r="CP17" s="11"/>
      <c r="CR17" s="12"/>
      <c r="CS17" s="12"/>
      <c r="CT17" s="12"/>
      <c r="CU17" s="12"/>
      <c r="CV17" s="12"/>
      <c r="CW17" s="12"/>
      <c r="CX17" s="12">
        <f>VLOOKUP($CL$2,Luokittelut!$A$36:'Luokittelut'!$MJ$47,173)</f>
        <v>323519</v>
      </c>
      <c r="CY17" s="12"/>
      <c r="CZ17" s="12"/>
      <c r="DA17" s="192"/>
      <c r="DB17" s="192"/>
      <c r="DC17" s="192"/>
      <c r="DD17" s="12"/>
      <c r="DE17" s="12"/>
      <c r="DF17" s="12"/>
      <c r="DG17" s="13"/>
      <c r="DH17" s="13"/>
    </row>
    <row r="18" spans="1:112" x14ac:dyDescent="0.2">
      <c r="A18" s="2" t="s">
        <v>596</v>
      </c>
      <c r="C18" s="2"/>
      <c r="D18" s="2"/>
      <c r="E18" s="2"/>
      <c r="F18" s="11"/>
      <c r="H18" s="12"/>
      <c r="I18" s="12"/>
      <c r="J18" s="12"/>
      <c r="K18" s="12"/>
      <c r="L18" s="12"/>
      <c r="M18" s="12"/>
      <c r="N18" s="12"/>
      <c r="O18" s="12">
        <f>VLOOKUP($B$2,Perusaineisto!$B$3:'Perusaineisto'!$HU$333,197)</f>
        <v>17091</v>
      </c>
      <c r="P18" s="12"/>
      <c r="Q18" s="12"/>
      <c r="R18" s="12"/>
      <c r="S18" s="12"/>
      <c r="T18" s="12"/>
      <c r="U18" s="12"/>
      <c r="V18" s="12"/>
      <c r="AB18" s="11"/>
      <c r="AD18" s="12"/>
      <c r="AE18" s="12"/>
      <c r="AF18" s="12"/>
      <c r="AG18" s="12"/>
      <c r="AH18" s="12"/>
      <c r="AI18" s="12"/>
      <c r="AJ18" s="12"/>
      <c r="AK18" s="12">
        <f>VLOOKUP($X$2,Perusaineisto!$B$3:'Perusaineisto'!$HU$333,197)</f>
        <v>20334</v>
      </c>
      <c r="AL18" s="12"/>
      <c r="AM18" s="12"/>
      <c r="AN18" s="12"/>
      <c r="AO18" s="12"/>
      <c r="AP18" s="12"/>
      <c r="AQ18" s="12"/>
      <c r="AR18" s="12"/>
      <c r="AX18" s="11"/>
      <c r="AZ18" s="12"/>
      <c r="BA18" s="12"/>
      <c r="BB18" s="12"/>
      <c r="BC18" s="12"/>
      <c r="BD18" s="12"/>
      <c r="BE18" s="12"/>
      <c r="BF18" s="12"/>
      <c r="BG18" s="12">
        <f>VLOOKUP($AT$2,Luokittelut!$A$25:'Luokittelut'!$MJ$31,190)</f>
        <v>605163</v>
      </c>
      <c r="BH18" s="12"/>
      <c r="BI18" s="192"/>
      <c r="BJ18" s="192"/>
      <c r="BK18" s="192"/>
      <c r="BL18" s="12"/>
      <c r="BM18" s="12"/>
      <c r="BN18" s="12"/>
      <c r="BT18" s="11"/>
      <c r="BV18" s="12"/>
      <c r="BW18" s="12"/>
      <c r="BX18" s="12"/>
      <c r="BY18" s="12"/>
      <c r="BZ18" s="12"/>
      <c r="CA18" s="12"/>
      <c r="CB18" s="12"/>
      <c r="CC18" s="12">
        <f>VLOOKUP($BP$2,Luokittelut!$A$3:'Luokittelut'!$MJ$20,190)</f>
        <v>492737</v>
      </c>
      <c r="CD18" s="12"/>
      <c r="CE18" s="192"/>
      <c r="CF18" s="192"/>
      <c r="CG18" s="192"/>
      <c r="CH18" s="12"/>
      <c r="CI18" s="12"/>
      <c r="CJ18" s="12"/>
      <c r="CK18" s="13"/>
      <c r="CP18" s="11"/>
      <c r="CR18" s="12"/>
      <c r="CS18" s="12"/>
      <c r="CT18" s="12"/>
      <c r="CU18" s="12"/>
      <c r="CV18" s="12"/>
      <c r="CW18" s="12"/>
      <c r="CX18" s="12"/>
      <c r="CY18" s="12">
        <f>VLOOKUP($CL$2,Luokittelut!$A$36:'Luokittelut'!$MJ$47,190)</f>
        <v>324309</v>
      </c>
      <c r="CZ18" s="12"/>
      <c r="DA18" s="192"/>
      <c r="DB18" s="192"/>
      <c r="DC18" s="192"/>
      <c r="DD18" s="12"/>
      <c r="DE18" s="12"/>
      <c r="DF18" s="12"/>
      <c r="DG18" s="13"/>
      <c r="DH18" s="13"/>
    </row>
    <row r="19" spans="1:112" x14ac:dyDescent="0.2">
      <c r="A19" s="2" t="s">
        <v>597</v>
      </c>
      <c r="C19" s="2"/>
      <c r="D19" s="2"/>
      <c r="E19" s="2"/>
      <c r="F19" s="11"/>
      <c r="H19" s="12"/>
      <c r="I19" s="12"/>
      <c r="J19" s="12"/>
      <c r="K19" s="12"/>
      <c r="L19" s="12"/>
      <c r="M19" s="12"/>
      <c r="N19" s="12"/>
      <c r="O19" s="12"/>
      <c r="P19" s="12">
        <f>VLOOKUP($B$2,Perusaineisto!$B$3:'Perusaineisto'!$HU$333,212)</f>
        <v>17134</v>
      </c>
      <c r="Q19" s="12"/>
      <c r="R19" s="12"/>
      <c r="S19" s="12"/>
      <c r="T19" s="12"/>
      <c r="U19" s="12"/>
      <c r="V19" s="12"/>
      <c r="AB19" s="11"/>
      <c r="AD19" s="12"/>
      <c r="AE19" s="12"/>
      <c r="AF19" s="12"/>
      <c r="AG19" s="12"/>
      <c r="AH19" s="12"/>
      <c r="AI19" s="12"/>
      <c r="AJ19" s="12"/>
      <c r="AK19" s="12"/>
      <c r="AL19" s="12">
        <f>VLOOKUP($X$2,Perusaineisto!$B$3:'Perusaineisto'!$HU$333,212)</f>
        <v>20265</v>
      </c>
      <c r="AM19" s="12"/>
      <c r="AN19" s="12"/>
      <c r="AO19" s="12"/>
      <c r="AP19" s="12"/>
      <c r="AQ19" s="12"/>
      <c r="AR19" s="12"/>
      <c r="AX19" s="11"/>
      <c r="AZ19" s="12"/>
      <c r="BA19" s="12"/>
      <c r="BB19" s="12"/>
      <c r="BC19" s="12"/>
      <c r="BD19" s="12"/>
      <c r="BE19" s="12"/>
      <c r="BF19" s="12"/>
      <c r="BG19" s="12"/>
      <c r="BH19" s="12">
        <f>VLOOKUP($AT$2,Luokittelut!$A$25:'Luokittelut'!$MJ$31,205)</f>
        <v>605855</v>
      </c>
      <c r="BI19" s="192"/>
      <c r="BJ19" s="192"/>
      <c r="BK19" s="192"/>
      <c r="BL19" s="12"/>
      <c r="BM19" s="12"/>
      <c r="BN19" s="12"/>
      <c r="BT19" s="11"/>
      <c r="BV19" s="12"/>
      <c r="BW19" s="12"/>
      <c r="BX19" s="12"/>
      <c r="BY19" s="12"/>
      <c r="BZ19" s="12"/>
      <c r="CA19" s="12"/>
      <c r="CB19" s="12"/>
      <c r="CC19" s="12"/>
      <c r="CD19" s="12">
        <f>VLOOKUP($BP$2,Luokittelut!$A$3:'Luokittelut'!$MJ$20,205)</f>
        <v>496568</v>
      </c>
      <c r="CE19" s="192"/>
      <c r="CF19" s="192"/>
      <c r="CG19" s="192"/>
      <c r="CH19" s="12"/>
      <c r="CI19" s="12"/>
      <c r="CJ19" s="12"/>
      <c r="CK19" s="13"/>
      <c r="CP19" s="11"/>
      <c r="CR19" s="12"/>
      <c r="CS19" s="12"/>
      <c r="CT19" s="12"/>
      <c r="CU19" s="12"/>
      <c r="CV19" s="12"/>
      <c r="CW19" s="12"/>
      <c r="CX19" s="12"/>
      <c r="CY19" s="12"/>
      <c r="CZ19" s="12">
        <f>VLOOKUP($CL$2,Luokittelut!$A$36:'Luokittelut'!$MJ$47,205)</f>
        <v>324578</v>
      </c>
      <c r="DA19" s="192"/>
      <c r="DB19" s="192"/>
      <c r="DC19" s="192"/>
      <c r="DD19" s="12"/>
      <c r="DE19" s="12"/>
      <c r="DF19" s="12"/>
      <c r="DG19" s="13"/>
      <c r="DH19" s="13"/>
    </row>
    <row r="20" spans="1:112" x14ac:dyDescent="0.2">
      <c r="A20" s="2" t="s">
        <v>681</v>
      </c>
      <c r="C20" s="2"/>
      <c r="D20" s="2"/>
      <c r="E20" s="2"/>
      <c r="F20" s="11"/>
      <c r="H20" s="12"/>
      <c r="I20" s="12"/>
      <c r="J20" s="12"/>
      <c r="K20" s="12"/>
      <c r="L20" s="12"/>
      <c r="M20" s="12"/>
      <c r="N20" s="12"/>
      <c r="O20" s="12"/>
      <c r="P20" s="12"/>
      <c r="Q20" s="12">
        <f>VLOOKUP($B$2,Perusaineisto2!$B$3:'Perusaineisto2'!$CS$300,45)</f>
        <v>17108</v>
      </c>
      <c r="R20" s="12"/>
      <c r="S20" s="12"/>
      <c r="T20" s="12"/>
      <c r="U20" s="12"/>
      <c r="V20" s="12"/>
      <c r="AB20" s="11"/>
      <c r="AD20" s="12"/>
      <c r="AE20" s="12"/>
      <c r="AF20" s="12"/>
      <c r="AG20" s="12"/>
      <c r="AH20" s="12"/>
      <c r="AI20" s="12"/>
      <c r="AJ20" s="12"/>
      <c r="AK20" s="12"/>
      <c r="AL20" s="12"/>
      <c r="AM20" s="12">
        <f>VLOOKUP($X$2,Perusaineisto2!$B$3:'Perusaineisto2'!$CS$300,45)</f>
        <v>20077</v>
      </c>
      <c r="AN20" s="12"/>
      <c r="AO20" s="12"/>
      <c r="AP20" s="12"/>
      <c r="AQ20" s="12"/>
      <c r="AR20" s="12"/>
      <c r="AX20" s="11"/>
      <c r="AZ20" s="12"/>
      <c r="BA20" s="12"/>
      <c r="BB20" s="12"/>
      <c r="BC20" s="12"/>
      <c r="BD20" s="12"/>
      <c r="BE20" s="12"/>
      <c r="BF20" s="12"/>
      <c r="BG20" s="12"/>
      <c r="BH20" s="12"/>
      <c r="BI20" s="192">
        <f>VLOOKUP($AT$2,Luokittelut!$A$25:'Luokittelut'!$MJ$31,258)</f>
        <v>605769</v>
      </c>
      <c r="BJ20" s="192"/>
      <c r="BK20" s="192"/>
      <c r="BL20" s="12"/>
      <c r="BM20" s="12"/>
      <c r="BN20" s="12"/>
      <c r="BT20" s="11"/>
      <c r="BV20" s="12"/>
      <c r="BW20" s="12"/>
      <c r="BX20" s="12"/>
      <c r="BY20" s="12"/>
      <c r="BZ20" s="12"/>
      <c r="CA20" s="12"/>
      <c r="CB20" s="12"/>
      <c r="CC20" s="12"/>
      <c r="CD20" s="12"/>
      <c r="CE20" s="192">
        <f>VLOOKUP($BP$2,Luokittelut!$A$3:'Luokittelut'!$MJ$20,258)</f>
        <v>500166</v>
      </c>
      <c r="CF20" s="192"/>
      <c r="CG20" s="192"/>
      <c r="CH20" s="12"/>
      <c r="CI20" s="12"/>
      <c r="CJ20" s="12"/>
      <c r="CK20" s="13"/>
      <c r="CP20" s="11"/>
      <c r="CR20" s="12"/>
      <c r="CS20" s="12"/>
      <c r="CT20" s="12"/>
      <c r="CU20" s="12"/>
      <c r="CV20" s="12"/>
      <c r="CW20" s="12"/>
      <c r="CX20" s="12"/>
      <c r="CY20" s="12"/>
      <c r="CZ20" s="12"/>
      <c r="DA20" s="192">
        <f>VLOOKUP($CL$2,Luokittelut!$A$36:'Luokittelut'!$MJ$47,258)</f>
        <v>324450</v>
      </c>
      <c r="DB20" s="192"/>
      <c r="DC20" s="192"/>
      <c r="DD20" s="12"/>
      <c r="DE20" s="12"/>
      <c r="DF20" s="12"/>
      <c r="DG20" s="13"/>
      <c r="DH20" s="13"/>
    </row>
    <row r="21" spans="1:112" x14ac:dyDescent="0.2">
      <c r="A21" s="2" t="s">
        <v>682</v>
      </c>
      <c r="C21" s="2"/>
      <c r="D21" s="2"/>
      <c r="E21" s="2"/>
      <c r="F21" s="11"/>
      <c r="H21" s="12"/>
      <c r="I21" s="12"/>
      <c r="J21" s="12"/>
      <c r="K21" s="12"/>
      <c r="L21" s="12"/>
      <c r="M21" s="12"/>
      <c r="N21" s="12"/>
      <c r="O21" s="12"/>
      <c r="P21" s="12"/>
      <c r="Q21" s="12"/>
      <c r="R21" s="12">
        <f>VLOOKUP($B$2,Perusaineisto2!$B$3:'Perusaineisto2'!$CS$300,63)</f>
        <v>17052</v>
      </c>
      <c r="S21" s="12"/>
      <c r="T21" s="12"/>
      <c r="U21" s="12"/>
      <c r="V21" s="12"/>
      <c r="AB21" s="11"/>
      <c r="AD21" s="12"/>
      <c r="AE21" s="12"/>
      <c r="AF21" s="12"/>
      <c r="AG21" s="12"/>
      <c r="AH21" s="12"/>
      <c r="AI21" s="12"/>
      <c r="AJ21" s="12"/>
      <c r="AK21" s="12"/>
      <c r="AL21" s="12"/>
      <c r="AM21" s="12"/>
      <c r="AN21" s="12">
        <f>VLOOKUP($X$2,Perusaineisto2!$B$3:'Perusaineisto2'!$CS$300,63)</f>
        <v>19909</v>
      </c>
      <c r="AO21" s="12"/>
      <c r="AP21" s="12"/>
      <c r="AQ21" s="12"/>
      <c r="AR21" s="12"/>
      <c r="AX21" s="11"/>
      <c r="AZ21" s="12"/>
      <c r="BA21" s="12"/>
      <c r="BB21" s="12"/>
      <c r="BC21" s="12"/>
      <c r="BD21" s="12"/>
      <c r="BE21" s="12"/>
      <c r="BF21" s="12"/>
      <c r="BG21" s="12"/>
      <c r="BH21" s="12"/>
      <c r="BI21" s="192"/>
      <c r="BJ21" s="192">
        <f>VLOOKUP($AT$2,Luokittelut!$A$25:'Luokittelut'!$MJ$31,273)</f>
        <v>605504</v>
      </c>
      <c r="BK21" s="192"/>
      <c r="BL21" s="12"/>
      <c r="BM21" s="12"/>
      <c r="BN21" s="12"/>
      <c r="BT21" s="11"/>
      <c r="BV21" s="12"/>
      <c r="BW21" s="12"/>
      <c r="BX21" s="12"/>
      <c r="BY21" s="12"/>
      <c r="BZ21" s="12"/>
      <c r="CA21" s="12"/>
      <c r="CB21" s="12"/>
      <c r="CC21" s="12"/>
      <c r="CD21" s="12"/>
      <c r="CE21" s="192"/>
      <c r="CF21" s="192">
        <f>VLOOKUP($BP$2,Luokittelut!$A$3:'Luokittelut'!$MJ$20,273)</f>
        <v>503382</v>
      </c>
      <c r="CG21" s="192"/>
      <c r="CH21" s="12"/>
      <c r="CI21" s="12"/>
      <c r="CJ21" s="12"/>
      <c r="CK21" s="13"/>
      <c r="CP21" s="11"/>
      <c r="CR21" s="12"/>
      <c r="CS21" s="12"/>
      <c r="CT21" s="12"/>
      <c r="CU21" s="12"/>
      <c r="CV21" s="12"/>
      <c r="CW21" s="12"/>
      <c r="CX21" s="12"/>
      <c r="CY21" s="12"/>
      <c r="CZ21" s="12"/>
      <c r="DA21" s="192"/>
      <c r="DB21" s="192">
        <f>VLOOKUP($CL$2,Luokittelut!$A$36:'Luokittelut'!$MJ$47,273)</f>
        <v>324179</v>
      </c>
      <c r="DC21" s="192"/>
      <c r="DD21" s="12"/>
      <c r="DE21" s="12"/>
      <c r="DF21" s="12"/>
      <c r="DG21" s="13"/>
      <c r="DH21" s="13"/>
    </row>
    <row r="22" spans="1:112" x14ac:dyDescent="0.2">
      <c r="A22" s="2" t="s">
        <v>683</v>
      </c>
      <c r="C22" s="2"/>
      <c r="D22" s="2"/>
      <c r="E22" s="2"/>
      <c r="F22" s="11"/>
      <c r="H22" s="12"/>
      <c r="I22" s="12"/>
      <c r="J22" s="12"/>
      <c r="K22" s="12"/>
      <c r="L22" s="12"/>
      <c r="M22" s="12"/>
      <c r="N22" s="12"/>
      <c r="O22" s="12"/>
      <c r="P22" s="12"/>
      <c r="Q22" s="12"/>
      <c r="R22" s="12"/>
      <c r="S22" s="12">
        <f>VLOOKUP($B$2,Perusaineisto2!$B$3:'Perusaineisto2'!$CS$300,80)</f>
        <v>17043</v>
      </c>
      <c r="T22" s="12"/>
      <c r="U22" s="12"/>
      <c r="V22" s="12"/>
      <c r="AB22" s="11"/>
      <c r="AD22" s="12"/>
      <c r="AE22" s="12"/>
      <c r="AF22" s="12"/>
      <c r="AG22" s="12"/>
      <c r="AH22" s="12"/>
      <c r="AI22" s="12"/>
      <c r="AJ22" s="12"/>
      <c r="AK22" s="12"/>
      <c r="AL22" s="12"/>
      <c r="AM22" s="12"/>
      <c r="AN22" s="12"/>
      <c r="AO22" s="12">
        <f>VLOOKUP($X$2,Perusaineisto2!$B$3:'Perusaineisto2'!$CS$300,80)</f>
        <v>19646</v>
      </c>
      <c r="AP22" s="12"/>
      <c r="AQ22" s="12"/>
      <c r="AR22" s="12"/>
      <c r="AX22" s="11"/>
      <c r="AZ22" s="12"/>
      <c r="BA22" s="12"/>
      <c r="BB22" s="12"/>
      <c r="BC22" s="12"/>
      <c r="BD22" s="12"/>
      <c r="BE22" s="12"/>
      <c r="BF22" s="12"/>
      <c r="BG22" s="12"/>
      <c r="BH22" s="12"/>
      <c r="BI22" s="192"/>
      <c r="BJ22" s="192"/>
      <c r="BK22" s="192">
        <f>VLOOKUP($AT$2,Luokittelut!$A$25:'Luokittelut'!$MJ$31,287)</f>
        <v>604076</v>
      </c>
      <c r="BL22" s="12"/>
      <c r="BM22" s="12"/>
      <c r="BN22" s="12"/>
      <c r="BT22" s="11"/>
      <c r="BV22" s="12"/>
      <c r="BW22" s="12"/>
      <c r="BX22" s="12"/>
      <c r="BY22" s="12"/>
      <c r="BZ22" s="12"/>
      <c r="CA22" s="12"/>
      <c r="CB22" s="12"/>
      <c r="CC22" s="12"/>
      <c r="CD22" s="12"/>
      <c r="CE22" s="192"/>
      <c r="CF22" s="192"/>
      <c r="CG22" s="192">
        <f>VLOOKUP($BP$2,Luokittelut!$A$3:'Luokittelut'!$MJ$20,287)</f>
        <v>506114</v>
      </c>
      <c r="CH22" s="12"/>
      <c r="CI22" s="12"/>
      <c r="CJ22" s="12"/>
      <c r="CK22" s="13"/>
      <c r="CP22" s="11"/>
      <c r="CR22" s="12"/>
      <c r="CS22" s="12"/>
      <c r="CT22" s="12"/>
      <c r="CU22" s="12"/>
      <c r="CV22" s="12"/>
      <c r="CW22" s="12"/>
      <c r="CX22" s="12"/>
      <c r="CY22" s="12"/>
      <c r="CZ22" s="12"/>
      <c r="DA22" s="192"/>
      <c r="DB22" s="192"/>
      <c r="DC22" s="192">
        <f>VLOOKUP($CL$2,Luokittelut!$A$36:'Luokittelut'!$MJ$47,287)</f>
        <v>323361</v>
      </c>
      <c r="DD22" s="12"/>
      <c r="DE22" s="12"/>
      <c r="DF22" s="12"/>
      <c r="DG22" s="13"/>
      <c r="DH22" s="13"/>
    </row>
    <row r="23" spans="1:112" x14ac:dyDescent="0.2">
      <c r="A23" s="2" t="s">
        <v>707</v>
      </c>
      <c r="C23" s="2"/>
      <c r="D23" s="2"/>
      <c r="E23" s="2"/>
      <c r="F23" s="11"/>
      <c r="H23" s="12"/>
      <c r="I23" s="12"/>
      <c r="J23" s="12"/>
      <c r="K23" s="12"/>
      <c r="L23" s="12"/>
      <c r="M23" s="12"/>
      <c r="N23" s="12"/>
      <c r="O23" s="12"/>
      <c r="P23" s="12"/>
      <c r="Q23" s="12"/>
      <c r="R23" s="12"/>
      <c r="S23" s="12"/>
      <c r="T23" s="12">
        <f>VLOOKUP($B$2,Perusaineisto2!$B$3:'Perusaineisto2'!$DI$299,97)</f>
        <v>16923</v>
      </c>
      <c r="U23" s="12"/>
      <c r="V23" s="12"/>
      <c r="AB23" s="11"/>
      <c r="AD23" s="12"/>
      <c r="AE23" s="12"/>
      <c r="AF23" s="12"/>
      <c r="AG23" s="12"/>
      <c r="AH23" s="12"/>
      <c r="AI23" s="12"/>
      <c r="AJ23" s="12"/>
      <c r="AK23" s="12"/>
      <c r="AL23" s="12"/>
      <c r="AM23" s="12"/>
      <c r="AN23" s="12"/>
      <c r="AO23" s="12"/>
      <c r="AP23" s="12">
        <f>VLOOKUP($X$2,Perusaineisto2!$B$3:'Perusaineisto2'!$DI$299,97)</f>
        <v>19374</v>
      </c>
      <c r="AQ23" s="12"/>
      <c r="AR23" s="12"/>
      <c r="AX23" s="11"/>
      <c r="AZ23" s="12"/>
      <c r="BA23" s="12"/>
      <c r="BB23" s="12"/>
      <c r="BC23" s="12"/>
      <c r="BD23" s="12"/>
      <c r="BE23" s="12"/>
      <c r="BF23" s="12"/>
      <c r="BG23" s="12"/>
      <c r="BH23" s="12"/>
      <c r="BI23" s="192"/>
      <c r="BJ23" s="192"/>
      <c r="BK23" s="192"/>
      <c r="BL23" s="12">
        <f>VLOOKUP($AT$2,Luokittelut!$A$25:'Luokittelut'!$MJ$31,301)</f>
        <v>602254</v>
      </c>
      <c r="BM23" s="12"/>
      <c r="BN23" s="12"/>
      <c r="BT23" s="11"/>
      <c r="BV23" s="12"/>
      <c r="BW23" s="12"/>
      <c r="BX23" s="12"/>
      <c r="BY23" s="12"/>
      <c r="BZ23" s="12"/>
      <c r="CA23" s="12"/>
      <c r="CB23" s="12"/>
      <c r="CC23" s="12"/>
      <c r="CD23" s="12"/>
      <c r="CE23" s="192"/>
      <c r="CF23" s="192"/>
      <c r="CG23" s="192"/>
      <c r="CH23" s="12">
        <f>VLOOKUP($BP$2,Luokittelut!$A$3:'Luokittelut'!$MJ$20,301)</f>
        <v>509356</v>
      </c>
      <c r="CI23" s="12"/>
      <c r="CJ23" s="12"/>
      <c r="CK23" s="13"/>
      <c r="CP23" s="11"/>
      <c r="CR23" s="12"/>
      <c r="CS23" s="12"/>
      <c r="CT23" s="12"/>
      <c r="CU23" s="12"/>
      <c r="CV23" s="12"/>
      <c r="CW23" s="12"/>
      <c r="CX23" s="12"/>
      <c r="CY23" s="12"/>
      <c r="CZ23" s="12"/>
      <c r="DA23" s="192"/>
      <c r="DB23" s="192"/>
      <c r="DC23" s="192"/>
      <c r="DD23" s="12">
        <f>VLOOKUP($CL$2,Luokittelut!$A$36:'Luokittelut'!$MJ$47,301)</f>
        <v>321896</v>
      </c>
      <c r="DE23" s="12"/>
      <c r="DF23" s="12"/>
      <c r="DG23" s="13"/>
      <c r="DH23" s="13"/>
    </row>
    <row r="24" spans="1:112" x14ac:dyDescent="0.2">
      <c r="A24" s="2" t="s">
        <v>726</v>
      </c>
      <c r="C24" s="2"/>
      <c r="D24" s="2"/>
      <c r="E24" s="2"/>
      <c r="F24" s="11"/>
      <c r="H24" s="12"/>
      <c r="I24" s="12"/>
      <c r="J24" s="12"/>
      <c r="K24" s="12"/>
      <c r="L24" s="12"/>
      <c r="M24" s="12"/>
      <c r="N24" s="12"/>
      <c r="O24" s="12"/>
      <c r="P24" s="12"/>
      <c r="Q24" s="12"/>
      <c r="R24" s="12"/>
      <c r="S24" s="12"/>
      <c r="T24" s="12"/>
      <c r="U24" s="12">
        <f>VLOOKUP($B$2,Perusaineisto2!$B$3:'Perusaineisto2'!$DY$298,113)</f>
        <v>16769</v>
      </c>
      <c r="V24" s="12"/>
      <c r="AB24" s="11"/>
      <c r="AD24" s="12"/>
      <c r="AE24" s="12"/>
      <c r="AF24" s="12"/>
      <c r="AG24" s="12"/>
      <c r="AH24" s="12"/>
      <c r="AI24" s="12"/>
      <c r="AJ24" s="12"/>
      <c r="AK24" s="12"/>
      <c r="AL24" s="12"/>
      <c r="AM24" s="12"/>
      <c r="AN24" s="12"/>
      <c r="AO24" s="12"/>
      <c r="AP24" s="12"/>
      <c r="AQ24" s="12">
        <f>VLOOKUP($X$2,Perusaineisto2!$B$3:'Perusaineisto2'!$DY$298,113)</f>
        <v>19144</v>
      </c>
      <c r="AR24" s="12"/>
      <c r="AX24" s="11"/>
      <c r="AZ24" s="12"/>
      <c r="BA24" s="12"/>
      <c r="BB24" s="12"/>
      <c r="BC24" s="12"/>
      <c r="BD24" s="12"/>
      <c r="BE24" s="12"/>
      <c r="BF24" s="12"/>
      <c r="BG24" s="12"/>
      <c r="BH24" s="12"/>
      <c r="BI24" s="192"/>
      <c r="BJ24" s="192"/>
      <c r="BK24" s="192"/>
      <c r="BL24" s="12"/>
      <c r="BM24" s="12">
        <f>VLOOKUP($AT$2,Luokittelut!$A$25:'Luokittelut'!$MJ$31,317)</f>
        <v>599858</v>
      </c>
      <c r="BN24" s="12"/>
      <c r="BT24" s="11"/>
      <c r="BV24" s="12"/>
      <c r="BW24" s="12"/>
      <c r="BX24" s="12"/>
      <c r="BY24" s="12"/>
      <c r="BZ24" s="12"/>
      <c r="CA24" s="12"/>
      <c r="CB24" s="12"/>
      <c r="CC24" s="12"/>
      <c r="CD24" s="12"/>
      <c r="CE24" s="192"/>
      <c r="CF24" s="192"/>
      <c r="CG24" s="192"/>
      <c r="CH24" s="12"/>
      <c r="CI24" s="12">
        <f>VLOOKUP($BP$2,Luokittelut!$A$3:'Luokittelut'!$MJ$20,317)</f>
        <v>512081</v>
      </c>
      <c r="CJ24" s="12"/>
      <c r="CK24" s="13"/>
      <c r="CP24" s="11"/>
      <c r="CR24" s="12"/>
      <c r="CS24" s="12"/>
      <c r="CT24" s="12"/>
      <c r="CU24" s="12"/>
      <c r="CV24" s="12"/>
      <c r="CW24" s="12"/>
      <c r="CX24" s="12"/>
      <c r="CY24" s="12"/>
      <c r="CZ24" s="12"/>
      <c r="DA24" s="192"/>
      <c r="DB24" s="192"/>
      <c r="DC24" s="192"/>
      <c r="DD24" s="12"/>
      <c r="DE24" s="12">
        <f>VLOOKUP($CL$2,Luokittelut!$A$36:'Luokittelut'!$MJ$47,317)</f>
        <v>320173</v>
      </c>
      <c r="DF24" s="12"/>
      <c r="DG24" s="13"/>
      <c r="DH24" s="13"/>
    </row>
    <row r="25" spans="1:112" x14ac:dyDescent="0.2">
      <c r="A25" s="2" t="s">
        <v>748</v>
      </c>
      <c r="C25" s="2"/>
      <c r="D25" s="2"/>
      <c r="E25" s="2"/>
      <c r="F25" s="11"/>
      <c r="H25" s="12"/>
      <c r="I25" s="12"/>
      <c r="J25" s="12"/>
      <c r="K25" s="12"/>
      <c r="L25" s="12"/>
      <c r="M25" s="12"/>
      <c r="N25" s="12"/>
      <c r="O25" s="12"/>
      <c r="P25" s="12"/>
      <c r="Q25" s="12"/>
      <c r="R25" s="12"/>
      <c r="S25" s="12"/>
      <c r="T25" s="12"/>
      <c r="U25" s="12"/>
      <c r="V25" s="12">
        <f>VLOOKUP($B$2,Perusaineisto2!$B$3:'Perusaineisto2'!$EP$298,130)</f>
        <v>16611</v>
      </c>
      <c r="AB25" s="11"/>
      <c r="AD25" s="12"/>
      <c r="AE25" s="12"/>
      <c r="AF25" s="12"/>
      <c r="AG25" s="12"/>
      <c r="AH25" s="12"/>
      <c r="AI25" s="12"/>
      <c r="AJ25" s="12"/>
      <c r="AK25" s="12"/>
      <c r="AL25" s="12"/>
      <c r="AM25" s="12"/>
      <c r="AN25" s="12"/>
      <c r="AO25" s="12"/>
      <c r="AP25" s="12"/>
      <c r="AQ25" s="12"/>
      <c r="AR25" s="12">
        <f>VLOOKUP($X$2,Perusaineisto2!$B$3:'Perusaineisto2'!$EP$298,130)</f>
        <v>18851</v>
      </c>
      <c r="AX25" s="11"/>
      <c r="AZ25" s="12"/>
      <c r="BA25" s="12"/>
      <c r="BB25" s="12"/>
      <c r="BC25" s="12"/>
      <c r="BD25" s="12"/>
      <c r="BE25" s="12"/>
      <c r="BF25" s="12"/>
      <c r="BG25" s="12"/>
      <c r="BH25" s="12"/>
      <c r="BI25" s="192"/>
      <c r="BJ25" s="192"/>
      <c r="BK25" s="192"/>
      <c r="BL25" s="12"/>
      <c r="BM25" s="12"/>
      <c r="BN25" s="12">
        <f>VLOOKUP($AT$2,Luokittelut!$A$25:'Luokittelut'!$MJ$31,333)</f>
        <v>596663</v>
      </c>
      <c r="BT25" s="11"/>
      <c r="BV25" s="12"/>
      <c r="BW25" s="12"/>
      <c r="BX25" s="12"/>
      <c r="BY25" s="12"/>
      <c r="BZ25" s="12"/>
      <c r="CA25" s="12"/>
      <c r="CB25" s="12"/>
      <c r="CC25" s="12"/>
      <c r="CD25" s="12"/>
      <c r="CE25" s="192"/>
      <c r="CF25" s="192"/>
      <c r="CG25" s="192"/>
      <c r="CH25" s="12"/>
      <c r="CI25" s="12"/>
      <c r="CJ25" s="12">
        <f>VLOOKUP($BP$2,Luokittelut!$A$3:'Luokittelut'!$MJ$20,333)</f>
        <v>515095</v>
      </c>
      <c r="CK25" s="13"/>
      <c r="CP25" s="11"/>
      <c r="CR25" s="12"/>
      <c r="CS25" s="12"/>
      <c r="CT25" s="12"/>
      <c r="CU25" s="12"/>
      <c r="CV25" s="12"/>
      <c r="CW25" s="12"/>
      <c r="CX25" s="12"/>
      <c r="CY25" s="12"/>
      <c r="CZ25" s="12"/>
      <c r="DA25" s="192"/>
      <c r="DB25" s="192"/>
      <c r="DC25" s="192"/>
      <c r="DD25" s="12"/>
      <c r="DE25" s="12"/>
      <c r="DF25" s="12">
        <f>VLOOKUP($CL$2,Luokittelut!$A$36:'Luokittelut'!$MJ$47,333)</f>
        <v>317921</v>
      </c>
      <c r="DG25" s="13"/>
      <c r="DH25" s="13"/>
    </row>
    <row r="26" spans="1:112" s="7" customFormat="1" x14ac:dyDescent="0.2">
      <c r="B26" s="25"/>
      <c r="C26" s="25"/>
      <c r="D26" s="25"/>
      <c r="E26" s="25"/>
      <c r="F26" s="25"/>
      <c r="G26" s="25"/>
      <c r="H26" s="25"/>
      <c r="I26" s="25"/>
      <c r="J26" s="25"/>
      <c r="K26" s="25"/>
      <c r="L26" s="25"/>
      <c r="M26" s="25"/>
      <c r="N26" s="25"/>
      <c r="O26" s="25"/>
      <c r="P26" s="25"/>
      <c r="Q26" s="25"/>
      <c r="R26" s="25"/>
      <c r="S26" s="25"/>
      <c r="T26" s="25"/>
      <c r="U26" s="25"/>
      <c r="V26" s="25"/>
      <c r="X26" s="25"/>
      <c r="Y26" s="25"/>
      <c r="Z26" s="25"/>
      <c r="AA26" s="25"/>
      <c r="AB26" s="25"/>
      <c r="AC26" s="25"/>
      <c r="AD26" s="25"/>
      <c r="AE26" s="25"/>
      <c r="AF26" s="25"/>
      <c r="AG26" s="25"/>
      <c r="AH26" s="25"/>
      <c r="AI26" s="25"/>
      <c r="AJ26" s="25"/>
      <c r="AK26" s="25"/>
      <c r="AL26" s="25"/>
      <c r="AM26" s="25"/>
      <c r="AN26" s="25"/>
      <c r="AO26" s="25"/>
      <c r="AP26" s="25"/>
      <c r="AQ26" s="25"/>
      <c r="AR26" s="25"/>
      <c r="AX26" s="10"/>
      <c r="BI26" s="54"/>
      <c r="BJ26" s="54"/>
      <c r="BK26" s="54"/>
      <c r="BT26" s="10"/>
      <c r="CE26" s="54"/>
      <c r="CF26" s="54"/>
      <c r="CG26" s="54"/>
      <c r="CK26" s="26"/>
      <c r="CP26" s="10"/>
      <c r="DA26" s="54"/>
      <c r="DB26" s="54"/>
      <c r="DC26" s="54"/>
      <c r="DG26" s="26"/>
      <c r="DH26" s="26"/>
    </row>
    <row r="27" spans="1:112" x14ac:dyDescent="0.2">
      <c r="A27" s="2" t="s">
        <v>428</v>
      </c>
      <c r="B27" s="12">
        <f>VLOOKUP($B$2,Perusaineisto!$B$3:'Perusaineisto'!$FI$400,20)*1000/B$5</f>
        <v>1819.9533329129092</v>
      </c>
      <c r="C27" s="12">
        <f>VLOOKUP($B$2,Perusaineisto!$B$3:'Perusaineisto'!$FI$400,24)*1000/C$6</f>
        <v>1940.7045255108437</v>
      </c>
      <c r="D27" s="12">
        <f>VLOOKUP($B$2,Perusaineisto!$B$3:'Perusaineisto'!$FI$400,28)*1000/D$7</f>
        <v>1900.8466603951081</v>
      </c>
      <c r="E27" s="12">
        <f>VLOOKUP($B$2,Perusaineisto!$B$3:'Perusaineisto'!$FI$400,32)*1000/E$8</f>
        <v>2220.3844713518911</v>
      </c>
      <c r="F27" s="12">
        <f>VLOOKUP($B$2,Perusaineisto!$B$3:'Perusaineisto'!$FI$400,36)*1000/F$9</f>
        <v>2381.5226158714399</v>
      </c>
      <c r="G27" s="12">
        <f>VLOOKUP($B$2,Perusaineisto!$B$3:'Perusaineisto'!$FI$400,40)*1000/G$10</f>
        <v>2230.0079906570777</v>
      </c>
      <c r="H27" s="12">
        <f>VLOOKUP($B$2,Perusaineisto!$B$3:'Perusaineisto'!$FI$400,44)*1000/H$11</f>
        <v>2270.8282283753983</v>
      </c>
      <c r="I27" s="12">
        <f>VLOOKUP($B$2,Perusaineisto!$B$3:'Perusaineisto'!$FI$400,48)*1000/I$12</f>
        <v>2363.7194008038</v>
      </c>
      <c r="J27" s="12">
        <f>VLOOKUP($B$2,Perusaineisto!$B$3:'Perusaineisto'!$FI$400,52)*1000/J$13</f>
        <v>2544.0733148438444</v>
      </c>
      <c r="K27" s="12">
        <f>VLOOKUP($B$2,Perusaineisto!$B$3:'Perusaineisto'!$FI$400,56)*1000/K$14</f>
        <v>2669.7335404468872</v>
      </c>
      <c r="L27" s="12">
        <f>VLOOKUP($B$2,Perusaineisto!$B$3:'Perusaineisto'!$FI$400,60)*1000/L$15</f>
        <v>2909.900813684148</v>
      </c>
      <c r="M27" s="12">
        <f>VLOOKUP($B$2,Perusaineisto!$B$3:'Perusaineisto'!$FX$333,166)*1000/M$16</f>
        <v>2936.6472891208923</v>
      </c>
      <c r="N27" s="12">
        <f>VLOOKUP($B$2,Perusaineisto!$B$3:'Perusaineisto'!$GO$321,181)*1000/N17</f>
        <v>2926.3461086292027</v>
      </c>
      <c r="O27" s="12">
        <f>VLOOKUP($B$2,Perusaineisto!$B$3:'Perusaineisto'!$HU$321,198)*1000/O18</f>
        <v>2977.0054414604178</v>
      </c>
      <c r="P27" s="12">
        <f>VLOOKUP($B$2,Perusaineisto!$B$3:'Perusaineisto'!$HU$321,213)*1000/P19</f>
        <v>2978.6973269522587</v>
      </c>
      <c r="Q27" s="12">
        <f>VLOOKUP($B$2,Perusaineisto2!$B$2:'Perusaineisto2'!$CS$299,48)*1000/Q$20</f>
        <v>3338.1458966565351</v>
      </c>
      <c r="R27" s="12">
        <f>VLOOKUP($B$2,Perusaineisto2!$B$2:'Perusaineisto2'!$CS$299,66)*1000/R$21</f>
        <v>3399.1907107670654</v>
      </c>
      <c r="S27" s="12">
        <f>VLOOKUP($B$2,Perusaineisto2!$B$2:'Perusaineisto2'!$CS$299,83)*1000/S$22</f>
        <v>3467.2299477791466</v>
      </c>
      <c r="T27" s="12">
        <f>VLOOKUP($B$2,Perusaineisto2!$B$3:'Perusaineisto2'!$DI$299,98)*1000/T$23</f>
        <v>3554.2161555279795</v>
      </c>
      <c r="U27" s="12">
        <f>VLOOKUP($B$2,Perusaineisto2!$B$3:'Perusaineisto2'!$DY$298,114)*1000/U$24</f>
        <v>3542.1909475818475</v>
      </c>
      <c r="V27" s="12">
        <f>VLOOKUP($B$2,Perusaineisto2!$B$3:'Perusaineisto2'!$EP$298,131)*1000/V$25</f>
        <v>3589.4888929022936</v>
      </c>
      <c r="W27" s="12"/>
      <c r="X27" s="12">
        <f>VLOOKUP($X$2,Perusaineisto!$B$3:'Perusaineisto'!$FI$400,20)*1000/X$5</f>
        <v>2101.2157330154946</v>
      </c>
      <c r="Y27" s="12">
        <f>VLOOKUP($X$2,Perusaineisto!$B$3:'Perusaineisto'!$FI$400,24)*1000/Y$6</f>
        <v>2319.9827734711457</v>
      </c>
      <c r="Z27" s="12">
        <f>VLOOKUP($X$2,Perusaineisto!$B$3:'Perusaineisto'!$FI$400,28)*1000/Z$7</f>
        <v>2326.7030367402112</v>
      </c>
      <c r="AA27" s="12">
        <f>VLOOKUP($X$2,Perusaineisto!$B$3:'Perusaineisto'!$FI$400,32)*1000/AA$8</f>
        <v>2641.7757873728278</v>
      </c>
      <c r="AB27" s="12">
        <f>VLOOKUP($X$2,Perusaineisto!$B$3:'Perusaineisto'!$FI$400,36)*1000/AB$9</f>
        <v>2617.0869033047734</v>
      </c>
      <c r="AC27" s="12">
        <f>VLOOKUP($X$2,Perusaineisto!$B$3:'Perusaineisto'!$FI$400,40)*1000/AC$10</f>
        <v>2517.2801486043895</v>
      </c>
      <c r="AD27" s="12">
        <f>VLOOKUP($X$2,Perusaineisto!$B$3:'Perusaineisto'!$FI$400,44)*1000/AD$11</f>
        <v>2485.6259811616956</v>
      </c>
      <c r="AE27" s="12">
        <f>VLOOKUP($X$2,Perusaineisto!$B$3:'Perusaineisto'!$FI$400,48)*1000/AE$12</f>
        <v>2501.2533792086506</v>
      </c>
      <c r="AF27" s="12">
        <f>VLOOKUP($X$2,Perusaineisto!$B$3:'Perusaineisto'!$FI$400,52)*1000/AF$13</f>
        <v>2599.0855906789243</v>
      </c>
      <c r="AG27" s="12">
        <f>VLOOKUP($X$2,Perusaineisto!$B$3:'Perusaineisto'!$FI$400,56)*1000/AG$14</f>
        <v>2734.8069006077239</v>
      </c>
      <c r="AH27" s="12">
        <f>VLOOKUP($X$2,Perusaineisto!$B$3:'Perusaineisto'!$FI$400,60)*1000/AH$15</f>
        <v>3017.2201722017221</v>
      </c>
      <c r="AI27" s="12">
        <f>VLOOKUP($X$2,Perusaineisto!$B$3:'Perusaineisto'!$FX$333,166)*1000/AI$16</f>
        <v>3010.1269574667785</v>
      </c>
      <c r="AJ27" s="12">
        <f>VLOOKUP($X$2,Perusaineisto!$B$3:'Perusaineisto'!$GO$321,181)*1000/AJ17</f>
        <v>3048.7057893696897</v>
      </c>
      <c r="AK27" s="12">
        <f>VLOOKUP($X$2,Perusaineisto!$B$3:'Perusaineisto'!$HU$321,198)*1000/AK18</f>
        <v>3083.8005311301267</v>
      </c>
      <c r="AL27" s="12">
        <f>VLOOKUP($X$2,Perusaineisto!$B$3:'Perusaineisto'!$HU$321,213)*1000/AL19</f>
        <v>3268.837897853442</v>
      </c>
      <c r="AM27" s="12">
        <f>VLOOKUP($X$2,Perusaineisto2!$B$2:'Perusaineisto2'!$CS$299,48)*1000/AM$20</f>
        <v>3579.8177018478855</v>
      </c>
      <c r="AN27" s="12">
        <f>VLOOKUP($X$2,Perusaineisto2!$B$2:'Perusaineisto2'!$CS$299,66)*1000/AN$21</f>
        <v>3570.3450700688131</v>
      </c>
      <c r="AO27" s="12">
        <f>VLOOKUP($X$2,Perusaineisto2!$B$2:'Perusaineisto2'!$CS$299,83)*1000/AO$22</f>
        <v>3720.2992975669349</v>
      </c>
      <c r="AP27" s="12">
        <f>VLOOKUP($X$2,Perusaineisto2!$B$3:'Perusaineisto2'!$DI$299,98)*1000/AP$23</f>
        <v>3841.9531330649324</v>
      </c>
      <c r="AQ27" s="12">
        <f>VLOOKUP($X$2,Perusaineisto2!$B$3:'Perusaineisto2'!$DY$298,114)*1000/AQ$24</f>
        <v>4006.2682824905974</v>
      </c>
      <c r="AR27" s="12">
        <f>VLOOKUP($X$2,Perusaineisto2!$B$3:'Perusaineisto2'!$EP$298,131)*1000/AR$25</f>
        <v>3981.4333457111029</v>
      </c>
      <c r="AT27" s="12">
        <f>VLOOKUP($AT$2,Luokittelut!$A$25:'Luokittelut'!$MJ$31,13)*1000/AT$5</f>
        <v>1989.4283100961659</v>
      </c>
      <c r="AU27" s="12">
        <f>VLOOKUP($AT$2,Luokittelut!$A$25:'Luokittelut'!$MJ$31,17)*1000/AU$6</f>
        <v>2060.8181603215889</v>
      </c>
      <c r="AV27" s="12">
        <f>VLOOKUP($AT$2,Luokittelut!$A$25:'Luokittelut'!$MJ$31,21)*1000/AV$7</f>
        <v>2050.0112557908083</v>
      </c>
      <c r="AW27" s="12">
        <f>VLOOKUP($AT$2,Luokittelut!$A$25:'Luokittelut'!$MJ$31,25)*1000/AW$8</f>
        <v>2283.2065634546925</v>
      </c>
      <c r="AX27" s="12">
        <f>VLOOKUP($AT$2,Luokittelut!$A$25:'Luokittelut'!$MJ$31,29)*1000/AX$9</f>
        <v>2334.8071223154475</v>
      </c>
      <c r="AY27" s="12">
        <f>VLOOKUP($AT$2,Luokittelut!$A$25:'Luokittelut'!$MJ$31,33)*1000/AY$10</f>
        <v>2233.4350320917961</v>
      </c>
      <c r="AZ27" s="12">
        <f>VLOOKUP($AT$2,Luokittelut!$A$25:'Luokittelut'!$MJ$31,37)*1000/AZ$11</f>
        <v>2264.3147059121229</v>
      </c>
      <c r="BA27" s="12">
        <f>VLOOKUP($AT$2,Luokittelut!$A$25:'Luokittelut'!$MJ$31,41)*1000/BA$12</f>
        <v>2351.4234800591639</v>
      </c>
      <c r="BB27" s="12">
        <f>VLOOKUP($AT$2,Luokittelut!$A$25:'Luokittelut'!$MJ$31,45)*1000/BB$13</f>
        <v>2493.8405444985474</v>
      </c>
      <c r="BC27" s="12">
        <f>VLOOKUP($AT$2,Luokittelut!$A$25:'Luokittelut'!$MJ$31,49)*1000/BC$14</f>
        <v>2662.4245085647403</v>
      </c>
      <c r="BD27" s="12">
        <f>VLOOKUP($AT$2,Luokittelut!$A$25:'Luokittelut'!$MJ$31,53)*1000/BD$15</f>
        <v>2872.6915631902821</v>
      </c>
      <c r="BE27" s="12">
        <f>VLOOKUP($AT$2,Luokittelut!$A$25:'Luokittelut'!$MJ$31,159)*1000/BE$16</f>
        <v>2894.2987606868132</v>
      </c>
      <c r="BF27" s="12">
        <f>VLOOKUP($AT$2,Luokittelut!$A$25:'Luokittelut'!$MJ$31,174)*1000/BF$17</f>
        <v>2985.143417992032</v>
      </c>
      <c r="BG27" s="12">
        <f>VLOOKUP($AT$2,Luokittelut!$A$25:'Luokittelut'!$MJ$31,191)*1000/BG$18</f>
        <v>3092.9518162875124</v>
      </c>
      <c r="BH27" s="12">
        <f>VLOOKUP($AT$2,Luokittelut!$A$25:'Luokittelut'!$MJ$31,206)*1000/BH$19</f>
        <v>3159.208061334808</v>
      </c>
      <c r="BI27" s="192">
        <f>(VLOOKUP($AT$2,Luokittelut!$A$25:'Luokittelut'!$MJ$31,261)*1000/BI$20)/2</f>
        <v>3400.8590733431392</v>
      </c>
      <c r="BJ27" s="192">
        <f>(VLOOKUP($AT$2,Luokittelut!$A$25:'Luokittelut'!$MJ$31,276)*1000/BJ$21)/2</f>
        <v>3490.391475531128</v>
      </c>
      <c r="BK27" s="192">
        <f>(VLOOKUP($AT$2,Luokittelut!$A$25:'Luokittelut'!$MJ$31,290)*1000/BK$22)/2</f>
        <v>3585.2409299492115</v>
      </c>
      <c r="BL27" s="12">
        <f>VLOOKUP($AT$2,Luokittelut!$A$25:'Luokittelut'!$MJ$31,302)*1000/BL$23</f>
        <v>3615.5907640297946</v>
      </c>
      <c r="BM27" s="12">
        <f>VLOOKUP($AT$2,Luokittelut!$A$25:'Luokittelut'!$MJ$31,318)*1000/BM$24</f>
        <v>3665.2907854858981</v>
      </c>
      <c r="BN27" s="12">
        <f>VLOOKUP($AT$2,Luokittelut!$A$25:'Luokittelut'!$MJ$31,334)*1000/BN$25</f>
        <v>3637.9078307185127</v>
      </c>
      <c r="BP27" s="12">
        <f>VLOOKUP($BP$2,Luokittelut!$A$3:'Luokittelut'!$MJ$20,13)*1000/BP$5</f>
        <v>2132.8203653099381</v>
      </c>
      <c r="BQ27" s="12">
        <f>VLOOKUP($BP$2,Luokittelut!$A$3:'Luokittelut'!$MJ$20,17)*1000/BQ$6</f>
        <v>2224.5600235964998</v>
      </c>
      <c r="BR27" s="12">
        <f>VLOOKUP($BP$2,Luokittelut!$A$3:'Luokittelut'!$MJ$20,21)*1000/BR$7</f>
        <v>2284.7077580349332</v>
      </c>
      <c r="BS27" s="12">
        <f>VLOOKUP($BP$2,Luokittelut!$A$3:'Luokittelut'!$MJ$20,25)*1000/BS$8</f>
        <v>2538.1509561968869</v>
      </c>
      <c r="BT27" s="12">
        <f>VLOOKUP($BP$2,Luokittelut!$A$3:'Luokittelut'!$MJ$20,29)*1000/BT$9</f>
        <v>2600.4667684487276</v>
      </c>
      <c r="BU27" s="12">
        <f>VLOOKUP($BP$2,Luokittelut!$A$3:'Luokittelut'!$MJ$20,33)*1000/BU$10</f>
        <v>2462.1978499294169</v>
      </c>
      <c r="BV27" s="12">
        <f>VLOOKUP($BP$2,Luokittelut!$A$3:'Luokittelut'!$MJ$20,37)*1000/BV$11</f>
        <v>2541.0752799266443</v>
      </c>
      <c r="BW27" s="12">
        <f>VLOOKUP($BP$2,Luokittelut!$A$3:'Luokittelut'!$MJ$20,41)*1000/BW$12</f>
        <v>2636.0210326843135</v>
      </c>
      <c r="BX27" s="12">
        <f>VLOOKUP($BP$2,Luokittelut!$A$3:'Luokittelut'!$MJ$20,45)*1000/BX$13</f>
        <v>2803.1714011427025</v>
      </c>
      <c r="BY27" s="12">
        <f>VLOOKUP($BP$2,Luokittelut!$A$3:'Luokittelut'!$MJ$20,49)*1000/BY$14</f>
        <v>2956.6046144736374</v>
      </c>
      <c r="BZ27" s="12">
        <f>VLOOKUP($BP$2,Luokittelut!$A$3:'Luokittelut'!$MJ$20,53)*1000/BZ$15</f>
        <v>3196.8738524353785</v>
      </c>
      <c r="CA27" s="12">
        <f>VLOOKUP($BP$2,Luokittelut!$A$3:'Luokittelut'!$MJ$20,159)*1000/CA$16</f>
        <v>3191.5026785751052</v>
      </c>
      <c r="CB27" s="12">
        <f>VLOOKUP($BP$2,Luokittelut!$A$3:'Luokittelut'!$MJ$20,174)*1000/CB$17</f>
        <v>3304.1137222194966</v>
      </c>
      <c r="CC27" s="12">
        <f>VLOOKUP($BP$2,Luokittelut!$A$3:'Luokittelut'!$MJ$20,191)*1000/CC$18</f>
        <v>3359.0454948583119</v>
      </c>
      <c r="CD27" s="12">
        <f>VLOOKUP($BP$2,Luokittelut!$A$3:'Luokittelut'!$MJ$20,206)*1000/CD$19</f>
        <v>3417.4594416071918</v>
      </c>
      <c r="CE27" s="192">
        <f>(VLOOKUP($BP$2,Luokittelut!$A$3:'Luokittelut'!$MJ$20,261)*1000/CE$20)/2</f>
        <v>3640.2194471435482</v>
      </c>
      <c r="CF27" s="192">
        <f>(VLOOKUP($BP$2,Luokittelut!$A$3:'Luokittelut'!$MJ$20,276)*1000/CF$21)/2</f>
        <v>3717.5147303638191</v>
      </c>
      <c r="CG27" s="192">
        <f>(VLOOKUP($BP$2,Luokittelut!$A$3:'Luokittelut'!$MJ$20,290)*1000/CG$22)/2</f>
        <v>3789.9208478722185</v>
      </c>
      <c r="CH27" s="12">
        <f>VLOOKUP($BP$2,Luokittelut!$A$3:'Luokittelut'!$MJ$20,302)*1000/CH$23</f>
        <v>3815.5651450066357</v>
      </c>
      <c r="CI27" s="12">
        <f>VLOOKUP($BP$2,Luokittelut!$A$3:'Luokittelut'!$MJ$20,318)*1000/CI$24</f>
        <v>3870.3330137224384</v>
      </c>
      <c r="CJ27" s="12">
        <f>VLOOKUP($BP$2,Luokittelut!$A$3:'Luokittelut'!$MJ$20,334)*1000/CJ$25</f>
        <v>3820.301109504072</v>
      </c>
      <c r="CK27" s="13"/>
      <c r="CL27" s="12">
        <f>VLOOKUP($CL$2,Luokittelut!$A$36:'Luokittelut'!$MJ$47,13)*1000/CL$5</f>
        <v>1909.3155789534655</v>
      </c>
      <c r="CM27" s="12">
        <f>VLOOKUP($CL$2,Luokittelut!$A$36:'Luokittelut'!$MJ$47,17)*1000/CM$6</f>
        <v>1983.5874029535594</v>
      </c>
      <c r="CN27" s="12">
        <f>VLOOKUP($CL$2,Luokittelut!$A$36:'Luokittelut'!$MJ$47,21)*1000/CN$7</f>
        <v>1970.7764498249614</v>
      </c>
      <c r="CO27" s="12">
        <f>VLOOKUP($CL$2,Luokittelut!$A$36:'Luokittelut'!$MJ$47,25)*1000/CO$8</f>
        <v>2154.9731783998432</v>
      </c>
      <c r="CP27" s="12">
        <f>VLOOKUP($CL$2,Luokittelut!$A$36:'Luokittelut'!$MJ$47,29)*1000/CP$9</f>
        <v>2262.6521275365299</v>
      </c>
      <c r="CQ27" s="12">
        <f>VLOOKUP($CL$2,Luokittelut!$A$36:'Luokittelut'!$MJ$47,33)*1000/CQ$10</f>
        <v>2170.6841267349823</v>
      </c>
      <c r="CR27" s="12">
        <f>VLOOKUP($CL$2,Luokittelut!$A$36:'Luokittelut'!$MJ$47,37)*1000/CR$11</f>
        <v>2212.8349482338222</v>
      </c>
      <c r="CS27" s="12">
        <f>VLOOKUP($CL$2,Luokittelut!$A$36:'Luokittelut'!$MJ$47,41)*1000/CS$12</f>
        <v>2302.2023771690078</v>
      </c>
      <c r="CT27" s="12">
        <f>VLOOKUP($CL$2,Luokittelut!$A$36:'Luokittelut'!$MJ$47,45)*1000/CT$13</f>
        <v>2450.4525829419786</v>
      </c>
      <c r="CU27" s="12">
        <f>VLOOKUP($CL$2,Luokittelut!$A$36:'Luokittelut'!$MJ$47,49)*1000/CU$14</f>
        <v>2605.3742297480085</v>
      </c>
      <c r="CV27" s="12">
        <f>VLOOKUP($CL$2,Luokittelut!$A$36:'Luokittelut'!$MJ$47,53)*1000/CV$15</f>
        <v>2828.5892284210199</v>
      </c>
      <c r="CW27" s="12">
        <f>VLOOKUP($CL$2,Luokittelut!$A$36:'Luokittelut'!$MJ$47,159)*1000/CW$16</f>
        <v>2848.5263921887308</v>
      </c>
      <c r="CX27" s="12">
        <f>VLOOKUP($CL$2,Luokittelut!$A$36:'Luokittelut'!$MJ$47,174)*1000/CX$17</f>
        <v>2941.6943054349204</v>
      </c>
      <c r="CY27" s="12">
        <f>VLOOKUP($CL$2,Luokittelut!$A$36:'Luokittelut'!$MJ$47,191)*1000/CY$18</f>
        <v>3045.8112479147971</v>
      </c>
      <c r="CZ27" s="12">
        <f>VLOOKUP($CL$2,Luokittelut!$A$36:'Luokittelut'!$MJ$47,206)*1000/CZ$19</f>
        <v>3124.164299490415</v>
      </c>
      <c r="DA27" s="192">
        <f>(VLOOKUP($CL$2,Luokittelut!$A$36:'Luokittelut'!$MJ$47,261)*1000/DA$20)/2</f>
        <v>3345.6526429341961</v>
      </c>
      <c r="DB27" s="192">
        <f>(VLOOKUP($CL$2,Luokittelut!$A$36:'Luokittelut'!$MJ$47,276)*1000/DB$21)/2</f>
        <v>3437.0085662550628</v>
      </c>
      <c r="DC27" s="192">
        <f>(VLOOKUP($CL$2,Luokittelut!$A$36:'Luokittelut'!$MJ$47,290)*1000/DC$22)/2</f>
        <v>3557.9182399856509</v>
      </c>
      <c r="DD27" s="12">
        <f>VLOOKUP($CL$2,Luokittelut!$A$36:'Luokittelut'!$MJ$47,302)*1000/DD$23</f>
        <v>3577.4038819991551</v>
      </c>
      <c r="DE27" s="12">
        <f>VLOOKUP($CL$2,Luokittelut!$A$36:'Luokittelut'!$MJ$47,318)*1000/DE$24</f>
        <v>3636.5058890037571</v>
      </c>
      <c r="DF27" s="12">
        <f>VLOOKUP($CL$2,Luokittelut!$A$36:'Luokittelut'!$MJ$47,334)*1000/DF$25</f>
        <v>3612.9321435199308</v>
      </c>
      <c r="DG27" s="13"/>
      <c r="DH27" s="13"/>
    </row>
    <row r="28" spans="1:112" x14ac:dyDescent="0.2">
      <c r="A28" s="2" t="s">
        <v>429</v>
      </c>
      <c r="B28" s="12">
        <f>VLOOKUP($B$2,Perusaineisto!$B$3:'Perusaineisto'!$FI$400,21)*1000/B$5</f>
        <v>751.97073847512138</v>
      </c>
      <c r="C28" s="12">
        <f>VLOOKUP($B$2,Perusaineisto!$B$3:'Perusaineisto'!$FI$400,25)*1000/C$6</f>
        <v>815.03071330073965</v>
      </c>
      <c r="D28" s="12">
        <f>VLOOKUP($B$2,Perusaineisto!$B$3:'Perusaineisto'!$FI$400,29)*1000/D$7</f>
        <v>911.19473189087489</v>
      </c>
      <c r="E28" s="12">
        <f>VLOOKUP($B$2,Perusaineisto!$B$3:'Perusaineisto'!$FI$400,33)*1000/E$8</f>
        <v>1025.3401572837349</v>
      </c>
      <c r="F28" s="12">
        <f>VLOOKUP($B$2,Perusaineisto!$B$3:'Perusaineisto'!$FI$400,37)*1000/F$9</f>
        <v>1057.33076875349</v>
      </c>
      <c r="G28" s="12">
        <f>VLOOKUP($B$2,Perusaineisto!$B$3:'Perusaineisto'!$FI$400,41)*1000/G$10</f>
        <v>964.7796422644293</v>
      </c>
      <c r="H28" s="12">
        <f>VLOOKUP($B$2,Perusaineisto!$B$3:'Perusaineisto'!$FI$400,45)*1000/H$11</f>
        <v>1148.8605733888753</v>
      </c>
      <c r="I28" s="12">
        <f>VLOOKUP($B$2,Perusaineisto!$B$3:'Perusaineisto'!$FI$400,49)*1000/I$12</f>
        <v>1169.7113628059919</v>
      </c>
      <c r="J28" s="12">
        <f>VLOOKUP($B$2,Perusaineisto!$B$3:'Perusaineisto'!$FI$400,53)*1000/J$13</f>
        <v>1240.986374050404</v>
      </c>
      <c r="K28" s="12">
        <f>VLOOKUP($B$2,Perusaineisto!$B$3:'Perusaineisto'!$FI$400,57)*1000/K$14</f>
        <v>1290.2377822917911</v>
      </c>
      <c r="L28" s="12">
        <f>VLOOKUP($B$2,Perusaineisto!$B$3:'Perusaineisto'!$FI$400,61)*1000/L$15</f>
        <v>1455.0097998455783</v>
      </c>
      <c r="M28" s="12">
        <f>VLOOKUP($B$2,Perusaineisto!$B$3:'Perusaineisto'!$FX$333,167)*1000/M$16</f>
        <v>1561.9290544548583</v>
      </c>
      <c r="N28" s="12">
        <f>VLOOKUP($B$2,Perusaineisto!$B$3:'Perusaineisto'!$GO$321,182)*1000/N17</f>
        <v>1634.96355513755</v>
      </c>
      <c r="O28" s="12">
        <f>VLOOKUP($B$2,Perusaineisto!$B$3:'Perusaineisto'!$HU$321,199)*1000/O18</f>
        <v>1687.9059153940671</v>
      </c>
      <c r="P28" s="12">
        <f>VLOOKUP($B$2,Perusaineisto!$B$3:'Perusaineisto'!$HU$321,214)*1000/P19</f>
        <v>1711.6843702579665</v>
      </c>
      <c r="Q28" s="12">
        <f>VLOOKUP($B$2,Perusaineisto2!$B$2:'Perusaineisto2'!$CS$299,49)*1000/Q$20</f>
        <v>1883.2125321487024</v>
      </c>
      <c r="R28" s="12">
        <f>VLOOKUP($B$2,Perusaineisto2!$B$2:'Perusaineisto2'!$CS$299,67)*1000/R$21</f>
        <v>1794.1590429275159</v>
      </c>
      <c r="S28" s="12">
        <f>VLOOKUP($B$2,Perusaineisto2!$B$2:'Perusaineisto2'!$CS$299,84)*1000/S$22</f>
        <v>1753.271137710497</v>
      </c>
      <c r="T28" s="12">
        <f>VLOOKUP($B$2,Perusaineisto2!$B$3:'Perusaineisto2'!$DI$299,99)*1000/T$23</f>
        <v>1846.4811203687289</v>
      </c>
      <c r="U28" s="12">
        <f>VLOOKUP($B$2,Perusaineisto2!$B$3:'Perusaineisto2'!$DY$298,115)*1000/U$24</f>
        <v>1818.1167630747211</v>
      </c>
      <c r="V28" s="12">
        <f>VLOOKUP($B$2,Perusaineisto2!$B$3:'Perusaineisto2'!$EP$298,132)*1000/V$25</f>
        <v>1800.3130455722112</v>
      </c>
      <c r="X28" s="12">
        <f>VLOOKUP($X$2,Perusaineisto!$B$3:'Perusaineisto'!$FI$400,21)*1000/X$5</f>
        <v>591.32300357568533</v>
      </c>
      <c r="Y28" s="12">
        <f>VLOOKUP($X$2,Perusaineisto!$B$3:'Perusaineisto'!$FI$400,25)*1000/Y$6</f>
        <v>587.32893099818159</v>
      </c>
      <c r="Z28" s="12">
        <f>VLOOKUP($X$2,Perusaineisto!$B$3:'Perusaineisto'!$FI$400,29)*1000/Z$7</f>
        <v>656.30280500168976</v>
      </c>
      <c r="AA28" s="12">
        <f>VLOOKUP($X$2,Perusaineisto!$B$3:'Perusaineisto'!$FI$400,33)*1000/AA$8</f>
        <v>692.59601810835807</v>
      </c>
      <c r="AB28" s="12">
        <f>VLOOKUP($X$2,Perusaineisto!$B$3:'Perusaineisto'!$FI$400,37)*1000/AB$9</f>
        <v>744.92044063647495</v>
      </c>
      <c r="AC28" s="12">
        <f>VLOOKUP($X$2,Perusaineisto!$B$3:'Perusaineisto'!$FI$400,41)*1000/AC$10</f>
        <v>812.72913916996629</v>
      </c>
      <c r="AD28" s="12">
        <f>VLOOKUP($X$2,Perusaineisto!$B$3:'Perusaineisto'!$FI$400,45)*1000/AD$11</f>
        <v>897.37048665620091</v>
      </c>
      <c r="AE28" s="12">
        <f>VLOOKUP($X$2,Perusaineisto!$B$3:'Perusaineisto'!$FI$400,49)*1000/AE$12</f>
        <v>986.92553452936841</v>
      </c>
      <c r="AF28" s="12">
        <f>VLOOKUP($X$2,Perusaineisto!$B$3:'Perusaineisto'!$FI$400,53)*1000/AF$13</f>
        <v>1118.1849466594563</v>
      </c>
      <c r="AG28" s="12">
        <f>VLOOKUP($X$2,Perusaineisto!$B$3:'Perusaineisto'!$FI$400,57)*1000/AG$14</f>
        <v>1253.4306998627719</v>
      </c>
      <c r="AH28" s="12">
        <f>VLOOKUP($X$2,Perusaineisto!$B$3:'Perusaineisto'!$FI$400,61)*1000/AH$15</f>
        <v>1436.7527675276754</v>
      </c>
      <c r="AI28" s="12">
        <f>VLOOKUP($X$2,Perusaineisto!$B$3:'Perusaineisto'!$FX$333,167)*1000/AI$16</f>
        <v>1620.1155955144989</v>
      </c>
      <c r="AJ28" s="12">
        <f>VLOOKUP($X$2,Perusaineisto!$B$3:'Perusaineisto'!$GO$321,182)*1000/AJ17</f>
        <v>1715.3230586840546</v>
      </c>
      <c r="AK28" s="12">
        <f>VLOOKUP($X$2,Perusaineisto!$B$3:'Perusaineisto'!$HU$321,199)*1000/AK18</f>
        <v>1744.6149306580112</v>
      </c>
      <c r="AL28" s="12">
        <f>VLOOKUP($X$2,Perusaineisto!$B$3:'Perusaineisto'!$HU$321,214)*1000/AL19</f>
        <v>1893.1655563779916</v>
      </c>
      <c r="AM28" s="12">
        <f>VLOOKUP($X$2,Perusaineisto2!$B$2:'Perusaineisto2'!$CS$299,49)*1000/AM$20</f>
        <v>2084.7238133187229</v>
      </c>
      <c r="AN28" s="12">
        <f>VLOOKUP($X$2,Perusaineisto2!$B$2:'Perusaineisto2'!$CS$299,67)*1000/AN$21</f>
        <v>2026.972725902858</v>
      </c>
      <c r="AO28" s="12">
        <f>VLOOKUP($X$2,Perusaineisto2!$B$2:'Perusaineisto2'!$CS$299,84)*1000/AO$22</f>
        <v>2055.8383385930979</v>
      </c>
      <c r="AP28" s="12">
        <f>VLOOKUP($X$2,Perusaineisto2!$B$3:'Perusaineisto2'!$DI$299,99)*1000/AP$23</f>
        <v>2296.0668937751625</v>
      </c>
      <c r="AQ28" s="12">
        <f>VLOOKUP($X$2,Perusaineisto2!$B$3:'Perusaineisto2'!$DY$298,115)*1000/AQ$24</f>
        <v>2332.8458002507314</v>
      </c>
      <c r="AR28" s="12">
        <f>VLOOKUP($X$2,Perusaineisto2!$B$3:'Perusaineisto2'!$EP$298,132)*1000/AR$25</f>
        <v>2289.5337117394301</v>
      </c>
      <c r="AT28" s="12">
        <f>VLOOKUP($AT$2,Luokittelut!$A$25:'Luokittelut'!$MJ$31,14)*1000/AT$5</f>
        <v>780.33086222608529</v>
      </c>
      <c r="AU28" s="12">
        <f>VLOOKUP($AT$2,Luokittelut!$A$25:'Luokittelut'!$MJ$31,18)*1000/AU$6</f>
        <v>810.79282505151502</v>
      </c>
      <c r="AV28" s="12">
        <f>VLOOKUP($AT$2,Luokittelut!$A$25:'Luokittelut'!$MJ$31,22)*1000/AV$7</f>
        <v>877.44221040035075</v>
      </c>
      <c r="AW28" s="12">
        <f>VLOOKUP($AT$2,Luokittelut!$A$25:'Luokittelut'!$MJ$31,26)*1000/AW$8</f>
        <v>997.87351930014211</v>
      </c>
      <c r="AX28" s="12">
        <f>VLOOKUP($AT$2,Luokittelut!$A$25:'Luokittelut'!$MJ$31,30)*1000/AX$9</f>
        <v>1078.9999474655517</v>
      </c>
      <c r="AY28" s="12">
        <f>VLOOKUP($AT$2,Luokittelut!$A$25:'Luokittelut'!$MJ$31,34)*1000/AY$10</f>
        <v>1133.9106979986834</v>
      </c>
      <c r="AZ28" s="12">
        <f>VLOOKUP($AT$2,Luokittelut!$A$25:'Luokittelut'!$MJ$31,38)*1000/AZ$11</f>
        <v>1211.8333552638237</v>
      </c>
      <c r="BA28" s="12">
        <f>VLOOKUP($AT$2,Luokittelut!$A$25:'Luokittelut'!$MJ$31,42)*1000/BA$12</f>
        <v>1272.7437937817504</v>
      </c>
      <c r="BB28" s="12">
        <f>VLOOKUP($AT$2,Luokittelut!$A$25:'Luokittelut'!$MJ$31,46)*1000/BB$13</f>
        <v>1348.8788651588623</v>
      </c>
      <c r="BC28" s="12">
        <f>VLOOKUP($AT$2,Luokittelut!$A$25:'Luokittelut'!$MJ$31,50)*1000/BC$14</f>
        <v>1401.9742565231111</v>
      </c>
      <c r="BD28" s="12">
        <f>VLOOKUP($AT$2,Luokittelut!$A$25:'Luokittelut'!$MJ$31,54)*1000/BD$15</f>
        <v>1573.2036421910452</v>
      </c>
      <c r="BE28" s="12">
        <f>VLOOKUP($AT$2,Luokittelut!$A$25:'Luokittelut'!$MJ$31,160)*1000/BE$16</f>
        <v>1685.1852159454643</v>
      </c>
      <c r="BF28" s="12">
        <f>VLOOKUP($AT$2,Luokittelut!$A$25:'Luokittelut'!$MJ$31,175)*1000/BF$17</f>
        <v>1772.5638173175919</v>
      </c>
      <c r="BG28" s="12">
        <f>VLOOKUP($AT$2,Luokittelut!$A$25:'Luokittelut'!$MJ$31,192)*1000/BG$18</f>
        <v>1838.0717261299849</v>
      </c>
      <c r="BH28" s="12">
        <f>VLOOKUP($AT$2,Luokittelut!$A$25:'Luokittelut'!$MJ$31,207)*1000/BH$19</f>
        <v>1912.4873113203655</v>
      </c>
      <c r="BI28" s="192">
        <f>VLOOKUP($AT$2,Luokittelut!$A$25:'Luokittelut'!$MJ$31,262)*1000/BI$20</f>
        <v>1973.0557357672644</v>
      </c>
      <c r="BJ28" s="192">
        <f>VLOOKUP($AT$2,Luokittelut!$A$25:'Luokittelut'!$MJ$31,277)*1000/BJ$21</f>
        <v>1975.5096580699715</v>
      </c>
      <c r="BK28" s="192">
        <f>VLOOKUP($AT$2,Luokittelut!$A$25:'Luokittelut'!$MJ$31,291)*1000/BK$22</f>
        <v>1970.1891814937194</v>
      </c>
      <c r="BL28" s="12">
        <f>VLOOKUP($AT$2,Luokittelut!$A$25:'Luokittelut'!$MJ$31,303)*1000/BL$23</f>
        <v>2095.8549050732749</v>
      </c>
      <c r="BM28" s="12">
        <f>VLOOKUP($AT$2,Luokittelut!$A$25:'Luokittelut'!$MJ$31,319)*1000/BM$24</f>
        <v>2092.6735994185292</v>
      </c>
      <c r="BN28" s="12">
        <f>VLOOKUP($AT$2,Luokittelut!$A$25:'Luokittelut'!$MJ$31,335)*1000/BN$25</f>
        <v>2076.5825935243179</v>
      </c>
      <c r="BP28" s="12">
        <f>VLOOKUP($BP$2,Luokittelut!$A$3:'Luokittelut'!$MJ$20,14)*1000/BP$5</f>
        <v>572.87546742413349</v>
      </c>
      <c r="BQ28" s="12">
        <f>VLOOKUP($BP$2,Luokittelut!$A$3:'Luokittelut'!$MJ$20,18)*1000/BQ$6</f>
        <v>605.24798670015468</v>
      </c>
      <c r="BR28" s="12">
        <f>VLOOKUP($BP$2,Luokittelut!$A$3:'Luokittelut'!$MJ$20,22)*1000/BR$7</f>
        <v>637.3010973784601</v>
      </c>
      <c r="BS28" s="12">
        <f>VLOOKUP($BP$2,Luokittelut!$A$3:'Luokittelut'!$MJ$20,26)*1000/BS$8</f>
        <v>689.71069592454398</v>
      </c>
      <c r="BT28" s="12">
        <f>VLOOKUP($BP$2,Luokittelut!$A$3:'Luokittelut'!$MJ$20,30)*1000/BT$9</f>
        <v>746.07052709400546</v>
      </c>
      <c r="BU28" s="12">
        <f>VLOOKUP($BP$2,Luokittelut!$A$3:'Luokittelut'!$MJ$20,34)*1000/BU$10</f>
        <v>788.33749592789661</v>
      </c>
      <c r="BV28" s="12">
        <f>VLOOKUP($BP$2,Luokittelut!$A$3:'Luokittelut'!$MJ$20,38)*1000/BV$11</f>
        <v>869.15016810665838</v>
      </c>
      <c r="BW28" s="12">
        <f>VLOOKUP($BP$2,Luokittelut!$A$3:'Luokittelut'!$MJ$20,42)*1000/BW$12</f>
        <v>932.12392553200573</v>
      </c>
      <c r="BX28" s="12">
        <f>VLOOKUP($BP$2,Luokittelut!$A$3:'Luokittelut'!$MJ$20,46)*1000/BX$13</f>
        <v>1002.0447692392274</v>
      </c>
      <c r="BY28" s="12">
        <f>VLOOKUP($BP$2,Luokittelut!$A$3:'Luokittelut'!$MJ$20,50)*1000/BY$14</f>
        <v>1037.8820373652263</v>
      </c>
      <c r="BZ28" s="12">
        <f>VLOOKUP($BP$2,Luokittelut!$A$3:'Luokittelut'!$MJ$20,54)*1000/BZ$15</f>
        <v>1158.541822700877</v>
      </c>
      <c r="CA28" s="12">
        <f>VLOOKUP($BP$2,Luokittelut!$A$3:'Luokittelut'!$MJ$20,160)*1000/CA$16</f>
        <v>1244.8353530736701</v>
      </c>
      <c r="CB28" s="12">
        <f>VLOOKUP($BP$2,Luokittelut!$A$3:'Luokittelut'!$MJ$20,175)*1000/CB$17</f>
        <v>1285.7507890562397</v>
      </c>
      <c r="CC28" s="12">
        <f>VLOOKUP($BP$2,Luokittelut!$A$3:'Luokittelut'!$MJ$20,192)*1000/CC$18</f>
        <v>1348.0578888940754</v>
      </c>
      <c r="CD28" s="12">
        <f>VLOOKUP($BP$2,Luokittelut!$A$3:'Luokittelut'!$MJ$20,207)*1000/CD$19</f>
        <v>1408.8624317314043</v>
      </c>
      <c r="CE28" s="192">
        <f>VLOOKUP($BP$2,Luokittelut!$A$3:'Luokittelut'!$MJ$20,262)*1000/CE$20</f>
        <v>1553.7261629139125</v>
      </c>
      <c r="CF28" s="192">
        <f>VLOOKUP($BP$2,Luokittelut!$A$3:'Luokittelut'!$MJ$20,277)*1000/CF$21</f>
        <v>1547.2007342336437</v>
      </c>
      <c r="CG28" s="192">
        <f>VLOOKUP($BP$2,Luokittelut!$A$3:'Luokittelut'!$MJ$20,291)*1000/CG$22</f>
        <v>1535.2489755272527</v>
      </c>
      <c r="CH28" s="12">
        <f>VLOOKUP($BP$2,Luokittelut!$A$3:'Luokittelut'!$MJ$20,303)*1000/CH$23</f>
        <v>1613.8457189077974</v>
      </c>
      <c r="CI28" s="12">
        <f>VLOOKUP($BP$2,Luokittelut!$A$3:'Luokittelut'!$MJ$20,319)*1000/CI$24</f>
        <v>1511.6417129321337</v>
      </c>
      <c r="CJ28" s="12">
        <f>VLOOKUP($BP$2,Luokittelut!$A$3:'Luokittelut'!$MJ$20,335)*1000/CJ$25</f>
        <v>1501.2434599442822</v>
      </c>
      <c r="CK28" s="13"/>
      <c r="CL28" s="12">
        <f>VLOOKUP($CL$2,Luokittelut!$A$36:'Luokittelut'!$MJ$47,14)*1000/CL$5</f>
        <v>807.64193474686169</v>
      </c>
      <c r="CM28" s="12">
        <f>VLOOKUP($CL$2,Luokittelut!$A$36:'Luokittelut'!$MJ$47,18)*1000/CM$6</f>
        <v>836.83000939885926</v>
      </c>
      <c r="CN28" s="12">
        <f>VLOOKUP($CL$2,Luokittelut!$A$36:'Luokittelut'!$MJ$47,22)*1000/CN$7</f>
        <v>891.79170571620887</v>
      </c>
      <c r="CO28" s="12">
        <f>VLOOKUP($CL$2,Luokittelut!$A$36:'Luokittelut'!$MJ$47,26)*1000/CO$8</f>
        <v>1025.7789848659886</v>
      </c>
      <c r="CP28" s="12">
        <f>VLOOKUP($CL$2,Luokittelut!$A$36:'Luokittelut'!$MJ$47,30)*1000/CP$9</f>
        <v>1123.8257103568812</v>
      </c>
      <c r="CQ28" s="12">
        <f>VLOOKUP($CL$2,Luokittelut!$A$36:'Luokittelut'!$MJ$47,34)*1000/CQ$10</f>
        <v>1159.7128570467585</v>
      </c>
      <c r="CR28" s="12">
        <f>VLOOKUP($CL$2,Luokittelut!$A$36:'Luokittelut'!$MJ$47,38)*1000/CR$11</f>
        <v>1207.3487546755518</v>
      </c>
      <c r="CS28" s="12">
        <f>VLOOKUP($CL$2,Luokittelut!$A$36:'Luokittelut'!$MJ$47,42)*1000/CS$12</f>
        <v>1271.2515095658807</v>
      </c>
      <c r="CT28" s="12">
        <f>VLOOKUP($CL$2,Luokittelut!$A$36:'Luokittelut'!$MJ$47,46)*1000/CT$13</f>
        <v>1336.3947381709843</v>
      </c>
      <c r="CU28" s="12">
        <f>VLOOKUP($CL$2,Luokittelut!$A$36:'Luokittelut'!$MJ$47,50)*1000/CU$14</f>
        <v>1395.8187215069386</v>
      </c>
      <c r="CV28" s="12">
        <f>VLOOKUP($CL$2,Luokittelut!$A$36:'Luokittelut'!$MJ$47,54)*1000/CV$15</f>
        <v>1578.668660249821</v>
      </c>
      <c r="CW28" s="12">
        <f>VLOOKUP($CL$2,Luokittelut!$A$36:'Luokittelut'!$MJ$47,160)*1000/CW$16</f>
        <v>1694.1216974870194</v>
      </c>
      <c r="CX28" s="12">
        <f>VLOOKUP($CL$2,Luokittelut!$A$36:'Luokittelut'!$MJ$47,175)*1000/CX$17</f>
        <v>1781.493513518526</v>
      </c>
      <c r="CY28" s="12">
        <f>VLOOKUP($CL$2,Luokittelut!$A$36:'Luokittelut'!$MJ$47,192)*1000/CY$18</f>
        <v>1866.6981181527494</v>
      </c>
      <c r="CZ28" s="12">
        <f>VLOOKUP($CL$2,Luokittelut!$A$36:'Luokittelut'!$MJ$47,207)*1000/CZ$19</f>
        <v>1923.1032294240522</v>
      </c>
      <c r="DA28" s="192">
        <f>VLOOKUP($CL$2,Luokittelut!$A$36:'Luokittelut'!$MJ$47,262)*1000/DA$20</f>
        <v>1966.0286638927416</v>
      </c>
      <c r="DB28" s="192">
        <f>VLOOKUP($CL$2,Luokittelut!$A$36:'Luokittelut'!$MJ$47,277)*1000/DB$21</f>
        <v>1967.8233321714238</v>
      </c>
      <c r="DC28" s="192">
        <f>VLOOKUP($CL$2,Luokittelut!$A$36:'Luokittelut'!$MJ$47,291)*1000/DC$22</f>
        <v>1976.4659312656752</v>
      </c>
      <c r="DD28" s="12">
        <f>VLOOKUP($CL$2,Luokittelut!$A$36:'Luokittelut'!$MJ$47,303)*1000/DD$23</f>
        <v>2104.6083206998533</v>
      </c>
      <c r="DE28" s="12">
        <f>VLOOKUP($CL$2,Luokittelut!$A$36:'Luokittelut'!$MJ$47,319)*1000/DE$24</f>
        <v>2102.1260381106463</v>
      </c>
      <c r="DF28" s="12">
        <f>VLOOKUP($CL$2,Luokittelut!$A$36:'Luokittelut'!$MJ$47,335)*1000/DF$25</f>
        <v>2088.3678649727449</v>
      </c>
      <c r="DG28" s="13"/>
      <c r="DH28" s="13"/>
    </row>
    <row r="29" spans="1:112" x14ac:dyDescent="0.2">
      <c r="A29" s="2" t="s">
        <v>430</v>
      </c>
      <c r="B29" s="12">
        <f>VLOOKUP($B$2,Perusaineisto!$B$3:'Perusaineisto'!$FI$400,22)*1000/B$5</f>
        <v>588.38367913224442</v>
      </c>
      <c r="C29" s="12">
        <f>VLOOKUP($B$2,Perusaineisto!$B$3:'Perusaineisto'!$FI$400,26)*1000/C$6</f>
        <v>452.3630437507835</v>
      </c>
      <c r="D29" s="12">
        <f>VLOOKUP($B$2,Perusaineisto!$B$3:'Perusaineisto'!$FI$400,30)*1000/D$7</f>
        <v>431.85951708999687</v>
      </c>
      <c r="E29" s="12">
        <f>VLOOKUP($B$2,Perusaineisto!$B$3:'Perusaineisto'!$FI$400,34)*1000/E$8</f>
        <v>478.34227936587195</v>
      </c>
      <c r="F29" s="12">
        <f>VLOOKUP($B$2,Perusaineisto!$B$3:'Perusaineisto'!$FI$400,38)*1000/F$9</f>
        <v>529.87528696407514</v>
      </c>
      <c r="G29" s="12">
        <f>VLOOKUP($B$2,Perusaineisto!$B$3:'Perusaineisto'!$FI$400,42)*1000/G$10</f>
        <v>562.84959124715715</v>
      </c>
      <c r="H29" s="12">
        <f>VLOOKUP($B$2,Perusaineisto!$B$3:'Perusaineisto'!$FI$400,46)*1000/H$11</f>
        <v>585.8245528056849</v>
      </c>
      <c r="I29" s="12">
        <f>VLOOKUP($B$2,Perusaineisto!$B$3:'Perusaineisto'!$FI$400,50)*1000/I$12</f>
        <v>610.64425770308128</v>
      </c>
      <c r="J29" s="12">
        <f>VLOOKUP($B$2,Perusaineisto!$B$3:'Perusaineisto'!$FI$400,54)*1000/J$13</f>
        <v>639.09321114192687</v>
      </c>
      <c r="K29" s="12">
        <f>VLOOKUP($B$2,Perusaineisto!$B$3:'Perusaineisto'!$FI$400,58)*1000/K$14</f>
        <v>767.65443900107539</v>
      </c>
      <c r="L29" s="12">
        <f>VLOOKUP($B$2,Perusaineisto!$B$3:'Perusaineisto'!$FI$400,62)*1000/L$15</f>
        <v>1042.2878184949814</v>
      </c>
      <c r="M29" s="12">
        <f>VLOOKUP($B$2,Perusaineisto!$B$3:'Perusaineisto'!$FX$333,168)*1000/M$16</f>
        <v>1176.296120536244</v>
      </c>
      <c r="N29" s="12">
        <f>VLOOKUP($B$2,Perusaineisto!$B$3:'Perusaineisto'!$GO$321,183)*1000/N17</f>
        <v>1668.586879849518</v>
      </c>
      <c r="O29" s="12">
        <f>VLOOKUP($B$2,Perusaineisto!$B$3:'Perusaineisto'!$HU$321,200)*1000/O18</f>
        <v>1470.5400503188812</v>
      </c>
      <c r="P29" s="12">
        <f>VLOOKUP($B$2,Perusaineisto!$B$3:'Perusaineisto'!$HU$321,215)*1000/P19</f>
        <v>1360.4529006653438</v>
      </c>
      <c r="Q29" s="12">
        <f>VLOOKUP($B$2,Perusaineisto2!$B$2:'Perusaineisto2'!$CS$299,46)*1000/Q$20</f>
        <v>1437.2808043020809</v>
      </c>
      <c r="R29" s="12">
        <f>VLOOKUP($B$2,Perusaineisto2!$B$2:'Perusaineisto2'!$CS$299,64)*1000/R$21</f>
        <v>1338.2594417077175</v>
      </c>
      <c r="S29" s="12">
        <f>VLOOKUP($B$2,Perusaineisto2!$B$2:'Perusaineisto2'!$CS$299,81)*1000/S$22</f>
        <v>1340.1983218916857</v>
      </c>
      <c r="T29" s="12">
        <f>VLOOKUP($B$2,Perusaineisto2!$B$3:'Perusaineisto2'!$DI$299,100)*1000/T$23</f>
        <v>1319.5650889322224</v>
      </c>
      <c r="U29" s="12">
        <f>VLOOKUP($B$2,Perusaineisto2!$B$3:'Perusaineisto2'!$DY$298,116)*1000/U$24</f>
        <v>1303.3573856520961</v>
      </c>
      <c r="V29" s="12">
        <f>VLOOKUP($B$2,Perusaineisto2!$B$3:'Perusaineisto2'!$EP$298,133)*1000/V$25</f>
        <v>1249.2926374089459</v>
      </c>
      <c r="X29" s="12">
        <f>VLOOKUP($X$2,Perusaineisto!$B$3:'Perusaineisto'!$FI$400,22)*1000/X$5</f>
        <v>603.0989272943981</v>
      </c>
      <c r="Y29" s="12">
        <f>VLOOKUP($X$2,Perusaineisto!$B$3:'Perusaineisto'!$FI$400,26)*1000/Y$6</f>
        <v>604.79471719781793</v>
      </c>
      <c r="Z29" s="12">
        <f>VLOOKUP($X$2,Perusaineisto!$B$3:'Perusaineisto'!$FI$400,30)*1000/Z$7</f>
        <v>645.29522522087575</v>
      </c>
      <c r="AA29" s="12">
        <f>VLOOKUP($X$2,Perusaineisto!$B$3:'Perusaineisto'!$FI$400,34)*1000/AA$8</f>
        <v>678.38193058462741</v>
      </c>
      <c r="AB29" s="12">
        <f>VLOOKUP($X$2,Perusaineisto!$B$3:'Perusaineisto'!$FI$400,38)*1000/AB$9</f>
        <v>683.96572827417378</v>
      </c>
      <c r="AC29" s="12">
        <f>VLOOKUP($X$2,Perusaineisto!$B$3:'Perusaineisto'!$FI$400,42)*1000/AC$10</f>
        <v>684.55785305763311</v>
      </c>
      <c r="AD29" s="12">
        <f>VLOOKUP($X$2,Perusaineisto!$B$3:'Perusaineisto'!$FI$400,46)*1000/AD$11</f>
        <v>655.36695447409738</v>
      </c>
      <c r="AE29" s="12">
        <f>VLOOKUP($X$2,Perusaineisto!$B$3:'Perusaineisto'!$FI$400,50)*1000/AE$12</f>
        <v>644.92504300811015</v>
      </c>
      <c r="AF29" s="12">
        <f>VLOOKUP($X$2,Perusaineisto!$B$3:'Perusaineisto'!$FI$400,54)*1000/AF$13</f>
        <v>739.78663782508238</v>
      </c>
      <c r="AG29" s="12">
        <f>VLOOKUP($X$2,Perusaineisto!$B$3:'Perusaineisto'!$FI$400,58)*1000/AG$14</f>
        <v>1012.4485395020585</v>
      </c>
      <c r="AH29" s="12">
        <f>VLOOKUP($X$2,Perusaineisto!$B$3:'Perusaineisto'!$FI$400,62)*1000/AH$15</f>
        <v>972.69372693726939</v>
      </c>
      <c r="AI29" s="12">
        <f>VLOOKUP($X$2,Perusaineisto!$B$3:'Perusaineisto'!$FX$333,168)*1000/AI$16</f>
        <v>861.72998073408087</v>
      </c>
      <c r="AJ29" s="12">
        <f>VLOOKUP($X$2,Perusaineisto!$B$3:'Perusaineisto'!$GO$321,183)*1000/AJ17</f>
        <v>967.29895277613116</v>
      </c>
      <c r="AK29" s="12">
        <f>VLOOKUP($X$2,Perusaineisto!$B$3:'Perusaineisto'!$HU$321,200)*1000/AK18</f>
        <v>899.6262417625652</v>
      </c>
      <c r="AL29" s="12">
        <f>VLOOKUP($X$2,Perusaineisto!$B$3:'Perusaineisto'!$HU$321,215)*1000/AL19</f>
        <v>913.29879101899826</v>
      </c>
      <c r="AM29" s="12">
        <f>VLOOKUP($X$2,Perusaineisto2!$B$2:'Perusaineisto2'!$CS$299,46)*1000/AM$20</f>
        <v>875.92767843801369</v>
      </c>
      <c r="AN29" s="12">
        <f>VLOOKUP($X$2,Perusaineisto2!$B$2:'Perusaineisto2'!$CS$299,64)*1000/AN$21</f>
        <v>895.27349439951786</v>
      </c>
      <c r="AO29" s="12">
        <f>VLOOKUP($X$2,Perusaineisto2!$B$2:'Perusaineisto2'!$CS$299,81)*1000/AO$22</f>
        <v>992.26305609284327</v>
      </c>
      <c r="AP29" s="12">
        <f>VLOOKUP($X$2,Perusaineisto2!$B$3:'Perusaineisto2'!$DI$299,100)*1000/AP$23</f>
        <v>995.3545989470424</v>
      </c>
      <c r="AQ29" s="12">
        <f>VLOOKUP($X$2,Perusaineisto2!$B$3:'Perusaineisto2'!$DY$298,116)*1000/AQ$24</f>
        <v>1153.9908065190139</v>
      </c>
      <c r="AR29" s="12">
        <f>VLOOKUP($X$2,Perusaineisto2!$B$3:'Perusaineisto2'!$EP$298,133)*1000/AR$25</f>
        <v>946.05060739483315</v>
      </c>
      <c r="AT29" s="12">
        <f>VLOOKUP($AT$2,Luokittelut!$A$25:'Luokittelut'!$MJ$31,15)*1000/AT$5</f>
        <v>615.10525367170828</v>
      </c>
      <c r="AU29" s="12">
        <f>VLOOKUP($AT$2,Luokittelut!$A$25:'Luokittelut'!$MJ$31,19)*1000/AU$6</f>
        <v>605.29338242745666</v>
      </c>
      <c r="AV29" s="12">
        <f>VLOOKUP($AT$2,Luokittelut!$A$25:'Luokittelut'!$MJ$31,23)*1000/AV$7</f>
        <v>632.40956860700703</v>
      </c>
      <c r="AW29" s="12">
        <f>VLOOKUP($AT$2,Luokittelut!$A$25:'Luokittelut'!$MJ$31,27)*1000/AW$8</f>
        <v>652.32803040443798</v>
      </c>
      <c r="AX29" s="12">
        <f>VLOOKUP($AT$2,Luokittelut!$A$25:'Luokittelut'!$MJ$31,31)*1000/AX$9</f>
        <v>682.85631489487184</v>
      </c>
      <c r="AY29" s="12">
        <f>VLOOKUP($AT$2,Luokittelut!$A$25:'Luokittelut'!$MJ$31,35)*1000/AY$10</f>
        <v>716.37214638529451</v>
      </c>
      <c r="AZ29" s="12">
        <f>VLOOKUP($AT$2,Luokittelut!$A$25:'Luokittelut'!$MJ$31,39)*1000/AZ$11</f>
        <v>744.81849988697365</v>
      </c>
      <c r="BA29" s="12">
        <f>VLOOKUP($AT$2,Luokittelut!$A$25:'Luokittelut'!$MJ$31,43)*1000/BA$12</f>
        <v>783.20766368884858</v>
      </c>
      <c r="BB29" s="12">
        <f>VLOOKUP($AT$2,Luokittelut!$A$25:'Luokittelut'!$MJ$31,47)*1000/BB$13</f>
        <v>846.36548560168626</v>
      </c>
      <c r="BC29" s="12">
        <f>VLOOKUP($AT$2,Luokittelut!$A$25:'Luokittelut'!$MJ$31,51)*1000/BC$14</f>
        <v>899.37202479842517</v>
      </c>
      <c r="BD29" s="12">
        <f>VLOOKUP($AT$2,Luokittelut!$A$25:'Luokittelut'!$MJ$31,55)*1000/BD$15</f>
        <v>944.71079363915919</v>
      </c>
      <c r="BE29" s="12">
        <f>VLOOKUP($AT$2,Luokittelut!$A$25:'Luokittelut'!$MJ$31,161)*1000/BE$16</f>
        <v>1166.5207706631097</v>
      </c>
      <c r="BF29" s="12">
        <f>VLOOKUP($AT$2,Luokittelut!$A$25:'Luokittelut'!$MJ$31,176)*1000/BF$17</f>
        <v>1357.5941654632961</v>
      </c>
      <c r="BG29" s="12">
        <f>VLOOKUP($AT$2,Luokittelut!$A$25:'Luokittelut'!$MJ$31,193)*1000/BG$18</f>
        <v>1387.4509842802684</v>
      </c>
      <c r="BH29" s="12">
        <f>VLOOKUP($AT$2,Luokittelut!$A$25:'Luokittelut'!$MJ$31,208)*1000/BH$19</f>
        <v>1365.6898102681334</v>
      </c>
      <c r="BI29" s="192">
        <f>VLOOKUP($AT$2,Luokittelut!$A$25:'Luokittelut'!$MJ$31,259)*1000/BI$20</f>
        <v>1400.4645335102985</v>
      </c>
      <c r="BJ29" s="192">
        <f>VLOOKUP($AT$2,Luokittelut!$A$25:'Luokittelut'!$MJ$31,274)*1000/BJ$21</f>
        <v>1493.3955845048092</v>
      </c>
      <c r="BK29" s="192">
        <f>VLOOKUP($AT$2,Luokittelut!$A$25:'Luokittelut'!$MJ$31,288)*1000/BK$22</f>
        <v>1324.8051569670042</v>
      </c>
      <c r="BL29" s="12">
        <f>VLOOKUP($AT$2,Luokittelut!$A$25:'Luokittelut'!$MJ$31,304)*1000/BL$23</f>
        <v>1318.6828148920556</v>
      </c>
      <c r="BM29" s="12">
        <f>VLOOKUP($AT$2,Luokittelut!$A$25:'Luokittelut'!$MJ$31,320)*1000/BM$24</f>
        <v>1280.3963604719784</v>
      </c>
      <c r="BN29" s="12">
        <f>VLOOKUP($AT$2,Luokittelut!$A$25:'Luokittelut'!$MJ$31,336)*1000/BN$25</f>
        <v>1298.5487620314984</v>
      </c>
      <c r="BP29" s="12">
        <f>VLOOKUP($BP$2,Luokittelut!$A$3:'Luokittelut'!$MJ$20,15)*1000/BP$5</f>
        <v>946.62151229685026</v>
      </c>
      <c r="BQ29" s="12">
        <f>VLOOKUP($BP$2,Luokittelut!$A$3:'Luokittelut'!$MJ$20,19)*1000/BQ$6</f>
        <v>972.03948838498047</v>
      </c>
      <c r="BR29" s="12">
        <f>VLOOKUP($BP$2,Luokittelut!$A$3:'Luokittelut'!$MJ$20,23)*1000/BR$7</f>
        <v>1133.6638939837369</v>
      </c>
      <c r="BS29" s="12">
        <f>VLOOKUP($BP$2,Luokittelut!$A$3:'Luokittelut'!$MJ$20,27)*1000/BS$8</f>
        <v>1217.0000837030216</v>
      </c>
      <c r="BT29" s="12">
        <f>VLOOKUP($BP$2,Luokittelut!$A$3:'Luokittelut'!$MJ$20,31)*1000/BT$9</f>
        <v>1228.4803121705388</v>
      </c>
      <c r="BU29" s="12">
        <f>VLOOKUP($BP$2,Luokittelut!$A$3:'Luokittelut'!$MJ$20,35)*1000/BU$10</f>
        <v>1338.9336518623086</v>
      </c>
      <c r="BV29" s="12">
        <f>VLOOKUP($BP$2,Luokittelut!$A$3:'Luokittelut'!$MJ$20,39)*1000/BV$11</f>
        <v>1376.4168528539387</v>
      </c>
      <c r="BW29" s="12">
        <f>VLOOKUP($BP$2,Luokittelut!$A$3:'Luokittelut'!$MJ$20,43)*1000/BW$12</f>
        <v>1198.6688120459919</v>
      </c>
      <c r="BX29" s="12">
        <f>VLOOKUP($BP$2,Luokittelut!$A$3:'Luokittelut'!$MJ$20,47)*1000/BX$13</f>
        <v>1440.23649120136</v>
      </c>
      <c r="BY29" s="12">
        <f>VLOOKUP($BP$2,Luokittelut!$A$3:'Luokittelut'!$MJ$20,51)*1000/BY$14</f>
        <v>1558.2270244031042</v>
      </c>
      <c r="BZ29" s="12">
        <f>VLOOKUP($BP$2,Luokittelut!$A$3:'Luokittelut'!$MJ$20,55)*1000/BZ$15</f>
        <v>1754.3065442044485</v>
      </c>
      <c r="CA29" s="12">
        <f>VLOOKUP($BP$2,Luokittelut!$A$3:'Luokittelut'!$MJ$20,161)*1000/CA$16</f>
        <v>1347.7412261738582</v>
      </c>
      <c r="CB29" s="12">
        <f>VLOOKUP($BP$2,Luokittelut!$A$3:'Luokittelut'!$MJ$20,176)*1000/CB$17</f>
        <v>1391.7909532453516</v>
      </c>
      <c r="CC29" s="12">
        <f>VLOOKUP($BP$2,Luokittelut!$A$3:'Luokittelut'!$MJ$20,193)*1000/CC$18</f>
        <v>1492.79433044403</v>
      </c>
      <c r="CD29" s="12">
        <f>VLOOKUP($BP$2,Luokittelut!$A$3:'Luokittelut'!$MJ$20,208)*1000/CD$19</f>
        <v>1546.9039487039036</v>
      </c>
      <c r="CE29" s="192">
        <f>VLOOKUP($BP$2,Luokittelut!$A$3:'Luokittelut'!$MJ$20,259)*1000/CE$20</f>
        <v>1690.6247125954183</v>
      </c>
      <c r="CF29" s="192">
        <f>VLOOKUP($BP$2,Luokittelut!$A$3:'Luokittelut'!$MJ$20,274)*1000/CF$21</f>
        <v>1575.3006662931928</v>
      </c>
      <c r="CG29" s="192">
        <f>VLOOKUP($BP$2,Luokittelut!$A$3:'Luokittelut'!$MJ$20,288)*1000/CG$22</f>
        <v>1602.6073177189328</v>
      </c>
      <c r="CH29" s="12">
        <f>VLOOKUP($BP$2,Luokittelut!$A$3:'Luokittelut'!$MJ$20,304)*1000/CH$23</f>
        <v>1679.3185905339292</v>
      </c>
      <c r="CI29" s="12">
        <f>VLOOKUP($BP$2,Luokittelut!$A$3:'Luokittelut'!$MJ$20,320)*1000/CI$24</f>
        <v>1631.7516174199004</v>
      </c>
      <c r="CJ29" s="12">
        <f>VLOOKUP($BP$2,Luokittelut!$A$3:'Luokittelut'!$MJ$20,336)*1000/CJ$25</f>
        <v>1652.0738892825595</v>
      </c>
      <c r="CK29" s="13"/>
      <c r="CL29" s="12">
        <f>VLOOKUP($CL$2,Luokittelut!$A$36:'Luokittelut'!$MJ$47,15)*1000/CL$5</f>
        <v>549.87305275148913</v>
      </c>
      <c r="CM29" s="12">
        <f>VLOOKUP($CL$2,Luokittelut!$A$36:'Luokittelut'!$MJ$47,19)*1000/CM$6</f>
        <v>536.87764745265167</v>
      </c>
      <c r="CN29" s="12">
        <f>VLOOKUP($CL$2,Luokittelut!$A$36:'Luokittelut'!$MJ$47,23)*1000/CN$7</f>
        <v>552.5872535853116</v>
      </c>
      <c r="CO29" s="12">
        <f>VLOOKUP($CL$2,Luokittelut!$A$36:'Luokittelut'!$MJ$47,27)*1000/CO$8</f>
        <v>574.71593560241604</v>
      </c>
      <c r="CP29" s="12">
        <f>VLOOKUP($CL$2,Luokittelut!$A$36:'Luokittelut'!$MJ$47,31)*1000/CP$9</f>
        <v>609.33905645586208</v>
      </c>
      <c r="CQ29" s="12">
        <f>VLOOKUP($CL$2,Luokittelut!$A$36:'Luokittelut'!$MJ$47,35)*1000/CQ$10</f>
        <v>633.73577338642258</v>
      </c>
      <c r="CR29" s="12">
        <f>VLOOKUP($CL$2,Luokittelut!$A$36:'Luokittelut'!$MJ$47,39)*1000/CR$11</f>
        <v>658.27620543066143</v>
      </c>
      <c r="CS29" s="12">
        <f>VLOOKUP($CL$2,Luokittelut!$A$36:'Luokittelut'!$MJ$47,43)*1000/CS$12</f>
        <v>693.82508103985253</v>
      </c>
      <c r="CT29" s="12">
        <f>VLOOKUP($CL$2,Luokittelut!$A$36:'Luokittelut'!$MJ$47,47)*1000/CT$13</f>
        <v>746.75554208958238</v>
      </c>
      <c r="CU29" s="12">
        <f>VLOOKUP($CL$2,Luokittelut!$A$36:'Luokittelut'!$MJ$47,51)*1000/CU$14</f>
        <v>790.00926807274186</v>
      </c>
      <c r="CV29" s="12">
        <f>VLOOKUP($CL$2,Luokittelut!$A$36:'Luokittelut'!$MJ$47,55)*1000/CV$15</f>
        <v>825.96642058374607</v>
      </c>
      <c r="CW29" s="12">
        <f>VLOOKUP($CL$2,Luokittelut!$A$36:'Luokittelut'!$MJ$47,161)*1000/CW$16</f>
        <v>957.97534785332778</v>
      </c>
      <c r="CX29" s="12">
        <f>VLOOKUP($CL$2,Luokittelut!$A$36:'Luokittelut'!$MJ$47,176)*1000/CX$17</f>
        <v>1215.4371149762455</v>
      </c>
      <c r="CY29" s="12">
        <f>VLOOKUP($CL$2,Luokittelut!$A$36:'Luokittelut'!$MJ$47,193)*1000/CY$18</f>
        <v>1240.8073781486175</v>
      </c>
      <c r="CZ29" s="12">
        <f>VLOOKUP($CL$2,Luokittelut!$A$36:'Luokittelut'!$MJ$47,208)*1000/CZ$19</f>
        <v>1290.4417428168267</v>
      </c>
      <c r="DA29" s="192">
        <f>VLOOKUP($CL$2,Luokittelut!$A$36:'Luokittelut'!$MJ$47,259)*1000/DA$20</f>
        <v>1156.9517645245801</v>
      </c>
      <c r="DB29" s="192">
        <f>VLOOKUP($CL$2,Luokittelut!$A$36:'Luokittelut'!$MJ$47,274)*1000/DB$21</f>
        <v>1117.2407836411364</v>
      </c>
      <c r="DC29" s="192">
        <f>VLOOKUP($CL$2,Luokittelut!$A$36:'Luokittelut'!$MJ$47,288)*1000/DC$22</f>
        <v>1104.7900025049403</v>
      </c>
      <c r="DD29" s="12">
        <f>VLOOKUP($CL$2,Luokittelut!$A$36:'Luokittelut'!$MJ$47,304)*1000/DD$23</f>
        <v>1101.315331659915</v>
      </c>
      <c r="DE29" s="12">
        <f>VLOOKUP($CL$2,Luokittelut!$A$36:'Luokittelut'!$MJ$47,320)*1000/DE$24</f>
        <v>1070.4619065317813</v>
      </c>
      <c r="DF29" s="12">
        <f>VLOOKUP($CL$2,Luokittelut!$A$36:'Luokittelut'!$MJ$47,336)*1000/DF$25</f>
        <v>1178.2392481150978</v>
      </c>
      <c r="DG29" s="13"/>
      <c r="DH29" s="13"/>
    </row>
    <row r="30" spans="1:112" x14ac:dyDescent="0.2">
      <c r="A30" s="2" t="s">
        <v>431</v>
      </c>
      <c r="B30" s="12">
        <f>VLOOKUP($B$2,Perusaineisto!$B$3:'Perusaineisto'!$FI$400,23)*1000/B$5</f>
        <v>49.426482771687041</v>
      </c>
      <c r="C30" s="12">
        <f>VLOOKUP($B$2,Perusaineisto!$B$3:'Perusaineisto'!$FI$400,27)*1000/C$6</f>
        <v>67.722153666086669</v>
      </c>
      <c r="D30" s="12">
        <f>VLOOKUP($B$2,Perusaineisto!$B$3:'Perusaineisto'!$FI$400,31)*1000/D$7</f>
        <v>36.285134338513515</v>
      </c>
      <c r="E30" s="12">
        <f>VLOOKUP($B$2,Perusaineisto!$B$3:'Perusaineisto'!$FI$400,35)*1000/E$8</f>
        <v>33.44443475885496</v>
      </c>
      <c r="F30" s="12">
        <f>VLOOKUP($B$2,Perusaineisto!$B$3:'Perusaineisto'!$FI$400,39)*1000/F$9</f>
        <v>18.800024818514611</v>
      </c>
      <c r="G30" s="12">
        <f>VLOOKUP($B$2,Perusaineisto!$B$3:'Perusaineisto'!$FI$400,43)*1000/G$10</f>
        <v>95.703485155817816</v>
      </c>
      <c r="H30" s="12">
        <f>VLOOKUP($B$2,Perusaineisto!$B$3:'Perusaineisto'!$FI$400,47)*1000/H$11</f>
        <v>17.213918157314385</v>
      </c>
      <c r="I30" s="12">
        <f>VLOOKUP($B$2,Perusaineisto!$B$3:'Perusaineisto'!$FI$400,51)*1000/I$12</f>
        <v>26.671538180489588</v>
      </c>
      <c r="J30" s="12">
        <f>VLOOKUP($B$2,Perusaineisto!$B$3:'Perusaineisto'!$FI$400,55)*1000/J$13</f>
        <v>13.324490534185458</v>
      </c>
      <c r="K30" s="12">
        <f>VLOOKUP($B$2,Perusaineisto!$B$3:'Perusaineisto'!$FI$400,59)*1000/K$14</f>
        <v>15.055562193810491</v>
      </c>
      <c r="L30" s="12">
        <f>VLOOKUP($B$2,Perusaineisto!$B$3:'Perusaineisto'!$FI$400,63)*1000/L$15</f>
        <v>10.987705648274634</v>
      </c>
      <c r="M30" s="12">
        <f>VLOOKUP($B$2,Perusaineisto!$B$3:'Perusaineisto'!$FX$333,169)*1000/M$16</f>
        <v>9.0758097045912915</v>
      </c>
      <c r="N30" s="12">
        <f>VLOOKUP($B$2,Perusaineisto!$B$3:'Perusaineisto'!$GO$321,184)*1000/N17</f>
        <v>10.345638372913237</v>
      </c>
      <c r="O30" s="12">
        <f>VLOOKUP($B$2,Perusaineisto!$B$3:'Perusaineisto'!$HU$321,201)*1000/O18</f>
        <v>14.74460242232754</v>
      </c>
      <c r="P30" s="12">
        <f>VLOOKUP($B$2,Perusaineisto!$B$3:'Perusaineisto'!$HU$321,216)*1000/P19</f>
        <v>139.54709933465625</v>
      </c>
      <c r="Q30" s="12">
        <f>VLOOKUP($B$2,Perusaineisto2!$B$2:'Perusaineisto2'!$CS$299,50)*1000/Q$20</f>
        <v>10.229132569558102</v>
      </c>
      <c r="R30" s="12">
        <f>VLOOKUP($B$2,Perusaineisto2!$B$2:'Perusaineisto2'!$CS$299,68)*1000/R$21</f>
        <v>10.790523105794042</v>
      </c>
      <c r="S30" s="12">
        <f>VLOOKUP($B$2,Perusaineisto2!$B$2:'Perusaineisto2'!$CS$299,85)*1000/S$22</f>
        <v>2.3470046353341547</v>
      </c>
      <c r="T30" s="12">
        <f>VLOOKUP($B$2,Perusaineisto2!$B$3:'Perusaineisto2'!$DI$299,101)*1000/T$23</f>
        <v>12.054600248182947</v>
      </c>
      <c r="U30" s="12">
        <f>VLOOKUP($B$2,Perusaineisto2!$B$3:'Perusaineisto2'!$DY$298,117)*1000/U$24</f>
        <v>44.963921521855802</v>
      </c>
      <c r="V30" s="12">
        <f>VLOOKUP($B$2,Perusaineisto2!$B$3:'Perusaineisto2'!$EP$298,134)*1000/V$25</f>
        <v>56.589007284329661</v>
      </c>
      <c r="X30" s="12">
        <f>VLOOKUP($X$2,Perusaineisto!$B$3:'Perusaineisto'!$FI$400,23)*1000/X$5</f>
        <v>45.376661542106831</v>
      </c>
      <c r="Y30" s="12">
        <f>VLOOKUP($X$2,Perusaineisto!$B$3:'Perusaineisto'!$FI$400,27)*1000/Y$6</f>
        <v>69.261426697663126</v>
      </c>
      <c r="Z30" s="12">
        <f>VLOOKUP($X$2,Perusaineisto!$B$3:'Perusaineisto'!$FI$400,31)*1000/Z$7</f>
        <v>68.256057057667249</v>
      </c>
      <c r="AA30" s="12">
        <f>VLOOKUP($X$2,Perusaineisto!$B$3:'Perusaineisto'!$FI$400,35)*1000/AA$8</f>
        <v>61.534364760975357</v>
      </c>
      <c r="AB30" s="12">
        <f>VLOOKUP($X$2,Perusaineisto!$B$3:'Perusaineisto'!$FI$400,39)*1000/AB$9</f>
        <v>68.347613219094242</v>
      </c>
      <c r="AC30" s="12">
        <f>VLOOKUP($X$2,Perusaineisto!$B$3:'Perusaineisto'!$FI$400,43)*1000/AC$10</f>
        <v>58.073031236251651</v>
      </c>
      <c r="AD30" s="12">
        <f>VLOOKUP($X$2,Perusaineisto!$B$3:'Perusaineisto'!$FI$400,47)*1000/AD$11</f>
        <v>53.277080062794347</v>
      </c>
      <c r="AE30" s="12">
        <f>VLOOKUP($X$2,Perusaineisto!$B$3:'Perusaineisto'!$FI$400,51)*1000/AE$12</f>
        <v>49.840255591054316</v>
      </c>
      <c r="AF30" s="12">
        <f>VLOOKUP($X$2,Perusaineisto!$B$3:'Perusaineisto'!$FI$400,55)*1000/AF$13</f>
        <v>55.110368221818</v>
      </c>
      <c r="AG30" s="12">
        <f>VLOOKUP($X$2,Perusaineisto!$B$3:'Perusaineisto'!$FI$400,59)*1000/AG$14</f>
        <v>78.317976867280919</v>
      </c>
      <c r="AH30" s="12">
        <f>VLOOKUP($X$2,Perusaineisto!$B$3:'Perusaineisto'!$FI$400,63)*1000/AH$15</f>
        <v>567.7244772447724</v>
      </c>
      <c r="AI30" s="12">
        <f>VLOOKUP($X$2,Perusaineisto!$B$3:'Perusaineisto'!$FX$333,169)*1000/AI$16</f>
        <v>64.170330484611966</v>
      </c>
      <c r="AJ30" s="12">
        <f>VLOOKUP($X$2,Perusaineisto!$B$3:'Perusaineisto'!$GO$321,184)*1000/AJ17</f>
        <v>46.631100573009284</v>
      </c>
      <c r="AK30" s="12">
        <f>VLOOKUP($X$2,Perusaineisto!$B$3:'Perusaineisto'!$HU$321,201)*1000/AK18</f>
        <v>36.638143011704535</v>
      </c>
      <c r="AL30" s="12">
        <f>VLOOKUP($X$2,Perusaineisto!$B$3:'Perusaineisto'!$HU$321,216)*1000/AL19</f>
        <v>17.912657290895634</v>
      </c>
      <c r="AM30" s="12">
        <f>VLOOKUP($X$2,Perusaineisto2!$B$2:'Perusaineisto2'!$CS$299,50)*1000/AM$20</f>
        <v>34.019026747023958</v>
      </c>
      <c r="AN30" s="12">
        <f>VLOOKUP($X$2,Perusaineisto2!$B$2:'Perusaineisto2'!$CS$299,68)*1000/AN$21</f>
        <v>51.283339193329653</v>
      </c>
      <c r="AO30" s="12">
        <f>VLOOKUP($X$2,Perusaineisto2!$B$2:'Perusaineisto2'!$CS$299,85)*1000/AO$22</f>
        <v>100.02036037870305</v>
      </c>
      <c r="AP30" s="12">
        <f>VLOOKUP($X$2,Perusaineisto2!$B$3:'Perusaineisto2'!$DI$299,101)*1000/AP$23</f>
        <v>127.49045112005781</v>
      </c>
      <c r="AQ30" s="12">
        <f>VLOOKUP($X$2,Perusaineisto2!$B$3:'Perusaineisto2'!$DY$298,117)*1000/AQ$24</f>
        <v>87.651483493522775</v>
      </c>
      <c r="AR30" s="12">
        <f>VLOOKUP($X$2,Perusaineisto2!$B$3:'Perusaineisto2'!$EP$298,134)*1000/AR$25</f>
        <v>96.440507134900002</v>
      </c>
      <c r="AT30" s="12">
        <f>VLOOKUP($AT$2,Luokittelut!$A$25:'Luokittelut'!$MJ$31,16)*1000/AT$5</f>
        <v>54.074398243748782</v>
      </c>
      <c r="AU30" s="12">
        <f>VLOOKUP($AT$2,Luokittelut!$A$25:'Luokittelut'!$MJ$31,20)*1000/AU$6</f>
        <v>70.056807877971849</v>
      </c>
      <c r="AV30" s="12">
        <f>VLOOKUP($AT$2,Luokittelut!$A$25:'Luokittelut'!$MJ$31,24)*1000/AV$7</f>
        <v>57.688515426604319</v>
      </c>
      <c r="AW30" s="12">
        <f>VLOOKUP($AT$2,Luokittelut!$A$25:'Luokittelut'!$MJ$31,28)*1000/AW$8</f>
        <v>55.238863469208376</v>
      </c>
      <c r="AX30" s="12">
        <f>VLOOKUP($AT$2,Luokittelut!$A$25:'Luokittelut'!$MJ$31,32)*1000/AX$9</f>
        <v>46.304879433441393</v>
      </c>
      <c r="AY30" s="12">
        <f>VLOOKUP($AT$2,Luokittelut!$A$25:'Luokittelut'!$MJ$31,36)*1000/AY$10</f>
        <v>75.565054208314933</v>
      </c>
      <c r="AZ30" s="12">
        <f>VLOOKUP($AT$2,Luokittelut!$A$25:'Luokittelut'!$MJ$31,40)*1000/AZ$11</f>
        <v>55.764176375126098</v>
      </c>
      <c r="BA30" s="12">
        <f>VLOOKUP($AT$2,Luokittelut!$A$25:'Luokittelut'!$MJ$31,44)*1000/BA$12</f>
        <v>67.469538923374884</v>
      </c>
      <c r="BB30" s="12">
        <f>VLOOKUP($AT$2,Luokittelut!$A$25:'Luokittelut'!$MJ$31,48)*1000/BB$13</f>
        <v>59.029232279836329</v>
      </c>
      <c r="BC30" s="12">
        <f>VLOOKUP($AT$2,Luokittelut!$A$25:'Luokittelut'!$MJ$31,52)*1000/BC$14</f>
        <v>66.317253539352393</v>
      </c>
      <c r="BD30" s="12">
        <f>VLOOKUP($AT$2,Luokittelut!$A$25:'Luokittelut'!$MJ$31,56)*1000/BD$15</f>
        <v>52.568890784243827</v>
      </c>
      <c r="BE30" s="12">
        <f>VLOOKUP($AT$2,Luokittelut!$A$25:'Luokittelut'!$MJ$31,162)*1000/BE$16</f>
        <v>43.273806656512086</v>
      </c>
      <c r="BF30" s="12">
        <f>VLOOKUP($AT$2,Luokittelut!$A$25:'Luokittelut'!$MJ$31,177)*1000/BF$17</f>
        <v>31.634688237254359</v>
      </c>
      <c r="BG30" s="12">
        <f>VLOOKUP($AT$2,Luokittelut!$A$25:'Luokittelut'!$MJ$31,194)*1000/BG$18</f>
        <v>30.084456584424363</v>
      </c>
      <c r="BH30" s="12">
        <f>VLOOKUP($AT$2,Luokittelut!$A$25:'Luokittelut'!$MJ$31,209)*1000/BH$19</f>
        <v>63.399658334089843</v>
      </c>
      <c r="BI30" s="192">
        <f>VLOOKUP($AT$2,Luokittelut!$A$25:'Luokittelut'!$MJ$31,263)*1000/BI$20</f>
        <v>143.53491182282355</v>
      </c>
      <c r="BJ30" s="192">
        <f>VLOOKUP($AT$2,Luokittelut!$A$25:'Luokittelut'!$MJ$31,278)*1000/BJ$21</f>
        <v>75.302557869147023</v>
      </c>
      <c r="BK30" s="192">
        <f>VLOOKUP($AT$2,Luokittelut!$A$25:'Luokittelut'!$MJ$31,292)*1000/BK$22</f>
        <v>93.173706619696858</v>
      </c>
      <c r="BL30" s="12">
        <f>VLOOKUP($AT$2,Luokittelut!$A$25:'Luokittelut'!$MJ$31,305)*1000/BL$23</f>
        <v>45.655155465966189</v>
      </c>
      <c r="BM30" s="12">
        <f>VLOOKUP($AT$2,Luokittelut!$A$25:'Luokittelut'!$MJ$31,321)*1000/BM$24</f>
        <v>33.747987023595584</v>
      </c>
      <c r="BN30" s="12">
        <f>VLOOKUP($AT$2,Luokittelut!$A$25:'Luokittelut'!$MJ$31,337)*1000/BN$25</f>
        <v>25.902393813593267</v>
      </c>
      <c r="BP30" s="12">
        <f>VLOOKUP($BP$2,Luokittelut!$A$3:'Luokittelut'!$MJ$20,16)*1000/BP$5</f>
        <v>79.614414599719822</v>
      </c>
      <c r="BQ30" s="12">
        <f>VLOOKUP($BP$2,Luokittelut!$A$3:'Luokittelut'!$MJ$20,20)*1000/BQ$6</f>
        <v>76.27467756572257</v>
      </c>
      <c r="BR30" s="12">
        <f>VLOOKUP($BP$2,Luokittelut!$A$3:'Luokittelut'!$MJ$20,24)*1000/BR$7</f>
        <v>74.626656014083665</v>
      </c>
      <c r="BS30" s="12">
        <f>VLOOKUP($BP$2,Luokittelut!$A$3:'Luokittelut'!$MJ$20,28)*1000/BS$8</f>
        <v>61.496440508969407</v>
      </c>
      <c r="BT30" s="12">
        <f>VLOOKUP($BP$2,Luokittelut!$A$3:'Luokittelut'!$MJ$20,32)*1000/BT$9</f>
        <v>43.017502723180499</v>
      </c>
      <c r="BU30" s="12">
        <f>VLOOKUP($BP$2,Luokittelut!$A$3:'Luokittelut'!$MJ$20,36)*1000/BU$10</f>
        <v>67.631664675860577</v>
      </c>
      <c r="BV30" s="12">
        <f>VLOOKUP($BP$2,Luokittelut!$A$3:'Luokittelut'!$MJ$20,40)*1000/BV$11</f>
        <v>75.639386464508192</v>
      </c>
      <c r="BW30" s="12">
        <f>VLOOKUP($BP$2,Luokittelut!$A$3:'Luokittelut'!$MJ$20,44)*1000/BW$12</f>
        <v>192.44393987247227</v>
      </c>
      <c r="BX30" s="12">
        <f>VLOOKUP($BP$2,Luokittelut!$A$3:'Luokittelut'!$MJ$20,48)*1000/BX$13</f>
        <v>66.991038539776781</v>
      </c>
      <c r="BY30" s="12">
        <f>VLOOKUP($BP$2,Luokittelut!$A$3:'Luokittelut'!$MJ$20,52)*1000/BY$14</f>
        <v>81.229298789992697</v>
      </c>
      <c r="BZ30" s="12">
        <f>VLOOKUP($BP$2,Luokittelut!$A$3:'Luokittelut'!$MJ$20,56)*1000/BZ$15</f>
        <v>334.70401390874252</v>
      </c>
      <c r="CA30" s="12">
        <f>VLOOKUP($BP$2,Luokittelut!$A$3:'Luokittelut'!$MJ$20,162)*1000/CA$16</f>
        <v>83.861430577345146</v>
      </c>
      <c r="CB30" s="12">
        <f>VLOOKUP($BP$2,Luokittelut!$A$3:'Luokittelut'!$MJ$20,177)*1000/CB$17</f>
        <v>119.4275458306759</v>
      </c>
      <c r="CC30" s="12">
        <f>VLOOKUP($BP$2,Luokittelut!$A$3:'Luokittelut'!$MJ$20,194)*1000/CC$18</f>
        <v>65.134138495789841</v>
      </c>
      <c r="CD30" s="12">
        <f>VLOOKUP($BP$2,Luokittelut!$A$3:'Luokittelut'!$MJ$20,209)*1000/CD$19</f>
        <v>99.456670586908544</v>
      </c>
      <c r="CE30" s="192">
        <f>VLOOKUP($BP$2,Luokittelut!$A$3:'Luokittelut'!$MJ$20,263)*1000/CE$20</f>
        <v>134.92720416821615</v>
      </c>
      <c r="CF30" s="192">
        <f>VLOOKUP($BP$2,Luokittelut!$A$3:'Luokittelut'!$MJ$20,278)*1000/CF$21</f>
        <v>43.021005915984283</v>
      </c>
      <c r="CG30" s="192">
        <f>VLOOKUP($BP$2,Luokittelut!$A$3:'Luokittelut'!$MJ$20,292)*1000/CG$22</f>
        <v>38.698791181433435</v>
      </c>
      <c r="CH30" s="12">
        <f>VLOOKUP($BP$2,Luokittelut!$A$3:'Luokittelut'!$MJ$20,305)*1000/CH$23</f>
        <v>84.430143161168218</v>
      </c>
      <c r="CI30" s="12">
        <f>VLOOKUP($BP$2,Luokittelut!$A$3:'Luokittelut'!$MJ$20,321)*1000/CI$24</f>
        <v>162.71449243381417</v>
      </c>
      <c r="CJ30" s="12">
        <f>VLOOKUP($BP$2,Luokittelut!$A$3:'Luokittelut'!$MJ$20,337)*1000/CJ$25</f>
        <v>69.992913928498623</v>
      </c>
      <c r="CK30" s="13"/>
      <c r="CL30" s="12">
        <f>VLOOKUP($CL$2,Luokittelut!$A$36:'Luokittelut'!$MJ$47,16)*1000/CL$5</f>
        <v>54.278070649276387</v>
      </c>
      <c r="CM30" s="12">
        <f>VLOOKUP($CL$2,Luokittelut!$A$36:'Luokittelut'!$MJ$47,20)*1000/CM$6</f>
        <v>71.164092768902236</v>
      </c>
      <c r="CN30" s="12">
        <f>VLOOKUP($CL$2,Luokittelut!$A$36:'Luokittelut'!$MJ$47,24)*1000/CN$7</f>
        <v>54.780526290433457</v>
      </c>
      <c r="CO30" s="12">
        <f>VLOOKUP($CL$2,Luokittelut!$A$36:'Luokittelut'!$MJ$47,28)*1000/CO$8</f>
        <v>48.110134796695284</v>
      </c>
      <c r="CP30" s="12">
        <f>VLOOKUP($CL$2,Luokittelut!$A$36:'Luokittelut'!$MJ$47,32)*1000/CP$9</f>
        <v>39.761993497230542</v>
      </c>
      <c r="CQ30" s="12">
        <f>VLOOKUP($CL$2,Luokittelut!$A$36:'Luokittelut'!$MJ$47,36)*1000/CQ$10</f>
        <v>78.919466075552805</v>
      </c>
      <c r="CR30" s="12">
        <f>VLOOKUP($CL$2,Luokittelut!$A$36:'Luokittelut'!$MJ$47,40)*1000/CR$11</f>
        <v>48.766164962404098</v>
      </c>
      <c r="CS30" s="12">
        <f>VLOOKUP($CL$2,Luokittelut!$A$36:'Luokittelut'!$MJ$47,44)*1000/CS$12</f>
        <v>46.199072014237586</v>
      </c>
      <c r="CT30" s="12">
        <f>VLOOKUP($CL$2,Luokittelut!$A$36:'Luokittelut'!$MJ$47,48)*1000/CT$13</f>
        <v>35.136721708831992</v>
      </c>
      <c r="CU30" s="12">
        <f>VLOOKUP($CL$2,Luokittelut!$A$36:'Luokittelut'!$MJ$47,52)*1000/CU$14</f>
        <v>49.577926957567257</v>
      </c>
      <c r="CV30" s="12">
        <f>VLOOKUP($CL$2,Luokittelut!$A$36:'Luokittelut'!$MJ$47,56)*1000/CV$15</f>
        <v>36.264523564775878</v>
      </c>
      <c r="CW30" s="12">
        <f>VLOOKUP($CL$2,Luokittelut!$A$36:'Luokittelut'!$MJ$47,162)*1000/CW$16</f>
        <v>38.355365594933097</v>
      </c>
      <c r="CX30" s="12">
        <f>VLOOKUP($CL$2,Luokittelut!$A$36:'Luokittelut'!$MJ$47,177)*1000/CX$17</f>
        <v>36.059705921445108</v>
      </c>
      <c r="CY30" s="12">
        <f>VLOOKUP($CL$2,Luokittelut!$A$36:'Luokittelut'!$MJ$47,194)*1000/CY$18</f>
        <v>30.970463354393495</v>
      </c>
      <c r="CZ30" s="12">
        <f>VLOOKUP($CL$2,Luokittelut!$A$36:'Luokittelut'!$MJ$47,209)*1000/CZ$19</f>
        <v>38.754937179969069</v>
      </c>
      <c r="DA30" s="192">
        <f>VLOOKUP($CL$2,Luokittelut!$A$36:'Luokittelut'!$MJ$47,263)*1000/DA$20</f>
        <v>108.48821081830791</v>
      </c>
      <c r="DB30" s="192">
        <f>VLOOKUP($CL$2,Luokittelut!$A$36:'Luokittelut'!$MJ$47,278)*1000/DB$21</f>
        <v>208.5298554193825</v>
      </c>
      <c r="DC30" s="192">
        <f>VLOOKUP($CL$2,Luokittelut!$A$36:'Luokittelut'!$MJ$47,292)*1000/DC$22</f>
        <v>92.441574586916786</v>
      </c>
      <c r="DD30" s="12">
        <f>VLOOKUP($CL$2,Luokittelut!$A$36:'Luokittelut'!$MJ$47,305)*1000/DD$23</f>
        <v>34.02962447498571</v>
      </c>
      <c r="DE30" s="12">
        <f>VLOOKUP($CL$2,Luokittelut!$A$36:'Luokittelut'!$MJ$47,321)*1000/DE$24</f>
        <v>31.18626492552464</v>
      </c>
      <c r="DF30" s="12">
        <f>VLOOKUP($CL$2,Luokittelut!$A$36:'Luokittelut'!$MJ$47,337)*1000/DF$25</f>
        <v>25.295592301232066</v>
      </c>
      <c r="DG30" s="13"/>
      <c r="DH30" s="13"/>
    </row>
    <row r="31" spans="1:112" x14ac:dyDescent="0.2">
      <c r="M31" s="12"/>
      <c r="N31" s="12"/>
      <c r="O31" s="12"/>
      <c r="P31" s="12"/>
      <c r="Q31" s="12"/>
      <c r="R31" s="12"/>
      <c r="S31" s="12"/>
      <c r="T31" s="12"/>
      <c r="U31" s="12"/>
      <c r="V31" s="12"/>
      <c r="Y31" s="11"/>
      <c r="Z31" s="11"/>
      <c r="AA31" s="11"/>
      <c r="AI31" s="12"/>
      <c r="AJ31" s="12"/>
      <c r="AK31" s="12"/>
      <c r="AL31" s="12"/>
      <c r="AM31" s="12"/>
      <c r="AN31" s="12"/>
      <c r="AO31" s="12"/>
      <c r="AP31" s="12"/>
      <c r="AQ31" s="12"/>
      <c r="AR31" s="12"/>
      <c r="BF31" s="12"/>
      <c r="BG31" s="12"/>
      <c r="BH31" s="12"/>
      <c r="BI31" s="192"/>
      <c r="BJ31" s="192"/>
      <c r="BK31" s="192"/>
      <c r="BL31" s="12"/>
      <c r="BM31" s="12"/>
      <c r="BN31" s="12"/>
      <c r="CB31" s="12"/>
      <c r="CC31" s="12"/>
      <c r="CD31" s="12"/>
      <c r="CE31" s="192"/>
      <c r="CF31" s="192"/>
      <c r="CG31" s="192"/>
      <c r="CH31" s="12"/>
      <c r="CI31" s="12"/>
      <c r="CJ31" s="12"/>
      <c r="CK31" s="13"/>
      <c r="CX31" s="12"/>
      <c r="CY31" s="12"/>
      <c r="CZ31" s="12"/>
      <c r="DA31" s="192"/>
      <c r="DB31" s="192"/>
      <c r="DC31" s="192"/>
      <c r="DD31" s="12"/>
      <c r="DE31" s="12"/>
      <c r="DF31" s="12"/>
      <c r="DG31" s="13"/>
      <c r="DH31" s="13"/>
    </row>
    <row r="32" spans="1:112" x14ac:dyDescent="0.2">
      <c r="A32" s="2" t="s">
        <v>432</v>
      </c>
      <c r="B32" s="12">
        <f>VLOOKUP($B$2,Perusaineisto!$B$3:'Perusaineisto'!$FI$400,64)*1000/B$5</f>
        <v>1612.300353245525</v>
      </c>
      <c r="C32" s="12">
        <f>VLOOKUP($B$2,Perusaineisto!$B$3:'Perusaineisto'!$FI$400,67)*1000/C$6</f>
        <v>1691.2511504509062</v>
      </c>
      <c r="D32" s="12">
        <f>VLOOKUP($B$2,Perusaineisto!$B$3:'Perusaineisto'!$FI$400,70)*1000/D$7</f>
        <v>1631.6391207621043</v>
      </c>
      <c r="E32" s="12">
        <f>VLOOKUP($B$2,Perusaineisto!$B$3:'Perusaineisto'!$FI$400,73)*1000/E$8</f>
        <v>1925.5398826613407</v>
      </c>
      <c r="F32" s="12">
        <f>VLOOKUP($B$2,Perusaineisto!$B$3:'Perusaineisto'!$FI$400,76)*1000/F$9</f>
        <v>2121.1143513060742</v>
      </c>
      <c r="G32" s="12">
        <f>VLOOKUP($B$2,Perusaineisto!$B$3:'Perusaineisto'!$FI$400,79)*1000/G$10</f>
        <v>2053.721802200504</v>
      </c>
      <c r="H32" s="12">
        <f>VLOOKUP($B$2,Perusaineisto!$B$3:'Perusaineisto'!$FI$400,82)*1000/H$11</f>
        <v>2075.6554765988726</v>
      </c>
      <c r="I32" s="12">
        <f>VLOOKUP($B$2,Perusaineisto!$B$3:'Perusaineisto'!$FI$400,85)*1000/I$12</f>
        <v>2149.2510047497258</v>
      </c>
      <c r="J32" s="12">
        <f>VLOOKUP($B$2,Perusaineisto!$B$3:'Perusaineisto'!$FI$400,88)*1000/J$13</f>
        <v>2317.798143012179</v>
      </c>
      <c r="K32" s="12">
        <f>VLOOKUP($B$2,Perusaineisto!$B$3:'Perusaineisto'!$FI$400,91)*1000/K$14</f>
        <v>2430.3381527064166</v>
      </c>
      <c r="L32" s="12">
        <f>VLOOKUP($B$2,Perusaineisto!$B$3:'Perusaineisto'!$FI$400,94)*1000/L$15</f>
        <v>2658.3714438439151</v>
      </c>
      <c r="M32" s="12">
        <f>VLOOKUP($B$2,Perusaineisto!$B$3:'Perusaineisto'!$FX$333,170)*1000/M$16</f>
        <v>2695.9900344050302</v>
      </c>
      <c r="N32" s="12">
        <f>VLOOKUP($B$2,Perusaineisto!$B$3:'Perusaineisto'!$GO$321,185)*1000/N17</f>
        <v>2619.1511873971313</v>
      </c>
      <c r="O32" s="12">
        <f>VLOOKUP($B$2,Perusaineisto!$B$3:'Perusaineisto'!$HU$321,202)*1000/O18</f>
        <v>2684.8048680592124</v>
      </c>
      <c r="P32" s="12">
        <f>VLOOKUP($B$2,Perusaineisto!$B$3:'Perusaineisto'!$HU$321,217)*1000/P19</f>
        <v>2773.6080308159217</v>
      </c>
      <c r="Q32" s="12">
        <f>VLOOKUP($B$2,Perusaineisto2!$B$2:'Perusaineisto2'!$CS$299,58)*1000/Q$20</f>
        <v>3090.4255319148938</v>
      </c>
      <c r="R32" s="12">
        <f>VLOOKUP($B$2,Perusaineisto2!$B$2:'Perusaineisto2'!$CS$299,75)*1000/R$21</f>
        <v>3113.4764250527796</v>
      </c>
      <c r="S32" s="12">
        <f>VLOOKUP($B$2,Perusaineisto2!$B$2:'Perusaineisto2'!$CS$299,92)*1000/S$22</f>
        <v>3175.6732969547616</v>
      </c>
      <c r="T32" s="12">
        <f>VLOOKUP($B$2,Perusaineisto2!$B$3:'Perusaineisto2'!$DI$299,102)*1000/T$23</f>
        <v>3259.7648171128048</v>
      </c>
      <c r="U32" s="12">
        <f>VLOOKUP($B$2,Perusaineisto2!$B$3:'Perusaineisto2'!$DY$298,118)*1000/U$24</f>
        <v>3221.2415767189455</v>
      </c>
      <c r="V32" s="12">
        <f>VLOOKUP($B$2,Perusaineisto2!$B$3:'Perusaineisto2'!$EP$298,135)*1000/V$25</f>
        <v>3292.5772078743003</v>
      </c>
      <c r="W32" s="12"/>
      <c r="X32" s="12">
        <f>VLOOKUP($X$2,Perusaineisto!$B$3:'Perusaineisto'!$FI$400,64)*1000/X$5</f>
        <v>1804.1292349050841</v>
      </c>
      <c r="Y32" s="12">
        <f>VLOOKUP($X$2,Perusaineisto!$B$3:'Perusaineisto'!$FI$400,67)*1000/Y$6</f>
        <v>1853.0932538744742</v>
      </c>
      <c r="Z32" s="12">
        <f>VLOOKUP($X$2,Perusaineisto!$B$3:'Perusaineisto'!$FI$400,70)*1000/Z$7</f>
        <v>1771.498834177979</v>
      </c>
      <c r="AA32" s="12">
        <f>VLOOKUP($X$2,Perusaineisto!$B$3:'Perusaineisto'!$FI$400,73)*1000/AA$8</f>
        <v>2015.5284038358566</v>
      </c>
      <c r="AB32" s="12">
        <f>VLOOKUP($X$2,Perusaineisto!$B$3:'Perusaineisto'!$FI$400,76)*1000/AB$9</f>
        <v>2209.6450428396574</v>
      </c>
      <c r="AC32" s="12">
        <f>VLOOKUP($X$2,Perusaineisto!$B$3:'Perusaineisto'!$FI$400,79)*1000/AC$10</f>
        <v>2158.234345211908</v>
      </c>
      <c r="AD32" s="12">
        <f>VLOOKUP($X$2,Perusaineisto!$B$3:'Perusaineisto'!$FI$400,82)*1000/AD$11</f>
        <v>2173.5184458398744</v>
      </c>
      <c r="AE32" s="12">
        <f>VLOOKUP($X$2,Perusaineisto!$B$3:'Perusaineisto'!$FI$400,85)*1000/AE$12</f>
        <v>2198.1813713443107</v>
      </c>
      <c r="AF32" s="12">
        <f>VLOOKUP($X$2,Perusaineisto!$B$3:'Perusaineisto'!$FI$400,88)*1000/AF$13</f>
        <v>2286.2199498549726</v>
      </c>
      <c r="AG32" s="12">
        <f>VLOOKUP($X$2,Perusaineisto!$B$3:'Perusaineisto'!$FI$400,91)*1000/AG$14</f>
        <v>2385.4636345814547</v>
      </c>
      <c r="AH32" s="12">
        <f>VLOOKUP($X$2,Perusaineisto!$B$3:'Perusaineisto'!$FI$400,94)*1000/AH$15</f>
        <v>2635.8671586715868</v>
      </c>
      <c r="AI32" s="12">
        <f>VLOOKUP($X$2,Perusaineisto!$B$3:'Perusaineisto'!$FX$333,170)*1000/AI$16</f>
        <v>2643.5804969619126</v>
      </c>
      <c r="AJ32" s="12">
        <f>VLOOKUP($X$2,Perusaineisto!$B$3:'Perusaineisto'!$GO$321,185)*1000/AJ17</f>
        <v>2651.4028848053745</v>
      </c>
      <c r="AK32" s="12">
        <f>VLOOKUP($X$2,Perusaineisto!$B$3:'Perusaineisto'!$HU$321,202)*1000/AK18</f>
        <v>2720.6648962329105</v>
      </c>
      <c r="AL32" s="12">
        <f>VLOOKUP($X$2,Perusaineisto!$B$3:'Perusaineisto'!$HU$321,217)*1000/AL19</f>
        <v>2872.8349370836418</v>
      </c>
      <c r="AM32" s="12">
        <f>VLOOKUP($X$2,Perusaineisto2!$B$2:'Perusaineisto2'!$CS$299,58)*1000/AM$20</f>
        <v>3031.8274642625888</v>
      </c>
      <c r="AN32" s="12">
        <f>VLOOKUP($X$2,Perusaineisto2!$B$2:'Perusaineisto2'!$CS$299,75)*1000/AN$21</f>
        <v>3024.6622130694659</v>
      </c>
      <c r="AO32" s="12">
        <f>VLOOKUP($X$2,Perusaineisto2!$B$2:'Perusaineisto2'!$CS$299,92)*1000/AO$22</f>
        <v>3162.0177135294716</v>
      </c>
      <c r="AP32" s="12">
        <f>VLOOKUP($X$2,Perusaineisto2!$B$3:'Perusaineisto2'!$DI$299,102)*1000/AP$23</f>
        <v>3257.7681428718902</v>
      </c>
      <c r="AQ32" s="12">
        <f>VLOOKUP($X$2,Perusaineisto2!$B$3:'Perusaineisto2'!$DY$298,118)*1000/AQ$24</f>
        <v>3290.012536564981</v>
      </c>
      <c r="AR32" s="12">
        <f>VLOOKUP($X$2,Perusaineisto2!$B$3:'Perusaineisto2'!$EP$298,135)*1000/AR$25</f>
        <v>3239.7220306615036</v>
      </c>
      <c r="AT32" s="12">
        <f>VLOOKUP($AT$2,Luokittelut!$A$25:'Luokittelut'!$MJ$31,57)*1000/AT$5</f>
        <v>1614.9971532497784</v>
      </c>
      <c r="AU32" s="12">
        <f>VLOOKUP($AT$2,Luokittelut!$A$25:'Luokittelut'!$MJ$31,60)*1000/AU$6</f>
        <v>1666.4654942374432</v>
      </c>
      <c r="AV32" s="12">
        <f>VLOOKUP($AT$2,Luokittelut!$A$25:'Luokittelut'!$MJ$31,63)*1000/AV$7</f>
        <v>1613.7710783241725</v>
      </c>
      <c r="AW32" s="12">
        <f>VLOOKUP($AT$2,Luokittelut!$A$25:'Luokittelut'!$MJ$31,66)*1000/AW$8</f>
        <v>1873.2702223231336</v>
      </c>
      <c r="AX32" s="12">
        <f>VLOOKUP($AT$2,Luokittelut!$A$25:'Luokittelut'!$MJ$31,69)*1000/AX$9</f>
        <v>2041.2175112567766</v>
      </c>
      <c r="AY32" s="12">
        <f>VLOOKUP($AT$2,Luokittelut!$A$25:'Luokittelut'!$MJ$31,72)*1000/AY$10</f>
        <v>2011.2833164963508</v>
      </c>
      <c r="AZ32" s="12">
        <f>VLOOKUP($AT$2,Luokittelut!$A$25:'Luokittelut'!$MJ$31,75)*1000/AZ$11</f>
        <v>2026.0618574788034</v>
      </c>
      <c r="BA32" s="12">
        <f>VLOOKUP($AT$2,Luokittelut!$A$25:'Luokittelut'!$MJ$31,78)*1000/BA$12</f>
        <v>2090.7177220280573</v>
      </c>
      <c r="BB32" s="12">
        <f>VLOOKUP($AT$2,Luokittelut!$A$25:'Luokittelut'!$MJ$31,81)*1000/BB$13</f>
        <v>2213.325603294873</v>
      </c>
      <c r="BC32" s="12">
        <f>VLOOKUP($AT$2,Luokittelut!$A$25:'Luokittelut'!$MJ$31,84)*1000/BC$14</f>
        <v>2350.692676182859</v>
      </c>
      <c r="BD32" s="12">
        <f>VLOOKUP($AT$2,Luokittelut!$A$25:'Luokittelut'!$MJ$31,87)*1000/BD$15</f>
        <v>2547.6563306890912</v>
      </c>
      <c r="BE32" s="12">
        <f>VLOOKUP($AT$2,Luokittelut!$A$25:'Luokittelut'!$MJ$31,163)*1000/BE$16</f>
        <v>2602.8616656728022</v>
      </c>
      <c r="BF32" s="12">
        <f>VLOOKUP($AT$2,Luokittelut!$A$25:'Luokittelut'!$MJ$31,178)*1000/BF$17</f>
        <v>2633.3619047461152</v>
      </c>
      <c r="BG32" s="12">
        <f>VLOOKUP($AT$2,Luokittelut!$A$25:'Luokittelut'!$MJ$31,195)*1000/BG$18</f>
        <v>2703.6847923617274</v>
      </c>
      <c r="BH32" s="12">
        <f>VLOOKUP($AT$2,Luokittelut!$A$25:'Luokittelut'!$MJ$31,210)*1000/BH$19</f>
        <v>2809.7151958802024</v>
      </c>
      <c r="BI32" s="192">
        <f>VLOOKUP($AT$2,Luokittelut!$A$25:'Luokittelut'!$MJ$31,269)*1000/BI$20</f>
        <v>3013.6735290184874</v>
      </c>
      <c r="BJ32" s="192">
        <f>VLOOKUP($AT$2,Luokittelut!$A$25:'Luokittelut'!$MJ$31,283)*1000/BJ$21</f>
        <v>3068.0342326392561</v>
      </c>
      <c r="BK32" s="192">
        <f>VLOOKUP($AT$2,Luokittelut!$A$25:'Luokittelut'!$MJ$31,297)*1000/BK$22</f>
        <v>3128.3828524887599</v>
      </c>
      <c r="BL32" s="12">
        <f>VLOOKUP($AT$2,Luokittelut!$A$25:'Luokittelut'!$MJ$31,306)*1000/BL$23</f>
        <v>3162.0346232652669</v>
      </c>
      <c r="BM32" s="12">
        <f>VLOOKUP($AT$2,Luokittelut!$A$25:'Luokittelut'!$MJ$31,322)*1000/BM$24</f>
        <v>3170.33531269067</v>
      </c>
      <c r="BN32" s="12">
        <f>VLOOKUP($AT$2,Luokittelut!$A$25:'Luokittelut'!$MJ$31,338)*1000/BN$25</f>
        <v>3149.2768949976789</v>
      </c>
      <c r="BP32" s="12">
        <f>VLOOKUP($BP$2,Luokittelut!$A$3:'Luokittelut'!$MJ$20,57)*1000/BP$5</f>
        <v>1763.1143596510335</v>
      </c>
      <c r="BQ32" s="12">
        <f>VLOOKUP($BP$2,Luokittelut!$A$3:'Luokittelut'!$MJ$20,60)*1000/BQ$6</f>
        <v>1797.6927092173185</v>
      </c>
      <c r="BR32" s="12">
        <f>VLOOKUP($BP$2,Luokittelut!$A$3:'Luokittelut'!$MJ$20,63)*1000/BR$7</f>
        <v>1775.4334392504222</v>
      </c>
      <c r="BS32" s="12">
        <f>VLOOKUP($BP$2,Luokittelut!$A$3:'Luokittelut'!$MJ$20,66)*1000/BS$8</f>
        <v>2039.5915292542061</v>
      </c>
      <c r="BT32" s="12">
        <f>VLOOKUP($BP$2,Luokittelut!$A$3:'Luokittelut'!$MJ$20,69)*1000/BT$9</f>
        <v>2229.5039655632499</v>
      </c>
      <c r="BU32" s="12">
        <f>VLOOKUP($BP$2,Luokittelut!$A$3:'Luokittelut'!$MJ$20,72)*1000/BU$10</f>
        <v>2181.3139320230212</v>
      </c>
      <c r="BV32" s="12">
        <f>VLOOKUP($BP$2,Luokittelut!$A$3:'Luokittelut'!$MJ$20,75)*1000/BV$11</f>
        <v>2240.2031055606499</v>
      </c>
      <c r="BW32" s="12">
        <f>VLOOKUP($BP$2,Luokittelut!$A$3:'Luokittelut'!$MJ$20,78)*1000/BW$12</f>
        <v>2299.5364956338399</v>
      </c>
      <c r="BX32" s="12">
        <f>VLOOKUP($BP$2,Luokittelut!$A$3:'Luokittelut'!$MJ$20,81)*1000/BX$13</f>
        <v>2447.9947728339612</v>
      </c>
      <c r="BY32" s="12">
        <f>VLOOKUP($BP$2,Luokittelut!$A$3:'Luokittelut'!$MJ$20,84)*1000/BY$14</f>
        <v>2563.4767361815825</v>
      </c>
      <c r="BZ32" s="12">
        <f>VLOOKUP($BP$2,Luokittelut!$A$3:'Luokittelut'!$MJ$20,87)*1000/BZ$15</f>
        <v>2793.0057946178313</v>
      </c>
      <c r="CA32" s="12">
        <f>VLOOKUP($BP$2,Luokittelut!$A$3:'Luokittelut'!$MJ$20,163)*1000/CA$16</f>
        <v>2830.065924654009</v>
      </c>
      <c r="CB32" s="12">
        <f>VLOOKUP($BP$2,Luokittelut!$A$3:'Luokittelut'!$MJ$20,178)*1000/CB$17</f>
        <v>2871.4553794829026</v>
      </c>
      <c r="CC32" s="12">
        <f>VLOOKUP($BP$2,Luokittelut!$A$3:'Luokittelut'!$MJ$20,195)*1000/CC$18</f>
        <v>2920.7609739069726</v>
      </c>
      <c r="CD32" s="12">
        <f>VLOOKUP($BP$2,Luokittelut!$A$3:'Luokittelut'!$MJ$20,210)*1000/CD$19</f>
        <v>3051.5458104428799</v>
      </c>
      <c r="CE32" s="192">
        <f>VLOOKUP($BP$2,Luokittelut!$A$3:'Luokittelut'!$MJ$20,269)*1000/CE$20</f>
        <v>3243.7670693329815</v>
      </c>
      <c r="CF32" s="192">
        <f>VLOOKUP($BP$2,Luokittelut!$A$3:'Luokittelut'!$MJ$20,283)*1000/CF$21</f>
        <v>3251.5346198314601</v>
      </c>
      <c r="CG32" s="192">
        <f>VLOOKUP($BP$2,Luokittelut!$A$3:'Luokittelut'!$MJ$20,297)*1000/CG$22</f>
        <v>3301.3826924368818</v>
      </c>
      <c r="CH32" s="12">
        <f>VLOOKUP($BP$2,Luokittelut!$A$3:'Luokittelut'!$MJ$20,306)*1000/CH$23</f>
        <v>3382.2022318378499</v>
      </c>
      <c r="CI32" s="12">
        <f>VLOOKUP($BP$2,Luokittelut!$A$3:'Luokittelut'!$MJ$20,322)*1000/CI$24</f>
        <v>3346.1034484778775</v>
      </c>
      <c r="CJ32" s="12">
        <f>VLOOKUP($BP$2,Luokittelut!$A$3:'Luokittelut'!$MJ$20,338)*1000/CJ$25</f>
        <v>3287.1489725196325</v>
      </c>
      <c r="CK32" s="13"/>
      <c r="CL32" s="12">
        <f>VLOOKUP($CL$2,Luokittelut!$A$36:'Luokittelut'!$MJ$47,57)*1000/CL$5</f>
        <v>1579.6017769834828</v>
      </c>
      <c r="CM32" s="12">
        <f>VLOOKUP($CL$2,Luokittelut!$A$36:'Luokittelut'!$MJ$47,60)*1000/CM$6</f>
        <v>1647.5407248648444</v>
      </c>
      <c r="CN32" s="12">
        <f>VLOOKUP($CL$2,Luokittelut!$A$36:'Luokittelut'!$MJ$47,63)*1000/CN$7</f>
        <v>1604.3629836772325</v>
      </c>
      <c r="CO32" s="12">
        <f>VLOOKUP($CL$2,Luokittelut!$A$36:'Luokittelut'!$MJ$47,66)*1000/CO$8</f>
        <v>1854.2462438496962</v>
      </c>
      <c r="CP32" s="12">
        <f>VLOOKUP($CL$2,Luokittelut!$A$36:'Luokittelut'!$MJ$47,69)*1000/CP$9</f>
        <v>2021.7444385899528</v>
      </c>
      <c r="CQ32" s="12">
        <f>VLOOKUP($CL$2,Luokittelut!$A$36:'Luokittelut'!$MJ$47,72)*1000/CQ$10</f>
        <v>1984.4320085591919</v>
      </c>
      <c r="CR32" s="12">
        <f>VLOOKUP($CL$2,Luokittelut!$A$36:'Luokittelut'!$MJ$47,75)*1000/CR$11</f>
        <v>2010.6085557810884</v>
      </c>
      <c r="CS32" s="12">
        <f>VLOOKUP($CL$2,Luokittelut!$A$36:'Luokittelut'!$MJ$47,78)*1000/CS$12</f>
        <v>2078.5959448293397</v>
      </c>
      <c r="CT32" s="12">
        <f>VLOOKUP($CL$2,Luokittelut!$A$36:'Luokittelut'!$MJ$47,81)*1000/CT$13</f>
        <v>2208.1786850477201</v>
      </c>
      <c r="CU32" s="12">
        <f>VLOOKUP($CL$2,Luokittelut!$A$36:'Luokittelut'!$MJ$47,84)*1000/CU$14</f>
        <v>2336.2901407745103</v>
      </c>
      <c r="CV32" s="12">
        <f>VLOOKUP($CL$2,Luokittelut!$A$36:'Luokittelut'!$MJ$47,87)*1000/CV$15</f>
        <v>2544.5565834968693</v>
      </c>
      <c r="CW32" s="12">
        <f>VLOOKUP($CL$2,Luokittelut!$A$36:'Luokittelut'!$MJ$47,163)*1000/CW$16</f>
        <v>2587.9667251850151</v>
      </c>
      <c r="CX32" s="12">
        <f>VLOOKUP($CL$2,Luokittelut!$A$36:'Luokittelut'!$MJ$47,178)*1000/CX$17</f>
        <v>2614.158673833685</v>
      </c>
      <c r="CY32" s="12">
        <f>VLOOKUP($CL$2,Luokittelut!$A$36:'Luokittelut'!$MJ$47,195)*1000/CY$18</f>
        <v>2680.1507204548748</v>
      </c>
      <c r="CZ32" s="12">
        <f>VLOOKUP($CL$2,Luokittelut!$A$36:'Luokittelut'!$MJ$47,210)*1000/CZ$19</f>
        <v>2806.3393082710472</v>
      </c>
      <c r="DA32" s="192">
        <f>VLOOKUP($CL$2,Luokittelut!$A$36:'Luokittelut'!$MJ$47,269)*1000/DA$20</f>
        <v>2997.6020958545232</v>
      </c>
      <c r="DB32" s="192">
        <f>VLOOKUP($CL$2,Luokittelut!$A$36:'Luokittelut'!$MJ$47,283)*1000/DB$21</f>
        <v>3041.9336230909466</v>
      </c>
      <c r="DC32" s="192">
        <f>VLOOKUP($CL$2,Luokittelut!$A$36:'Luokittelut'!$MJ$47,297)*1000/DC$22</f>
        <v>3128.8436144123752</v>
      </c>
      <c r="DD32" s="12">
        <f>VLOOKUP($CL$2,Luokittelut!$A$36:'Luokittelut'!$MJ$47,306)*1000/DD$23</f>
        <v>3157.1283892934366</v>
      </c>
      <c r="DE32" s="12">
        <f>VLOOKUP($CL$2,Luokittelut!$A$36:'Luokittelut'!$MJ$47,322)*1000/DE$24</f>
        <v>3183.9942780934057</v>
      </c>
      <c r="DF32" s="12">
        <f>VLOOKUP($CL$2,Luokittelut!$A$36:'Luokittelut'!$MJ$47,338)*1000/DF$25</f>
        <v>3163.7387904542325</v>
      </c>
      <c r="DG32" s="13"/>
      <c r="DH32" s="13"/>
    </row>
    <row r="33" spans="1:112" x14ac:dyDescent="0.2">
      <c r="A33" s="2" t="s">
        <v>433</v>
      </c>
      <c r="B33" s="12">
        <f>VLOOKUP($B$2,Perusaineisto!$B$3:'Perusaineisto'!$FI$400,65)*1000/B$5</f>
        <v>147.2612203437989</v>
      </c>
      <c r="C33" s="12">
        <f>VLOOKUP($B$2,Perusaineisto!$B$3:'Perusaineisto'!$FI$400,68)*1000/C$6</f>
        <v>182.80975509396154</v>
      </c>
      <c r="D33" s="12">
        <f>VLOOKUP($B$2,Perusaineisto!$B$3:'Perusaineisto'!$FI$400,71)*1000/D$7</f>
        <v>198.81933056588403</v>
      </c>
      <c r="E33" s="12">
        <f>VLOOKUP($B$2,Perusaineisto!$B$3:'Perusaineisto'!$FI$400,74)*1000/E$8</f>
        <v>219.13618774185494</v>
      </c>
      <c r="F33" s="12">
        <f>VLOOKUP($B$2,Perusaineisto!$B$3:'Perusaineisto'!$FI$400,77)*1000/F$9</f>
        <v>184.15337842030155</v>
      </c>
      <c r="G33" s="12">
        <f>VLOOKUP($B$2,Perusaineisto!$B$3:'Perusaineisto'!$FI$400,80)*1000/G$10</f>
        <v>100.00614665929068</v>
      </c>
      <c r="H33" s="12">
        <f>VLOOKUP($B$2,Perusaineisto!$B$3:'Perusaineisto'!$FI$400,83)*1000/H$11</f>
        <v>116.45430041656456</v>
      </c>
      <c r="I33" s="12">
        <f>VLOOKUP($B$2,Perusaineisto!$B$3:'Perusaineisto'!$FI$400,86)*1000/I$12</f>
        <v>121.78784557301181</v>
      </c>
      <c r="J33" s="12">
        <f>VLOOKUP($B$2,Perusaineisto!$B$3:'Perusaineisto'!$FI$400,89)*1000/J$13</f>
        <v>132.82286265525141</v>
      </c>
      <c r="K33" s="12">
        <f>VLOOKUP($B$2,Perusaineisto!$B$3:'Perusaineisto'!$FI$400,92)*1000/K$14</f>
        <v>149.59971322738679</v>
      </c>
      <c r="L33" s="12">
        <f>VLOOKUP($B$2,Perusaineisto!$B$3:'Perusaineisto'!$FI$400,95)*1000/L$15</f>
        <v>151.63033794618994</v>
      </c>
      <c r="M33" s="12">
        <f>VLOOKUP($B$2,Perusaineisto!$B$3:'Perusaineisto'!$FX$333,171)*1000/M$16</f>
        <v>139.04377743504568</v>
      </c>
      <c r="N33" s="12">
        <f>VLOOKUP($B$2,Perusaineisto!$B$3:'Perusaineisto'!$GO$321,186)*1000/N17</f>
        <v>177.22783917234892</v>
      </c>
      <c r="O33" s="12">
        <f>VLOOKUP($B$2,Perusaineisto!$B$3:'Perusaineisto'!$HU$321,203)*1000/O18</f>
        <v>166.22783921362119</v>
      </c>
      <c r="P33" s="12">
        <f>VLOOKUP($B$2,Perusaineisto!$B$3:'Perusaineisto'!$HU$321,218)*1000/P19</f>
        <v>75.113808801213963</v>
      </c>
      <c r="Q33" s="12">
        <f>VLOOKUP($B$2,Perusaineisto2!$B$2:'Perusaineisto2'!$CS$299,59)*1000/Q$20</f>
        <v>82.70984334814122</v>
      </c>
      <c r="R33" s="12">
        <f>VLOOKUP($B$2,Perusaineisto2!$B$2:'Perusaineisto2'!$CS$299,76)*1000/R$21</f>
        <v>100.10555946516537</v>
      </c>
      <c r="S33" s="12">
        <f>VLOOKUP($B$2,Perusaineisto2!$B$2:'Perusaineisto2'!$CS$299,93)*1000/S$22</f>
        <v>104.14833069295312</v>
      </c>
      <c r="T33" s="12">
        <f>VLOOKUP($B$2,Perusaineisto2!$B$3:'Perusaineisto2'!$DI$299,103)*1000/T$23</f>
        <v>94.900431365597115</v>
      </c>
      <c r="U33" s="12">
        <f>VLOOKUP($B$2,Perusaineisto2!$B$3:'Perusaineisto2'!$DY$298,119)*1000/U$24</f>
        <v>112.8868745900173</v>
      </c>
      <c r="V33" s="12">
        <f>VLOOKUP($B$2,Perusaineisto2!$B$3:'Perusaineisto2'!$EP$298,136)*1000/V$25</f>
        <v>97.104328457046535</v>
      </c>
      <c r="W33" s="12"/>
      <c r="X33" s="12">
        <f>VLOOKUP($X$2,Perusaineisto!$B$3:'Perusaineisto'!$FI$400,65)*1000/X$5</f>
        <v>220.41238248267058</v>
      </c>
      <c r="Y33" s="12">
        <f>VLOOKUP($X$2,Perusaineisto!$B$3:'Perusaineisto'!$FI$400,68)*1000/Y$6</f>
        <v>382.73255961353328</v>
      </c>
      <c r="Z33" s="12">
        <f>VLOOKUP($X$2,Perusaineisto!$B$3:'Perusaineisto'!$FI$400,71)*1000/Z$7</f>
        <v>468.67372796948564</v>
      </c>
      <c r="AA33" s="12">
        <f>VLOOKUP($X$2,Perusaineisto!$B$3:'Perusaineisto'!$FI$400,74)*1000/AA$8</f>
        <v>537.11726622207073</v>
      </c>
      <c r="AB33" s="12">
        <f>VLOOKUP($X$2,Perusaineisto!$B$3:'Perusaineisto'!$FI$400,77)*1000/AB$9</f>
        <v>315.64259485924111</v>
      </c>
      <c r="AC33" s="12">
        <f>VLOOKUP($X$2,Perusaineisto!$B$3:'Perusaineisto'!$FI$400,80)*1000/AC$10</f>
        <v>267.04795424549053</v>
      </c>
      <c r="AD33" s="12">
        <f>VLOOKUP($X$2,Perusaineisto!$B$3:'Perusaineisto'!$FI$400,83)*1000/AD$11</f>
        <v>211.83281004709576</v>
      </c>
      <c r="AE33" s="12">
        <f>VLOOKUP($X$2,Perusaineisto!$B$3:'Perusaineisto'!$FI$400,86)*1000/AE$12</f>
        <v>188.74416318505774</v>
      </c>
      <c r="AF33" s="12">
        <f>VLOOKUP($X$2,Perusaineisto!$B$3:'Perusaineisto'!$FI$400,89)*1000/AF$13</f>
        <v>195.811415367976</v>
      </c>
      <c r="AG33" s="12">
        <f>VLOOKUP($X$2,Perusaineisto!$B$3:'Perusaineisto'!$FI$400,92)*1000/AG$14</f>
        <v>222.79945108802195</v>
      </c>
      <c r="AH33" s="12">
        <f>VLOOKUP($X$2,Perusaineisto!$B$3:'Perusaineisto'!$FI$400,95)*1000/AH$15</f>
        <v>241.32841328413284</v>
      </c>
      <c r="AI33" s="12">
        <f>VLOOKUP($X$2,Perusaineisto!$B$3:'Perusaineisto'!$FX$333,171)*1000/AI$16</f>
        <v>223.58346094946401</v>
      </c>
      <c r="AJ33" s="12">
        <f>VLOOKUP($X$2,Perusaineisto!$B$3:'Perusaineisto'!$GO$321,186)*1000/AJ17</f>
        <v>234.29164196799053</v>
      </c>
      <c r="AK33" s="12">
        <f>VLOOKUP($X$2,Perusaineisto!$B$3:'Perusaineisto'!$HU$321,203)*1000/AK18</f>
        <v>193.66578144978854</v>
      </c>
      <c r="AL33" s="12">
        <f>VLOOKUP($X$2,Perusaineisto!$B$3:'Perusaineisto'!$HU$321,218)*1000/AL19</f>
        <v>219.39304219096965</v>
      </c>
      <c r="AM33" s="12">
        <f>VLOOKUP($X$2,Perusaineisto2!$B$2:'Perusaineisto2'!$CS$299,59)*1000/AM$20</f>
        <v>379.93724161976388</v>
      </c>
      <c r="AN33" s="12">
        <f>VLOOKUP($X$2,Perusaineisto2!$B$2:'Perusaineisto2'!$CS$299,76)*1000/AN$21</f>
        <v>346.52669646893366</v>
      </c>
      <c r="AO33" s="12">
        <f>VLOOKUP($X$2,Perusaineisto2!$B$2:'Perusaineisto2'!$CS$299,93)*1000/AO$22</f>
        <v>354.72869795378193</v>
      </c>
      <c r="AP33" s="12">
        <f>VLOOKUP($X$2,Perusaineisto2!$B$3:'Perusaineisto2'!$DI$299,103)*1000/AP$23</f>
        <v>350.41808609476618</v>
      </c>
      <c r="AQ33" s="12">
        <f>VLOOKUP($X$2,Perusaineisto2!$B$3:'Perusaineisto2'!$DY$298,119)*1000/AQ$24</f>
        <v>469.59882992060176</v>
      </c>
      <c r="AR33" s="12">
        <f>VLOOKUP($X$2,Perusaineisto2!$B$3:'Perusaineisto2'!$EP$298,136)*1000/AR$25</f>
        <v>485.65062861386662</v>
      </c>
      <c r="AT33" s="12">
        <f>VLOOKUP($AT$2,Luokittelut!$A$25:'Luokittelut'!$MJ$31,58)*1000/AT$5</f>
        <v>305.18807423364296</v>
      </c>
      <c r="AU33" s="12">
        <f>VLOOKUP($AT$2,Luokittelut!$A$25:'Luokittelut'!$MJ$31,61)*1000/AU$6</f>
        <v>317.5270786491746</v>
      </c>
      <c r="AV33" s="12">
        <f>VLOOKUP($AT$2,Luokittelut!$A$25:'Luokittelut'!$MJ$31,64)*1000/AV$7</f>
        <v>352.14598862247783</v>
      </c>
      <c r="AW33" s="12">
        <f>VLOOKUP($AT$2,Luokittelut!$A$25:'Luokittelut'!$MJ$31,67)*1000/AW$8</f>
        <v>319.89386234976962</v>
      </c>
      <c r="AX33" s="12">
        <f>VLOOKUP($AT$2,Luokittelut!$A$25:'Luokittelut'!$MJ$31,70)*1000/AX$9</f>
        <v>199.02252033167878</v>
      </c>
      <c r="AY33" s="12">
        <f>VLOOKUP($AT$2,Luokittelut!$A$25:'Luokittelut'!$MJ$31,73)*1000/AY$10</f>
        <v>123.78989476462914</v>
      </c>
      <c r="AZ33" s="12">
        <f>VLOOKUP($AT$2,Luokittelut!$A$25:'Luokittelut'!$MJ$31,76)*1000/AZ$11</f>
        <v>137.17184394937769</v>
      </c>
      <c r="BA33" s="12">
        <f>VLOOKUP($AT$2,Luokittelut!$A$25:'Luokittelut'!$MJ$31,79)*1000/BA$12</f>
        <v>151.4211242791734</v>
      </c>
      <c r="BB33" s="12">
        <f>VLOOKUP($AT$2,Luokittelut!$A$25:'Luokittelut'!$MJ$31,82)*1000/BB$13</f>
        <v>163.32610597078448</v>
      </c>
      <c r="BC33" s="12">
        <f>VLOOKUP($AT$2,Luokittelut!$A$25:'Luokittelut'!$MJ$31,85)*1000/BC$14</f>
        <v>188.42929393280113</v>
      </c>
      <c r="BD33" s="12">
        <f>VLOOKUP($AT$2,Luokittelut!$A$25:'Luokittelut'!$MJ$31,88)*1000/BD$15</f>
        <v>191.1867106004018</v>
      </c>
      <c r="BE33" s="12">
        <f>VLOOKUP($AT$2,Luokittelut!$A$25:'Luokittelut'!$MJ$31,164)*1000/BE$16</f>
        <v>146.62631410219143</v>
      </c>
      <c r="BF33" s="12">
        <f>VLOOKUP($AT$2,Luokittelut!$A$25:'Luokittelut'!$MJ$31,179)*1000/BF$17</f>
        <v>176.90291411831217</v>
      </c>
      <c r="BG33" s="12">
        <f>VLOOKUP($AT$2,Luokittelut!$A$25:'Luokittelut'!$MJ$31,196)*1000/BG$18</f>
        <v>208.42649005309315</v>
      </c>
      <c r="BH33" s="12">
        <f>VLOOKUP($AT$2,Luokittelut!$A$25:'Luokittelut'!$MJ$31,211)*1000/BH$19</f>
        <v>157.57400698186859</v>
      </c>
      <c r="BI33" s="192">
        <f>VLOOKUP($AT$2,Luokittelut!$A$25:'Luokittelut'!$MJ$31,270)*1000/BI$20</f>
        <v>175.66101929943594</v>
      </c>
      <c r="BJ33" s="192">
        <f>VLOOKUP($AT$2,Luokittelut!$A$25:'Luokittelut'!$MJ$31,284)*1000/BJ$21</f>
        <v>186.36375647394567</v>
      </c>
      <c r="BK33" s="192">
        <f>VLOOKUP($AT$2,Luokittelut!$A$25:'Luokittelut'!$MJ$31,298)*1000/BK$22</f>
        <v>212.72323350042046</v>
      </c>
      <c r="BL33" s="12">
        <f>VLOOKUP($AT$2,Luokittelut!$A$25:'Luokittelut'!$MJ$31,307)*1000/BL$23</f>
        <v>190.57905800542628</v>
      </c>
      <c r="BM33" s="12">
        <f>VLOOKUP($AT$2,Luokittelut!$A$25:'Luokittelut'!$MJ$31,323)*1000/BM$24</f>
        <v>227.16209502915689</v>
      </c>
      <c r="BN33" s="12">
        <f>VLOOKUP($AT$2,Luokittelut!$A$25:'Luokittelut'!$MJ$31,339)*1000/BN$25</f>
        <v>211.59683104197848</v>
      </c>
      <c r="BP33" s="12">
        <f>VLOOKUP($BP$2,Luokittelut!$A$3:'Luokittelut'!$MJ$20,58)*1000/BP$5</f>
        <v>292.86050761952635</v>
      </c>
      <c r="BQ33" s="12">
        <f>VLOOKUP($BP$2,Luokittelut!$A$3:'Luokittelut'!$MJ$20,61)*1000/BQ$6</f>
        <v>330.31314426454315</v>
      </c>
      <c r="BR33" s="12">
        <f>VLOOKUP($BP$2,Luokittelut!$A$3:'Luokittelut'!$MJ$20,64)*1000/BR$7</f>
        <v>407.25106511101228</v>
      </c>
      <c r="BS33" s="12">
        <f>VLOOKUP($BP$2,Luokittelut!$A$3:'Luokittelut'!$MJ$20,67)*1000/BS$8</f>
        <v>393.59583775711144</v>
      </c>
      <c r="BT33" s="12">
        <f>VLOOKUP($BP$2,Luokittelut!$A$3:'Luokittelut'!$MJ$20,70)*1000/BT$9</f>
        <v>261.43626445254228</v>
      </c>
      <c r="BU33" s="12">
        <f>VLOOKUP($BP$2,Luokittelut!$A$3:'Luokittelut'!$MJ$20,73)*1000/BU$10</f>
        <v>170.28559018351612</v>
      </c>
      <c r="BV33" s="12">
        <f>VLOOKUP($BP$2,Luokittelut!$A$3:'Luokittelut'!$MJ$20,76)*1000/BV$11</f>
        <v>189.90456018907156</v>
      </c>
      <c r="BW33" s="12">
        <f>VLOOKUP($BP$2,Luokittelut!$A$3:'Luokittelut'!$MJ$20,79)*1000/BW$12</f>
        <v>219.28963474490189</v>
      </c>
      <c r="BX33" s="12">
        <f>VLOOKUP($BP$2,Luokittelut!$A$3:'Luokittelut'!$MJ$20,82)*1000/BX$13</f>
        <v>227.45996100770964</v>
      </c>
      <c r="BY33" s="12">
        <f>VLOOKUP($BP$2,Luokittelut!$A$3:'Luokittelut'!$MJ$20,85)*1000/BY$14</f>
        <v>255.35066777421846</v>
      </c>
      <c r="BZ33" s="12">
        <f>VLOOKUP($BP$2,Luokittelut!$A$3:'Luokittelut'!$MJ$20,88)*1000/BZ$15</f>
        <v>256.77439164811545</v>
      </c>
      <c r="CA33" s="12">
        <f>VLOOKUP($BP$2,Luokittelut!$A$3:'Luokittelut'!$MJ$20,164)*1000/CA$16</f>
        <v>206.22969450655336</v>
      </c>
      <c r="CB33" s="12">
        <f>VLOOKUP($BP$2,Luokittelut!$A$3:'Luokittelut'!$MJ$20,179)*1000/CB$17</f>
        <v>245.33107655072038</v>
      </c>
      <c r="CC33" s="12">
        <f>VLOOKUP($BP$2,Luokittelut!$A$3:'Luokittelut'!$MJ$20,196)*1000/CC$18</f>
        <v>248.5666795876908</v>
      </c>
      <c r="CD33" s="12">
        <f>VLOOKUP($BP$2,Luokittelut!$A$3:'Luokittelut'!$MJ$20,211)*1000/CD$19</f>
        <v>152.16848447745323</v>
      </c>
      <c r="CE33" s="192">
        <f>VLOOKUP($BP$2,Luokittelut!$A$3:'Luokittelut'!$MJ$20,270)*1000/CE$20</f>
        <v>176.23349048116026</v>
      </c>
      <c r="CF33" s="192">
        <f>VLOOKUP($BP$2,Luokittelut!$A$3:'Luokittelut'!$MJ$20,284)*1000/CF$21</f>
        <v>211.36433166064739</v>
      </c>
      <c r="CG33" s="192">
        <f>VLOOKUP($BP$2,Luokittelut!$A$3:'Luokittelut'!$MJ$20,298)*1000/CG$22</f>
        <v>230.34533721651644</v>
      </c>
      <c r="CH33" s="12">
        <f>VLOOKUP($BP$2,Luokittelut!$A$3:'Luokittelut'!$MJ$20,307)*1000/CH$23</f>
        <v>187.15593808652494</v>
      </c>
      <c r="CI33" s="12">
        <f>VLOOKUP($BP$2,Luokittelut!$A$3:'Luokittelut'!$MJ$20,323)*1000/CI$24</f>
        <v>244.10200729962642</v>
      </c>
      <c r="CJ33" s="12">
        <f>VLOOKUP($BP$2,Luokittelut!$A$3:'Luokittelut'!$MJ$20,339)*1000/CJ$25</f>
        <v>246.12353061085818</v>
      </c>
      <c r="CK33" s="13"/>
      <c r="CL33" s="12">
        <f>VLOOKUP($CL$2,Luokittelut!$A$36:'Luokittelut'!$MJ$47,58)*1000/CL$5</f>
        <v>261.6701032801742</v>
      </c>
      <c r="CM33" s="12">
        <f>VLOOKUP($CL$2,Luokittelut!$A$36:'Luokittelut'!$MJ$47,61)*1000/CM$6</f>
        <v>258.65750032822558</v>
      </c>
      <c r="CN33" s="12">
        <f>VLOOKUP($CL$2,Luokittelut!$A$36:'Luokittelut'!$MJ$47,64)*1000/CN$7</f>
        <v>280.28721095446457</v>
      </c>
      <c r="CO33" s="12">
        <f>VLOOKUP($CL$2,Luokittelut!$A$36:'Luokittelut'!$MJ$47,67)*1000/CO$8</f>
        <v>209.16986584372998</v>
      </c>
      <c r="CP33" s="12">
        <f>VLOOKUP($CL$2,Luokittelut!$A$36:'Luokittelut'!$MJ$47,70)*1000/CP$9</f>
        <v>144.90830581008314</v>
      </c>
      <c r="CQ33" s="12">
        <f>VLOOKUP($CL$2,Luokittelut!$A$36:'Luokittelut'!$MJ$47,73)*1000/CQ$10</f>
        <v>86.850813155273102</v>
      </c>
      <c r="CR33" s="12">
        <f>VLOOKUP($CL$2,Luokittelut!$A$36:'Luokittelut'!$MJ$47,76)*1000/CR$11</f>
        <v>99.332337584415257</v>
      </c>
      <c r="CS33" s="12">
        <f>VLOOKUP($CL$2,Luokittelut!$A$36:'Luokittelut'!$MJ$47,79)*1000/CS$12</f>
        <v>114.13907074302422</v>
      </c>
      <c r="CT33" s="12">
        <f>VLOOKUP($CL$2,Luokittelut!$A$36:'Luokittelut'!$MJ$47,82)*1000/CT$13</f>
        <v>124.23307074685654</v>
      </c>
      <c r="CU33" s="12">
        <f>VLOOKUP($CL$2,Luokittelut!$A$36:'Luokittelut'!$MJ$47,85)*1000/CU$14</f>
        <v>143.95258253594508</v>
      </c>
      <c r="CV33" s="12">
        <f>VLOOKUP($CL$2,Luokittelut!$A$36:'Luokittelut'!$MJ$47,88)*1000/CV$15</f>
        <v>144.79332149643335</v>
      </c>
      <c r="CW33" s="12">
        <f>VLOOKUP($CL$2,Luokittelut!$A$36:'Luokittelut'!$MJ$47,164)*1000/CW$16</f>
        <v>111.15798093087598</v>
      </c>
      <c r="CX33" s="12">
        <f>VLOOKUP($CL$2,Luokittelut!$A$36:'Luokittelut'!$MJ$47,179)*1000/CX$17</f>
        <v>146.37161959575789</v>
      </c>
      <c r="CY33" s="12">
        <f>VLOOKUP($CL$2,Luokittelut!$A$36:'Luokittelut'!$MJ$47,196)*1000/CY$18</f>
        <v>176.31949776293595</v>
      </c>
      <c r="CZ33" s="12">
        <f>VLOOKUP($CL$2,Luokittelut!$A$36:'Luokittelut'!$MJ$47,211)*1000/CZ$19</f>
        <v>118.95753871180425</v>
      </c>
      <c r="DA33" s="192">
        <f>VLOOKUP($CL$2,Luokittelut!$A$36:'Luokittelut'!$MJ$47,270)*1000/DA$20</f>
        <v>128.06287563569117</v>
      </c>
      <c r="DB33" s="192">
        <f>VLOOKUP($CL$2,Luokittelut!$A$36:'Luokittelut'!$MJ$47,284)*1000/DB$21</f>
        <v>146.9681873286055</v>
      </c>
      <c r="DC33" s="192">
        <f>VLOOKUP($CL$2,Luokittelut!$A$36:'Luokittelut'!$MJ$47,298)*1000/DC$22</f>
        <v>163.5478613685633</v>
      </c>
      <c r="DD33" s="12">
        <f>VLOOKUP($CL$2,Luokittelut!$A$36:'Luokittelut'!$MJ$47,307)*1000/DD$23</f>
        <v>143.38792653527847</v>
      </c>
      <c r="DE33" s="12">
        <f>VLOOKUP($CL$2,Luokittelut!$A$36:'Luokittelut'!$MJ$47,323)*1000/DE$24</f>
        <v>169.4927429858233</v>
      </c>
      <c r="DF33" s="12">
        <f>VLOOKUP($CL$2,Luokittelut!$A$36:'Luokittelut'!$MJ$47,339)*1000/DF$25</f>
        <v>156.13312741215586</v>
      </c>
      <c r="DG33" s="13"/>
      <c r="DH33" s="13"/>
    </row>
    <row r="34" spans="1:112" x14ac:dyDescent="0.2">
      <c r="A34" s="2" t="s">
        <v>434</v>
      </c>
      <c r="B34" s="12">
        <f>VLOOKUP($B$2,Perusaineisto!$B$3:'Perusaineisto'!$FI$400,66)*1000/B$5</f>
        <v>60.160302635409636</v>
      </c>
      <c r="C34" s="12">
        <f>VLOOKUP($B$2,Perusaineisto!$B$3:'Perusaineisto'!$FI$400,69)*1000/C$6</f>
        <v>66.414938993827207</v>
      </c>
      <c r="D34" s="12">
        <f>VLOOKUP($B$2,Perusaineisto!$B$3:'Perusaineisto'!$FI$400,72)*1000/D$7</f>
        <v>70.112583705842823</v>
      </c>
      <c r="E34" s="12">
        <f>VLOOKUP($B$2,Perusaineisto!$B$3:'Perusaineisto'!$FI$400,75)*1000/E$8</f>
        <v>75.521158407190114</v>
      </c>
      <c r="F34" s="12">
        <f>VLOOKUP($B$2,Perusaineisto!$B$3:'Perusaineisto'!$FI$400,78)*1000/F$9</f>
        <v>76.06874728547497</v>
      </c>
      <c r="G34" s="12">
        <f>VLOOKUP($B$2,Perusaineisto!$B$3:'Perusaineisto'!$FI$400,81)*1000/G$10</f>
        <v>76.280041797283175</v>
      </c>
      <c r="H34" s="12">
        <f>VLOOKUP($B$2,Perusaineisto!$B$3:'Perusaineisto'!$FI$400,84)*1000/H$11</f>
        <v>78.718451359960795</v>
      </c>
      <c r="I34" s="12">
        <f>VLOOKUP($B$2,Perusaineisto!$B$3:'Perusaineisto'!$FI$400,87)*1000/I$12</f>
        <v>92.680550481061985</v>
      </c>
      <c r="J34" s="12">
        <f>VLOOKUP($B$2,Perusaineisto!$B$3:'Perusaineisto'!$FI$400,90)*1000/J$13</f>
        <v>93.452309176413848</v>
      </c>
      <c r="K34" s="12">
        <f>VLOOKUP($B$2,Perusaineisto!$B$3:'Perusaineisto'!$FI$400,93)*1000/K$14</f>
        <v>89.795674513083995</v>
      </c>
      <c r="L34" s="12">
        <f>VLOOKUP($B$2,Perusaineisto!$B$3:'Perusaineisto'!$FI$400,96)*1000/L$15</f>
        <v>99.899031894042878</v>
      </c>
      <c r="M34" s="12">
        <f>VLOOKUP($B$2,Perusaineisto!$B$3:'Perusaineisto'!$FX$333,172)*1000/M$16</f>
        <v>101.61347728081623</v>
      </c>
      <c r="N34" s="12">
        <f>VLOOKUP($B$2,Perusaineisto!$B$3:'Perusaineisto'!$GO$321,187)*1000/N17</f>
        <v>129.96708205972254</v>
      </c>
      <c r="O34" s="12">
        <f>VLOOKUP($B$2,Perusaineisto!$B$3:'Perusaineisto'!$HU$321,204)*1000/O18</f>
        <v>125.97273418758411</v>
      </c>
      <c r="P34" s="12">
        <f>VLOOKUP($B$2,Perusaineisto!$B$3:'Perusaineisto'!$HU$321,219)*1000/P19</f>
        <v>129.97548733512315</v>
      </c>
      <c r="Q34" s="12">
        <f>VLOOKUP($B$2,Perusaineisto2!$B$2:'Perusaineisto2'!$CS$299,60)*1000/Q$20</f>
        <v>165.01052139350011</v>
      </c>
      <c r="R34" s="12">
        <f>VLOOKUP($B$2,Perusaineisto2!$B$2:'Perusaineisto2'!$CS$299,77)*1000/R$21</f>
        <v>185.60872624912034</v>
      </c>
      <c r="S34" s="12">
        <f>VLOOKUP($B$2,Perusaineisto2!$B$2:'Perusaineisto2'!$CS$299,94)*1000/S$22</f>
        <v>187.40832013143225</v>
      </c>
      <c r="T34" s="12">
        <f>VLOOKUP($B$2,Perusaineisto2!$B$3:'Perusaineisto2'!$DI$299,104)*1000/T$23</f>
        <v>199.55090704957749</v>
      </c>
      <c r="U34" s="12">
        <f>VLOOKUP($B$2,Perusaineisto2!$B$3:'Perusaineisto2'!$DY$298,120)*1000/U$24</f>
        <v>208.06249627288449</v>
      </c>
      <c r="V34" s="12">
        <f>VLOOKUP($B$2,Perusaineisto2!$B$3:'Perusaineisto2'!$EP$298,137)*1000/V$25</f>
        <v>199.80735657094695</v>
      </c>
      <c r="W34" s="12"/>
      <c r="X34" s="12">
        <f>VLOOKUP($X$2,Perusaineisto!$B$3:'Perusaineisto'!$FI$400,66)*1000/X$5</f>
        <v>76.68086487491918</v>
      </c>
      <c r="Y34" s="12">
        <f>VLOOKUP($X$2,Perusaineisto!$B$3:'Perusaineisto'!$FI$400,69)*1000/Y$6</f>
        <v>84.150299506247464</v>
      </c>
      <c r="Z34" s="12">
        <f>VLOOKUP($X$2,Perusaineisto!$B$3:'Perusaineisto'!$FI$400,72)*1000/Z$7</f>
        <v>86.533999531710663</v>
      </c>
      <c r="AA34" s="12">
        <f>VLOOKUP($X$2,Perusaineisto!$B$3:'Perusaineisto'!$FI$400,75)*1000/AA$8</f>
        <v>89.081438932969874</v>
      </c>
      <c r="AB34" s="12">
        <f>VLOOKUP($X$2,Perusaineisto!$B$3:'Perusaineisto'!$FI$400,78)*1000/AB$9</f>
        <v>91.799265605875149</v>
      </c>
      <c r="AC34" s="12">
        <f>VLOOKUP($X$2,Perusaineisto!$B$3:'Perusaineisto'!$FI$400,81)*1000/AC$10</f>
        <v>91.997849146991257</v>
      </c>
      <c r="AD34" s="12">
        <f>VLOOKUP($X$2,Perusaineisto!$B$3:'Perusaineisto'!$FI$400,84)*1000/AD$11</f>
        <v>100.27472527472527</v>
      </c>
      <c r="AE34" s="12">
        <f>VLOOKUP($X$2,Perusaineisto!$B$3:'Perusaineisto'!$FI$400,87)*1000/AE$12</f>
        <v>114.32784467928238</v>
      </c>
      <c r="AF34" s="12">
        <f>VLOOKUP($X$2,Perusaineisto!$B$3:'Perusaineisto'!$FI$400,90)*1000/AF$13</f>
        <v>117.05422545597561</v>
      </c>
      <c r="AG34" s="12">
        <f>VLOOKUP($X$2,Perusaineisto!$B$3:'Perusaineisto'!$FI$400,93)*1000/AG$14</f>
        <v>126.54381493824741</v>
      </c>
      <c r="AH34" s="12">
        <f>VLOOKUP($X$2,Perusaineisto!$B$3:'Perusaineisto'!$FI$400,96)*1000/AH$15</f>
        <v>140.02460024600245</v>
      </c>
      <c r="AI34" s="12">
        <f>VLOOKUP($X$2,Perusaineisto!$B$3:'Perusaineisto'!$FX$333,172)*1000/AI$16</f>
        <v>142.96299955540186</v>
      </c>
      <c r="AJ34" s="12">
        <f>VLOOKUP($X$2,Perusaineisto!$B$3:'Perusaineisto'!$GO$321,187)*1000/AJ17</f>
        <v>163.01126259632483</v>
      </c>
      <c r="AK34" s="12">
        <f>VLOOKUP($X$2,Perusaineisto!$B$3:'Perusaineisto'!$HU$321,204)*1000/AK18</f>
        <v>169.46985344742797</v>
      </c>
      <c r="AL34" s="12">
        <f>VLOOKUP($X$2,Perusaineisto!$B$3:'Perusaineisto'!$HU$321,219)*1000/AL19</f>
        <v>176.6099185788305</v>
      </c>
      <c r="AM34" s="12">
        <f>VLOOKUP($X$2,Perusaineisto2!$B$2:'Perusaineisto2'!$CS$299,60)*1000/AM$20</f>
        <v>168.05299596553269</v>
      </c>
      <c r="AN34" s="12">
        <f>VLOOKUP($X$2,Perusaineisto2!$B$2:'Perusaineisto2'!$CS$299,77)*1000/AN$21</f>
        <v>199.15616053041339</v>
      </c>
      <c r="AO34" s="12">
        <f>VLOOKUP($X$2,Perusaineisto2!$B$2:'Perusaineisto2'!$CS$299,94)*1000/AO$22</f>
        <v>203.55288608368116</v>
      </c>
      <c r="AP34" s="12">
        <f>VLOOKUP($X$2,Perusaineisto2!$B$3:'Perusaineisto2'!$DI$299,104)*1000/AP$23</f>
        <v>233.76690409827603</v>
      </c>
      <c r="AQ34" s="12">
        <f>VLOOKUP($X$2,Perusaineisto2!$B$3:'Perusaineisto2'!$DY$298,120)*1000/AQ$24</f>
        <v>246.65691600501464</v>
      </c>
      <c r="AR34" s="12">
        <f>VLOOKUP($X$2,Perusaineisto2!$B$3:'Perusaineisto2'!$EP$298,137)*1000/AR$25</f>
        <v>256.06068643573286</v>
      </c>
      <c r="AT34" s="12">
        <f>VLOOKUP($AT$2,Luokittelut!$A$25:'Luokittelut'!$MJ$31,59)*1000/AT$5</f>
        <v>68.800945221562372</v>
      </c>
      <c r="AU34" s="12">
        <f>VLOOKUP($AT$2,Luokittelut!$A$25:'Luokittelut'!$MJ$31,62)*1000/AU$6</f>
        <v>76.461505020155414</v>
      </c>
      <c r="AV34" s="12">
        <f>VLOOKUP($AT$2,Luokittelut!$A$25:'Luokittelut'!$MJ$31,65)*1000/AV$7</f>
        <v>83.731999089342494</v>
      </c>
      <c r="AW34" s="12">
        <f>VLOOKUP($AT$2,Luokittelut!$A$25:'Luokittelut'!$MJ$31,68)*1000/AW$8</f>
        <v>89.725624685475708</v>
      </c>
      <c r="AX34" s="12">
        <f>VLOOKUP($AT$2,Luokittelut!$A$25:'Luokittelut'!$MJ$31,71)*1000/AX$9</f>
        <v>94.324754401454697</v>
      </c>
      <c r="AY34" s="12">
        <f>VLOOKUP($AT$2,Luokittelut!$A$25:'Luokittelut'!$MJ$31,74)*1000/AY$10</f>
        <v>98.140147996229871</v>
      </c>
      <c r="AZ34" s="12">
        <f>VLOOKUP($AT$2,Luokittelut!$A$25:'Luokittelut'!$MJ$31,77)*1000/AZ$11</f>
        <v>100.91230840342655</v>
      </c>
      <c r="BA34" s="12">
        <f>VLOOKUP($AT$2,Luokittelut!$A$25:'Luokittelut'!$MJ$31,80)*1000/BA$12</f>
        <v>109.17694095237454</v>
      </c>
      <c r="BB34" s="12">
        <f>VLOOKUP($AT$2,Luokittelut!$A$25:'Luokittelut'!$MJ$31,83)*1000/BB$13</f>
        <v>117.10673150068867</v>
      </c>
      <c r="BC34" s="12">
        <f>VLOOKUP($AT$2,Luokittelut!$A$25:'Luokittelut'!$MJ$31,86)*1000/BC$14</f>
        <v>123.24409885308118</v>
      </c>
      <c r="BD34" s="12">
        <f>VLOOKUP($AT$2,Luokittelut!$A$25:'Luokittelut'!$MJ$31,89)*1000/BD$15</f>
        <v>133.81853679339261</v>
      </c>
      <c r="BE34" s="12">
        <f>VLOOKUP($AT$2,Luokittelut!$A$25:'Luokittelut'!$MJ$31,165)*1000/BE$16</f>
        <v>144.81078091181956</v>
      </c>
      <c r="BF34" s="12">
        <f>VLOOKUP($AT$2,Luokittelut!$A$25:'Luokittelut'!$MJ$31,180)*1000/BF$17</f>
        <v>174.87859912760479</v>
      </c>
      <c r="BG34" s="12">
        <f>VLOOKUP($AT$2,Luokittelut!$A$25:'Luokittelut'!$MJ$31,197)*1000/BG$18</f>
        <v>180.84053387269216</v>
      </c>
      <c r="BH34" s="12">
        <f>VLOOKUP($AT$2,Luokittelut!$A$25:'Luokittelut'!$MJ$31,212)*1000/BH$19</f>
        <v>191.91885847273687</v>
      </c>
      <c r="BI34" s="192">
        <f>VLOOKUP($AT$2,Luokittelut!$A$25:'Luokittelut'!$MJ$31,271)*1000/BI$20</f>
        <v>211.52452502521589</v>
      </c>
      <c r="BJ34" s="192">
        <f>VLOOKUP($AT$2,Luokittelut!$A$25:'Luokittelut'!$MJ$31,285)*1000/BJ$21</f>
        <v>235.99348641792622</v>
      </c>
      <c r="BK34" s="192">
        <f>VLOOKUP($AT$2,Luokittelut!$A$25:'Luokittelut'!$MJ$31,299)*1000/BK$22</f>
        <v>244.13484396003153</v>
      </c>
      <c r="BL34" s="12">
        <f>VLOOKUP($AT$2,Luokittelut!$A$25:'Luokittelut'!$MJ$31,308)*1000/BL$23</f>
        <v>262.97708275910162</v>
      </c>
      <c r="BM34" s="12">
        <f>VLOOKUP($AT$2,Luokittelut!$A$25:'Luokittelut'!$MJ$31,324)*1000/BM$24</f>
        <v>267.79337776607133</v>
      </c>
      <c r="BN34" s="12">
        <f>VLOOKUP($AT$2,Luokittelut!$A$25:'Luokittelut'!$MJ$31,340)*1000/BN$25</f>
        <v>277.03410467885556</v>
      </c>
      <c r="BP34" s="12">
        <f>VLOOKUP($BP$2,Luokittelut!$A$3:'Luokittelut'!$MJ$20,59)*1000/BP$5</f>
        <v>76.091853577001928</v>
      </c>
      <c r="BQ34" s="12">
        <f>VLOOKUP($BP$2,Luokittelut!$A$3:'Luokittelut'!$MJ$20,62)*1000/BQ$6</f>
        <v>95.828904828883637</v>
      </c>
      <c r="BR34" s="12">
        <f>VLOOKUP($BP$2,Luokittelut!$A$3:'Luokittelut'!$MJ$20,65)*1000/BR$7</f>
        <v>101.32558275648491</v>
      </c>
      <c r="BS34" s="12">
        <f>VLOOKUP($BP$2,Luokittelut!$A$3:'Luokittelut'!$MJ$20,68)*1000/BS$8</f>
        <v>104.29837043433058</v>
      </c>
      <c r="BT34" s="12">
        <f>VLOOKUP($BP$2,Luokittelut!$A$3:'Luokittelut'!$MJ$20,71)*1000/BT$9</f>
        <v>108.86378847996221</v>
      </c>
      <c r="BU34" s="12">
        <f>VLOOKUP($BP$2,Luokittelut!$A$3:'Luokittelut'!$MJ$20,74)*1000/BU$10</f>
        <v>109.96850906721686</v>
      </c>
      <c r="BV34" s="12">
        <f>VLOOKUP($BP$2,Luokittelut!$A$3:'Luokittelut'!$MJ$20,77)*1000/BV$11</f>
        <v>110.3649270533335</v>
      </c>
      <c r="BW34" s="12">
        <f>VLOOKUP($BP$2,Luokittelut!$A$3:'Luokittelut'!$MJ$20,80)*1000/BW$12</f>
        <v>116.69127877696306</v>
      </c>
      <c r="BX34" s="12">
        <f>VLOOKUP($BP$2,Luokittelut!$A$3:'Luokittelut'!$MJ$20,83)*1000/BX$13</f>
        <v>127.22820639693475</v>
      </c>
      <c r="BY34" s="12">
        <f>VLOOKUP($BP$2,Luokittelut!$A$3:'Luokittelut'!$MJ$20,86)*1000/BY$14</f>
        <v>137.31270831982022</v>
      </c>
      <c r="BZ34" s="12">
        <f>VLOOKUP($BP$2,Luokittelut!$A$3:'Luokittelut'!$MJ$20,89)*1000/BZ$15</f>
        <v>146.68287693542933</v>
      </c>
      <c r="CA34" s="12">
        <f>VLOOKUP($BP$2,Luokittelut!$A$3:'Luokittelut'!$MJ$20,165)*1000/CA$16</f>
        <v>154.8158762708305</v>
      </c>
      <c r="CB34" s="12">
        <f>VLOOKUP($BP$2,Luokittelut!$A$3:'Luokittelut'!$MJ$20,180)*1000/CB$17</f>
        <v>186.97157762187445</v>
      </c>
      <c r="CC34" s="12">
        <f>VLOOKUP($BP$2,Luokittelut!$A$3:'Luokittelut'!$MJ$20,197)*1000/CC$18</f>
        <v>189.43980257216325</v>
      </c>
      <c r="CD34" s="12">
        <f>VLOOKUP($BP$2,Luokittelut!$A$3:'Luokittelut'!$MJ$20,212)*1000/CD$19</f>
        <v>213.46119766074335</v>
      </c>
      <c r="CE34" s="192">
        <f>VLOOKUP($BP$2,Luokittelut!$A$3:'Luokittelut'!$MJ$20,271)*1000/CE$20</f>
        <v>219.95697428453752</v>
      </c>
      <c r="CF34" s="192">
        <f>VLOOKUP($BP$2,Luokittelut!$A$3:'Luokittelut'!$MJ$20,285)*1000/CF$21</f>
        <v>254.36944507352268</v>
      </c>
      <c r="CG34" s="192">
        <f>VLOOKUP($BP$2,Luokittelut!$A$3:'Luokittelut'!$MJ$20,299)*1000/CG$22</f>
        <v>258.19281821882026</v>
      </c>
      <c r="CH34" s="12">
        <f>VLOOKUP($BP$2,Luokittelut!$A$3:'Luokittelut'!$MJ$20,308)*1000/CH$23</f>
        <v>246.20697508226073</v>
      </c>
      <c r="CI34" s="12">
        <f>VLOOKUP($BP$2,Luokittelut!$A$3:'Luokittelut'!$MJ$20,324)*1000/CI$24</f>
        <v>280.12755794493449</v>
      </c>
      <c r="CJ34" s="12">
        <f>VLOOKUP($BP$2,Luokittelut!$A$3:'Luokittelut'!$MJ$20,340)*1000/CJ$25</f>
        <v>287.02860637358157</v>
      </c>
      <c r="CK34" s="13"/>
      <c r="CL34" s="12">
        <f>VLOOKUP($CL$2,Luokittelut!$A$36:'Luokittelut'!$MJ$47,59)*1000/CL$5</f>
        <v>67.491332490868515</v>
      </c>
      <c r="CM34" s="12">
        <f>VLOOKUP($CL$2,Luokittelut!$A$36:'Luokittelut'!$MJ$47,62)*1000/CM$6</f>
        <v>76.954491967528213</v>
      </c>
      <c r="CN34" s="12">
        <f>VLOOKUP($CL$2,Luokittelut!$A$36:'Luokittelut'!$MJ$47,65)*1000/CN$7</f>
        <v>85.674264469234572</v>
      </c>
      <c r="CO34" s="12">
        <f>VLOOKUP($CL$2,Luokittelut!$A$36:'Luokittelut'!$MJ$47,68)*1000/CO$8</f>
        <v>91.119427720051362</v>
      </c>
      <c r="CP34" s="12">
        <f>VLOOKUP($CL$2,Luokittelut!$A$36:'Luokittelut'!$MJ$47,71)*1000/CP$9</f>
        <v>95.620269106704541</v>
      </c>
      <c r="CQ34" s="12">
        <f>VLOOKUP($CL$2,Luokittelut!$A$36:'Luokittelut'!$MJ$47,74)*1000/CQ$10</f>
        <v>99.048943074325948</v>
      </c>
      <c r="CR34" s="12">
        <f>VLOOKUP($CL$2,Luokittelut!$A$36:'Luokittelut'!$MJ$47,77)*1000/CR$11</f>
        <v>102.57809607700459</v>
      </c>
      <c r="CS34" s="12">
        <f>VLOOKUP($CL$2,Luokittelut!$A$36:'Luokittelut'!$MJ$47,80)*1000/CS$12</f>
        <v>109.20358482171233</v>
      </c>
      <c r="CT34" s="12">
        <f>VLOOKUP($CL$2,Luokittelut!$A$36:'Luokittelut'!$MJ$47,83)*1000/CT$13</f>
        <v>117.81043276271272</v>
      </c>
      <c r="CU34" s="12">
        <f>VLOOKUP($CL$2,Luokittelut!$A$36:'Luokittelut'!$MJ$47,86)*1000/CU$14</f>
        <v>125.0313110565603</v>
      </c>
      <c r="CV34" s="12">
        <f>VLOOKUP($CL$2,Luokittelut!$A$36:'Luokittelut'!$MJ$47,89)*1000/CV$15</f>
        <v>139.22997850668162</v>
      </c>
      <c r="CW34" s="12">
        <f>VLOOKUP($CL$2,Luokittelut!$A$36:'Luokittelut'!$MJ$47,165)*1000/CW$16</f>
        <v>149.40168607283982</v>
      </c>
      <c r="CX34" s="12">
        <f>VLOOKUP($CL$2,Luokittelut!$A$36:'Luokittelut'!$MJ$47,180)*1000/CX$17</f>
        <v>181.16401200547728</v>
      </c>
      <c r="CY34" s="12">
        <f>VLOOKUP($CL$2,Luokittelut!$A$36:'Luokittelut'!$MJ$47,197)*1000/CY$18</f>
        <v>189.34102969698651</v>
      </c>
      <c r="CZ34" s="12">
        <f>VLOOKUP($CL$2,Luokittelut!$A$36:'Luokittelut'!$MJ$47,212)*1000/CZ$19</f>
        <v>198.86745250756366</v>
      </c>
      <c r="DA34" s="192">
        <f>VLOOKUP($CL$2,Luokittelut!$A$36:'Luokittelut'!$MJ$47,271)*1000/DA$20</f>
        <v>219.98767144398212</v>
      </c>
      <c r="DB34" s="192">
        <f>VLOOKUP($CL$2,Luokittelut!$A$36:'Luokittelut'!$MJ$47,285)*1000/DB$21</f>
        <v>248.10675583551063</v>
      </c>
      <c r="DC34" s="192">
        <f>VLOOKUP($CL$2,Luokittelut!$A$36:'Luokittelut'!$MJ$47,299)*1000/DC$22</f>
        <v>265.52676420471238</v>
      </c>
      <c r="DD34" s="12">
        <f>VLOOKUP($CL$2,Luokittelut!$A$36:'Luokittelut'!$MJ$47,308)*1000/DD$23</f>
        <v>276.88756617044015</v>
      </c>
      <c r="DE34" s="12">
        <f>VLOOKUP($CL$2,Luokittelut!$A$36:'Luokittelut'!$MJ$47,324)*1000/DE$24</f>
        <v>283.01886792452831</v>
      </c>
      <c r="DF34" s="12">
        <f>VLOOKUP($CL$2,Luokittelut!$A$36:'Luokittelut'!$MJ$47,340)*1000/DF$25</f>
        <v>293.06022565354289</v>
      </c>
      <c r="DG34" s="13"/>
      <c r="DH34" s="13"/>
    </row>
    <row r="35" spans="1:112" x14ac:dyDescent="0.2">
      <c r="M35" s="12"/>
      <c r="N35" s="12"/>
      <c r="O35" s="12"/>
      <c r="P35" s="12"/>
      <c r="Q35" s="12"/>
      <c r="R35" s="12"/>
      <c r="S35" s="12"/>
      <c r="T35" s="12"/>
      <c r="U35" s="12"/>
      <c r="V35" s="12"/>
      <c r="Y35" s="11"/>
      <c r="Z35" s="11"/>
      <c r="AA35" s="11"/>
      <c r="AI35" s="12"/>
      <c r="AJ35" s="12"/>
      <c r="AK35" s="12"/>
      <c r="AL35" s="12"/>
      <c r="AM35" s="12"/>
      <c r="AN35" s="12"/>
      <c r="AO35" s="12"/>
      <c r="AP35" s="12"/>
      <c r="AQ35" s="12"/>
      <c r="AR35" s="12"/>
      <c r="BF35" s="12"/>
      <c r="BG35" s="12"/>
      <c r="BH35" s="12"/>
      <c r="BI35" s="192"/>
      <c r="BJ35" s="192"/>
      <c r="BK35" s="192"/>
      <c r="BL35" s="12"/>
      <c r="BM35" s="12"/>
      <c r="BN35" s="12"/>
      <c r="CB35" s="12"/>
      <c r="CC35" s="12"/>
      <c r="CD35" s="12"/>
      <c r="CE35" s="192"/>
      <c r="CF35" s="192"/>
      <c r="CG35" s="192"/>
      <c r="CH35" s="12"/>
      <c r="CI35" s="12"/>
      <c r="CJ35" s="12"/>
      <c r="CK35" s="13"/>
      <c r="CX35" s="12"/>
      <c r="CY35" s="12"/>
      <c r="CZ35" s="12"/>
      <c r="DA35" s="192"/>
      <c r="DB35" s="192"/>
      <c r="DC35" s="192"/>
      <c r="DD35" s="12"/>
      <c r="DE35" s="12"/>
      <c r="DF35" s="12"/>
      <c r="DG35" s="13"/>
      <c r="DH35" s="13"/>
    </row>
    <row r="36" spans="1:112" x14ac:dyDescent="0.2">
      <c r="A36" s="2" t="s">
        <v>435</v>
      </c>
      <c r="B36" s="12">
        <f>VLOOKUP($B$2,Perusaineisto!$B$3:'Perusaineisto'!$FI$400,97)*1000/B$5</f>
        <v>-83.250743192053989</v>
      </c>
      <c r="C36" s="12">
        <f>VLOOKUP($B$2,Perusaineisto!$B$3:'Perusaineisto'!$FI$400,101)*1000/C$6</f>
        <v>160.66090004221064</v>
      </c>
      <c r="D36" s="12">
        <f>VLOOKUP($B$2,Perusaineisto!$B$3:'Perusaineisto'!$FI$400,105)*1000/D$7</f>
        <v>30.610308096036682</v>
      </c>
      <c r="E36" s="12">
        <f>VLOOKUP($B$2,Perusaineisto!$B$3:'Perusaineisto'!$FI$400,109)*1000/E$8</f>
        <v>189.72840986551932</v>
      </c>
      <c r="F36" s="12">
        <f>VLOOKUP($B$2,Perusaineisto!$B$3:'Perusaineisto'!$FI$400,113)*1000/F$9</f>
        <v>350.0031023143265</v>
      </c>
      <c r="G36" s="12">
        <f>VLOOKUP($B$2,Perusaineisto!$B$3:'Perusaineisto'!$FI$400,117)*1000/G$10</f>
        <v>-3.2577294240580246</v>
      </c>
      <c r="H36" s="12">
        <f>VLOOKUP($B$2,Perusaineisto!$B$3:'Perusaineisto'!$FI$400,121)*1000/H$11</f>
        <v>63.893653516295025</v>
      </c>
      <c r="I36" s="12">
        <f>VLOOKUP($B$2,Perusaineisto!$B$3:'Perusaineisto'!$FI$400,125)*1000/I$12</f>
        <v>72.768237729874556</v>
      </c>
      <c r="J36" s="12">
        <f>VLOOKUP($B$2,Perusaineisto!$B$3:'Perusaineisto'!$FI$400,129)*1000/J$13</f>
        <v>93.150850114554444</v>
      </c>
      <c r="K36" s="12">
        <f>VLOOKUP($B$2,Perusaineisto!$B$3:'Perusaineisto'!$FI$400,133)*1000/K$14</f>
        <v>246.62444736527661</v>
      </c>
      <c r="L36" s="12">
        <f>VLOOKUP($B$2,Perusaineisto!$B$3:'Perusaineisto'!$FI$400,137)*1000/L$15</f>
        <v>274.21749717883233</v>
      </c>
      <c r="M36" s="12">
        <f>VLOOKUP($B$2,Perusaineisto!$B$3:'Perusaineisto'!$FX$333,173)*1000/M$16</f>
        <v>297.95942579190887</v>
      </c>
      <c r="N36" s="12">
        <f>VLOOKUP($B$2,Perusaineisto!$B$3:'Perusaineisto'!$GO$321,188)*1000/N17</f>
        <v>310.78062544086526</v>
      </c>
      <c r="O36" s="12">
        <f>VLOOKUP($B$2,Perusaineisto!$B$3:'Perusaineisto'!$HU$321,205)*1000/O18</f>
        <v>204.14253115674916</v>
      </c>
      <c r="P36" s="12">
        <f>VLOOKUP($B$2,Perusaineisto!$B$3:'Perusaineisto'!$HU$321,220)*1000/P19</f>
        <v>-194.81732228317964</v>
      </c>
      <c r="Q36" s="12">
        <f>VLOOKUP($B$2,Perusaineisto2!$B$2:'Perusaineisto2'!$CS$299,51)*1000/Q$20</f>
        <v>192.71685761047462</v>
      </c>
      <c r="R36" s="12">
        <f>VLOOKUP($B$2,Perusaineisto2!$B$2:'Perusaineisto2'!$CS$299,69)*1000/R$21</f>
        <v>-76.471968097583854</v>
      </c>
      <c r="S36" s="12">
        <f>VLOOKUP($B$2,Perusaineisto2!$B$2:'Perusaineisto2'!$CS$299,86)*1000/S$22</f>
        <v>72.111717420641909</v>
      </c>
      <c r="T36" s="12">
        <f>VLOOKUP($B$2,Perusaineisto2!$B$3:'Perusaineisto2'!$DI$299,105)*1000/T$23</f>
        <v>281.68764403474563</v>
      </c>
      <c r="U36" s="12">
        <f>VLOOKUP($B$2,Perusaineisto2!$B$3:'Perusaineisto2'!$DY$298,121)*1000/U$24</f>
        <v>370.20692945315761</v>
      </c>
      <c r="V36" s="12">
        <f>VLOOKUP($B$2,Perusaineisto2!$B$3:'Perusaineisto2'!$EP$298,138)*1000/V$25</f>
        <v>134.12798747817712</v>
      </c>
      <c r="X36" s="12">
        <f>VLOOKUP($X$2,Perusaineisto!$B$3:'Perusaineisto'!$FI$400,97)*1000/X$5</f>
        <v>42.305578069651112</v>
      </c>
      <c r="Y36" s="12">
        <f>VLOOKUP($X$2,Perusaineisto!$B$3:'Perusaineisto'!$FI$400,101)*1000/Y$6</f>
        <v>289.64088838277922</v>
      </c>
      <c r="Z36" s="12">
        <f>VLOOKUP($X$2,Perusaineisto!$B$3:'Perusaineisto'!$FI$400,105)*1000/Z$7</f>
        <v>160.62827988517409</v>
      </c>
      <c r="AA36" s="12">
        <f>VLOOKUP($X$2,Perusaineisto!$B$3:'Perusaineisto'!$FI$400,109)*1000/AA$8</f>
        <v>260.41578955789038</v>
      </c>
      <c r="AB36" s="12">
        <f>VLOOKUP($X$2,Perusaineisto!$B$3:'Perusaineisto'!$FI$400,113)*1000/AB$9</f>
        <v>294.24724602203185</v>
      </c>
      <c r="AC36" s="12">
        <f>VLOOKUP($X$2,Perusaineisto!$B$3:'Perusaineisto'!$FI$400,117)*1000/AC$10</f>
        <v>24.148213325512049</v>
      </c>
      <c r="AD36" s="12">
        <f>VLOOKUP($X$2,Perusaineisto!$B$3:'Perusaineisto'!$FI$400,121)*1000/AD$11</f>
        <v>-83.742150706436419</v>
      </c>
      <c r="AE36" s="12">
        <f>VLOOKUP($X$2,Perusaineisto!$B$3:'Perusaineisto'!$FI$400,125)*1000/AE$12</f>
        <v>-163.43081838289507</v>
      </c>
      <c r="AF36" s="12">
        <f>VLOOKUP($X$2,Perusaineisto!$B$3:'Perusaineisto'!$FI$400,129)*1000/AF$13</f>
        <v>-74.578437638267545</v>
      </c>
      <c r="AG36" s="12">
        <f>VLOOKUP($X$2,Perusaineisto!$B$3:'Perusaineisto'!$FI$400,133)*1000/AG$14</f>
        <v>212.60537149578514</v>
      </c>
      <c r="AH36" s="12">
        <f>VLOOKUP($X$2,Perusaineisto!$B$3:'Perusaineisto'!$FI$400,137)*1000/AH$15</f>
        <v>249.74169741697418</v>
      </c>
      <c r="AI36" s="12">
        <f>VLOOKUP($X$2,Perusaineisto!$B$3:'Perusaineisto'!$FX$333,173)*1000/AI$16</f>
        <v>203.18134663834411</v>
      </c>
      <c r="AJ36" s="12">
        <f>VLOOKUP($X$2,Perusaineisto!$B$3:'Perusaineisto'!$GO$321,188)*1000/AJ17</f>
        <v>290.35763683066585</v>
      </c>
      <c r="AK36" s="12">
        <f>VLOOKUP($X$2,Perusaineisto!$B$3:'Perusaineisto'!$HU$321,205)*1000/AK18</f>
        <v>27.589259368545292</v>
      </c>
      <c r="AL36" s="12">
        <f>VLOOKUP($X$2,Perusaineisto!$B$3:'Perusaineisto'!$HU$321,220)*1000/AL19</f>
        <v>171.18184061189243</v>
      </c>
      <c r="AM36" s="12">
        <f>VLOOKUP($X$2,Perusaineisto2!$B$2:'Perusaineisto2'!$CS$299,51)*1000/AM$20</f>
        <v>404.14404542511329</v>
      </c>
      <c r="AN36" s="12">
        <f>VLOOKUP($X$2,Perusaineisto2!$B$2:'Perusaineisto2'!$CS$299,69)*1000/AN$21</f>
        <v>339.99698628760859</v>
      </c>
      <c r="AO36" s="12">
        <f>VLOOKUP($X$2,Perusaineisto2!$B$2:'Perusaineisto2'!$CS$299,86)*1000/AO$22</f>
        <v>365.87600529369848</v>
      </c>
      <c r="AP36" s="12">
        <f>VLOOKUP($X$2,Perusaineisto2!$B$3:'Perusaineisto2'!$DI$299,105)*1000/AP$23</f>
        <v>658.87271601114901</v>
      </c>
      <c r="AQ36" s="12">
        <f>VLOOKUP($X$2,Perusaineisto2!$B$3:'Perusaineisto2'!$DY$298,121)*1000/AQ$24</f>
        <v>844.12870873380689</v>
      </c>
      <c r="AR36" s="12">
        <f>VLOOKUP($X$2,Perusaineisto2!$B$3:'Perusaineisto2'!$EP$298,138)*1000/AR$25</f>
        <v>505.54347249482788</v>
      </c>
      <c r="AT36" s="12">
        <f>VLOOKUP($AT$2,Luokittelut!$A$25:'Luokittelut'!$MJ$31,90)*1000/AT$5</f>
        <v>115.0878187288471</v>
      </c>
      <c r="AU36" s="12">
        <f>VLOOKUP($AT$2,Luokittelut!$A$25:'Luokittelut'!$MJ$31,94)*1000/AU$6</f>
        <v>176.57544920701415</v>
      </c>
      <c r="AV36" s="12">
        <f>VLOOKUP($AT$2,Luokittelut!$A$25:'Luokittelut'!$MJ$31,98)*1000/AV$7</f>
        <v>95.921778511525872</v>
      </c>
      <c r="AW36" s="12">
        <f>VLOOKUP($AT$2,Luokittelut!$A$25:'Luokittelut'!$MJ$31,102)*1000/AW$8</f>
        <v>203.09497826507251</v>
      </c>
      <c r="AX36" s="12">
        <f>VLOOKUP($AT$2,Luokittelut!$A$25:'Luokittelut'!$MJ$31,106)*1000/AX$9</f>
        <v>360.38292528754135</v>
      </c>
      <c r="AY36" s="12">
        <f>VLOOKUP($AT$2,Luokittelut!$A$25:'Luokittelut'!$MJ$31,110)*1000/AY$10</f>
        <v>166.21062980467408</v>
      </c>
      <c r="AZ36" s="12">
        <f>VLOOKUP($AT$2,Luokittelut!$A$25:'Luokittelut'!$MJ$31,114)*1000/AZ$11</f>
        <v>83.180663380467024</v>
      </c>
      <c r="BA36" s="12">
        <f>VLOOKUP($AT$2,Luokittelut!$A$25:'Luokittelut'!$MJ$31,118)*1000/BA$12</f>
        <v>89.563389832790108</v>
      </c>
      <c r="BB36" s="12">
        <f>VLOOKUP($AT$2,Luokittelut!$A$25:'Luokittelut'!$MJ$31,122)*1000/BB$13</f>
        <v>187.97063032208121</v>
      </c>
      <c r="BC36" s="12">
        <f>VLOOKUP($AT$2,Luokittelut!$A$25:'Luokittelut'!$MJ$31,126)*1000/BC$14</f>
        <v>215.19963800844536</v>
      </c>
      <c r="BD36" s="12">
        <f>VLOOKUP($AT$2,Luokittelut!$A$25:'Luokittelut'!$MJ$31,130)*1000/BD$15</f>
        <v>204.61337535690606</v>
      </c>
      <c r="BE36" s="12">
        <f>VLOOKUP($AT$2,Luokittelut!$A$25:'Luokittelut'!$MJ$31,166)*1000/BE$16</f>
        <v>243.61531957868999</v>
      </c>
      <c r="BF36" s="12">
        <f>VLOOKUP($AT$2,Luokittelut!$A$25:'Luokittelut'!$MJ$31,181)*1000/BF$17</f>
        <v>335.04153907624254</v>
      </c>
      <c r="BG36" s="12">
        <f>VLOOKUP($AT$2,Luokittelut!$A$25:'Luokittelut'!$MJ$31,198)*1000/BG$18</f>
        <v>245.69248285172756</v>
      </c>
      <c r="BH36" s="12">
        <f>VLOOKUP($AT$2,Luokittelut!$A$25:'Luokittelut'!$MJ$31,213)*1000/BH$19</f>
        <v>145.29053981563246</v>
      </c>
      <c r="BI36" s="192">
        <f>VLOOKUP($AT$2,Luokittelut!$A$25:'Luokittelut'!$MJ$31,264)*1000/BI$20</f>
        <v>304.1043698175377</v>
      </c>
      <c r="BJ36" s="192">
        <f>VLOOKUP($AT$2,Luokittelut!$A$25:'Luokittelut'!$MJ$31,279)*1000/BJ$21</f>
        <v>479.61202568438853</v>
      </c>
      <c r="BK36" s="192">
        <f>VLOOKUP($AT$2,Luokittelut!$A$25:'Luokittelut'!$MJ$31,293)*1000/BK$22</f>
        <v>305.48970659321014</v>
      </c>
      <c r="BL36" s="12">
        <f>VLOOKUP($AT$2,Luokittelut!$A$25:'Luokittelut'!$MJ$31,309)*1000/BL$23</f>
        <v>408.11850149604652</v>
      </c>
      <c r="BM36" s="12">
        <f>VLOOKUP($AT$2,Luokittelut!$A$25:'Luokittelut'!$MJ$31,325)*1000/BM$24</f>
        <v>470.48634843579646</v>
      </c>
      <c r="BN36" s="12">
        <f>VLOOKUP($AT$2,Luokittelut!$A$25:'Luokittelut'!$MJ$31,341)*1000/BN$25</f>
        <v>246.06855125925355</v>
      </c>
      <c r="BP36" s="12">
        <f>VLOOKUP($BP$2,Luokittelut!$A$3:'Luokittelut'!$MJ$20,90)*1000/BP$5</f>
        <v>273.60963603893481</v>
      </c>
      <c r="BQ36" s="12">
        <f>VLOOKUP($BP$2,Luokittelut!$A$3:'Luokittelut'!$MJ$20,94)*1000/BQ$6</f>
        <v>302.54389415451328</v>
      </c>
      <c r="BR36" s="12">
        <f>VLOOKUP($BP$2,Luokittelut!$A$3:'Luokittelut'!$MJ$20,98)*1000/BR$7</f>
        <v>273.40948353295926</v>
      </c>
      <c r="BS36" s="12">
        <f>VLOOKUP($BP$2,Luokittelut!$A$3:'Luokittelut'!$MJ$20,102)*1000/BS$8</f>
        <v>343.46293277396177</v>
      </c>
      <c r="BT36" s="12">
        <f>VLOOKUP($BP$2,Luokittelut!$A$3:'Luokittelut'!$MJ$20,106)*1000/BT$9</f>
        <v>503.27656577410505</v>
      </c>
      <c r="BU36" s="12">
        <f>VLOOKUP($BP$2,Luokittelut!$A$3:'Luokittelut'!$MJ$20,110)*1000/BU$10</f>
        <v>287.72505157997608</v>
      </c>
      <c r="BV36" s="12">
        <f>VLOOKUP($BP$2,Luokittelut!$A$3:'Luokittelut'!$MJ$20,114)*1000/BV$11</f>
        <v>282.56555298696043</v>
      </c>
      <c r="BW36" s="12">
        <f>VLOOKUP($BP$2,Luokittelut!$A$3:'Luokittelut'!$MJ$20,118)*1000/BW$12</f>
        <v>271.45308191991535</v>
      </c>
      <c r="BX36" s="12">
        <f>VLOOKUP($BP$2,Luokittelut!$A$3:'Luokittelut'!$MJ$20,122)*1000/BX$13</f>
        <v>295.57171071273001</v>
      </c>
      <c r="BY36" s="12">
        <f>VLOOKUP($BP$2,Luokittelut!$A$3:'Luokittelut'!$MJ$20,126)*1000/BY$14</f>
        <v>383.09714163760043</v>
      </c>
      <c r="BZ36" s="12">
        <f>VLOOKUP($BP$2,Luokittelut!$A$3:'Luokittelut'!$MJ$20,130)*1000/BZ$15</f>
        <v>441.75817792153094</v>
      </c>
      <c r="CA36" s="12">
        <f>VLOOKUP($BP$2,Luokittelut!$A$3:'Luokittelut'!$MJ$20,166)*1000/CA$16</f>
        <v>342.34289879062641</v>
      </c>
      <c r="CB36" s="12">
        <f>VLOOKUP($BP$2,Luokittelut!$A$3:'Luokittelut'!$MJ$20,181)*1000/CB$17</f>
        <v>467.51582200853653</v>
      </c>
      <c r="CC36" s="12">
        <f>VLOOKUP($BP$2,Luokittelut!$A$3:'Luokittelut'!$MJ$20,198)*1000/CC$18</f>
        <v>322.56964668778681</v>
      </c>
      <c r="CD36" s="12">
        <f>VLOOKUP($BP$2,Luokittelut!$A$3:'Luokittelut'!$MJ$20,213)*1000/CD$19</f>
        <v>184.99379742552884</v>
      </c>
      <c r="CE36" s="192">
        <f>VLOOKUP($BP$2,Luokittelut!$A$3:'Luokittelut'!$MJ$20,264)*1000/CE$20</f>
        <v>333.06142360736237</v>
      </c>
      <c r="CF36" s="192">
        <f>VLOOKUP($BP$2,Luokittelut!$A$3:'Luokittelut'!$MJ$20,279)*1000/CF$21</f>
        <v>320.90936902789531</v>
      </c>
      <c r="CG36" s="192">
        <f>VLOOKUP($BP$2,Luokittelut!$A$3:'Luokittelut'!$MJ$20,293)*1000/CG$22</f>
        <v>325.39902077397585</v>
      </c>
      <c r="CH36" s="12">
        <f>VLOOKUP($BP$2,Luokittelut!$A$3:'Luokittelut'!$MJ$20,309)*1000/CH$23</f>
        <v>400.09737786538295</v>
      </c>
      <c r="CI36" s="12">
        <f>VLOOKUP($BP$2,Luokittelut!$A$3:'Luokittelut'!$MJ$20,325)*1000/CI$24</f>
        <v>453.9320927743853</v>
      </c>
      <c r="CJ36" s="12">
        <f>VLOOKUP($BP$2,Luokittelut!$A$3:'Luokittelut'!$MJ$20,341)*1000/CJ$25</f>
        <v>248.28817985031887</v>
      </c>
      <c r="CK36" s="13"/>
      <c r="CL36" s="12">
        <f>VLOOKUP($CL$2,Luokittelut!$A$36:'Luokittelut'!$MJ$47,90)*1000/CL$5</f>
        <v>72.99117548399785</v>
      </c>
      <c r="CM36" s="12">
        <f>VLOOKUP($CL$2,Luokittelut!$A$36:'Luokittelut'!$MJ$47,94)*1000/CM$6</f>
        <v>162.78189370183648</v>
      </c>
      <c r="CN36" s="12">
        <f>VLOOKUP($CL$2,Luokittelut!$A$36:'Luokittelut'!$MJ$47,98)*1000/CN$7</f>
        <v>54.217196971489763</v>
      </c>
      <c r="CO36" s="12">
        <f>VLOOKUP($CL$2,Luokittelut!$A$36:'Luokittelut'!$MJ$47,102)*1000/CO$8</f>
        <v>136.71652039242682</v>
      </c>
      <c r="CP36" s="12">
        <f>VLOOKUP($CL$2,Luokittelut!$A$36:'Luokittelut'!$MJ$47,106)*1000/CP$9</f>
        <v>365.22496240988011</v>
      </c>
      <c r="CQ36" s="12">
        <f>VLOOKUP($CL$2,Luokittelut!$A$36:'Luokittelut'!$MJ$47,110)*1000/CQ$10</f>
        <v>161.46505690645432</v>
      </c>
      <c r="CR36" s="12">
        <f>VLOOKUP($CL$2,Luokittelut!$A$36:'Luokittelut'!$MJ$47,114)*1000/CR$11</f>
        <v>71.757752160647499</v>
      </c>
      <c r="CS36" s="12">
        <f>VLOOKUP($CL$2,Luokittelut!$A$36:'Luokittelut'!$MJ$47,118)*1000/CS$12</f>
        <v>49.221381808936627</v>
      </c>
      <c r="CT36" s="12">
        <f>VLOOKUP($CL$2,Luokittelut!$A$36:'Luokittelut'!$MJ$47,122)*1000/CT$13</f>
        <v>144.34997222643034</v>
      </c>
      <c r="CU36" s="12">
        <f>VLOOKUP($CL$2,Luokittelut!$A$36:'Luokittelut'!$MJ$47,126)*1000/CU$14</f>
        <v>173.92039476980111</v>
      </c>
      <c r="CV36" s="12">
        <f>VLOOKUP($CL$2,Luokittelut!$A$36:'Luokittelut'!$MJ$47,130)*1000/CV$15</f>
        <v>205.90287512070523</v>
      </c>
      <c r="CW36" s="12">
        <f>VLOOKUP($CL$2,Luokittelut!$A$36:'Luokittelut'!$MJ$47,166)*1000/CW$16</f>
        <v>266.56141635081235</v>
      </c>
      <c r="CX36" s="12">
        <f>VLOOKUP($CL$2,Luokittelut!$A$36:'Luokittelut'!$MJ$47,181)*1000/CX$17</f>
        <v>370.02154432969934</v>
      </c>
      <c r="CY36" s="12">
        <f>VLOOKUP($CL$2,Luokittelut!$A$36:'Luokittelut'!$MJ$47,198)*1000/CY$18</f>
        <v>241.49191049277078</v>
      </c>
      <c r="CZ36" s="12">
        <f>VLOOKUP($CL$2,Luokittelut!$A$36:'Luokittelut'!$MJ$47,213)*1000/CZ$19</f>
        <v>86.552384942910493</v>
      </c>
      <c r="DA36" s="192">
        <f>VLOOKUP($CL$2,Luokittelut!$A$36:'Luokittelut'!$MJ$47,264)*1000/DA$20</f>
        <v>208.09677916474033</v>
      </c>
      <c r="DB36" s="192">
        <f>VLOOKUP($CL$2,Luokittelut!$A$36:'Luokittelut'!$MJ$47,279)*1000/DB$21</f>
        <v>250.88299982417121</v>
      </c>
      <c r="DC36" s="192">
        <f>VLOOKUP($CL$2,Luokittelut!$A$36:'Luokittelut'!$MJ$47,293)*1000/DC$22</f>
        <v>299.3218106079583</v>
      </c>
      <c r="DD36" s="12">
        <f>VLOOKUP($CL$2,Luokittelut!$A$36:'Luokittelut'!$MJ$47,309)*1000/DD$23</f>
        <v>359.11288117901432</v>
      </c>
      <c r="DE36" s="12">
        <f>VLOOKUP($CL$2,Luokittelut!$A$36:'Luokittelut'!$MJ$47,325)*1000/DE$24</f>
        <v>428.11542509830622</v>
      </c>
      <c r="DF36" s="12">
        <f>VLOOKUP($CL$2,Luokittelut!$A$36:'Luokittelut'!$MJ$47,341)*1000/DF$25</f>
        <v>193.60784597431439</v>
      </c>
      <c r="DG36" s="13"/>
      <c r="DH36" s="13"/>
    </row>
    <row r="37" spans="1:112" s="11" customFormat="1" x14ac:dyDescent="0.2">
      <c r="A37" s="2" t="s">
        <v>436</v>
      </c>
      <c r="B37" s="12">
        <f>B40*-1</f>
        <v>150.62349394589143</v>
      </c>
      <c r="C37" s="12">
        <f t="shared" ref="C37:I37" si="0">C40*-1</f>
        <v>168.8626178939451</v>
      </c>
      <c r="D37" s="12">
        <f t="shared" si="0"/>
        <v>353.01005550329256</v>
      </c>
      <c r="E37" s="12">
        <f t="shared" si="0"/>
        <v>264.38646860566723</v>
      </c>
      <c r="F37" s="12">
        <f t="shared" si="0"/>
        <v>230.75013960414469</v>
      </c>
      <c r="G37" s="12">
        <f t="shared" si="0"/>
        <v>169.15606367939026</v>
      </c>
      <c r="H37" s="12">
        <f t="shared" si="0"/>
        <v>324.00147022788531</v>
      </c>
      <c r="I37" s="12">
        <f t="shared" si="0"/>
        <v>169.65046888320546</v>
      </c>
      <c r="J37" s="12">
        <f>J40*-1</f>
        <v>237.12769805860364</v>
      </c>
      <c r="K37" s="12">
        <f>K40*-1</f>
        <v>149.89843469948619</v>
      </c>
      <c r="L37" s="12">
        <f>L40*-1</f>
        <v>301.65706479776685</v>
      </c>
      <c r="M37" s="12">
        <f>VLOOKUP($B$2,Perusaineisto!$B$3:'Perusaineisto'!$FX$333,177)*1000/M$16</f>
        <v>274.82500889785263</v>
      </c>
      <c r="N37" s="12">
        <f>VLOOKUP($B$2,Perusaineisto!$B$3:'Perusaineisto'!$GO$321,189)*1000/N17*(-1)</f>
        <v>332.29485069362801</v>
      </c>
      <c r="O37" s="12">
        <f>VLOOKUP($B$2,Perusaineisto!$B$3:'Perusaineisto'!$HU$321,206)*1000/O18*(-1)</f>
        <v>344.15774384178809</v>
      </c>
      <c r="P37" s="12">
        <f>VLOOKUP($B$2,Perusaineisto!$B$3:'Perusaineisto'!$HU$321,221)*1000/P19*(-1)</f>
        <v>293.50998015641414</v>
      </c>
      <c r="Q37" s="12">
        <f t="shared" ref="Q37:V37" si="1">Q40*-1</f>
        <v>327.03998129530044</v>
      </c>
      <c r="R37" s="12">
        <f t="shared" si="1"/>
        <v>723.49284541402767</v>
      </c>
      <c r="S37" s="12">
        <f t="shared" si="1"/>
        <v>431.32077685853432</v>
      </c>
      <c r="T37" s="12">
        <f t="shared" si="1"/>
        <v>113.86869940317911</v>
      </c>
      <c r="U37" s="12">
        <f t="shared" si="1"/>
        <v>58.679706601466989</v>
      </c>
      <c r="V37" s="12">
        <f t="shared" si="1"/>
        <v>198.00132442357474</v>
      </c>
      <c r="X37" s="12">
        <f>X40*-1</f>
        <v>199.68457368295594</v>
      </c>
      <c r="Y37" s="12">
        <f t="shared" ref="Y37:AR37" si="2">Y40*-1</f>
        <v>210.91496740836445</v>
      </c>
      <c r="Z37" s="12">
        <f t="shared" si="2"/>
        <v>79.250430276637871</v>
      </c>
      <c r="AA37" s="12">
        <f t="shared" si="2"/>
        <v>300.92975709487416</v>
      </c>
      <c r="AB37" s="12">
        <f t="shared" si="2"/>
        <v>213.07221542227663</v>
      </c>
      <c r="AC37" s="12">
        <f t="shared" si="2"/>
        <v>241.67766534682505</v>
      </c>
      <c r="AD37" s="12">
        <f t="shared" si="2"/>
        <v>253.23783359497645</v>
      </c>
      <c r="AE37" s="12">
        <f t="shared" si="2"/>
        <v>190.85770459572376</v>
      </c>
      <c r="AF37" s="12">
        <f t="shared" si="2"/>
        <v>224.12860724644807</v>
      </c>
      <c r="AG37" s="12">
        <f t="shared" si="2"/>
        <v>229.75887080964517</v>
      </c>
      <c r="AH37" s="12">
        <f t="shared" si="2"/>
        <v>-576.82656826568268</v>
      </c>
      <c r="AI37" s="12">
        <f t="shared" si="2"/>
        <v>283.99940720248975</v>
      </c>
      <c r="AJ37" s="12">
        <f t="shared" si="2"/>
        <v>219.02786010669828</v>
      </c>
      <c r="AK37" s="12">
        <f t="shared" si="2"/>
        <v>522.32713681518635</v>
      </c>
      <c r="AL37" s="12">
        <f t="shared" si="2"/>
        <v>611.30027140389836</v>
      </c>
      <c r="AM37" s="12">
        <f t="shared" si="2"/>
        <v>943.86611545549636</v>
      </c>
      <c r="AN37" s="12">
        <f t="shared" si="2"/>
        <v>858.20483198553416</v>
      </c>
      <c r="AO37" s="12">
        <f t="shared" si="2"/>
        <v>246.66598798737655</v>
      </c>
      <c r="AP37" s="12">
        <f t="shared" si="2"/>
        <v>323.31991328584701</v>
      </c>
      <c r="AQ37" s="12">
        <f t="shared" si="2"/>
        <v>251.51483493522775</v>
      </c>
      <c r="AR37" s="12">
        <f t="shared" si="2"/>
        <v>570.47371492228524</v>
      </c>
      <c r="AT37" s="12">
        <f>AT40*-1</f>
        <v>194.13935402819112</v>
      </c>
      <c r="AU37" s="12">
        <f t="shared" ref="AU37:BK37" si="3">AU40*-1</f>
        <v>31.586866387612769</v>
      </c>
      <c r="AV37" s="12">
        <f t="shared" si="3"/>
        <v>271.38257943724432</v>
      </c>
      <c r="AW37" s="12">
        <f t="shared" si="3"/>
        <v>282.04081148536795</v>
      </c>
      <c r="AX37" s="12">
        <f t="shared" si="3"/>
        <v>255.42587643558852</v>
      </c>
      <c r="AY37" s="12">
        <f t="shared" si="3"/>
        <v>277.88466582397149</v>
      </c>
      <c r="AZ37" s="12">
        <f t="shared" si="3"/>
        <v>322.63294094625007</v>
      </c>
      <c r="BA37" s="12">
        <f t="shared" si="3"/>
        <v>315.5062487064244</v>
      </c>
      <c r="BB37" s="12">
        <f t="shared" si="3"/>
        <v>318.64793584514899</v>
      </c>
      <c r="BC37" s="12">
        <f t="shared" si="3"/>
        <v>344.72849798550362</v>
      </c>
      <c r="BD37" s="12">
        <f t="shared" si="3"/>
        <v>386.50470266434337</v>
      </c>
      <c r="BE37" s="12">
        <f t="shared" si="3"/>
        <v>383.7950789582527</v>
      </c>
      <c r="BF37" s="12">
        <f t="shared" si="3"/>
        <v>318.10924669287277</v>
      </c>
      <c r="BG37" s="12">
        <f t="shared" si="3"/>
        <v>366.14763295178324</v>
      </c>
      <c r="BH37" s="12">
        <f t="shared" si="3"/>
        <v>415.72983634698073</v>
      </c>
      <c r="BI37" s="192">
        <f t="shared" si="3"/>
        <v>406.60218664210282</v>
      </c>
      <c r="BJ37" s="192">
        <f t="shared" si="3"/>
        <v>334.01761177465386</v>
      </c>
      <c r="BK37" s="192">
        <f t="shared" si="3"/>
        <v>374.21781365258676</v>
      </c>
      <c r="BL37" s="12">
        <f t="shared" ref="BL37:BN37" si="4">BL40*-1</f>
        <v>367.41308484460046</v>
      </c>
      <c r="BM37" s="12">
        <f t="shared" si="4"/>
        <v>436.27991958096749</v>
      </c>
      <c r="BN37" s="12">
        <f t="shared" si="4"/>
        <v>525.31831201197326</v>
      </c>
      <c r="BP37" s="12">
        <f>BP40*-1</f>
        <v>339.24757168645726</v>
      </c>
      <c r="BQ37" s="12">
        <f t="shared" ref="BQ37:CJ37" si="5">BQ40*-1</f>
        <v>338.7014195785701</v>
      </c>
      <c r="BR37" s="12">
        <f t="shared" si="5"/>
        <v>422.63814698645041</v>
      </c>
      <c r="BS37" s="12">
        <f t="shared" si="5"/>
        <v>476.41336957527324</v>
      </c>
      <c r="BT37" s="12">
        <f t="shared" si="5"/>
        <v>440.76152813078266</v>
      </c>
      <c r="BU37" s="12">
        <f t="shared" si="5"/>
        <v>383.86361168422195</v>
      </c>
      <c r="BV37" s="12">
        <f t="shared" si="5"/>
        <v>397.71753776480563</v>
      </c>
      <c r="BW37" s="12">
        <f t="shared" si="5"/>
        <v>215.66824013452722</v>
      </c>
      <c r="BX37" s="12">
        <f t="shared" si="5"/>
        <v>391.8809762451524</v>
      </c>
      <c r="BY37" s="12">
        <f t="shared" si="5"/>
        <v>346.74461376223763</v>
      </c>
      <c r="BZ37" s="12">
        <f t="shared" si="5"/>
        <v>104.38195929867075</v>
      </c>
      <c r="CA37" s="12">
        <f t="shared" si="5"/>
        <v>462.60906803704296</v>
      </c>
      <c r="CB37" s="12">
        <f t="shared" si="5"/>
        <v>432.32718441838784</v>
      </c>
      <c r="CC37" s="12">
        <f t="shared" si="5"/>
        <v>416.39454719251853</v>
      </c>
      <c r="CD37" s="12">
        <f t="shared" si="5"/>
        <v>529.25279115851208</v>
      </c>
      <c r="CE37" s="192">
        <f t="shared" si="5"/>
        <v>468.98629654954556</v>
      </c>
      <c r="CF37" s="192">
        <f t="shared" si="5"/>
        <v>605.66130691999319</v>
      </c>
      <c r="CG37" s="192">
        <f t="shared" si="5"/>
        <v>618.38637144991048</v>
      </c>
      <c r="CH37" s="12">
        <f t="shared" si="5"/>
        <v>580.06973511650006</v>
      </c>
      <c r="CI37" s="12">
        <f t="shared" si="5"/>
        <v>417.5433183422154</v>
      </c>
      <c r="CJ37" s="12">
        <f t="shared" si="5"/>
        <v>533.4666420757336</v>
      </c>
      <c r="CK37" s="12"/>
      <c r="CL37" s="12">
        <f>CL40*-1</f>
        <v>210.65286259200855</v>
      </c>
      <c r="CM37" s="12">
        <f t="shared" ref="CM37:DF37" si="6">CM40*-1</f>
        <v>63.596946172443332</v>
      </c>
      <c r="CN37" s="12">
        <f t="shared" si="6"/>
        <v>258.67161498977464</v>
      </c>
      <c r="CO37" s="12">
        <f t="shared" si="6"/>
        <v>283.41437200127433</v>
      </c>
      <c r="CP37" s="12">
        <f t="shared" si="6"/>
        <v>237.41212907868865</v>
      </c>
      <c r="CQ37" s="12">
        <f t="shared" si="6"/>
        <v>225.93447989775098</v>
      </c>
      <c r="CR37" s="12">
        <f t="shared" si="6"/>
        <v>304.10235788237395</v>
      </c>
      <c r="CS37" s="12">
        <f t="shared" si="6"/>
        <v>284.85031462530986</v>
      </c>
      <c r="CT37" s="12">
        <f t="shared" si="6"/>
        <v>305.48086148563351</v>
      </c>
      <c r="CU37" s="12">
        <f t="shared" si="6"/>
        <v>281.14197685486698</v>
      </c>
      <c r="CV37" s="12">
        <f t="shared" si="6"/>
        <v>416.75232844282465</v>
      </c>
      <c r="CW37" s="12">
        <f t="shared" si="6"/>
        <v>364.32324460462894</v>
      </c>
      <c r="CX37" s="12">
        <f t="shared" si="6"/>
        <v>289.32149270985627</v>
      </c>
      <c r="CY37" s="12">
        <f t="shared" si="6"/>
        <v>388.76811929363663</v>
      </c>
      <c r="CZ37" s="12">
        <f t="shared" si="6"/>
        <v>435.03564628533047</v>
      </c>
      <c r="DA37" s="192">
        <f t="shared" si="6"/>
        <v>345.52319309600864</v>
      </c>
      <c r="DB37" s="192">
        <f t="shared" si="6"/>
        <v>308.98361707575134</v>
      </c>
      <c r="DC37" s="192">
        <f t="shared" si="6"/>
        <v>450.87688373056739</v>
      </c>
      <c r="DD37" s="12">
        <f t="shared" si="6"/>
        <v>416.18410915326689</v>
      </c>
      <c r="DE37" s="12">
        <f t="shared" si="6"/>
        <v>449.08221492755479</v>
      </c>
      <c r="DF37" s="12">
        <f t="shared" si="6"/>
        <v>493.90886415178613</v>
      </c>
      <c r="DG37" s="12"/>
      <c r="DH37" s="12"/>
    </row>
    <row r="38" spans="1:112" x14ac:dyDescent="0.2">
      <c r="A38" s="2" t="s">
        <v>437</v>
      </c>
      <c r="B38" s="12">
        <f>VLOOKUP($B$2,Perusaineisto!$B$3:'Perusaineisto'!$FI$400,99)*1000/B$5</f>
        <v>115.72797285877192</v>
      </c>
      <c r="C38" s="12">
        <f>VLOOKUP($B$2,Perusaineisto!$B$3:'Perusaineisto'!$FI$400,103)*1000/C$6</f>
        <v>121.25470290587313</v>
      </c>
      <c r="D38" s="12">
        <f>VLOOKUP($B$2,Perusaineisto!$B$3:'Perusaineisto'!$FI$400,107)*1000/D$7</f>
        <v>136.93419011121583</v>
      </c>
      <c r="E38" s="12">
        <f>VLOOKUP($B$2,Perusaineisto!$B$3:'Perusaineisto'!$FI$400,111)*1000/E$8</f>
        <v>145.35627373065429</v>
      </c>
      <c r="F38" s="12">
        <f>VLOOKUP($B$2,Perusaineisto!$B$3:'Perusaineisto'!$FI$400,115)*1000/F$9</f>
        <v>168.02134392256625</v>
      </c>
      <c r="G38" s="12">
        <f>VLOOKUP($B$2,Perusaineisto!$B$3:'Perusaineisto'!$FI$400,119)*1000/G$10</f>
        <v>147.64275616202593</v>
      </c>
      <c r="H38" s="12">
        <f>VLOOKUP($B$2,Perusaineisto!$B$3:'Perusaineisto'!$FI$400,123)*1000/H$11</f>
        <v>173.2418524871355</v>
      </c>
      <c r="I38" s="12">
        <f>VLOOKUP($B$2,Perusaineisto!$B$3:'Perusaineisto'!$FI$400,127)*1000/I$12</f>
        <v>174.2784070149799</v>
      </c>
      <c r="J38" s="12">
        <f>VLOOKUP($B$2,Perusaineisto!$B$3:'Perusaineisto'!$FI$400,131)*1000/J$13</f>
        <v>166.28481852164475</v>
      </c>
      <c r="K38" s="12">
        <f>VLOOKUP($B$2,Perusaineisto!$B$3:'Perusaineisto'!$FI$400,135)*1000/K$14</f>
        <v>175.05078265025691</v>
      </c>
      <c r="L38" s="12">
        <f>VLOOKUP($B$2,Perusaineisto!$B$3:'Perusaineisto'!$FI$400,139)*1000/L$15</f>
        <v>176.63479242145274</v>
      </c>
      <c r="M38" s="12">
        <f>VLOOKUP($B$2,Perusaineisto!$B$3:'Perusaineisto'!$FX$333,175)*1000/M$16</f>
        <v>185.84648238225174</v>
      </c>
      <c r="N38" s="12">
        <f>VLOOKUP($B$2,Perusaineisto!$B$3:'Perusaineisto'!$GO$321,190)*1000/N17</f>
        <v>181.22501763461085</v>
      </c>
      <c r="O38" s="12">
        <f>VLOOKUP($B$2,Perusaineisto!$B$3:'Perusaineisto'!$HU$321,207)*1000/O18</f>
        <v>189.39792873442161</v>
      </c>
      <c r="P38" s="12">
        <f>VLOOKUP($B$2,Perusaineisto!$B$3:'Perusaineisto'!$HU$321,222)*1000/P19</f>
        <v>148.3016225049609</v>
      </c>
      <c r="Q38" s="12">
        <f>VLOOKUP($B$2,Perusaineisto2!$B$2:'Perusaineisto2'!$CS$299,52)*1000/Q$20</f>
        <v>194.64577975216272</v>
      </c>
      <c r="R38" s="12">
        <f>VLOOKUP($B$2,Perusaineisto2!$B$2:'Perusaineisto2'!$CS$299,70)*1000/R$21</f>
        <v>220.67792634295097</v>
      </c>
      <c r="S38" s="12">
        <f>VLOOKUP($B$2,Perusaineisto2!$B$2:'Perusaineisto2'!$CS$299,87)*1000/S$22</f>
        <v>246.61151205773632</v>
      </c>
      <c r="T38" s="12">
        <f>VLOOKUP($B$2,Perusaineisto2!$B$3:'Perusaineisto2'!$DI$299,107)*1000/T$23</f>
        <v>278.4376292619512</v>
      </c>
      <c r="U38" s="12">
        <f>VLOOKUP($B$2,Perusaineisto2!$B$3:'Perusaineisto2'!$DY$298,123)*1000/U$24</f>
        <v>279.98091716858488</v>
      </c>
      <c r="V38" s="12">
        <f>VLOOKUP($B$2,Perusaineisto2!$B$3:'Perusaineisto2'!$EP$298,140)*1000/V$25</f>
        <v>275.54030461742218</v>
      </c>
      <c r="X38" s="12">
        <f>VLOOKUP($X$2,Perusaineisto!$B$3:'Perusaineisto'!$FI$400,99)*1000/X$5</f>
        <v>180.85714809722913</v>
      </c>
      <c r="Y38" s="12">
        <f>VLOOKUP($X$2,Perusaineisto!$B$3:'Perusaineisto'!$FI$400,103)*1000/Y$6</f>
        <v>186.86742580676739</v>
      </c>
      <c r="Z38" s="12">
        <f>VLOOKUP($X$2,Perusaineisto!$B$3:'Perusaineisto'!$FI$400,107)*1000/Z$7</f>
        <v>202.78691041615295</v>
      </c>
      <c r="AA38" s="12">
        <f>VLOOKUP($X$2,Perusaineisto!$B$3:'Perusaineisto'!$FI$400,111)*1000/AA$8</f>
        <v>219.01354333699467</v>
      </c>
      <c r="AB38" s="12">
        <f>VLOOKUP($X$2,Perusaineisto!$B$3:'Perusaineisto'!$FI$400,115)*1000/AB$9</f>
        <v>248.37209302325581</v>
      </c>
      <c r="AC38" s="12">
        <f>VLOOKUP($X$2,Perusaineisto!$B$3:'Perusaineisto'!$FI$400,119)*1000/AC$10</f>
        <v>235.9094686415408</v>
      </c>
      <c r="AD38" s="12">
        <f>VLOOKUP($X$2,Perusaineisto!$B$3:'Perusaineisto'!$FI$400,123)*1000/AD$11</f>
        <v>226.10871271585557</v>
      </c>
      <c r="AE38" s="12">
        <f>VLOOKUP($X$2,Perusaineisto!$B$3:'Perusaineisto'!$FI$400,127)*1000/AE$12</f>
        <v>234.45564020643891</v>
      </c>
      <c r="AF38" s="12">
        <f>VLOOKUP($X$2,Perusaineisto!$B$3:'Perusaineisto'!$FI$400,131)*1000/AF$13</f>
        <v>260.11503859200627</v>
      </c>
      <c r="AG38" s="12">
        <f>VLOOKUP($X$2,Perusaineisto!$B$3:'Perusaineisto'!$FI$400,135)*1000/AG$14</f>
        <v>273.13271907469124</v>
      </c>
      <c r="AH38" s="12">
        <f>VLOOKUP($X$2,Perusaineisto!$B$3:'Perusaineisto'!$FI$400,139)*1000/AH$15</f>
        <v>261.94341943419437</v>
      </c>
      <c r="AI38" s="12">
        <f>VLOOKUP($X$2,Perusaineisto!$B$3:'Perusaineisto'!$FX$333,175)*1000/AI$16</f>
        <v>251.64254310131898</v>
      </c>
      <c r="AJ38" s="12">
        <f>VLOOKUP($X$2,Perusaineisto!$B$3:'Perusaineisto'!$GO$321,190)*1000/AJ17</f>
        <v>254.39636435487057</v>
      </c>
      <c r="AK38" s="12">
        <f>VLOOKUP($X$2,Perusaineisto!$B$3:'Perusaineisto'!$HU$321,207)*1000/AK18</f>
        <v>243.92642864168388</v>
      </c>
      <c r="AL38" s="12">
        <f>VLOOKUP($X$2,Perusaineisto!$B$3:'Perusaineisto'!$HU$321,222)*1000/AL19</f>
        <v>287.24401677769555</v>
      </c>
      <c r="AM38" s="12">
        <f>VLOOKUP($X$2,Perusaineisto2!$B$2:'Perusaineisto2'!$CS$299,52)*1000/AM$20</f>
        <v>285.7498630273447</v>
      </c>
      <c r="AN38" s="12">
        <f>VLOOKUP($X$2,Perusaineisto2!$B$2:'Perusaineisto2'!$CS$299,70)*1000/AN$21</f>
        <v>277.26154000703201</v>
      </c>
      <c r="AO38" s="12">
        <f>VLOOKUP($X$2,Perusaineisto2!$B$2:'Perusaineisto2'!$CS$299,87)*1000/AO$22</f>
        <v>344.29400386847198</v>
      </c>
      <c r="AP38" s="12">
        <f>VLOOKUP($X$2,Perusaineisto2!$B$3:'Perusaineisto2'!$DI$299,107)*1000/AP$23</f>
        <v>360.68958397852793</v>
      </c>
      <c r="AQ38" s="12">
        <f>VLOOKUP($X$2,Perusaineisto2!$B$3:'Perusaineisto2'!$DY$298,123)*1000/AQ$24</f>
        <v>448.1821980777267</v>
      </c>
      <c r="AR38" s="12">
        <f>VLOOKUP($X$2,Perusaineisto2!$B$3:'Perusaineisto2'!$EP$298,140)*1000/AR$25</f>
        <v>468.94063975385922</v>
      </c>
      <c r="AT38" s="12">
        <f>VLOOKUP($AT$2,Luokittelut!$A$25:'Luokittelut'!$MJ$31,92)*1000/AT$5</f>
        <v>155.83605324464915</v>
      </c>
      <c r="AU38" s="12">
        <f>VLOOKUP($AT$2,Luokittelut!$A$25:'Luokittelut'!$MJ$31,96)*1000/AU$6</f>
        <v>162.67123975428112</v>
      </c>
      <c r="AV38" s="12">
        <f>VLOOKUP($AT$2,Luokittelut!$A$25:'Luokittelut'!$MJ$31,100)*1000/AV$7</f>
        <v>168.83470784514483</v>
      </c>
      <c r="AW38" s="12">
        <f>VLOOKUP($AT$2,Luokittelut!$A$25:'Luokittelut'!$MJ$31,104)*1000/AW$8</f>
        <v>175.39048036210056</v>
      </c>
      <c r="AX38" s="12">
        <f>VLOOKUP($AT$2,Luokittelut!$A$25:'Luokittelut'!$MJ$31,108)*1000/AX$9</f>
        <v>182.18607701550104</v>
      </c>
      <c r="AY38" s="12">
        <f>VLOOKUP($AT$2,Luokittelut!$A$25:'Luokittelut'!$MJ$31,112)*1000/AY$10</f>
        <v>184.08998224925165</v>
      </c>
      <c r="AZ38" s="12">
        <f>VLOOKUP($AT$2,Luokittelut!$A$25:'Luokittelut'!$MJ$31,116)*1000/AZ$11</f>
        <v>187.60353721941624</v>
      </c>
      <c r="BA38" s="12">
        <f>VLOOKUP($AT$2,Luokittelut!$A$25:'Luokittelut'!$MJ$31,120)*1000/BA$12</f>
        <v>196.4855127944094</v>
      </c>
      <c r="BB38" s="12">
        <f>VLOOKUP($AT$2,Luokittelut!$A$25:'Luokittelut'!$MJ$31,124)*1000/BB$13</f>
        <v>200.53585252158993</v>
      </c>
      <c r="BC38" s="12">
        <f>VLOOKUP($AT$2,Luokittelut!$A$25:'Luokittelut'!$MJ$31,128)*1000/BC$14</f>
        <v>207.01475516313832</v>
      </c>
      <c r="BD38" s="12">
        <f>VLOOKUP($AT$2,Luokittelut!$A$25:'Luokittelut'!$MJ$31,132)*1000/BD$15</f>
        <v>217.53029328766712</v>
      </c>
      <c r="BE38" s="12">
        <f>VLOOKUP($AT$2,Luokittelut!$A$25:'Luokittelut'!$MJ$31,168)*1000/BE$16</f>
        <v>229.83686778167757</v>
      </c>
      <c r="BF38" s="12">
        <f>VLOOKUP($AT$2,Luokittelut!$A$25:'Luokittelut'!$MJ$31,183)*1000/BF$17</f>
        <v>244.41821253483695</v>
      </c>
      <c r="BG38" s="12">
        <f>VLOOKUP($AT$2,Luokittelut!$A$25:'Luokittelut'!$MJ$31,200)*1000/BG$18</f>
        <v>246.39477297851982</v>
      </c>
      <c r="BH38" s="12">
        <f>VLOOKUP($AT$2,Luokittelut!$A$25:'Luokittelut'!$MJ$31,215)*1000/BH$19</f>
        <v>256.127291183534</v>
      </c>
      <c r="BI38" s="192">
        <f>VLOOKUP($AT$2,Luokittelut!$A$25:'Luokittelut'!$MJ$31,265)*1000/BI$20</f>
        <v>282.45915522253534</v>
      </c>
      <c r="BJ38" s="192">
        <f>VLOOKUP($AT$2,Luokittelut!$A$25:'Luokittelut'!$MJ$31,280)*1000/BJ$21</f>
        <v>292.5645412747067</v>
      </c>
      <c r="BK38" s="192">
        <f>VLOOKUP($AT$2,Luokittelut!$A$25:'Luokittelut'!$MJ$31,294)*1000/BK$22</f>
        <v>301.32135691535501</v>
      </c>
      <c r="BL38" s="12">
        <f>VLOOKUP($AT$2,Luokittelut!$A$25:'Luokittelut'!$MJ$31,311)*1000/BL$23</f>
        <v>324.42789919203523</v>
      </c>
      <c r="BM38" s="12">
        <f>VLOOKUP($AT$2,Luokittelut!$A$25:'Luokittelut'!$MJ$31,327)*1000/BM$24</f>
        <v>338.37341504155984</v>
      </c>
      <c r="BN38" s="12">
        <f>VLOOKUP($AT$2,Luokittelut!$A$25:'Luokittelut'!$MJ$31,343)*1000/BN$25</f>
        <v>346.7166558006781</v>
      </c>
      <c r="BP38" s="12">
        <f>VLOOKUP($BP$2,Luokittelut!$A$3:'Luokittelut'!$MJ$20,92)*1000/BP$5</f>
        <v>218.50083185015495</v>
      </c>
      <c r="BQ38" s="12">
        <f>VLOOKUP($BP$2,Luokittelut!$A$3:'Luokittelut'!$MJ$20,96)*1000/BQ$6</f>
        <v>227.66989320484271</v>
      </c>
      <c r="BR38" s="12">
        <f>VLOOKUP($BP$2,Luokittelut!$A$3:'Luokittelut'!$MJ$20,100)*1000/BR$7</f>
        <v>240.02406099539854</v>
      </c>
      <c r="BS38" s="12">
        <f>VLOOKUP($BP$2,Luokittelut!$A$3:'Luokittelut'!$MJ$20,104)*1000/BS$8</f>
        <v>251.14121437281838</v>
      </c>
      <c r="BT38" s="12">
        <f>VLOOKUP($BP$2,Luokittelut!$A$3:'Luokittelut'!$MJ$20,108)*1000/BT$9</f>
        <v>271.48687842584854</v>
      </c>
      <c r="BU38" s="12">
        <f>VLOOKUP($BP$2,Luokittelut!$A$3:'Luokittelut'!$MJ$20,112)*1000/BU$10</f>
        <v>284.32837441633183</v>
      </c>
      <c r="BV38" s="12">
        <f>VLOOKUP($BP$2,Luokittelut!$A$3:'Luokittelut'!$MJ$20,116)*1000/BV$11</f>
        <v>288.15117115022838</v>
      </c>
      <c r="BW38" s="12">
        <f>VLOOKUP($BP$2,Luokittelut!$A$3:'Luokittelut'!$MJ$20,120)*1000/BW$12</f>
        <v>289.18020332732971</v>
      </c>
      <c r="BX38" s="12">
        <f>VLOOKUP($BP$2,Luokittelut!$A$3:'Luokittelut'!$MJ$20,124)*1000/BX$13</f>
        <v>288.91510930105687</v>
      </c>
      <c r="BY38" s="12">
        <f>VLOOKUP($BP$2,Luokittelut!$A$3:'Luokittelut'!$MJ$20,128)*1000/BY$14</f>
        <v>301.77996405338848</v>
      </c>
      <c r="BZ38" s="12">
        <f>VLOOKUP($BP$2,Luokittelut!$A$3:'Luokittelut'!$MJ$20,132)*1000/BZ$15</f>
        <v>322.88241261911332</v>
      </c>
      <c r="CA38" s="12">
        <f>VLOOKUP($BP$2,Luokittelut!$A$3:'Luokittelut'!$MJ$20,168)*1000/CA$16</f>
        <v>315.11037541228643</v>
      </c>
      <c r="CB38" s="12">
        <f>VLOOKUP($BP$2,Luokittelut!$A$3:'Luokittelut'!$MJ$20,183)*1000/CB$17</f>
        <v>313.51493891968795</v>
      </c>
      <c r="CC38" s="12">
        <f>VLOOKUP($BP$2,Luokittelut!$A$3:'Luokittelut'!$MJ$20,200)*1000/CC$18</f>
        <v>315.85003764685825</v>
      </c>
      <c r="CD38" s="12">
        <f>VLOOKUP($BP$2,Luokittelut!$A$3:'Luokittelut'!$MJ$20,215)*1000/CD$19</f>
        <v>326.75283143496961</v>
      </c>
      <c r="CE38" s="192">
        <f>VLOOKUP($BP$2,Luokittelut!$A$3:'Luokittelut'!$MJ$20,265)*1000/CE$20</f>
        <v>348.93215452469781</v>
      </c>
      <c r="CF38" s="192">
        <f>VLOOKUP($BP$2,Luokittelut!$A$3:'Luokittelut'!$MJ$20,280)*1000/CF$21</f>
        <v>358.05610848222625</v>
      </c>
      <c r="CG38" s="192">
        <f>VLOOKUP($BP$2,Luokittelut!$A$3:'Luokittelut'!$MJ$20,294)*1000/CG$22</f>
        <v>398.50112820431758</v>
      </c>
      <c r="CH38" s="12">
        <f>VLOOKUP($BP$2,Luokittelut!$A$3:'Luokittelut'!$MJ$20,311)*1000/CH$23</f>
        <v>391.71816961025297</v>
      </c>
      <c r="CI38" s="12">
        <f>VLOOKUP($BP$2,Luokittelut!$A$3:'Luokittelut'!$MJ$20,327)*1000/CI$24</f>
        <v>415.18236372761339</v>
      </c>
      <c r="CJ38" s="12">
        <f>VLOOKUP($BP$2,Luokittelut!$A$3:'Luokittelut'!$MJ$20,343)*1000/CJ$25</f>
        <v>411.52602917908348</v>
      </c>
      <c r="CK38" s="13"/>
      <c r="CL38" s="12">
        <f>VLOOKUP($CL$2,Luokittelut!$A$36:'Luokittelut'!$MJ$47,92)*1000/CL$5</f>
        <v>149.07919229910038</v>
      </c>
      <c r="CM38" s="12">
        <f>VLOOKUP($CL$2,Luokittelut!$A$36:'Luokittelut'!$MJ$47,96)*1000/CM$6</f>
        <v>154.93865290250096</v>
      </c>
      <c r="CN38" s="12">
        <f>VLOOKUP($CL$2,Luokittelut!$A$36:'Luokittelut'!$MJ$47,100)*1000/CN$7</f>
        <v>162.4733838510727</v>
      </c>
      <c r="CO38" s="12">
        <f>VLOOKUP($CL$2,Luokittelut!$A$36:'Luokittelut'!$MJ$47,104)*1000/CO$8</f>
        <v>161.86701722006518</v>
      </c>
      <c r="CP38" s="12">
        <f>VLOOKUP($CL$2,Luokittelut!$A$36:'Luokittelut'!$MJ$47,108)*1000/CP$9</f>
        <v>168.31699073419608</v>
      </c>
      <c r="CQ38" s="12">
        <f>VLOOKUP($CL$2,Luokittelut!$A$36:'Luokittelut'!$MJ$47,112)*1000/CQ$10</f>
        <v>170.46630298642765</v>
      </c>
      <c r="CR38" s="12">
        <f>VLOOKUP($CL$2,Luokittelut!$A$36:'Luokittelut'!$MJ$47,116)*1000/CR$11</f>
        <v>175.27415010276638</v>
      </c>
      <c r="CS38" s="12">
        <f>VLOOKUP($CL$2,Luokittelut!$A$36:'Luokittelut'!$MJ$47,120)*1000/CS$12</f>
        <v>176.72090510392169</v>
      </c>
      <c r="CT38" s="12">
        <f>VLOOKUP($CL$2,Luokittelut!$A$36:'Luokittelut'!$MJ$47,124)*1000/CT$13</f>
        <v>174.97033277786193</v>
      </c>
      <c r="CU38" s="12">
        <f>VLOOKUP($CL$2,Luokittelut!$A$36:'Luokittelut'!$MJ$47,128)*1000/CU$14</f>
        <v>178.62018435950102</v>
      </c>
      <c r="CV38" s="12">
        <f>VLOOKUP($CL$2,Luokittelut!$A$36:'Luokittelut'!$MJ$47,132)*1000/CV$15</f>
        <v>184.92975734355045</v>
      </c>
      <c r="CW38" s="12">
        <f>VLOOKUP($CL$2,Luokittelut!$A$36:'Luokittelut'!$MJ$47,168)*1000/CW$16</f>
        <v>194.60866112913533</v>
      </c>
      <c r="CX38" s="12">
        <f>VLOOKUP($CL$2,Luokittelut!$A$36:'Luokittelut'!$MJ$47,183)*1000/CX$17</f>
        <v>208.8779948009236</v>
      </c>
      <c r="CY38" s="12">
        <f>VLOOKUP($CL$2,Luokittelut!$A$36:'Luokittelut'!$MJ$47,200)*1000/CY$18</f>
        <v>214.20312109747186</v>
      </c>
      <c r="CZ38" s="12">
        <f>VLOOKUP($CL$2,Luokittelut!$A$36:'Luokittelut'!$MJ$47,215)*1000/CZ$19</f>
        <v>219.90707934610478</v>
      </c>
      <c r="DA38" s="192">
        <f>VLOOKUP($CL$2,Luokittelut!$A$36:'Luokittelut'!$MJ$47,265)*1000/DA$20</f>
        <v>259.97534288796425</v>
      </c>
      <c r="DB38" s="192">
        <f>VLOOKUP($CL$2,Luokittelut!$A$36:'Luokittelut'!$MJ$47,280)*1000/DB$21</f>
        <v>293.14668747821418</v>
      </c>
      <c r="DC38" s="192">
        <f>VLOOKUP($CL$2,Luokittelut!$A$36:'Luokittelut'!$MJ$47,294)*1000/DC$22</f>
        <v>274.82906101849017</v>
      </c>
      <c r="DD38" s="12">
        <f>VLOOKUP($CL$2,Luokittelut!$A$36:'Luokittelut'!$MJ$47,311)*1000/DD$23</f>
        <v>294.36526082958471</v>
      </c>
      <c r="DE38" s="12">
        <f>VLOOKUP($CL$2,Luokittelut!$A$36:'Luokittelut'!$MJ$47,327)*1000/DE$24</f>
        <v>299.99718901968623</v>
      </c>
      <c r="DF38" s="12">
        <f>VLOOKUP($CL$2,Luokittelut!$A$36:'Luokittelut'!$MJ$47,343)*1000/DF$25</f>
        <v>322.12719512080042</v>
      </c>
      <c r="DG38" s="13"/>
      <c r="DH38" s="13"/>
    </row>
    <row r="39" spans="1:112" x14ac:dyDescent="0.2">
      <c r="A39" s="2" t="s">
        <v>438</v>
      </c>
      <c r="B39" s="12">
        <f>VLOOKUP($B$2,Perusaineisto!$B$3:'Perusaineisto'!$FI$400,100)*1000/B$5</f>
        <v>762.62849214857795</v>
      </c>
      <c r="C39" s="12">
        <f>VLOOKUP($B$2,Perusaineisto!$B$3:'Perusaineisto'!$FI$400,104)*1000/C$6</f>
        <v>813.15030713300735</v>
      </c>
      <c r="D39" s="12">
        <f>VLOOKUP($B$2,Perusaineisto!$B$3:'Perusaineisto'!$FI$400,108)*1000/D$7</f>
        <v>969.14393226716834</v>
      </c>
      <c r="E39" s="12">
        <f>VLOOKUP($B$2,Perusaineisto!$B$3:'Perusaineisto'!$FI$400,112)*1000/E$8</f>
        <v>1115.653476469854</v>
      </c>
      <c r="F39" s="12">
        <f>VLOOKUP($B$2,Perusaineisto!$B$3:'Perusaineisto'!$FI$400,116)*1000/F$9</f>
        <v>1112.5519637649686</v>
      </c>
      <c r="G39" s="12">
        <f>VLOOKUP($B$2,Perusaineisto!$B$3:'Perusaineisto'!$FI$400,120)*1000/G$10</f>
        <v>1188.1492408875777</v>
      </c>
      <c r="H39" s="12">
        <f>VLOOKUP($B$2,Perusaineisto!$B$3:'Perusaineisto'!$FI$400,124)*1000/H$11</f>
        <v>1446.5204606714042</v>
      </c>
      <c r="I39" s="12">
        <f>VLOOKUP($B$2,Perusaineisto!$B$3:'Perusaineisto'!$FI$400,128)*1000/I$12</f>
        <v>1520.825721592985</v>
      </c>
      <c r="J39" s="12">
        <f>VLOOKUP($B$2,Perusaineisto!$B$3:'Perusaineisto'!$FI$400,132)*1000/J$13</f>
        <v>1635.5962860243578</v>
      </c>
      <c r="K39" s="12">
        <f>VLOOKUP($B$2,Perusaineisto!$B$3:'Perusaineisto'!$FI$400,136)*1000/K$14</f>
        <v>1736.5874059027362</v>
      </c>
      <c r="L39" s="12">
        <f>VLOOKUP($B$2,Perusaineisto!$B$3:'Perusaineisto'!$FI$400,140)*1000/L$15</f>
        <v>1775.0193027261389</v>
      </c>
      <c r="M39" s="12">
        <f>VLOOKUP($B$2,Perusaineisto!$B$3:'Perusaineisto'!$FX$333,176)*1000/M$16</f>
        <v>1809.4673152212599</v>
      </c>
      <c r="N39" s="12">
        <f>VLOOKUP($B$2,Perusaineisto!$B$3:'Perusaineisto'!$GO$321,191)*1000/N17</f>
        <v>1863.508111920997</v>
      </c>
      <c r="O39" s="12">
        <f>VLOOKUP($B$2,Perusaineisto!$B$3:'Perusaineisto'!$HU$321,208)*1000/O18</f>
        <v>1991.164940612018</v>
      </c>
      <c r="P39" s="12">
        <f>VLOOKUP($B$2,Perusaineisto!$B$3:'Perusaineisto'!$HU$321,223)*1000/P19</f>
        <v>2288.0238123030231</v>
      </c>
      <c r="Q39" s="12">
        <f>VLOOKUP($B$2,Perusaineisto2!$B$2:'Perusaineisto2'!$CS$299,62)*1000/Q$20</f>
        <v>2390.577507598784</v>
      </c>
      <c r="R39" s="12">
        <f>VLOOKUP($B$2,Perusaineisto2!$B$2:'Perusaineisto2'!$CS$299,79)*1000/R$21</f>
        <v>3061.4004222378608</v>
      </c>
      <c r="S39" s="12">
        <f>VLOOKUP($B$2,Perusaineisto2!$B$2:'Perusaineisto2'!$CS$299,96)*1000/S$22</f>
        <v>3517.7492225547144</v>
      </c>
      <c r="T39" s="12">
        <f>VLOOKUP($B$2,Perusaineisto2!$B$3:'Perusaineisto2'!$DI$299,108)*1000/T$23</f>
        <v>3415.588252673876</v>
      </c>
      <c r="U39" s="12">
        <f>VLOOKUP($B$2,Perusaineisto2!$B$3:'Perusaineisto2'!$DY$298,124)*1000/U$24</f>
        <v>3139.1257677857952</v>
      </c>
      <c r="V39" s="12">
        <f>VLOOKUP($B$2,Perusaineisto2!$B$3:'Perusaineisto2'!$EP$298,141)*1000/V$25</f>
        <v>3256.6973692131719</v>
      </c>
      <c r="X39" s="12">
        <f>VLOOKUP($X$2,Perusaineisto!$B$3:'Perusaineisto'!$FI$400,100)*1000/X$5</f>
        <v>933.49225268176406</v>
      </c>
      <c r="Y39" s="12">
        <f>VLOOKUP($X$2,Perusaineisto!$B$3:'Perusaineisto'!$FI$400,104)*1000/Y$6</f>
        <v>665.75748875490478</v>
      </c>
      <c r="Z39" s="12">
        <f>VLOOKUP($X$2,Perusaineisto!$B$3:'Perusaineisto'!$FI$400,108)*1000/Z$7</f>
        <v>543.95790083522422</v>
      </c>
      <c r="AA39" s="12">
        <f>VLOOKUP($X$2,Perusaineisto!$B$3:'Perusaineisto'!$FI$400,112)*1000/AA$8</f>
        <v>592.61062162293729</v>
      </c>
      <c r="AB39" s="12">
        <f>VLOOKUP($X$2,Perusaineisto!$B$3:'Perusaineisto'!$FI$400,116)*1000/AB$9</f>
        <v>464.52876376988985</v>
      </c>
      <c r="AC39" s="12">
        <f>VLOOKUP($X$2,Perusaineisto!$B$3:'Perusaineisto'!$FI$400,120)*1000/AC$10</f>
        <v>638.75446057584202</v>
      </c>
      <c r="AD39" s="12">
        <f>VLOOKUP($X$2,Perusaineisto!$B$3:'Perusaineisto'!$FI$400,124)*1000/AD$11</f>
        <v>813.57927786499215</v>
      </c>
      <c r="AE39" s="12">
        <f>VLOOKUP($X$2,Perusaineisto!$B$3:'Perusaineisto'!$FI$400,128)*1000/AE$12</f>
        <v>1075.3010567707054</v>
      </c>
      <c r="AF39" s="12">
        <f>VLOOKUP($X$2,Perusaineisto!$B$3:'Perusaineisto'!$FI$400,132)*1000/AF$13</f>
        <v>1895.777002113957</v>
      </c>
      <c r="AG39" s="12">
        <f>VLOOKUP($X$2,Perusaineisto!$B$3:'Perusaineisto'!$FI$400,136)*1000/AG$14</f>
        <v>1617.3789453048421</v>
      </c>
      <c r="AH39" s="12">
        <f>VLOOKUP($X$2,Perusaineisto!$B$3:'Perusaineisto'!$FI$400,140)*1000/AH$15</f>
        <v>1740.7626076260763</v>
      </c>
      <c r="AI39" s="12">
        <f>VLOOKUP($X$2,Perusaineisto!$B$3:'Perusaineisto'!$FX$333,176)*1000/AI$16</f>
        <v>1820.4811539791533</v>
      </c>
      <c r="AJ39" s="12">
        <f>VLOOKUP($X$2,Perusaineisto!$B$3:'Perusaineisto'!$GO$321,191)*1000/AJ17</f>
        <v>2024.6492787986565</v>
      </c>
      <c r="AK39" s="12">
        <f>VLOOKUP($X$2,Perusaineisto!$B$3:'Perusaineisto'!$HU$321,208)*1000/AK18</f>
        <v>2195.1903216287992</v>
      </c>
      <c r="AL39" s="12">
        <f>VLOOKUP($X$2,Perusaineisto!$B$3:'Perusaineisto'!$HU$321,223)*1000/AL19</f>
        <v>2927.0663705896868</v>
      </c>
      <c r="AM39" s="12">
        <f>VLOOKUP($X$2,Perusaineisto2!$B$2:'Perusaineisto2'!$CS$299,62)*1000/AM$20</f>
        <v>3582.5073467151465</v>
      </c>
      <c r="AN39" s="12">
        <f>VLOOKUP($X$2,Perusaineisto2!$B$2:'Perusaineisto2'!$CS$299,79)*1000/AN$21</f>
        <v>4054.548194283992</v>
      </c>
      <c r="AO39" s="12">
        <f>VLOOKUP($X$2,Perusaineisto2!$B$2:'Perusaineisto2'!$CS$299,96)*1000/AO$22</f>
        <v>4227.3236282194848</v>
      </c>
      <c r="AP39" s="12">
        <f>VLOOKUP($X$2,Perusaineisto2!$B$3:'Perusaineisto2'!$DI$299,108)*1000/AP$23</f>
        <v>3716.5273046350781</v>
      </c>
      <c r="AQ39" s="12">
        <f>VLOOKUP($X$2,Perusaineisto2!$B$3:'Perusaineisto2'!$DY$298,124)*1000/AQ$24</f>
        <v>3567.070622649394</v>
      </c>
      <c r="AR39" s="12">
        <f>VLOOKUP($X$2,Perusaineisto2!$B$3:'Perusaineisto2'!$EP$298,141)*1000/AR$25</f>
        <v>3425.4416211341572</v>
      </c>
      <c r="AT39" s="12">
        <f>VLOOKUP($AT$2,Luokittelut!$A$25:'Luokittelut'!$MJ$31,93)*1000/AT$5</f>
        <v>674.88853065975366</v>
      </c>
      <c r="AU39" s="12">
        <f>VLOOKUP($AT$2,Luokittelut!$A$25:'Luokittelut'!$MJ$31,97)*1000/AU$6</f>
        <v>656.52974360706685</v>
      </c>
      <c r="AV39" s="12">
        <f>VLOOKUP($AT$2,Luokittelut!$A$25:'Luokittelut'!$MJ$31,101)*1000/AV$7</f>
        <v>703.82713813478847</v>
      </c>
      <c r="AW39" s="12">
        <f>VLOOKUP($AT$2,Luokittelut!$A$25:'Luokittelut'!$MJ$31,105)*1000/AW$8</f>
        <v>767.08682310561073</v>
      </c>
      <c r="AX39" s="12">
        <f>VLOOKUP($AT$2,Luokittelut!$A$25:'Luokittelut'!$MJ$31,109)*1000/AX$9</f>
        <v>754.92340985851285</v>
      </c>
      <c r="AY39" s="12">
        <f>VLOOKUP($AT$2,Luokittelut!$A$25:'Luokittelut'!$MJ$31,113)*1000/AY$10</f>
        <v>838.81677471102159</v>
      </c>
      <c r="AZ39" s="12">
        <f>VLOOKUP($AT$2,Luokittelut!$A$25:'Luokittelut'!$MJ$31,117)*1000/AZ$11</f>
        <v>991.79293568293235</v>
      </c>
      <c r="BA39" s="12">
        <f>VLOOKUP($AT$2,Luokittelut!$A$25:'Luokittelut'!$MJ$31,121)*1000/BA$12</f>
        <v>1192.7297264098081</v>
      </c>
      <c r="BB39" s="12">
        <f>VLOOKUP($AT$2,Luokittelut!$A$25:'Luokittelut'!$MJ$31,125)*1000/BB$13</f>
        <v>1358.4900285855035</v>
      </c>
      <c r="BC39" s="12">
        <f>VLOOKUP($AT$2,Luokittelut!$A$25:'Luokittelut'!$MJ$31,129)*1000/BC$14</f>
        <v>1514.2651053832885</v>
      </c>
      <c r="BD39" s="12">
        <f>VLOOKUP($AT$2,Luokittelut!$A$25:'Luokittelut'!$MJ$31,133)*1000/BD$15</f>
        <v>1702.6460191438252</v>
      </c>
      <c r="BE39" s="12">
        <f>VLOOKUP($AT$2,Luokittelut!$A$25:'Luokittelut'!$MJ$31,169)*1000/BE$16</f>
        <v>1898.6357754718642</v>
      </c>
      <c r="BF39" s="12">
        <f>VLOOKUP($AT$2,Luokittelut!$A$25:'Luokittelut'!$MJ$31,184)*1000/BF$17</f>
        <v>1978.8914181312969</v>
      </c>
      <c r="BG39" s="12">
        <f>VLOOKUP($AT$2,Luokittelut!$A$25:'Luokittelut'!$MJ$31,201)*1000/BG$18</f>
        <v>2062.5583520472996</v>
      </c>
      <c r="BH39" s="12">
        <f>VLOOKUP($AT$2,Luokittelut!$A$25:'Luokittelut'!$MJ$31,216)*1000/BH$19</f>
        <v>2329.2404948378739</v>
      </c>
      <c r="BI39" s="192">
        <f>VLOOKUP($AT$2,Luokittelut!$A$25:'Luokittelut'!$MJ$31,272)*1000/BI$20</f>
        <v>2537.0908712727128</v>
      </c>
      <c r="BJ39" s="192">
        <f>VLOOKUP($AT$2,Luokittelut!$A$25:'Luokittelut'!$MJ$31,286)*1000/BJ$21</f>
        <v>2658.4217445301765</v>
      </c>
      <c r="BK39" s="192">
        <f>VLOOKUP($AT$2,Luokittelut!$A$25:'Luokittelut'!$MJ$31,300)*1000/BK$22</f>
        <v>2723.8393844483144</v>
      </c>
      <c r="BL39" s="12">
        <f>VLOOKUP($AT$2,Luokittelut!$A$25:'Luokittelut'!$MJ$31,312)*1000/BL$23</f>
        <v>2796.6937537982312</v>
      </c>
      <c r="BM39" s="12">
        <f>VLOOKUP($AT$2,Luokittelut!$A$25:'Luokittelut'!$MJ$31,328)*1000/BM$24</f>
        <v>2868.3021648456802</v>
      </c>
      <c r="BN39" s="12">
        <f>VLOOKUP($AT$2,Luokittelut!$A$25:'Luokittelut'!$MJ$31,344)*1000/BN$25</f>
        <v>3107.4408837149281</v>
      </c>
      <c r="BP39" s="12">
        <f>VLOOKUP($BP$2,Luokittelut!$A$3:'Luokittelut'!$MJ$20,93)*1000/BP$5</f>
        <v>507.89901840931969</v>
      </c>
      <c r="BQ39" s="12">
        <f>VLOOKUP($BP$2,Luokittelut!$A$3:'Luokittelut'!$MJ$20,97)*1000/BQ$6</f>
        <v>552.52008830811303</v>
      </c>
      <c r="BR39" s="12">
        <f>VLOOKUP($BP$2,Luokittelut!$A$3:'Luokittelut'!$MJ$20,101)*1000/BR$7</f>
        <v>507.45648901067182</v>
      </c>
      <c r="BS39" s="12">
        <f>VLOOKUP($BP$2,Luokittelut!$A$3:'Luokittelut'!$MJ$20,105)*1000/BS$8</f>
        <v>578.54647500143176</v>
      </c>
      <c r="BT39" s="12">
        <f>VLOOKUP($BP$2,Luokittelut!$A$3:'Luokittelut'!$MJ$20,109)*1000/BT$9</f>
        <v>599.629035009821</v>
      </c>
      <c r="BU39" s="12">
        <f>VLOOKUP($BP$2,Luokittelut!$A$3:'Luokittelut'!$MJ$20,113)*1000/BU$10</f>
        <v>741.64187208165924</v>
      </c>
      <c r="BV39" s="12">
        <f>VLOOKUP($BP$2,Luokittelut!$A$3:'Luokittelut'!$MJ$20,117)*1000/BV$11</f>
        <v>832.25710632692335</v>
      </c>
      <c r="BW39" s="12">
        <f>VLOOKUP($BP$2,Luokittelut!$A$3:'Luokittelut'!$MJ$20,121)*1000/BW$12</f>
        <v>1006.0114723732619</v>
      </c>
      <c r="BX39" s="12">
        <f>VLOOKUP($BP$2,Luokittelut!$A$3:'Luokittelut'!$MJ$20,125)*1000/BX$13</f>
        <v>1147.4538711055286</v>
      </c>
      <c r="BY39" s="12">
        <f>VLOOKUP($BP$2,Luokittelut!$A$3:'Luokittelut'!$MJ$20,129)*1000/BY$14</f>
        <v>1149.2914249128012</v>
      </c>
      <c r="BZ39" s="12">
        <f>VLOOKUP($BP$2,Luokittelut!$A$3:'Luokittelut'!$MJ$20,133)*1000/BZ$15</f>
        <v>1223.9174770072136</v>
      </c>
      <c r="CA39" s="12">
        <f>VLOOKUP($BP$2,Luokittelut!$A$3:'Luokittelut'!$MJ$20,169)*1000/CA$16</f>
        <v>1490.5436622154143</v>
      </c>
      <c r="CB39" s="12">
        <f>VLOOKUP($BP$2,Luokittelut!$A$3:'Luokittelut'!$MJ$20,184)*1000/CB$17</f>
        <v>1591.2484259758949</v>
      </c>
      <c r="CC39" s="12">
        <f>VLOOKUP($BP$2,Luokittelut!$A$3:'Luokittelut'!$MJ$20,201)*1000/CC$18</f>
        <v>1559.4647854737923</v>
      </c>
      <c r="CD39" s="12">
        <f>VLOOKUP($BP$2,Luokittelut!$A$3:'Luokittelut'!$MJ$20,216)*1000/CD$19</f>
        <v>1777.6397190314317</v>
      </c>
      <c r="CE39" s="192">
        <f>VLOOKUP($BP$2,Luokittelut!$A$3:'Luokittelut'!$MJ$20,272)*1000/CE$20</f>
        <v>1969.3941611385021</v>
      </c>
      <c r="CF39" s="192">
        <f>VLOOKUP($BP$2,Luokittelut!$A$3:'Luokittelut'!$MJ$20,286)*1000/CF$21</f>
        <v>2038.2353759172954</v>
      </c>
      <c r="CG39" s="192">
        <f>VLOOKUP($BP$2,Luokittelut!$A$3:'Luokittelut'!$MJ$20,300)*1000/CG$22</f>
        <v>2201.0732759813009</v>
      </c>
      <c r="CH39" s="12">
        <f>VLOOKUP($BP$2,Luokittelut!$A$3:'Luokittelut'!$MJ$20,312)*1000/CH$23</f>
        <v>2420.3386236738156</v>
      </c>
      <c r="CI39" s="12">
        <f>VLOOKUP($BP$2,Luokittelut!$A$3:'Luokittelut'!$MJ$20,328)*1000/CI$24</f>
        <v>2452.6061306707338</v>
      </c>
      <c r="CJ39" s="12">
        <f>VLOOKUP($BP$2,Luokittelut!$A$3:'Luokittelut'!$MJ$20,344)*1000/CJ$25</f>
        <v>2731.5485492967318</v>
      </c>
      <c r="CK39" s="13"/>
      <c r="CL39" s="12">
        <f>VLOOKUP($CL$2,Luokittelut!$A$36:'Luokittelut'!$MJ$47,93)*1000/CL$5</f>
        <v>883.01867363455278</v>
      </c>
      <c r="CM39" s="12">
        <f>VLOOKUP($CL$2,Luokittelut!$A$36:'Luokittelut'!$MJ$47,97)*1000/CM$6</f>
        <v>882.75888707206218</v>
      </c>
      <c r="CN39" s="12">
        <f>VLOOKUP($CL$2,Luokittelut!$A$36:'Luokittelut'!$MJ$47,101)*1000/CN$7</f>
        <v>956.97948167972618</v>
      </c>
      <c r="CO39" s="12">
        <f>VLOOKUP($CL$2,Luokittelut!$A$36:'Luokittelut'!$MJ$47,105)*1000/CO$8</f>
        <v>1037.2702787065134</v>
      </c>
      <c r="CP39" s="12">
        <f>VLOOKUP($CL$2,Luokittelut!$A$36:'Luokittelut'!$MJ$47,109)*1000/CP$9</f>
        <v>996.77753074679038</v>
      </c>
      <c r="CQ39" s="12">
        <f>VLOOKUP($CL$2,Luokittelut!$A$36:'Luokittelut'!$MJ$47,113)*1000/CQ$10</f>
        <v>1030.0724904622027</v>
      </c>
      <c r="CR39" s="12">
        <f>VLOOKUP($CL$2,Luokittelut!$A$36:'Luokittelut'!$MJ$47,117)*1000/CR$11</f>
        <v>1199.9604253635123</v>
      </c>
      <c r="CS39" s="12">
        <f>VLOOKUP($CL$2,Luokittelut!$A$36:'Luokittelut'!$MJ$47,121)*1000/CS$12</f>
        <v>1421.343672535435</v>
      </c>
      <c r="CT39" s="12">
        <f>VLOOKUP($CL$2,Luokittelut!$A$36:'Luokittelut'!$MJ$47,125)*1000/CT$13</f>
        <v>1586.7671564914408</v>
      </c>
      <c r="CU39" s="12">
        <f>VLOOKUP($CL$2,Luokittelut!$A$36:'Luokittelut'!$MJ$47,129)*1000/CU$14</f>
        <v>1716.0400280547067</v>
      </c>
      <c r="CV39" s="12">
        <f>VLOOKUP($CL$2,Luokittelut!$A$36:'Luokittelut'!$MJ$47,133)*1000/CV$15</f>
        <v>1914.2914992368314</v>
      </c>
      <c r="CW39" s="12">
        <f>VLOOKUP($CL$2,Luokittelut!$A$36:'Luokittelut'!$MJ$47,169)*1000/CW$16</f>
        <v>2069.1922606899375</v>
      </c>
      <c r="CX39" s="12">
        <f>VLOOKUP($CL$2,Luokittelut!$A$36:'Luokittelut'!$MJ$47,184)*1000/CX$17</f>
        <v>2064.3671623614068</v>
      </c>
      <c r="CY39" s="12">
        <f>VLOOKUP($CL$2,Luokittelut!$A$36:'Luokittelut'!$MJ$47,201)*1000/CY$18</f>
        <v>2095.4090080756314</v>
      </c>
      <c r="CZ39" s="12">
        <f>VLOOKUP($CL$2,Luokittelut!$A$36:'Luokittelut'!$MJ$47,216)*1000/CZ$19</f>
        <v>2424.277061291893</v>
      </c>
      <c r="DA39" s="192">
        <f>VLOOKUP($CL$2,Luokittelut!$A$36:'Luokittelut'!$MJ$47,272)*1000/DA$20</f>
        <v>2731.0617968870397</v>
      </c>
      <c r="DB39" s="192">
        <f>VLOOKUP($CL$2,Luokittelut!$A$36:'Luokittelut'!$MJ$47,286)*1000/DB$21</f>
        <v>2930.489019955025</v>
      </c>
      <c r="DC39" s="192">
        <f>VLOOKUP($CL$2,Luokittelut!$A$36:'Luokittelut'!$MJ$47,300)*1000/DC$22</f>
        <v>3110.5235325224749</v>
      </c>
      <c r="DD39" s="12">
        <f>VLOOKUP($CL$2,Luokittelut!$A$36:'Luokittelut'!$MJ$47,312)*1000/DD$23</f>
        <v>3252.5256604617639</v>
      </c>
      <c r="DE39" s="12">
        <f>VLOOKUP($CL$2,Luokittelut!$A$36:'Luokittelut'!$MJ$47,328)*1000/DE$24</f>
        <v>3330.4932021126078</v>
      </c>
      <c r="DF39" s="12">
        <f>VLOOKUP($CL$2,Luokittelut!$A$36:'Luokittelut'!$MJ$47,344)*1000/DF$25</f>
        <v>3555.6380358642555</v>
      </c>
      <c r="DG39" s="13"/>
      <c r="DH39" s="13"/>
    </row>
    <row r="40" spans="1:112" x14ac:dyDescent="0.2">
      <c r="A40" s="2" t="s">
        <v>436</v>
      </c>
      <c r="B40" s="12">
        <f>VLOOKUP($B$2,Perusaineisto!$B$3:'Perusaineisto'!$FI$400,98)*1000/B$5</f>
        <v>-150.62349394589143</v>
      </c>
      <c r="C40" s="12">
        <f>VLOOKUP($B$2,Perusaineisto!$B$3:'Perusaineisto'!$FI$400,102)*1000/C$6</f>
        <v>-168.8626178939451</v>
      </c>
      <c r="D40" s="12">
        <f>VLOOKUP($B$2,Perusaineisto!$B$3:'Perusaineisto'!$FI$400,106)*1000/D$7</f>
        <v>-353.01005550329256</v>
      </c>
      <c r="E40" s="12">
        <f>VLOOKUP($B$2,Perusaineisto!$B$3:'Perusaineisto'!$FI$400,110)*1000/E$8</f>
        <v>-264.38646860566723</v>
      </c>
      <c r="F40" s="12">
        <f>VLOOKUP($B$2,Perusaineisto!$B$3:'Perusaineisto'!$FI$400,114)*1000/F$9</f>
        <v>-230.75013960414469</v>
      </c>
      <c r="G40" s="12">
        <f>VLOOKUP($B$2,Perusaineisto!$B$3:'Perusaineisto'!$FI$400,118)*1000/G$10</f>
        <v>-169.15606367939026</v>
      </c>
      <c r="H40" s="12">
        <f>VLOOKUP($B$2,Perusaineisto!$B$3:'Perusaineisto'!$FI$400,122)*1000/H$11</f>
        <v>-324.00147022788531</v>
      </c>
      <c r="I40" s="12">
        <f>VLOOKUP($B$2,Perusaineisto!$B$3:'Perusaineisto'!$FI$400,126)*1000/I$12</f>
        <v>-169.65046888320546</v>
      </c>
      <c r="J40" s="12">
        <f>VLOOKUP($B$2,Perusaineisto!$B$3:'Perusaineisto'!$FI$400,130)*1000/J$13</f>
        <v>-237.12769805860364</v>
      </c>
      <c r="K40" s="12">
        <f>VLOOKUP($B$2,Perusaineisto!$B$3:'Perusaineisto'!$FI$400,134)*1000/K$14</f>
        <v>-149.89843469948619</v>
      </c>
      <c r="L40" s="12">
        <f>VLOOKUP($B$2,Perusaineisto!$B$3:'Perusaineisto'!$FI$400,138)*1000/L$15</f>
        <v>-301.65706479776685</v>
      </c>
      <c r="M40" s="12">
        <f>VLOOKUP($B$2,Perusaineisto!$B$3:'Perusaineisto'!$FX$333,174)*1000/M$16</f>
        <v>-274.82500889785263</v>
      </c>
      <c r="N40" s="12">
        <f>VLOOKUP($B$2,Perusaineisto!$B$3:'Perusaineisto'!$GO$321,192)*1000/N17*(-1)</f>
        <v>-332.29485069362801</v>
      </c>
      <c r="O40" s="12">
        <f>VLOOKUP($B$2,Perusaineisto!$B$3:'Perusaineisto'!$HU$321,209)*1000/O18*(-1)</f>
        <v>-344.15774384178809</v>
      </c>
      <c r="P40" s="12">
        <f>VLOOKUP($B$2,Perusaineisto!$B$3:'Perusaineisto'!$HU$321,224)*1000/P19*(-1)</f>
        <v>-293.50998015641414</v>
      </c>
      <c r="Q40" s="12">
        <f>VLOOKUP($B$2,Perusaineisto2!$B$2:'Perusaineisto2'!$CS$299,53)*1000/Q$20</f>
        <v>-327.03998129530044</v>
      </c>
      <c r="R40" s="12">
        <f>VLOOKUP($B$2,Perusaineisto2!$B$2:'Perusaineisto2'!$CS$299,71)*1000/R$21</f>
        <v>-723.49284541402767</v>
      </c>
      <c r="S40" s="12">
        <f>VLOOKUP($B$2,Perusaineisto2!$B$2:'Perusaineisto2'!$CS$299,88)*1000/S$22</f>
        <v>-431.32077685853432</v>
      </c>
      <c r="T40" s="12">
        <f>VLOOKUP($B$2,Perusaineisto2!$B$3:'Perusaineisto2'!$DI$299,106)*1000/T$23</f>
        <v>-113.86869940317911</v>
      </c>
      <c r="U40" s="12">
        <f>VLOOKUP($B$2,Perusaineisto2!$B$3:'Perusaineisto2'!$DY$298,122)*1000/U$24</f>
        <v>-58.679706601466989</v>
      </c>
      <c r="V40" s="12">
        <f>VLOOKUP($B$2,Perusaineisto2!$B$3:'Perusaineisto2'!$EP$298,139)*1000/V$25</f>
        <v>-198.00132442357474</v>
      </c>
      <c r="X40" s="12">
        <f>VLOOKUP($X$2,Perusaineisto!$B$3:'Perusaineisto'!$FI$400,98)*1000/X$5</f>
        <v>-199.68457368295594</v>
      </c>
      <c r="Y40" s="12">
        <f>VLOOKUP($X$2,Perusaineisto!$B$3:'Perusaineisto'!$FI$400,102)*1000/Y$6</f>
        <v>-210.91496740836445</v>
      </c>
      <c r="Z40" s="12">
        <f>VLOOKUP($X$2,Perusaineisto!$B$3:'Perusaineisto'!$FI$400,106)*1000/Z$7</f>
        <v>-79.250430276637871</v>
      </c>
      <c r="AA40" s="12">
        <f>VLOOKUP($X$2,Perusaineisto!$B$3:'Perusaineisto'!$FI$400,110)*1000/AA$8</f>
        <v>-300.92975709487416</v>
      </c>
      <c r="AB40" s="12">
        <f>VLOOKUP($X$2,Perusaineisto!$B$3:'Perusaineisto'!$FI$400,114)*1000/AB$9</f>
        <v>-213.07221542227663</v>
      </c>
      <c r="AC40" s="12">
        <f>VLOOKUP($X$2,Perusaineisto!$B$3:'Perusaineisto'!$FI$400,118)*1000/AC$10</f>
        <v>-241.67766534682505</v>
      </c>
      <c r="AD40" s="12">
        <f>VLOOKUP($X$2,Perusaineisto!$B$3:'Perusaineisto'!$FI$400,122)*1000/AD$11</f>
        <v>-253.23783359497645</v>
      </c>
      <c r="AE40" s="12">
        <f>VLOOKUP($X$2,Perusaineisto!$B$3:'Perusaineisto'!$FI$400,126)*1000/AE$12</f>
        <v>-190.85770459572376</v>
      </c>
      <c r="AF40" s="12">
        <f>VLOOKUP($X$2,Perusaineisto!$B$3:'Perusaineisto'!$FI$400,130)*1000/AF$13</f>
        <v>-224.12860724644807</v>
      </c>
      <c r="AG40" s="12">
        <f>VLOOKUP($X$2,Perusaineisto!$B$3:'Perusaineisto'!$FI$400,134)*1000/AG$14</f>
        <v>-229.75887080964517</v>
      </c>
      <c r="AH40" s="12">
        <f>VLOOKUP($X$2,Perusaineisto!$B$3:'Perusaineisto'!$FI$400,138)*1000/AH$15</f>
        <v>576.82656826568268</v>
      </c>
      <c r="AI40" s="12">
        <f>VLOOKUP($X$2,Perusaineisto!$B$3:'Perusaineisto'!$FX$333,174)*1000/AI$16</f>
        <v>-283.99940720248975</v>
      </c>
      <c r="AJ40" s="12">
        <f>VLOOKUP($X$2,Perusaineisto!$B$3:'Perusaineisto'!$GO$321,192)*1000/AJ17*(-1)</f>
        <v>-219.02786010669828</v>
      </c>
      <c r="AK40" s="12">
        <f>VLOOKUP($X$2,Perusaineisto!$B$3:'Perusaineisto'!$HU$321,209)*1000/AK18*(-1)</f>
        <v>-522.32713681518635</v>
      </c>
      <c r="AL40" s="12">
        <f>VLOOKUP($X$2,Perusaineisto!$B$3:'Perusaineisto'!$HU$321,224)*1000/AL19*(-1)</f>
        <v>-611.30027140389836</v>
      </c>
      <c r="AM40" s="12">
        <f>VLOOKUP($X$2,Perusaineisto2!$B$2:'Perusaineisto2'!$CS$299,53)*1000/AM$20</f>
        <v>-943.86611545549636</v>
      </c>
      <c r="AN40" s="12">
        <f>VLOOKUP($X$2,Perusaineisto2!$B$2:'Perusaineisto2'!$CS$299,71)*1000/AN$21</f>
        <v>-858.20483198553416</v>
      </c>
      <c r="AO40" s="12">
        <f>VLOOKUP($X$2,Perusaineisto2!$B$2:'Perusaineisto2'!$CS$299,88)*1000/AO$22</f>
        <v>-246.66598798737655</v>
      </c>
      <c r="AP40" s="12">
        <f>VLOOKUP($X$2,Perusaineisto2!$B$3:'Perusaineisto2'!$DI$299,106)*1000/AP$23</f>
        <v>-323.31991328584701</v>
      </c>
      <c r="AQ40" s="12">
        <f>VLOOKUP($X$2,Perusaineisto2!$B$3:'Perusaineisto2'!$DY$298,122)*1000/AQ$24</f>
        <v>-251.51483493522775</v>
      </c>
      <c r="AR40" s="12">
        <f>VLOOKUP($X$2,Perusaineisto2!$B$3:'Perusaineisto2'!$EP$298,139)*1000/AR$25</f>
        <v>-570.47371492228524</v>
      </c>
      <c r="AT40" s="12">
        <f>VLOOKUP($AT$2,Luokittelut!$A$25:'Luokittelut'!$MJ$31,91)*1000/AT$5</f>
        <v>-194.13935402819112</v>
      </c>
      <c r="AU40" s="12">
        <f>VLOOKUP($AT$2,Luokittelut!$A$25:'Luokittelut'!$MJ$31,95)*1000/AU$6</f>
        <v>-31.586866387612769</v>
      </c>
      <c r="AV40" s="12">
        <f>VLOOKUP($AT$2,Luokittelut!$A$25:'Luokittelut'!$MJ$31,99)*1000/AV$7</f>
        <v>-271.38257943724432</v>
      </c>
      <c r="AW40" s="12">
        <f>VLOOKUP($AT$2,Luokittelut!$A$25:'Luokittelut'!$MJ$31,103)*1000/AW$8</f>
        <v>-282.04081148536795</v>
      </c>
      <c r="AX40" s="12">
        <f>VLOOKUP($AT$2,Luokittelut!$A$25:'Luokittelut'!$MJ$31,107)*1000/AX$9</f>
        <v>-255.42587643558852</v>
      </c>
      <c r="AY40" s="12">
        <f>VLOOKUP($AT$2,Luokittelut!$A$25:'Luokittelut'!$MJ$31,111)*1000/AY$10</f>
        <v>-277.88466582397149</v>
      </c>
      <c r="AZ40" s="12">
        <f>VLOOKUP($AT$2,Luokittelut!$A$25:'Luokittelut'!$MJ$31,115)*1000/AZ$11</f>
        <v>-322.63294094625007</v>
      </c>
      <c r="BA40" s="12">
        <f>VLOOKUP($AT$2,Luokittelut!$A$25:'Luokittelut'!$MJ$31,119)*1000/BA$12</f>
        <v>-315.5062487064244</v>
      </c>
      <c r="BB40" s="12">
        <f>VLOOKUP($AT$2,Luokittelut!$A$25:'Luokittelut'!$MJ$31,123)*1000/BB$13</f>
        <v>-318.64793584514899</v>
      </c>
      <c r="BC40" s="12">
        <f>VLOOKUP($AT$2,Luokittelut!$A$25:'Luokittelut'!$MJ$31,127)*1000/BC$14</f>
        <v>-344.72849798550362</v>
      </c>
      <c r="BD40" s="12">
        <f>VLOOKUP($AT$2,Luokittelut!$A$25:'Luokittelut'!$MJ$31,131)*1000/BD$15</f>
        <v>-386.50470266434337</v>
      </c>
      <c r="BE40" s="12">
        <f>VLOOKUP($AT$2,Luokittelut!$A$25:'Luokittelut'!$MJ$31,167)*1000/BE$16</f>
        <v>-383.7950789582527</v>
      </c>
      <c r="BF40" s="12">
        <f>VLOOKUP($AT$2,Luokittelut!$A$25:'Luokittelut'!$MJ$31,182)*1000/BF$17</f>
        <v>-318.10924669287277</v>
      </c>
      <c r="BG40" s="12">
        <f>VLOOKUP($AT$2,Luokittelut!$A$25:'Luokittelut'!$MJ$31,199)*1000/BG$18</f>
        <v>-366.14763295178324</v>
      </c>
      <c r="BH40" s="12">
        <f>VLOOKUP($AT$2,Luokittelut!$A$25:'Luokittelut'!$MJ$31,214)*1000/BH$19</f>
        <v>-415.72983634698073</v>
      </c>
      <c r="BI40" s="192">
        <f>VLOOKUP($AT$2,Luokittelut!$A$25:'Luokittelut'!$MJ$31,266)*1000/BI$20</f>
        <v>-406.60218664210282</v>
      </c>
      <c r="BJ40" s="192">
        <f>VLOOKUP($AT$2,Luokittelut!$A$25:'Luokittelut'!$MJ$31,281)*1000/BJ$21</f>
        <v>-334.01761177465386</v>
      </c>
      <c r="BK40" s="192">
        <f>VLOOKUP($AT$2,Luokittelut!$A$25:'Luokittelut'!$MJ$31,295)*1000/BK$22</f>
        <v>-374.21781365258676</v>
      </c>
      <c r="BL40" s="12">
        <f>VLOOKUP($AT$2,Luokittelut!$A$25:'Luokittelut'!$MJ$31,310)*1000/BL$23</f>
        <v>-367.41308484460046</v>
      </c>
      <c r="BM40" s="12">
        <f>VLOOKUP($AT$2,Luokittelut!$A$25:'Luokittelut'!$MJ$31,326)*1000/BM$24</f>
        <v>-436.27991958096749</v>
      </c>
      <c r="BN40" s="12">
        <f>VLOOKUP($AT$2,Luokittelut!$A$25:'Luokittelut'!$MJ$31,342)*1000/BN$25</f>
        <v>-525.31831201197326</v>
      </c>
      <c r="BP40" s="12">
        <f>VLOOKUP($BP$2,Luokittelut!$A$3:'Luokittelut'!$MJ$20,91)*1000/BP$5</f>
        <v>-339.24757168645726</v>
      </c>
      <c r="BQ40" s="12">
        <f>VLOOKUP($BP$2,Luokittelut!$A$3:'Luokittelut'!$MJ$20,95)*1000/BQ$6</f>
        <v>-338.7014195785701</v>
      </c>
      <c r="BR40" s="12">
        <f>VLOOKUP($BP$2,Luokittelut!$A$3:'Luokittelut'!$MJ$20,99)*1000/BR$7</f>
        <v>-422.63814698645041</v>
      </c>
      <c r="BS40" s="12">
        <f>VLOOKUP($BP$2,Luokittelut!$A$3:'Luokittelut'!$MJ$20,103)*1000/BS$8</f>
        <v>-476.41336957527324</v>
      </c>
      <c r="BT40" s="12">
        <f>VLOOKUP($BP$2,Luokittelut!$A$3:'Luokittelut'!$MJ$20,107)*1000/BT$9</f>
        <v>-440.76152813078266</v>
      </c>
      <c r="BU40" s="12">
        <f>VLOOKUP($BP$2,Luokittelut!$A$3:'Luokittelut'!$MJ$20,111)*1000/BU$10</f>
        <v>-383.86361168422195</v>
      </c>
      <c r="BV40" s="12">
        <f>VLOOKUP($BP$2,Luokittelut!$A$3:'Luokittelut'!$MJ$20,115)*1000/BV$11</f>
        <v>-397.71753776480563</v>
      </c>
      <c r="BW40" s="12">
        <f>VLOOKUP($BP$2,Luokittelut!$A$3:'Luokittelut'!$MJ$20,119)*1000/BW$12</f>
        <v>-215.66824013452722</v>
      </c>
      <c r="BX40" s="12">
        <f>VLOOKUP($BP$2,Luokittelut!$A$3:'Luokittelut'!$MJ$20,123)*1000/BX$13</f>
        <v>-391.8809762451524</v>
      </c>
      <c r="BY40" s="12">
        <f>VLOOKUP($BP$2,Luokittelut!$A$3:'Luokittelut'!$MJ$20,127)*1000/BY$14</f>
        <v>-346.74461376223763</v>
      </c>
      <c r="BZ40" s="12">
        <f>VLOOKUP($BP$2,Luokittelut!$A$3:'Luokittelut'!$MJ$20,131)*1000/BZ$15</f>
        <v>-104.38195929867075</v>
      </c>
      <c r="CA40" s="12">
        <f>VLOOKUP($BP$2,Luokittelut!$A$3:'Luokittelut'!$MJ$20,167)*1000/CA$16</f>
        <v>-462.60906803704296</v>
      </c>
      <c r="CB40" s="12">
        <f>VLOOKUP($BP$2,Luokittelut!$A$3:'Luokittelut'!$MJ$20,182)*1000/CB$17</f>
        <v>-432.32718441838784</v>
      </c>
      <c r="CC40" s="12">
        <f>VLOOKUP($BP$2,Luokittelut!$A$3:'Luokittelut'!$MJ$20,199)*1000/CC$18</f>
        <v>-416.39454719251853</v>
      </c>
      <c r="CD40" s="12">
        <f>VLOOKUP($BP$2,Luokittelut!$A$3:'Luokittelut'!$MJ$20,214)*1000/CD$19</f>
        <v>-529.25279115851208</v>
      </c>
      <c r="CE40" s="192">
        <f>VLOOKUP($BP$2,Luokittelut!$A$3:'Luokittelut'!$MJ$20,266)*1000/CE$20</f>
        <v>-468.98629654954556</v>
      </c>
      <c r="CF40" s="192">
        <f>VLOOKUP($BP$2,Luokittelut!$A$3:'Luokittelut'!$MJ$20,281)*1000/CF$21</f>
        <v>-605.66130691999319</v>
      </c>
      <c r="CG40" s="192">
        <f>VLOOKUP($BP$2,Luokittelut!$A$3:'Luokittelut'!$MJ$20,295)*1000/CG$22</f>
        <v>-618.38637144991048</v>
      </c>
      <c r="CH40" s="12">
        <f>VLOOKUP($BP$2,Luokittelut!$A$3:'Luokittelut'!$MJ$20,310)*1000/CH$23</f>
        <v>-580.06973511650006</v>
      </c>
      <c r="CI40" s="12">
        <f>VLOOKUP($BP$2,Luokittelut!$A$3:'Luokittelut'!$MJ$20,326)*1000/CI$24</f>
        <v>-417.5433183422154</v>
      </c>
      <c r="CJ40" s="12">
        <f>VLOOKUP($BP$2,Luokittelut!$A$3:'Luokittelut'!$MJ$20,342)*1000/CJ$25</f>
        <v>-533.4666420757336</v>
      </c>
      <c r="CK40" s="13"/>
      <c r="CL40" s="12">
        <f>VLOOKUP($CL$2,Luokittelut!$A$36:'Luokittelut'!$MJ$47,91)*1000/CL$5</f>
        <v>-210.65286259200855</v>
      </c>
      <c r="CM40" s="12">
        <f>VLOOKUP($CL$2,Luokittelut!$A$36:'Luokittelut'!$MJ$47,95)*1000/CM$6</f>
        <v>-63.596946172443332</v>
      </c>
      <c r="CN40" s="12">
        <f>VLOOKUP($CL$2,Luokittelut!$A$36:'Luokittelut'!$MJ$47,99)*1000/CN$7</f>
        <v>-258.67161498977464</v>
      </c>
      <c r="CO40" s="12">
        <f>VLOOKUP($CL$2,Luokittelut!$A$36:'Luokittelut'!$MJ$47,103)*1000/CO$8</f>
        <v>-283.41437200127433</v>
      </c>
      <c r="CP40" s="12">
        <f>VLOOKUP($CL$2,Luokittelut!$A$36:'Luokittelut'!$MJ$47,107)*1000/CP$9</f>
        <v>-237.41212907868865</v>
      </c>
      <c r="CQ40" s="12">
        <f>VLOOKUP($CL$2,Luokittelut!$A$36:'Luokittelut'!$MJ$47,111)*1000/CQ$10</f>
        <v>-225.93447989775098</v>
      </c>
      <c r="CR40" s="12">
        <f>VLOOKUP($CL$2,Luokittelut!$A$36:'Luokittelut'!$MJ$47,115)*1000/CR$11</f>
        <v>-304.10235788237395</v>
      </c>
      <c r="CS40" s="12">
        <f>VLOOKUP($CL$2,Luokittelut!$A$36:'Luokittelut'!$MJ$47,119)*1000/CS$12</f>
        <v>-284.85031462530986</v>
      </c>
      <c r="CT40" s="12">
        <f>VLOOKUP($CL$2,Luokittelut!$A$36:'Luokittelut'!$MJ$47,123)*1000/CT$13</f>
        <v>-305.48086148563351</v>
      </c>
      <c r="CU40" s="12">
        <f>VLOOKUP($CL$2,Luokittelut!$A$36:'Luokittelut'!$MJ$47,127)*1000/CU$14</f>
        <v>-281.14197685486698</v>
      </c>
      <c r="CV40" s="12">
        <f>VLOOKUP($CL$2,Luokittelut!$A$36:'Luokittelut'!$MJ$47,131)*1000/CV$15</f>
        <v>-416.75232844282465</v>
      </c>
      <c r="CW40" s="12">
        <f>VLOOKUP($CL$2,Luokittelut!$A$36:'Luokittelut'!$MJ$47,167)*1000/CW$16</f>
        <v>-364.32324460462894</v>
      </c>
      <c r="CX40" s="12">
        <f>VLOOKUP($CL$2,Luokittelut!$A$36:'Luokittelut'!$MJ$47,182)*1000/CX$17</f>
        <v>-289.32149270985627</v>
      </c>
      <c r="CY40" s="12">
        <f>VLOOKUP($CL$2,Luokittelut!$A$36:'Luokittelut'!$MJ$47,199)*1000/CY$18</f>
        <v>-388.76811929363663</v>
      </c>
      <c r="CZ40" s="12">
        <f>VLOOKUP($CL$2,Luokittelut!$A$36:'Luokittelut'!$MJ$47,214)*1000/CZ$19</f>
        <v>-435.03564628533047</v>
      </c>
      <c r="DA40" s="192">
        <f>VLOOKUP($CL$2,Luokittelut!$A$36:'Luokittelut'!$MJ$47,266)*1000/DA$20</f>
        <v>-345.52319309600864</v>
      </c>
      <c r="DB40" s="192">
        <f>VLOOKUP($CL$2,Luokittelut!$A$36:'Luokittelut'!$MJ$47,281)*1000/DB$21</f>
        <v>-308.98361707575134</v>
      </c>
      <c r="DC40" s="192">
        <f>VLOOKUP($CL$2,Luokittelut!$A$36:'Luokittelut'!$MJ$47,295)*1000/DC$22</f>
        <v>-450.87688373056739</v>
      </c>
      <c r="DD40" s="12">
        <f>VLOOKUP($CL$2,Luokittelut!$A$36:'Luokittelut'!$MJ$47,310)*1000/DD$23</f>
        <v>-416.18410915326689</v>
      </c>
      <c r="DE40" s="12">
        <f>VLOOKUP($CL$2,Luokittelut!$A$36:'Luokittelut'!$MJ$47,326)*1000/DE$24</f>
        <v>-449.08221492755479</v>
      </c>
      <c r="DF40" s="12">
        <f>VLOOKUP($CL$2,Luokittelut!$A$36:'Luokittelut'!$MJ$47,342)*1000/DF$25</f>
        <v>-493.90886415178613</v>
      </c>
      <c r="DG40" s="13"/>
      <c r="DH40" s="13"/>
    </row>
    <row r="41" spans="1:112" x14ac:dyDescent="0.2">
      <c r="B41" s="11"/>
      <c r="E41" s="2"/>
      <c r="M41" s="12"/>
      <c r="N41" s="12"/>
      <c r="O41" s="12"/>
      <c r="P41" s="12"/>
      <c r="Q41" s="12"/>
      <c r="R41" s="12"/>
      <c r="S41" s="12"/>
      <c r="T41" s="12"/>
      <c r="U41" s="12"/>
      <c r="V41" s="12"/>
      <c r="X41" s="11"/>
      <c r="Y41" s="11"/>
      <c r="Z41" s="11"/>
      <c r="AI41" s="12"/>
      <c r="AJ41" s="12"/>
      <c r="AK41" s="12"/>
      <c r="AL41" s="12"/>
      <c r="AM41" s="12"/>
      <c r="AN41" s="12"/>
      <c r="AO41" s="12"/>
      <c r="AP41" s="12"/>
      <c r="AQ41" s="12"/>
      <c r="AR41" s="12"/>
      <c r="BF41" s="12"/>
      <c r="BG41" s="12"/>
      <c r="BH41" s="12"/>
      <c r="BI41" s="192"/>
      <c r="BJ41" s="192"/>
      <c r="BK41" s="192"/>
      <c r="BL41" s="12"/>
      <c r="BM41" s="12"/>
      <c r="BN41" s="12"/>
      <c r="CB41" s="12"/>
      <c r="CC41" s="12"/>
      <c r="CD41" s="12"/>
      <c r="CE41" s="192"/>
      <c r="CF41" s="192"/>
      <c r="CG41" s="192"/>
      <c r="CH41" s="12"/>
      <c r="CI41" s="12"/>
      <c r="CJ41" s="12"/>
      <c r="CX41" s="12"/>
      <c r="CY41" s="12"/>
      <c r="CZ41" s="12"/>
      <c r="DA41" s="192"/>
      <c r="DB41" s="192"/>
      <c r="DC41" s="192"/>
      <c r="DD41" s="12"/>
      <c r="DE41" s="12"/>
      <c r="DF41" s="12"/>
    </row>
    <row r="42" spans="1:112" x14ac:dyDescent="0.2">
      <c r="A42" s="2" t="s">
        <v>516</v>
      </c>
      <c r="B42" s="12">
        <f>VLOOKUP($B$2,Perusaineisto!$B$3:'Perusaineisto'!$FI$400,141)*1000/B$5</f>
        <v>3065.69350372594</v>
      </c>
      <c r="C42" s="12">
        <f>VLOOKUP($B$2,Perusaineisto!$B$3:'Perusaineisto'!$FI$400,143)*1000/C$6</f>
        <v>2900.941282927522</v>
      </c>
      <c r="D42" s="12">
        <f>VLOOKUP($B$2,Perusaineisto!$B$3:'Perusaineisto'!$FI$400,145)*1000/D$7</f>
        <v>3047.0547040808406</v>
      </c>
      <c r="E42" s="12">
        <f>VLOOKUP($B$2,Perusaineisto!$B$3:'Perusaineisto'!$FI$400,147)*1000/E$8</f>
        <v>3340.2865404917402</v>
      </c>
      <c r="F42" s="12">
        <f>VLOOKUP($B$2,Perusaineisto!$B$3:'Perusaineisto'!$FI$400,149)*1000/F$9</f>
        <v>3588.8813054538687</v>
      </c>
      <c r="G42" s="12">
        <f>VLOOKUP($B$2,Perusaineisto!$B$3:'Perusaineisto'!$FI$400,151)*1000/G$10</f>
        <v>3741.3485770483744</v>
      </c>
      <c r="H42" s="12">
        <f>VLOOKUP($B$2,Perusaineisto!$B$3:'Perusaineisto'!$FI$400,153)*1000/H$11</f>
        <v>3923.1805929919137</v>
      </c>
      <c r="I42" s="12">
        <f>VLOOKUP($B$2,Perusaineisto!$B$3:'Perusaineisto'!$FI$400,155)*1000/I$12</f>
        <v>4061.381074168798</v>
      </c>
      <c r="J42" s="12">
        <f>VLOOKUP($B$2,Perusaineisto!$B$3:'Perusaineisto'!$FI$400,157)*1000/J$13</f>
        <v>4298.6856384902931</v>
      </c>
      <c r="K42" s="12">
        <f>VLOOKUP($B$2,Perusaineisto!$B$3:'Perusaineisto'!$FI$400,159)*1000/K$14</f>
        <v>4435.1774405544274</v>
      </c>
      <c r="L42" s="12">
        <f>VLOOKUP($B$2,Perusaineisto!$B$3:'Perusaineisto'!$FI$400,161)*1000/L$15</f>
        <v>5085.7041040565418</v>
      </c>
      <c r="M42" s="12">
        <f>VLOOKUP($B$2,Perusaineisto!$B$3:'Perusaineisto'!$FX$333,178)*1000/M$16</f>
        <v>5339.9572903072722</v>
      </c>
      <c r="N42" s="12">
        <f>VLOOKUP($B$2,Perusaineisto!$B$3:'Perusaineisto'!$GO$321,193)*1000/N17</f>
        <v>5884.6108629202918</v>
      </c>
      <c r="O42" s="12">
        <f>VLOOKUP($B$2,Perusaineisto!$B$3:'Perusaineisto'!$HU$321,210)*1000/O18</f>
        <v>5897.2558656602887</v>
      </c>
      <c r="P42" s="12">
        <f>VLOOKUP($B$2,Perusaineisto!$B$3:'Perusaineisto'!$HU$321,225)*1000/P19</f>
        <v>6230.594140305825</v>
      </c>
      <c r="Q42" s="12">
        <f>VLOOKUP($B$2,Perusaineisto2!$B$2:'Perusaineisto2'!$CS$299,47)*1000/Q$20</f>
        <v>6458.9081131634321</v>
      </c>
      <c r="R42" s="12">
        <f>VLOOKUP($B$2,Perusaineisto2!$B$2:'Perusaineisto2'!$CS$299,65)*1000/R$21</f>
        <v>6601.7475955899599</v>
      </c>
      <c r="S42" s="12">
        <f>VLOOKUP($B$2,Perusaineisto2!$B$2:'Perusaineisto2'!$CS$299,82)*1000/S$22</f>
        <v>6476.3832658569499</v>
      </c>
      <c r="T42" s="12">
        <f>VLOOKUP($B$2,Perusaineisto2!$B$3:'Perusaineisto2'!$DI$299,109)*1000/T$23</f>
        <v>6440.997459079359</v>
      </c>
      <c r="U42" s="12">
        <f>VLOOKUP($B$2,Perusaineisto2!$B$3:'Perusaineisto2'!$DY$298,125)*1000/U$24</f>
        <v>6338.4220883773633</v>
      </c>
      <c r="V42" s="12">
        <f>VLOOKUP($B$2,Perusaineisto2!$B$3:'Perusaineisto2'!$EP$298,142)*1000/V$25</f>
        <v>6561.5555956896033</v>
      </c>
      <c r="X42" s="12">
        <f>VLOOKUP($X$2,Perusaineisto!$B$3:'Perusaineisto'!$FI$400,141)*1000/X$5</f>
        <v>3082.3334205284491</v>
      </c>
      <c r="Y42" s="12">
        <f>VLOOKUP($X$2,Perusaineisto!$B$3:'Perusaineisto'!$FI$400,143)*1000/Y$6</f>
        <v>3098.4468638206035</v>
      </c>
      <c r="Z42" s="12">
        <f>VLOOKUP($X$2,Perusaineisto!$B$3:'Perusaineisto'!$FI$400,145)*1000/Z$7</f>
        <v>3339.2120076402457</v>
      </c>
      <c r="AA42" s="12">
        <f>VLOOKUP($X$2,Perusaineisto!$B$3:'Perusaineisto'!$FI$400,147)*1000/AA$8</f>
        <v>3597.6235012096322</v>
      </c>
      <c r="AB42" s="12">
        <f>VLOOKUP($X$2,Perusaineisto!$B$3:'Perusaineisto'!$FI$400,149)*1000/AB$9</f>
        <v>3788.8861689106488</v>
      </c>
      <c r="AC42" s="12">
        <f>VLOOKUP($X$2,Perusaineisto!$B$3:'Perusaineisto'!$FI$400,151)*1000/AC$10</f>
        <v>4018.4777826660802</v>
      </c>
      <c r="AD42" s="12">
        <f>VLOOKUP($X$2,Perusaineisto!$B$3:'Perusaineisto'!$FI$400,153)*1000/AD$11</f>
        <v>4135.6456043956041</v>
      </c>
      <c r="AE42" s="12">
        <f>VLOOKUP($X$2,Perusaineisto!$B$3:'Perusaineisto'!$FI$400,155)*1000/AE$12</f>
        <v>4304.0550503809291</v>
      </c>
      <c r="AF42" s="12">
        <f>VLOOKUP($X$2,Perusaineisto!$B$3:'Perusaineisto'!$FI$400,157)*1000/AF$13</f>
        <v>4534.9294528292612</v>
      </c>
      <c r="AG42" s="12">
        <f>VLOOKUP($X$2,Perusaineisto!$B$3:'Perusaineisto'!$FI$400,159)*1000/AG$14</f>
        <v>4795.4322681827089</v>
      </c>
      <c r="AH42" s="12">
        <f>VLOOKUP($X$2,Perusaineisto!$B$3:'Perusaineisto'!$FI$400,161)*1000/AH$15</f>
        <v>5176.5805658056579</v>
      </c>
      <c r="AI42" s="12">
        <f>VLOOKUP($X$2,Perusaineisto!$B$3:'Perusaineisto'!$FX$333,178)*1000/AI$16</f>
        <v>5343.2791582275358</v>
      </c>
      <c r="AJ42" s="12">
        <f>VLOOKUP($X$2,Perusaineisto!$B$3:'Perusaineisto'!$GO$321,193)*1000/AJ17</f>
        <v>5487.6012645722185</v>
      </c>
      <c r="AK42" s="12">
        <f>VLOOKUP($X$2,Perusaineisto!$B$3:'Perusaineisto'!$HU$321,210)*1000/AK18</f>
        <v>5737.0905871938621</v>
      </c>
      <c r="AL42" s="12">
        <f>VLOOKUP($X$2,Perusaineisto!$B$3:'Perusaineisto'!$HU$321,225)*1000/AL19</f>
        <v>5922.0330619294346</v>
      </c>
      <c r="AM42" s="12">
        <f>VLOOKUP($X$2,Perusaineisto2!$B$2:'Perusaineisto2'!$CS$299,47)*1000/AM$20</f>
        <v>6170.344174926533</v>
      </c>
      <c r="AN42" s="12">
        <f>VLOOKUP($X$2,Perusaineisto2!$B$2:'Perusaineisto2'!$CS$299,65)*1000/AN$21</f>
        <v>6203.87764327691</v>
      </c>
      <c r="AO42" s="12">
        <f>VLOOKUP($X$2,Perusaineisto2!$B$2:'Perusaineisto2'!$CS$299,82)*1000/AO$22</f>
        <v>6474.6513285147103</v>
      </c>
      <c r="AP42" s="12">
        <f>VLOOKUP($X$2,Perusaineisto2!$B$3:'Perusaineisto2'!$DI$299,109)*1000/AP$23</f>
        <v>6601.9923608960462</v>
      </c>
      <c r="AQ42" s="12">
        <f>VLOOKUP($X$2,Perusaineisto2!$B$3:'Perusaineisto2'!$DY$298,125)*1000/AQ$24</f>
        <v>6736.6276640200585</v>
      </c>
      <c r="AR42" s="12">
        <f>VLOOKUP($X$2,Perusaineisto2!$B$3:'Perusaineisto2'!$EP$298,142)*1000/AR$25</f>
        <v>6807.9146994854382</v>
      </c>
      <c r="AT42" s="12">
        <f>VLOOKUP($AT$2,Luokittelut!$A$25:'Luokittelut'!$MJ$31,134)*1000/AT$5</f>
        <v>3128.1142294475862</v>
      </c>
      <c r="AU42" s="12">
        <f>VLOOKUP($AT$2,Luokittelut!$A$25:'Luokittelut'!$MJ$31,136)*1000/AU$6</f>
        <v>3182.7151887497084</v>
      </c>
      <c r="AV42" s="12">
        <f>VLOOKUP($AT$2,Luokittelut!$A$25:'Luokittelut'!$MJ$31,138)*1000/AV$7</f>
        <v>3318.4858251001856</v>
      </c>
      <c r="AW42" s="12">
        <f>VLOOKUP($AT$2,Luokittelut!$A$25:'Luokittelut'!$MJ$31,140)*1000/AW$8</f>
        <v>3565.7016232321698</v>
      </c>
      <c r="AX42" s="12">
        <f>VLOOKUP($AT$2,Luokittelut!$A$25:'Luokittelut'!$MJ$31,142)*1000/AX$9</f>
        <v>3732.1878564081012</v>
      </c>
      <c r="AY42" s="12">
        <f>VLOOKUP($AT$2,Luokittelut!$A$25:'Luokittelut'!$MJ$31,144)*1000/AY$10</f>
        <v>3937.8588434769808</v>
      </c>
      <c r="AZ42" s="12">
        <f>VLOOKUP($AT$2,Luokittelut!$A$25:'Luokittelut'!$MJ$31,146)*1000/AZ$11</f>
        <v>4150.2154248948182</v>
      </c>
      <c r="BA42" s="12">
        <f>VLOOKUP($AT$2,Luokittelut!$A$25:'Luokittelut'!$MJ$31,148)*1000/BA$12</f>
        <v>4349.0256325689952</v>
      </c>
      <c r="BB42" s="12">
        <f>VLOOKUP($AT$2,Luokittelut!$A$25:'Luokittelut'!$MJ$31,150)*1000/BB$13</f>
        <v>4522.8382422428731</v>
      </c>
      <c r="BC42" s="12">
        <f>VLOOKUP($AT$2,Luokittelut!$A$25:'Luokittelut'!$MJ$31,152)*1000/BC$14</f>
        <v>4743.59209829874</v>
      </c>
      <c r="BD42" s="12">
        <f>VLOOKUP($AT$2,Luokittelut!$A$25:'Luokittelut'!$MJ$31,154)*1000/BD$15</f>
        <v>5144.3699629184175</v>
      </c>
      <c r="BE42" s="12">
        <f>VLOOKUP($AT$2,Luokittelut!$A$25:'Luokittelut'!$MJ$31,171)*1000/BE$16</f>
        <v>5499.0241301469869</v>
      </c>
      <c r="BF42" s="12">
        <f>VLOOKUP($AT$2,Luokittelut!$A$25:'Luokittelut'!$MJ$31,186)*1000/BF$17</f>
        <v>5776.1697838243799</v>
      </c>
      <c r="BG42" s="12">
        <f>VLOOKUP($AT$2,Luokittelut!$A$25:'Luokittelut'!$MJ$31,203)*1000/BG$18</f>
        <v>6060.3325054572078</v>
      </c>
      <c r="BH42" s="12">
        <f>VLOOKUP($AT$2,Luokittelut!$A$25:'Luokittelut'!$MJ$31,218)*1000/BH$19</f>
        <v>6292.0451263090999</v>
      </c>
      <c r="BI42" s="192">
        <f>VLOOKUP($AT$2,Luokittelut!$A$25:'Luokittelut'!$MJ$31,260)*1000/BI$20</f>
        <v>6489.5199325155299</v>
      </c>
      <c r="BJ42" s="192">
        <f>VLOOKUP($AT$2,Luokittelut!$A$25:'Luokittelut'!$MJ$31,275)*1000/BJ$21</f>
        <v>6489.1759592009303</v>
      </c>
      <c r="BK42" s="192">
        <f>VLOOKUP($AT$2,Luokittelut!$A$25:'Luokittelut'!$MJ$31,289)*1000/BK$22</f>
        <v>6591.4437918407621</v>
      </c>
      <c r="BL42" s="12">
        <f>VLOOKUP($AT$2,Luokittelut!$A$25:'Luokittelut'!$MJ$31,313)*1000/BL$23</f>
        <v>6642.8981791735714</v>
      </c>
      <c r="BM42" s="12">
        <f>VLOOKUP($AT$2,Luokittelut!$A$25:'Luokittelut'!$MJ$31,329)*1000/BM$24</f>
        <v>6595.8476839518689</v>
      </c>
      <c r="BN42" s="12">
        <f>VLOOKUP($AT$2,Luokittelut!$A$25:'Luokittelut'!$MJ$31,345)*1000/BN$25</f>
        <v>6791.1350293214091</v>
      </c>
      <c r="BP42" s="12">
        <f>VLOOKUP($BP$2,Luokittelut!$A$3:'Luokittelut'!$MJ$20,134)*1000/BP$5</f>
        <v>3284.8904100025402</v>
      </c>
      <c r="BQ42" s="12">
        <f>VLOOKUP($BP$2,Luokittelut!$A$3:'Luokittelut'!$MJ$20,136)*1000/BQ$6</f>
        <v>3401.9366067695014</v>
      </c>
      <c r="BR42" s="12">
        <f>VLOOKUP($BP$2,Luokittelut!$A$3:'Luokittelut'!$MJ$20,138)*1000/BR$7</f>
        <v>3674.1556990137096</v>
      </c>
      <c r="BS42" s="12">
        <f>VLOOKUP($BP$2,Luokittelut!$A$3:'Luokittelut'!$MJ$20,140)*1000/BS$8</f>
        <v>3963.4806927798618</v>
      </c>
      <c r="BT42" s="12">
        <f>VLOOKUP($BP$2,Luokittelut!$A$3:'Luokittelut'!$MJ$20,142)*1000/BT$9</f>
        <v>4108.1034852335815</v>
      </c>
      <c r="BU42" s="12">
        <f>VLOOKUP($BP$2,Luokittelut!$A$3:'Luokittelut'!$MJ$20,144)*1000/BU$10</f>
        <v>4316.647735910522</v>
      </c>
      <c r="BV42" s="12">
        <f>VLOOKUP($BP$2,Luokittelut!$A$3:'Luokittelut'!$MJ$20,146)*1000/BV$11</f>
        <v>4521.2213669804942</v>
      </c>
      <c r="BW42" s="12">
        <f>VLOOKUP($BP$2,Luokittelut!$A$3:'Luokittelut'!$MJ$20,148)*1000/BW$12</f>
        <v>4691.8074749682037</v>
      </c>
      <c r="BX42" s="12">
        <f>VLOOKUP($BP$2,Luokittelut!$A$3:'Luokittelut'!$MJ$20,150)*1000/BX$13</f>
        <v>4988.5535213590629</v>
      </c>
      <c r="BY42" s="12">
        <f>VLOOKUP($BP$2,Luokittelut!$A$3:'Luokittelut'!$MJ$20,152)*1000/BY$14</f>
        <v>5199.6940981020271</v>
      </c>
      <c r="BZ42" s="12">
        <f>VLOOKUP($BP$2,Luokittelut!$A$3:'Luokittelut'!$MJ$20,154)*1000/BZ$15</f>
        <v>5650.142427681385</v>
      </c>
      <c r="CA42" s="12">
        <f>VLOOKUP($BP$2,Luokittelut!$A$3:'Luokittelut'!$MJ$20,171)*1000/CA$16</f>
        <v>5499.1002787694615</v>
      </c>
      <c r="CB42" s="12">
        <f>VLOOKUP($BP$2,Luokittelut!$A$3:'Luokittelut'!$MJ$20,186)*1000/CB$17</f>
        <v>5579.7825802547877</v>
      </c>
      <c r="CC42" s="12">
        <f>VLOOKUP($BP$2,Luokittelut!$A$3:'Luokittelut'!$MJ$20,203)*1000/CC$18</f>
        <v>5908.2350219285336</v>
      </c>
      <c r="CD42" s="12">
        <f>VLOOKUP($BP$2,Luokittelut!$A$3:'Luokittelut'!$MJ$20,218)*1000/CD$19</f>
        <v>6230.4336968954904</v>
      </c>
      <c r="CE42" s="192">
        <f>VLOOKUP($BP$2,Luokittelut!$A$3:'Luokittelut'!$MJ$20,260)*1000/CE$20</f>
        <v>6581.6149038519216</v>
      </c>
      <c r="CF42" s="192">
        <f>VLOOKUP($BP$2,Luokittelut!$A$3:'Luokittelut'!$MJ$20,275)*1000/CF$21</f>
        <v>6522.5971528580676</v>
      </c>
      <c r="CG42" s="192">
        <f>VLOOKUP($BP$2,Luokittelut!$A$3:'Luokittelut'!$MJ$20,289)*1000/CG$22</f>
        <v>6607.7524036086734</v>
      </c>
      <c r="CH42" s="12">
        <f>VLOOKUP($BP$2,Luokittelut!$A$3:'Luokittelut'!$MJ$20,313)*1000/CH$23</f>
        <v>6725.7615498786699</v>
      </c>
      <c r="CI42" s="12">
        <f>VLOOKUP($BP$2,Luokittelut!$A$3:'Luokittelut'!$MJ$20,329)*1000/CI$24</f>
        <v>6625.4401159191611</v>
      </c>
      <c r="CJ42" s="12">
        <f>VLOOKUP($BP$2,Luokittelut!$A$3:'Luokittelut'!$MJ$20,345)*1000/CJ$25</f>
        <v>6790.7220998068315</v>
      </c>
      <c r="CL42" s="12">
        <f>VLOOKUP($CL$2,Luokittelut!$A$36:'Luokittelut'!$MJ$47,134)*1000/CL$5</f>
        <v>3047.7954989053601</v>
      </c>
      <c r="CM42" s="12">
        <f>VLOOKUP($CL$2,Luokittelut!$A$36:'Luokittelut'!$MJ$47,136)*1000/CM$6</f>
        <v>3078.6979778964132</v>
      </c>
      <c r="CN42" s="12">
        <f>VLOOKUP($CL$2,Luokittelut!$A$36:'Luokittelut'!$MJ$47,138)*1000/CN$7</f>
        <v>3217.4551613986018</v>
      </c>
      <c r="CO42" s="12">
        <f>VLOOKUP($CL$2,Luokittelut!$A$36:'Luokittelut'!$MJ$47,140)*1000/CO$8</f>
        <v>3449.93264475347</v>
      </c>
      <c r="CP42" s="12">
        <f>VLOOKUP($CL$2,Luokittelut!$A$36:'Luokittelut'!$MJ$47,142)*1000/CP$9</f>
        <v>3623.5667561975506</v>
      </c>
      <c r="CQ42" s="12">
        <f>VLOOKUP($CL$2,Luokittelut!$A$36:'Luokittelut'!$MJ$47,144)*1000/CQ$10</f>
        <v>3812.2629965500564</v>
      </c>
      <c r="CR42" s="12">
        <f>VLOOKUP($CL$2,Luokittelut!$A$36:'Luokittelut'!$MJ$47,146)*1000/CR$11</f>
        <v>4020.4069485402065</v>
      </c>
      <c r="CS42" s="12">
        <f>VLOOKUP($CL$2,Luokittelut!$A$36:'Luokittelut'!$MJ$47,148)*1000/CS$12</f>
        <v>4233.8325494184201</v>
      </c>
      <c r="CT42" s="12">
        <f>VLOOKUP($CL$2,Luokittelut!$A$36:'Luokittelut'!$MJ$47,150)*1000/CT$13</f>
        <v>4390.3663586325301</v>
      </c>
      <c r="CU42" s="12">
        <f>VLOOKUP($CL$2,Luokittelut!$A$36:'Luokittelut'!$MJ$47,152)*1000/CU$14</f>
        <v>4594.56252191774</v>
      </c>
      <c r="CV42" s="12">
        <f>VLOOKUP($CL$2,Luokittelut!$A$36:'Luokittelut'!$MJ$47,154)*1000/CV$15</f>
        <v>4978.9209731177771</v>
      </c>
      <c r="CW42" s="12">
        <f>VLOOKUP($CL$2,Luokittelut!$A$36:'Luokittelut'!$MJ$47,171)*1000/CW$16</f>
        <v>5212.7627897743841</v>
      </c>
      <c r="CX42" s="12">
        <f>VLOOKUP($CL$2,Luokittelut!$A$36:'Luokittelut'!$MJ$47,186)*1000/CX$17</f>
        <v>5561.3673385488955</v>
      </c>
      <c r="CY42" s="12">
        <f>VLOOKUP($CL$2,Luokittelut!$A$36:'Luokittelut'!$MJ$47,203)*1000/CY$18</f>
        <v>5896.8175412954924</v>
      </c>
      <c r="CZ42" s="12">
        <f>VLOOKUP($CL$2,Luokittelut!$A$36:'Luokittelut'!$MJ$47,218)*1000/CZ$19</f>
        <v>6243.0448151137789</v>
      </c>
      <c r="DA42" s="192">
        <f>VLOOKUP($CL$2,Luokittelut!$A$36:'Luokittelut'!$MJ$47,260)*1000/DA$20</f>
        <v>6269.0337494220994</v>
      </c>
      <c r="DB42" s="192">
        <f>VLOOKUP($CL$2,Luokittelut!$A$36:'Luokittelut'!$MJ$47,275)*1000/DB$21</f>
        <v>6278.9014711008422</v>
      </c>
      <c r="DC42" s="192">
        <f>VLOOKUP($CL$2,Luokittelut!$A$36:'Luokittelut'!$MJ$47,289)*1000/DC$22</f>
        <v>6348.2547369658059</v>
      </c>
      <c r="DD42" s="12">
        <f>VLOOKUP($CL$2,Luokittelut!$A$36:'Luokittelut'!$MJ$47,313)*1000/DD$23</f>
        <v>6440.2695280463258</v>
      </c>
      <c r="DE42" s="12">
        <f>VLOOKUP($CL$2,Luokittelut!$A$36:'Luokittelut'!$MJ$47,329)*1000/DE$24</f>
        <v>6405.3589778026253</v>
      </c>
      <c r="DF42" s="12">
        <f>VLOOKUP($CL$2,Luokittelut!$A$36:'Luokittelut'!$MJ$47,345)*1000/DF$25</f>
        <v>6711.227002934691</v>
      </c>
    </row>
    <row r="43" spans="1:112" x14ac:dyDescent="0.2">
      <c r="A43" s="2" t="s">
        <v>517</v>
      </c>
      <c r="B43" s="12">
        <f>VLOOKUP($B$2,Perusaineisto!$B$3:'Perusaineisto'!$FI$400,142)*1000/B$5</f>
        <v>-166.79846954239281</v>
      </c>
      <c r="C43" s="12">
        <f>VLOOKUP($B$2,Perusaineisto!$B$3:'Perusaineisto'!$FI$400,144)*1000/C$6</f>
        <v>65.170976644419042</v>
      </c>
      <c r="D43" s="12">
        <f>VLOOKUP($B$2,Perusaineisto!$B$3:'Perusaineisto'!$FI$400,146)*1000/D$7</f>
        <v>-108.40183883630911</v>
      </c>
      <c r="E43" s="12">
        <f>VLOOKUP($B$2,Perusaineisto!$B$3:'Perusaineisto'!$FI$400,148)*1000/E$8</f>
        <v>38.651101312650326</v>
      </c>
      <c r="F43" s="12">
        <f>VLOOKUP($B$2,Perusaineisto!$B$3:'Perusaineisto'!$FI$400,150)*1000/F$9</f>
        <v>203.2636346714649</v>
      </c>
      <c r="G43" s="12">
        <f>VLOOKUP($B$2,Perusaineisto!$B$3:'Perusaineisto'!$FI$400,152)*1000/G$10</f>
        <v>-70.13338250660766</v>
      </c>
      <c r="H43" s="12">
        <f>VLOOKUP($B$2,Perusaineisto!$B$3:'Perusaineisto'!$FI$400,154)*1000/H$11</f>
        <v>-106.22396471453075</v>
      </c>
      <c r="I43" s="12">
        <f>VLOOKUP($B$2,Perusaineisto!$B$3:'Perusaineisto'!$FI$400,156)*1000/I$12</f>
        <v>-98.100109609061022</v>
      </c>
      <c r="J43" s="12">
        <f>VLOOKUP($B$2,Perusaineisto!$B$3:'Perusaineisto'!$FI$400,158)*1000/J$13</f>
        <v>-73.375135656577839</v>
      </c>
      <c r="K43" s="12">
        <f>VLOOKUP($B$2,Perusaineisto!$B$3:'Perusaineisto'!$FI$400,160)*1000/K$14</f>
        <v>74.740112319273507</v>
      </c>
      <c r="L43" s="12">
        <f>VLOOKUP($B$2,Perusaineisto!$B$3:'Perusaineisto'!$FI$400,162)*1000/L$15</f>
        <v>100.43356892558057</v>
      </c>
      <c r="M43" s="12">
        <f>VLOOKUP($B$2,Perusaineisto!$B$3:'Perusaineisto'!$FX$333,179)*1000/M$16</f>
        <v>114.7229801874481</v>
      </c>
      <c r="N43" s="12">
        <f>VLOOKUP($B$2,Perusaineisto!$B$3:'Perusaineisto'!$GO$321,194)*1000/N17</f>
        <v>131.96567129085352</v>
      </c>
      <c r="O43" s="12">
        <f>VLOOKUP($B$2,Perusaineisto!$B$3:'Perusaineisto'!$HU$321,211)*1000/O18</f>
        <v>16.967994851091216</v>
      </c>
      <c r="P43" s="12">
        <f>VLOOKUP($B$2,Perusaineisto!$B$3:'Perusaineisto'!$HU$321,226)*1000/P19</f>
        <v>-212.61818606279911</v>
      </c>
      <c r="Q43" s="12">
        <f>VLOOKUP($B$2,Perusaineisto2!$B$2:'Perusaineisto2'!$CS$299,55)*1000/Q$20</f>
        <v>5.8452186111760583E-2</v>
      </c>
      <c r="R43" s="12">
        <f>VLOOKUP($B$2,Perusaineisto2!$B$2:'Perusaineisto2'!$CS$299,72)*1000/R$21</f>
        <v>-295.27328172648367</v>
      </c>
      <c r="S43" s="12">
        <f>VLOOKUP($B$2,Perusaineisto2!$B$2:'Perusaineisto2'!$CS$299,89)*1000/S$22</f>
        <v>-172.68086604471043</v>
      </c>
      <c r="T43" s="12">
        <f>VLOOKUP($B$2,Perusaineisto2!$B$3:'Perusaineisto2'!$DI$299,110)*1000/T$23</f>
        <v>4.96365892572239</v>
      </c>
      <c r="U43" s="12">
        <f>VLOOKUP($B$2,Perusaineisto2!$B$3:'Perusaineisto2'!$DY$298,126)*1000/U$24</f>
        <v>91.89576003339495</v>
      </c>
      <c r="V43" s="12">
        <f>VLOOKUP($B$2,Perusaineisto2!$B$3:'Perusaineisto2'!$EP$298,143)*1000/V$25</f>
        <v>-139.78688820661009</v>
      </c>
      <c r="X43" s="12">
        <f>VLOOKUP($X$2,Perusaineisto!$B$3:'Perusaineisto'!$FI$400,142)*1000/X$5</f>
        <v>-10.215562255635991</v>
      </c>
      <c r="Y43" s="12">
        <f>VLOOKUP($X$2,Perusaineisto!$B$3:'Perusaineisto'!$FI$400,144)*1000/Y$6</f>
        <v>130.72430325937043</v>
      </c>
      <c r="Z43" s="12">
        <f>VLOOKUP($X$2,Perusaineisto!$B$3:'Perusaineisto'!$FI$400,146)*1000/Z$7</f>
        <v>249.77689402223442</v>
      </c>
      <c r="AA43" s="12">
        <f>VLOOKUP($X$2,Perusaineisto!$B$3:'Perusaineisto'!$FI$400,148)*1000/AA$8</f>
        <v>61.305125509603975</v>
      </c>
      <c r="AB43" s="12">
        <f>VLOOKUP($X$2,Perusaineisto!$B$3:'Perusaineisto'!$FI$400,150)*1000/AB$9</f>
        <v>74.36964504283965</v>
      </c>
      <c r="AC43" s="12">
        <f>VLOOKUP($X$2,Perusaineisto!$B$3:'Perusaineisto'!$FI$400,152)*1000/AC$10</f>
        <v>-207.26401720682406</v>
      </c>
      <c r="AD43" s="12">
        <f>VLOOKUP($X$2,Perusaineisto!$B$3:'Perusaineisto'!$FI$400,154)*1000/AD$11</f>
        <v>-305.97527472527474</v>
      </c>
      <c r="AE43" s="12">
        <f>VLOOKUP($X$2,Perusaineisto!$B$3:'Perusaineisto'!$FI$400,156)*1000/AE$12</f>
        <v>-394.78987466207911</v>
      </c>
      <c r="AF43" s="12">
        <f>VLOOKUP($X$2,Perusaineisto!$B$3:'Perusaineisto'!$FI$400,158)*1000/AF$13</f>
        <v>-148.02615407305441</v>
      </c>
      <c r="AG43" s="12">
        <f>VLOOKUP($X$2,Perusaineisto!$B$3:'Perusaineisto'!$FI$400,160)*1000/AG$14</f>
        <v>-78.465006861399729</v>
      </c>
      <c r="AH43" s="12">
        <f>VLOOKUP($X$2,Perusaineisto!$B$3:'Perusaineisto'!$FI$400,162)*1000/AH$15</f>
        <v>513.30873308733089</v>
      </c>
      <c r="AI43" s="12">
        <f>VLOOKUP($X$2,Perusaineisto!$B$3:'Perusaineisto'!$FX$333,179)*1000/AI$16</f>
        <v>-37.79084127846663</v>
      </c>
      <c r="AJ43" s="12">
        <f>VLOOKUP($X$2,Perusaineisto!$B$3:'Perusaineisto'!$GO$321,194)*1000/AJ17</f>
        <v>36.949219521833626</v>
      </c>
      <c r="AK43" s="12">
        <f>VLOOKUP($X$2,Perusaineisto!$B$3:'Perusaineisto'!$HU$321,211)*1000/AK18</f>
        <v>-215.35359496409953</v>
      </c>
      <c r="AL43" s="12">
        <f>VLOOKUP($X$2,Perusaineisto!$B$3:'Perusaineisto'!$HU$321,226)*1000/AL19</f>
        <v>-115.07525289908709</v>
      </c>
      <c r="AM43" s="12">
        <f>VLOOKUP($X$2,Perusaineisto2!$B$2:'Perusaineisto2'!$CS$299,55)*1000/AM$20</f>
        <v>119.39034716342083</v>
      </c>
      <c r="AN43" s="12">
        <f>VLOOKUP($X$2,Perusaineisto2!$B$2:'Perusaineisto2'!$CS$299,72)*1000/AN$21</f>
        <v>63.740017077703548</v>
      </c>
      <c r="AO43" s="12">
        <f>VLOOKUP($X$2,Perusaineisto2!$B$2:'Perusaineisto2'!$CS$299,89)*1000/AO$22</f>
        <v>22.600020360378704</v>
      </c>
      <c r="AP43" s="12">
        <f>VLOOKUP($X$2,Perusaineisto2!$B$3:'Perusaineisto2'!$DI$299,110)*1000/AP$23</f>
        <v>299.21544337772275</v>
      </c>
      <c r="AQ43" s="12">
        <f>VLOOKUP($X$2,Perusaineisto2!$B$3:'Perusaineisto2'!$DY$298,126)*1000/AQ$24</f>
        <v>396.99122440451316</v>
      </c>
      <c r="AR43" s="12">
        <f>VLOOKUP($X$2,Perusaineisto2!$B$3:'Perusaineisto2'!$EP$298,143)*1000/AR$25</f>
        <v>32.359026046363589</v>
      </c>
      <c r="AT43" s="12">
        <f>VLOOKUP($AT$2,Luokittelut!$A$25:'Luokittelut'!$MJ$31,135)*1000/AT$5</f>
        <v>-36.158388464599582</v>
      </c>
      <c r="AU43" s="12">
        <f>VLOOKUP($AT$2,Luokittelut!$A$25:'Luokittelut'!$MJ$31,137)*1000/AU$6</f>
        <v>62.088291975577064</v>
      </c>
      <c r="AV43" s="12">
        <f>VLOOKUP($AT$2,Luokittelut!$A$25:'Luokittelut'!$MJ$31,139)*1000/AV$7</f>
        <v>-26.763711171802207</v>
      </c>
      <c r="AW43" s="12">
        <f>VLOOKUP($AT$2,Luokittelut!$A$25:'Luokittelut'!$MJ$31,141)*1000/AW$8</f>
        <v>30.126817605235551</v>
      </c>
      <c r="AX43" s="12">
        <f>VLOOKUP($AT$2,Luokittelut!$A$25:'Luokittelut'!$MJ$31,143)*1000/AX$9</f>
        <v>180.11689762052842</v>
      </c>
      <c r="AY43" s="12">
        <f>VLOOKUP($AT$2,Luokittelut!$A$25:'Luokittelut'!$MJ$31,145)*1000/AY$10</f>
        <v>-1.7107727921131852</v>
      </c>
      <c r="AZ43" s="12">
        <f>VLOOKUP($AT$2,Luokittelut!$A$25:'Luokittelut'!$MJ$31,147)*1000/AZ$11</f>
        <v>-86.080549004524428</v>
      </c>
      <c r="BA43" s="12">
        <f>VLOOKUP($AT$2,Luokittelut!$A$25:'Luokittelut'!$MJ$31,149)*1000/BA$12</f>
        <v>-96.018227006325276</v>
      </c>
      <c r="BB43" s="12">
        <f>VLOOKUP($AT$2,Luokittelut!$A$25:'Luokittelut'!$MJ$31,151)*1000/BB$13</f>
        <v>19.544039436600837</v>
      </c>
      <c r="BC43" s="12">
        <f>VLOOKUP($AT$2,Luokittelut!$A$25:'Luokittelut'!$MJ$31,153)*1000/BC$14</f>
        <v>16.38980212352795</v>
      </c>
      <c r="BD43" s="12">
        <f>VLOOKUP($AT$2,Luokittelut!$A$25:'Luokittelut'!$MJ$31,155)*1000/BD$15</f>
        <v>43.824900299517907</v>
      </c>
      <c r="BE43" s="12">
        <f>VLOOKUP($AT$2,Luokittelut!$A$25:'Luokittelut'!$MJ$31,172)*1000/BE$16</f>
        <v>23.371044820248926</v>
      </c>
      <c r="BF43" s="12">
        <f>VLOOKUP($AT$2,Luokittelut!$A$25:'Luokittelut'!$MJ$31,187)*1000/BF$17</f>
        <v>84.112691841562949</v>
      </c>
      <c r="BG43" s="12">
        <f>VLOOKUP($AT$2,Luokittelut!$A$25:'Luokittelut'!$MJ$31,204)*1000/BG$18</f>
        <v>5.2828742008351472</v>
      </c>
      <c r="BH43" s="12">
        <f>VLOOKUP($AT$2,Luokittelut!$A$25:'Luokittelut'!$MJ$31,219)*1000/BH$19</f>
        <v>-72.530555991119982</v>
      </c>
      <c r="BI43" s="192">
        <f>VLOOKUP($AT$2,Luokittelut!$A$25:'Luokittelut'!$MJ$31,268)*1000/BI$20</f>
        <v>113.45578925299908</v>
      </c>
      <c r="BJ43" s="192">
        <f>VLOOKUP($AT$2,Luokittelut!$A$25:'Luokittelut'!$MJ$31,282)*1000/BJ$21</f>
        <v>205.36775975055491</v>
      </c>
      <c r="BK43" s="192">
        <f>VLOOKUP($AT$2,Luokittelut!$A$25:'Luokittelut'!$MJ$31,296)*1000/BK$22</f>
        <v>37.316496599765593</v>
      </c>
      <c r="BL43" s="12">
        <f>VLOOKUP($AT$2,Luokittelut!$A$25:'Luokittelut'!$MJ$31,314)*1000/BL$23</f>
        <v>72.223679709889851</v>
      </c>
      <c r="BM43" s="12">
        <f>VLOOKUP($AT$2,Luokittelut!$A$25:'Luokittelut'!$MJ$31,330)*1000/BM$24</f>
        <v>129.10888910375456</v>
      </c>
      <c r="BN43" s="12">
        <f>VLOOKUP($AT$2,Luokittelut!$A$25:'Luokittelut'!$MJ$31,346)*1000/BN$25</f>
        <v>-89.618427822740813</v>
      </c>
      <c r="BP43" s="12">
        <f>VLOOKUP($BP$2,Luokittelut!$A$3:'Luokittelut'!$MJ$20,135)*1000/BP$5</f>
        <v>81.804695421039739</v>
      </c>
      <c r="BQ43" s="12">
        <f>VLOOKUP($BP$2,Luokittelut!$A$3:'Luokittelut'!$MJ$20,137)*1000/BQ$6</f>
        <v>74.400694770369299</v>
      </c>
      <c r="BR43" s="12">
        <f>VLOOKUP($BP$2,Luokittelut!$A$3:'Luokittelut'!$MJ$20,139)*1000/BR$7</f>
        <v>38.737158727497899</v>
      </c>
      <c r="BS43" s="12">
        <f>VLOOKUP($BP$2,Luokittelut!$A$3:'Luokittelut'!$MJ$20,141)*1000/BS$8</f>
        <v>91.477140759210315</v>
      </c>
      <c r="BT43" s="12">
        <f>VLOOKUP($BP$2,Luokittelut!$A$3:'Luokittelut'!$MJ$20,143)*1000/BT$9</f>
        <v>212.53483265016865</v>
      </c>
      <c r="BU43" s="12">
        <f>VLOOKUP($BP$2,Luokittelut!$A$3:'Luokittelut'!$MJ$20,145)*1000/BU$10</f>
        <v>27.51775437072429</v>
      </c>
      <c r="BV43" s="12">
        <f>VLOOKUP($BP$2,Luokittelut!$A$3:'Luokittelut'!$MJ$20,147)*1000/BV$11</f>
        <v>23.437318386692667</v>
      </c>
      <c r="BW43" s="12">
        <f>VLOOKUP($BP$2,Luokittelut!$A$3:'Luokittelut'!$MJ$20,149)*1000/BW$12</f>
        <v>107.47176720642589</v>
      </c>
      <c r="BX43" s="12">
        <f>VLOOKUP($BP$2,Luokittelut!$A$3:'Luokittelut'!$MJ$20,151)*1000/BX$13</f>
        <v>0.14410653945537588</v>
      </c>
      <c r="BY43" s="12">
        <f>VLOOKUP($BP$2,Luokittelut!$A$3:'Luokittelut'!$MJ$20,153)*1000/BY$14</f>
        <v>65.747984541701626</v>
      </c>
      <c r="BZ43" s="12">
        <f>VLOOKUP($BP$2,Luokittelut!$A$3:'Luokittelut'!$MJ$20,155)*1000/BZ$15</f>
        <v>417.74982935649246</v>
      </c>
      <c r="CA43" s="12">
        <f>VLOOKUP($BP$2,Luokittelut!$A$3:'Luokittelut'!$MJ$20,172)*1000/CA$16</f>
        <v>25.733674280325957</v>
      </c>
      <c r="CB43" s="12">
        <f>VLOOKUP($BP$2,Luokittelut!$A$3:'Luokittelut'!$MJ$20,187)*1000/CB$17</f>
        <v>159.2789743086559</v>
      </c>
      <c r="CC43" s="12">
        <f>VLOOKUP($BP$2,Luokittelut!$A$3:'Luokittelut'!$MJ$20,204)*1000/CC$18</f>
        <v>14.133300320454929</v>
      </c>
      <c r="CD43" s="12">
        <f>VLOOKUP($BP$2,Luokittelut!$A$3:'Luokittelut'!$MJ$20,219)*1000/CD$19</f>
        <v>-122.91367949606096</v>
      </c>
      <c r="CE43" s="192">
        <f>VLOOKUP($BP$2,Luokittelut!$A$3:'Luokittelut'!$MJ$20,268)*1000/CE$20</f>
        <v>64.732508807076044</v>
      </c>
      <c r="CF43" s="192">
        <f>VLOOKUP($BP$2,Luokittelut!$A$3:'Luokittelut'!$MJ$20,282)*1000/CF$21</f>
        <v>-57.590458141133375</v>
      </c>
      <c r="CG43" s="192">
        <f>VLOOKUP($BP$2,Luokittelut!$A$3:'Luokittelut'!$MJ$20,296)*1000/CG$22</f>
        <v>-81.078571230987478</v>
      </c>
      <c r="CH43" s="12">
        <f>VLOOKUP($BP$2,Luokittelut!$A$3:'Luokittelut'!$MJ$20,314)*1000/CH$23</f>
        <v>-0.22773855613755409</v>
      </c>
      <c r="CI43" s="12">
        <f>VLOOKUP($BP$2,Luokittelut!$A$3:'Luokittelut'!$MJ$20,330)*1000/CI$24</f>
        <v>40.341274134365463</v>
      </c>
      <c r="CJ43" s="12">
        <f>VLOOKUP($BP$2,Luokittelut!$A$3:'Luokittelut'!$MJ$20,346)*1000/CJ$25</f>
        <v>-142.13882875974335</v>
      </c>
      <c r="CL43" s="12">
        <f>VLOOKUP($CL$2,Luokittelut!$A$36:'Luokittelut'!$MJ$47,135)*1000/CL$5</f>
        <v>-51.285115842726995</v>
      </c>
      <c r="CM43" s="12">
        <f>VLOOKUP($CL$2,Luokittelut!$A$36:'Luokittelut'!$MJ$47,137)*1000/CM$6</f>
        <v>30.661939421400231</v>
      </c>
      <c r="CN43" s="12">
        <f>VLOOKUP($CL$2,Luokittelut!$A$36:'Luokittelut'!$MJ$47,139)*1000/CN$7</f>
        <v>-72.856355812038998</v>
      </c>
      <c r="CO43" s="12">
        <f>VLOOKUP($CL$2,Luokittelut!$A$36:'Luokittelut'!$MJ$47,141)*1000/CO$8</f>
        <v>-20.187373446238535</v>
      </c>
      <c r="CP43" s="12">
        <f>VLOOKUP($CL$2,Luokittelut!$A$36:'Luokittelut'!$MJ$47,143)*1000/CP$9</f>
        <v>197.09415521827972</v>
      </c>
      <c r="CQ43" s="12">
        <f>VLOOKUP($CL$2,Luokittelut!$A$36:'Luokittelut'!$MJ$47,145)*1000/CQ$10</f>
        <v>17.296326786875479</v>
      </c>
      <c r="CR43" s="12">
        <f>VLOOKUP($CL$2,Luokittelut!$A$36:'Luokittelut'!$MJ$47,147)*1000/CR$11</f>
        <v>-85.93871676049686</v>
      </c>
      <c r="CS43" s="12">
        <f>VLOOKUP($CL$2,Luokittelut!$A$36:'Luokittelut'!$MJ$47,149)*1000/CS$12</f>
        <v>-113.82222080976292</v>
      </c>
      <c r="CT43" s="12">
        <f>VLOOKUP($CL$2,Luokittelut!$A$36:'Luokittelut'!$MJ$47,151)*1000/CT$13</f>
        <v>-29.275393879715196</v>
      </c>
      <c r="CU43" s="12">
        <f>VLOOKUP($CL$2,Luokittelut!$A$36:'Luokittelut'!$MJ$47,153)*1000/CU$14</f>
        <v>5.529532588547668</v>
      </c>
      <c r="CV43" s="12">
        <f>VLOOKUP($CL$2,Luokittelut!$A$36:'Luokittelut'!$MJ$47,155)*1000/CV$15</f>
        <v>31.778961467775598</v>
      </c>
      <c r="CW43" s="12">
        <f>VLOOKUP($CL$2,Luokittelut!$A$36:'Luokittelut'!$MJ$47,172)*1000/CW$16</f>
        <v>84.148558029317073</v>
      </c>
      <c r="CX43" s="12">
        <f>VLOOKUP($CL$2,Luokittelut!$A$36:'Luokittelut'!$MJ$47,187)*1000/CX$17</f>
        <v>149.96028053993737</v>
      </c>
      <c r="CY43" s="12">
        <f>VLOOKUP($CL$2,Luokittelut!$A$36:'Luokittelut'!$MJ$47,204)*1000/CY$18</f>
        <v>40.553916172539154</v>
      </c>
      <c r="CZ43" s="12">
        <f>VLOOKUP($CL$2,Luokittelut!$A$36:'Luokittelut'!$MJ$47,219)*1000/CZ$19</f>
        <v>-101.44556932386052</v>
      </c>
      <c r="DA43" s="192">
        <f>VLOOKUP($CL$2,Luokittelut!$A$36:'Luokittelut'!$MJ$47,268)*1000/DA$20</f>
        <v>15.740483895823701</v>
      </c>
      <c r="DB43" s="192">
        <f>VLOOKUP($CL$2,Luokittelut!$A$36:'Luokittelut'!$MJ$47,282)*1000/DB$21</f>
        <v>142.61873841303725</v>
      </c>
      <c r="DC43" s="192">
        <f>VLOOKUP($CL$2,Luokittelut!$A$36:'Luokittelut'!$MJ$47,296)*1000/DC$22</f>
        <v>76.453251938236207</v>
      </c>
      <c r="DD43" s="12">
        <f>VLOOKUP($CL$2,Luokittelut!$A$36:'Luokittelut'!$MJ$47,314)*1000/DD$23</f>
        <v>63.508089569301887</v>
      </c>
      <c r="DE43" s="12">
        <f>VLOOKUP($CL$2,Luokittelut!$A$36:'Luokittelut'!$MJ$47,330)*1000/DE$24</f>
        <v>133.79953962389084</v>
      </c>
      <c r="DF43" s="12">
        <f>VLOOKUP($CL$2,Luokittelut!$A$36:'Luokittelut'!$MJ$47,346)*1000/DF$25</f>
        <v>-123.17839966532566</v>
      </c>
    </row>
    <row r="44" spans="1:112" x14ac:dyDescent="0.2">
      <c r="B44" s="12"/>
      <c r="C44" s="12"/>
      <c r="D44" s="12"/>
      <c r="E44" s="12"/>
      <c r="F44" s="12"/>
      <c r="G44" s="12"/>
      <c r="H44" s="12"/>
      <c r="I44" s="12"/>
      <c r="J44" s="12"/>
      <c r="K44" s="12"/>
      <c r="L44" s="12"/>
      <c r="M44" s="12"/>
      <c r="N44" s="12"/>
      <c r="O44" s="12"/>
      <c r="P44" s="12"/>
      <c r="Q44" s="12"/>
      <c r="R44" s="12"/>
      <c r="S44" s="12"/>
      <c r="T44" s="12"/>
      <c r="U44" s="12"/>
      <c r="V44" s="12"/>
      <c r="X44" s="12"/>
      <c r="Y44" s="12"/>
      <c r="Z44" s="12"/>
      <c r="AA44" s="12"/>
      <c r="AB44" s="12"/>
      <c r="AC44" s="12"/>
      <c r="AD44" s="12"/>
      <c r="AE44" s="12"/>
      <c r="AF44" s="12"/>
      <c r="AG44" s="12"/>
      <c r="AH44" s="12"/>
      <c r="AI44" s="12"/>
      <c r="AJ44" s="12"/>
      <c r="AK44" s="12"/>
      <c r="AL44" s="12"/>
      <c r="AM44" s="12"/>
      <c r="AN44" s="12"/>
      <c r="AO44" s="12"/>
      <c r="AP44" s="12"/>
      <c r="AQ44" s="12"/>
      <c r="AR44" s="12"/>
      <c r="AT44" s="12"/>
      <c r="AU44" s="12"/>
      <c r="AV44" s="12"/>
      <c r="AW44" s="12"/>
      <c r="AX44" s="12"/>
      <c r="AY44" s="12"/>
      <c r="AZ44" s="12"/>
      <c r="BA44" s="12"/>
      <c r="BB44" s="12"/>
      <c r="BC44" s="12"/>
      <c r="BD44" s="12"/>
      <c r="BE44" s="12"/>
      <c r="BF44" s="12"/>
      <c r="BG44" s="12"/>
      <c r="BH44" s="12"/>
      <c r="BI44" s="192"/>
      <c r="BJ44" s="192"/>
      <c r="BK44" s="192"/>
      <c r="BL44" s="12"/>
      <c r="BM44" s="12"/>
      <c r="BN44" s="12"/>
      <c r="BP44" s="12"/>
      <c r="BQ44" s="12"/>
      <c r="BR44" s="12"/>
      <c r="BS44" s="12"/>
      <c r="BT44" s="12"/>
      <c r="BU44" s="12"/>
      <c r="BV44" s="12"/>
      <c r="BW44" s="12"/>
      <c r="BX44" s="12"/>
      <c r="BY44" s="12"/>
      <c r="BZ44" s="12"/>
      <c r="CA44" s="12"/>
      <c r="CB44" s="12"/>
      <c r="CC44" s="12"/>
      <c r="CD44" s="12"/>
      <c r="CE44" s="192"/>
      <c r="CF44" s="192"/>
      <c r="CG44" s="192"/>
      <c r="CH44" s="12"/>
      <c r="CI44" s="12"/>
      <c r="CJ44" s="12"/>
      <c r="CL44" s="12"/>
      <c r="CM44" s="12"/>
      <c r="CN44" s="12"/>
      <c r="CO44" s="12"/>
      <c r="CP44" s="12"/>
      <c r="CQ44" s="12"/>
      <c r="CR44" s="12"/>
      <c r="CS44" s="12"/>
      <c r="CT44" s="12"/>
      <c r="CU44" s="12"/>
      <c r="CV44" s="12"/>
      <c r="CW44" s="12"/>
      <c r="CX44" s="12"/>
      <c r="CY44" s="12"/>
      <c r="CZ44" s="12"/>
      <c r="DA44" s="192"/>
      <c r="DB44" s="192"/>
      <c r="DC44" s="192"/>
      <c r="DD44" s="12"/>
      <c r="DE44" s="12"/>
      <c r="DF44" s="12"/>
    </row>
    <row r="45" spans="1:112" x14ac:dyDescent="0.2">
      <c r="A45" s="2" t="s">
        <v>598</v>
      </c>
      <c r="B45" s="12">
        <f>VLOOKUP($B$2,Perusaineisto2!$B$2:'Perusaineisto2'!$CS$299,9)*1000/B$5</f>
        <v>-156.59497674703593</v>
      </c>
      <c r="C45" s="12">
        <f>VLOOKUP($B$2,Perusaineisto2!$B$2:'Perusaineisto2'!$CS$299,10)*1000/C$6</f>
        <v>-142.82374499815418</v>
      </c>
      <c r="D45" s="12">
        <f>VLOOKUP($B$2,Perusaineisto2!$B$2:'Perusaineisto2'!$CS$299,11)*1000/D$7</f>
        <v>-265.07134474617573</v>
      </c>
      <c r="E45" s="12">
        <f>VLOOKUP($B$2,Perusaineisto2!$B$2:'Perusaineisto2'!$CS$299,12)*1000/E$8</f>
        <v>-301.39881067050959</v>
      </c>
      <c r="F45" s="12">
        <f>VLOOKUP($B$2,Perusaineisto2!$B$2:'Perusaineisto2'!$CS$299,13)*1000/F$9</f>
        <v>-191.66097909040144</v>
      </c>
      <c r="G45" s="12">
        <f>VLOOKUP($B$2,Perusaineisto2!$B$2:'Perusaineisto2'!$CS$299,14)*1000/G$10</f>
        <v>-211.07628004179728</v>
      </c>
      <c r="H45" s="12">
        <f>VLOOKUP($B$2,Perusaineisto2!$B$2:'Perusaineisto2'!$CS$299,15)*1000/H$11</f>
        <v>-211.65155599117864</v>
      </c>
      <c r="I45" s="12">
        <f>VLOOKUP($B$2,Perusaineisto2!$B$2:'Perusaineisto2'!$CS$299,16)*1000/I$12</f>
        <v>-253.7449762513701</v>
      </c>
      <c r="J45" s="12">
        <f>VLOOKUP($B$2,Perusaineisto2!$B$2:'Perusaineisto2'!$CS$299,17)*1000/J$13</f>
        <v>-245.93030266489811</v>
      </c>
      <c r="K45" s="12">
        <f>VLOOKUP($B$2,Perusaineisto2!$B$2:'Perusaineisto2'!$CS$299,18)*1000/K$14</f>
        <v>-162.86294658860078</v>
      </c>
      <c r="L45" s="12">
        <f>VLOOKUP($B$2,Perusaineisto2!$B$2:'Perusaineisto2'!$CS$299,19)*1000/L$15</f>
        <v>-61.41236562332957</v>
      </c>
      <c r="M45" s="12">
        <f>VLOOKUP($B$2,Perusaineisto2!$B$2:'Perusaineisto2'!$CS$299,20)*1000/M$16</f>
        <v>53.387115909360539</v>
      </c>
      <c r="N45" s="12">
        <f>VLOOKUP($B$2,Perusaineisto2!$B$2:'Perusaineisto2'!$CS$299,21)*1000/N$17</f>
        <v>184.81072184340465</v>
      </c>
      <c r="O45" s="12">
        <f>VLOOKUP($B$2,Perusaineisto2!$B$2:'Perusaineisto2'!$CS$299,22)*1000/O$18</f>
        <v>200.92446316774911</v>
      </c>
      <c r="P45" s="12">
        <f>VLOOKUP($B$2,Perusaineisto2!$B$2:'Perusaineisto2'!$CS$299,23)*1000/P$19</f>
        <v>-12.197968950624489</v>
      </c>
      <c r="Q45" s="12">
        <f>VLOOKUP($B$2,Perusaineisto2!$B$2:'Perusaineisto2'!$CS$299,24)*1000/Q$20</f>
        <v>-12.09960252513444</v>
      </c>
      <c r="R45" s="12">
        <f>VLOOKUP($B$2,Perusaineisto2!$B$2:'Perusaineisto2'!$CS$299,25)*1000/R$21</f>
        <v>-307.4712643678161</v>
      </c>
      <c r="S45" s="12">
        <f>VLOOKUP($B$2,Perusaineisto2!$B$2:'Perusaineisto2'!$CS$299,26)*1000/S$22</f>
        <v>-480.31449862113476</v>
      </c>
      <c r="T45" s="12">
        <f>VLOOKUP($B$2,Perusaineisto2!$B$3:'Perusaineisto2'!$DI$299,111)*1000/T$23</f>
        <v>-478.93399515452342</v>
      </c>
      <c r="U45" s="12">
        <f>VLOOKUP($B$2,Perusaineisto2!$B$3:'Perusaineisto2'!$DY$298,127)*1000/U$24</f>
        <v>-391.43657940246885</v>
      </c>
      <c r="V45" s="12">
        <f>VLOOKUP($B$2,Perusaineisto2!$B$3:'Perusaineisto2'!$EP$298,144)*1000/V$25</f>
        <v>-534.9467220516525</v>
      </c>
      <c r="X45" s="12">
        <f>VLOOKUP($X$2,Perusaineisto2!$B$2:'Perusaineisto2'!$CS$299,9)*1000/X$5</f>
        <v>-138.88834680523635</v>
      </c>
      <c r="Y45" s="12">
        <f>VLOOKUP($X$2,Perusaineisto2!$B$2:'Perusaineisto2'!$CS$299,10)*1000/Y$6</f>
        <v>-64.537227595696095</v>
      </c>
      <c r="Z45" s="12">
        <f>VLOOKUP($X$2,Perusaineisto2!$B$2:'Perusaineisto2'!$CS$299,11)*1000/Z$7</f>
        <v>438.59754008683041</v>
      </c>
      <c r="AA45" s="12">
        <f>VLOOKUP($X$2,Perusaineisto2!$B$2:'Perusaineisto2'!$CS$299,12)*1000/AA$8</f>
        <v>545.769534818539</v>
      </c>
      <c r="AB45" s="12">
        <f>VLOOKUP($X$2,Perusaineisto2!$B$2:'Perusaineisto2'!$CS$299,13)*1000/AB$9</f>
        <v>633.0477356181151</v>
      </c>
      <c r="AC45" s="12">
        <f>VLOOKUP($X$2,Perusaineisto2!$B$2:'Perusaineisto2'!$CS$299,14)*1000/AC$10</f>
        <v>490.19895390330936</v>
      </c>
      <c r="AD45" s="12">
        <f>VLOOKUP($X$2,Perusaineisto2!$B$2:'Perusaineisto2'!$CS$299,15)*1000/AD$11</f>
        <v>280.41601255886968</v>
      </c>
      <c r="AE45" s="12">
        <f>VLOOKUP($X$2,Perusaineisto2!$B$2:'Perusaineisto2'!$CS$299,16)*1000/AE$12</f>
        <v>22.413369378225607</v>
      </c>
      <c r="AF45" s="12">
        <f>VLOOKUP($X$2,Perusaineisto2!$B$2:'Perusaineisto2'!$CS$299,17)*1000/AF$13</f>
        <v>-160.70989626862004</v>
      </c>
      <c r="AG45" s="12">
        <f>VLOOKUP($X$2,Perusaineisto2!$B$2:'Perusaineisto2'!$CS$299,18)*1000/AG$14</f>
        <v>-654.38149382474023</v>
      </c>
      <c r="AH45" s="12">
        <f>VLOOKUP($X$2,Perusaineisto2!$B$2:'Perusaineisto2'!$CS$299,19)*1000/AH$15</f>
        <v>-143.61623616236162</v>
      </c>
      <c r="AI45" s="12">
        <f>VLOOKUP($X$2,Perusaineisto2!$B$2:'Perusaineisto2'!$CS$299,20)*1000/AI$16</f>
        <v>-181.98883564689029</v>
      </c>
      <c r="AJ45" s="12">
        <f>VLOOKUP($X$2,Perusaineisto2!$B$2:'Perusaineisto2'!$CS$299,21)*1000/AJ$17</f>
        <v>-145.03062635842718</v>
      </c>
      <c r="AK45" s="12">
        <f>VLOOKUP($X$2,Perusaineisto2!$B$2:'Perusaineisto2'!$CS$299,22)*1000/AK$18</f>
        <v>-359.74230353103178</v>
      </c>
      <c r="AL45" s="12">
        <f>VLOOKUP($X$2,Perusaineisto2!$B$2:'Perusaineisto2'!$CS$299,23)*1000/AL$19</f>
        <v>-476.04243770046878</v>
      </c>
      <c r="AM45" s="12">
        <f>VLOOKUP($X$2,Perusaineisto2!$B$2:'Perusaineisto2'!$CS$299,24)*1000/AM$20</f>
        <v>-361.10972754893658</v>
      </c>
      <c r="AN45" s="12">
        <f>VLOOKUP($X$2,Perusaineisto2!$B$2:'Perusaineisto2'!$CS$299,25)*1000/AN$21</f>
        <v>-300.41689688080766</v>
      </c>
      <c r="AO45" s="12">
        <f>VLOOKUP($X$2,Perusaineisto2!$B$2:'Perusaineisto2'!$CS$299,26)*1000/AO$22</f>
        <v>-281.78764125012725</v>
      </c>
      <c r="AP45" s="12">
        <f>VLOOKUP($X$2,Perusaineisto2!$B$3:'Perusaineisto2'!$DI$299,111)*1000/AP$23</f>
        <v>13.420047486321875</v>
      </c>
      <c r="AQ45" s="12">
        <f>VLOOKUP($X$2,Perusaineisto2!$B$3:'Perusaineisto2'!$DY$298,127)*1000/AQ$24</f>
        <v>410.62473882156291</v>
      </c>
      <c r="AR45" s="12">
        <f>VLOOKUP($X$2,Perusaineisto2!$B$3:'Perusaineisto2'!$EP$298,144)*1000/AR$25</f>
        <v>449.31303379131083</v>
      </c>
      <c r="AT45" s="12">
        <f>VLOOKUP($AT$2,Luokittelut!$A$25:'Luokittelut'!$MJ$31,222)*1000/AT$5</f>
        <v>-37.457348043931937</v>
      </c>
      <c r="AU45" s="12">
        <f>VLOOKUP($AT$2,Luokittelut!$A$25:'Luokittelut'!$MJ$31,223)*1000/AU$6</f>
        <v>22.433200271366974</v>
      </c>
      <c r="AV45" s="12">
        <f>VLOOKUP($AT$2,Luokittelut!$A$25:'Luokittelut'!$MJ$31,224)*1000/AV$7</f>
        <v>2.2802459871949732</v>
      </c>
      <c r="AW45" s="12">
        <f>VLOOKUP($AT$2,Luokittelut!$A$25:'Luokittelut'!$MJ$31,225)*1000/AW$8</f>
        <v>75.784979183808503</v>
      </c>
      <c r="AX45" s="12">
        <f>VLOOKUP($AT$2,Luokittelut!$A$25:'Luokittelut'!$MJ$31,226)*1000/AX$9</f>
        <v>260.73355036274188</v>
      </c>
      <c r="AY45" s="12">
        <f>VLOOKUP($AT$2,Luokittelut!$A$25:'Luokittelut'!$MJ$31,227)*1000/AY$10</f>
        <v>263.99880872003399</v>
      </c>
      <c r="AZ45" s="12">
        <f>VLOOKUP($AT$2,Luokittelut!$A$25:'Luokittelut'!$MJ$31,228)*1000/AZ$11</f>
        <v>269.48017989750025</v>
      </c>
      <c r="BA45" s="12">
        <f>VLOOKUP($AT$2,Luokittelut!$A$25:'Luokittelut'!$MJ$31,229)*1000/BA$12</f>
        <v>186.78643003417562</v>
      </c>
      <c r="BB45" s="12">
        <f>VLOOKUP($AT$2,Luokittelut!$A$25:'Luokittelut'!$MJ$31,230)*1000/BB$13</f>
        <v>212.81622503795202</v>
      </c>
      <c r="BC45" s="12">
        <f>VLOOKUP($AT$2,Luokittelut!$A$25:'Luokittelut'!$MJ$31,231)*1000/BC$14</f>
        <v>212.79025695055509</v>
      </c>
      <c r="BD45" s="12">
        <f>VLOOKUP($AT$2,Luokittelut!$A$25:'Luokittelut'!$MJ$31,232)*1000/BD$15</f>
        <v>262.27140520208297</v>
      </c>
      <c r="BE45" s="12">
        <f>VLOOKUP($AT$2,Luokittelut!$A$25:'Luokittelut'!$MJ$31,233)*1000/BE$16</f>
        <v>294.28414340220621</v>
      </c>
      <c r="BF45" s="12">
        <f>VLOOKUP($AT$2,Luokittelut!$A$25:'Luokittelut'!$MJ$31,234)*1000/BF$17</f>
        <v>382.63532321894269</v>
      </c>
      <c r="BG45" s="12">
        <f>VLOOKUP($AT$2,Luokittelut!$A$25:'Luokittelut'!$MJ$31,235)*1000/BG$18</f>
        <v>387.60300943712684</v>
      </c>
      <c r="BH45" s="12">
        <f>VLOOKUP($AT$2,Luokittelut!$A$25:'Luokittelut'!$MJ$31,236)*1000/BH$19</f>
        <v>313.83746936148088</v>
      </c>
      <c r="BI45" s="192">
        <f>(VLOOKUP($AT$2,Luokittelut!$A$25:'Luokittelut'!$MJ$31,237)*1000/BI$20)/2</f>
        <v>431.40702148838915</v>
      </c>
      <c r="BJ45" s="192">
        <f>(VLOOKUP($AT$2,Luokittelut!$A$25:'Luokittelut'!$MJ$31,238)*1000/BJ$21)/2</f>
        <v>639.35168058344789</v>
      </c>
      <c r="BK45" s="192">
        <f>(VLOOKUP($AT$2,Luokittelut!$A$25:'Luokittelut'!$MJ$31,239)*1000/BK$22)/2</f>
        <v>672.0594759599785</v>
      </c>
      <c r="BL45" s="12">
        <f>VLOOKUP($AT$2,Luokittelut!$A$25:'Luokittelut'!$MJ$31,315)*1000/BL$23</f>
        <v>750.01245321741328</v>
      </c>
      <c r="BM45" s="12">
        <f>VLOOKUP($AT$2,Luokittelut!$A$25:'Luokittelut'!$MJ$31,331)*1000/BM$24</f>
        <v>880.94515702049489</v>
      </c>
      <c r="BN45" s="12">
        <f>VLOOKUP($AT$2,Luokittelut!$A$25:'Luokittelut'!$MJ$31,347)*1000/BN$25</f>
        <v>797.18031786787515</v>
      </c>
      <c r="BP45" s="12">
        <f>VLOOKUP($BP$2,Luokittelut!$A$3:'Luokittelut'!$MJ$20,222)*1000/BP$5</f>
        <v>119.69790860640454</v>
      </c>
      <c r="BQ45" s="12">
        <f>VLOOKUP($BP$2,Luokittelut!$A$3:'Luokittelut'!$MJ$20,223)*1000/BQ$6</f>
        <v>192.45792785352114</v>
      </c>
      <c r="BR45" s="12">
        <f>VLOOKUP($BP$2,Luokittelut!$A$3:'Luokittelut'!$MJ$20,224)*1000/BR$7</f>
        <v>262.54131361925636</v>
      </c>
      <c r="BS45" s="12">
        <f>VLOOKUP($BP$2,Luokittelut!$A$3:'Luokittelut'!$MJ$20,225)*1000/BS$8</f>
        <v>357.18178556853297</v>
      </c>
      <c r="BT45" s="12">
        <f>VLOOKUP($BP$2,Luokittelut!$A$3:'Luokittelut'!$MJ$20,226)*1000/BT$9</f>
        <v>563.00717869751043</v>
      </c>
      <c r="BU45" s="12">
        <f>VLOOKUP($BP$2,Luokittelut!$A$3:'Luokittelut'!$MJ$20,227)*1000/BU$10</f>
        <v>584.12639808882614</v>
      </c>
      <c r="BV45" s="12">
        <f>VLOOKUP($BP$2,Luokittelut!$A$3:'Luokittelut'!$MJ$20,228)*1000/BV$11</f>
        <v>691.06042799395595</v>
      </c>
      <c r="BW45" s="12">
        <f>VLOOKUP($BP$2,Luokittelut!$A$3:'Luokittelut'!$MJ$20,229)*1000/BW$12</f>
        <v>796.61078437230583</v>
      </c>
      <c r="BX45" s="12">
        <f>VLOOKUP($BP$2,Luokittelut!$A$3:'Luokittelut'!$MJ$20,230)*1000/BX$13</f>
        <v>805.58833107076555</v>
      </c>
      <c r="BY45" s="12">
        <f>VLOOKUP($BP$2,Luokittelut!$A$3:'Luokittelut'!$MJ$20,231)*1000/BY$14</f>
        <v>865.0788502942894</v>
      </c>
      <c r="BZ45" s="12">
        <f>VLOOKUP($BP$2,Luokittelut!$A$3:'Luokittelut'!$MJ$20,232)*1000/BZ$15</f>
        <v>1550.1276973603681</v>
      </c>
      <c r="CA45" s="12">
        <f>VLOOKUP($BP$2,Luokittelut!$A$3:'Luokittelut'!$MJ$20,233)*1000/CA$16</f>
        <v>1584.4008515439382</v>
      </c>
      <c r="CB45" s="12">
        <f>VLOOKUP($BP$2,Luokittelut!$A$3:'Luokittelut'!$MJ$20,234)*1000/CB$17</f>
        <v>1721.4161310896336</v>
      </c>
      <c r="CC45" s="12">
        <f>VLOOKUP($BP$2,Luokittelut!$A$3:'Luokittelut'!$MJ$20,235)*1000/CC$18</f>
        <v>1725.5960076064919</v>
      </c>
      <c r="CD45" s="12">
        <f>VLOOKUP($BP$2,Luokittelut!$A$3:'Luokittelut'!$MJ$20,236)*1000/CD$19</f>
        <v>1588.7431328639784</v>
      </c>
      <c r="CE45" s="192">
        <f>(VLOOKUP($BP$2,Luokittelut!$A$3:'Luokittelut'!$MJ$20,237)*1000/CE$20)/2</f>
        <v>1641.7189493088295</v>
      </c>
      <c r="CF45" s="192">
        <f>(VLOOKUP($BP$2,Luokittelut!$A$3:'Luokittelut'!$MJ$20,238)*1000/CF$21)/2</f>
        <v>1582.3926958055711</v>
      </c>
      <c r="CG45" s="192">
        <f>(VLOOKUP($BP$2,Luokittelut!$A$3:'Luokittelut'!$MJ$20,239)*1000/CG$22)/2</f>
        <v>1493.5567876012124</v>
      </c>
      <c r="CH45" s="12">
        <f>VLOOKUP($BP$2,Luokittelut!$A$3:'Luokittelut'!$MJ$20,315)*1000/CH$23</f>
        <v>1486.039233856085</v>
      </c>
      <c r="CI45" s="12">
        <f>VLOOKUP($BP$2,Luokittelut!$A$3:'Luokittelut'!$MJ$20,331)*1000/CI$24</f>
        <v>1519.1229512518528</v>
      </c>
      <c r="CJ45" s="12">
        <f>VLOOKUP($BP$2,Luokittelut!$A$3:'Luokittelut'!$MJ$20,347)*1000/CJ$25</f>
        <v>1368.7960473310748</v>
      </c>
      <c r="CL45" s="12">
        <f>VLOOKUP($CL$2,Luokittelut!$A$36:'Luokittelut'!$MJ$47,222)*1000/CL$5</f>
        <v>-90.870806769278303</v>
      </c>
      <c r="CM45" s="12">
        <f>VLOOKUP($CL$2,Luokittelut!$A$36:'Luokittelut'!$MJ$47,223)*1000/CM$6</f>
        <v>-51.679421119973107</v>
      </c>
      <c r="CN45" s="12">
        <f>VLOOKUP($CL$2,Luokittelut!$A$36:'Luokittelut'!$MJ$47,224)*1000/CN$7</f>
        <v>-109.40234537851065</v>
      </c>
      <c r="CO45" s="12">
        <f>VLOOKUP($CL$2,Luokittelut!$A$36:'Luokittelut'!$MJ$47,225)*1000/CO$8</f>
        <v>-88.602055835141442</v>
      </c>
      <c r="CP45" s="12">
        <f>VLOOKUP($CL$2,Luokittelut!$A$36:'Luokittelut'!$MJ$47,226)*1000/CP$9</f>
        <v>118.42494184776322</v>
      </c>
      <c r="CQ45" s="12">
        <f>VLOOKUP($CL$2,Luokittelut!$A$36:'Luokittelut'!$MJ$47,227)*1000/CQ$10</f>
        <v>137.66460908645359</v>
      </c>
      <c r="CR45" s="12">
        <f>VLOOKUP($CL$2,Luokittelut!$A$36:'Luokittelut'!$MJ$47,228)*1000/CR$11</f>
        <v>128.89522934140146</v>
      </c>
      <c r="CS45" s="12">
        <f>VLOOKUP($CL$2,Luokittelut!$A$36:'Luokittelut'!$MJ$47,229)*1000/CS$12</f>
        <v>31.322697514777854</v>
      </c>
      <c r="CT45" s="12">
        <f>VLOOKUP($CL$2,Luokittelut!$A$36:'Luokittelut'!$MJ$47,230)*1000/CT$13</f>
        <v>34.0983689339999</v>
      </c>
      <c r="CU45" s="12">
        <f>VLOOKUP($CL$2,Luokittelut!$A$36:'Luokittelut'!$MJ$47,231)*1000/CU$14</f>
        <v>39.755648514603479</v>
      </c>
      <c r="CV45" s="12">
        <f>VLOOKUP($CL$2,Luokittelut!$A$36:'Luokittelut'!$MJ$47,232)*1000/CV$15</f>
        <v>87.882752390742297</v>
      </c>
      <c r="CW45" s="12">
        <f>VLOOKUP($CL$2,Luokittelut!$A$36:'Luokittelut'!$MJ$47,233)*1000/CW$16</f>
        <v>110.6275937792721</v>
      </c>
      <c r="CX45" s="12">
        <f>VLOOKUP($CL$2,Luokittelut!$A$36:'Luokittelut'!$MJ$47,234)*1000/CX$17</f>
        <v>266.34293503627299</v>
      </c>
      <c r="CY45" s="12">
        <f>VLOOKUP($CL$2,Luokittelut!$A$36:'Luokittelut'!$MJ$47,235)*1000/CY$18</f>
        <v>312.69252472179312</v>
      </c>
      <c r="CZ45" s="12">
        <f>VLOOKUP($CL$2,Luokittelut!$A$36:'Luokittelut'!$MJ$47,236)*1000/CZ$19</f>
        <v>209.3703208473772</v>
      </c>
      <c r="DA45" s="192">
        <f>(VLOOKUP($CL$2,Luokittelut!$A$36:'Luokittelut'!$MJ$47,237)*1000/DA$20)/2</f>
        <v>236.28602249961475</v>
      </c>
      <c r="DB45" s="192">
        <f>(VLOOKUP($CL$2,Luokittelut!$A$36:'Luokittelut'!$MJ$47,238)*1000/DB$21)/2</f>
        <v>386.89736225973923</v>
      </c>
      <c r="DC45" s="192">
        <f>(VLOOKUP($CL$2,Luokittelut!$A$36:'Luokittelut'!$MJ$47,239)*1000/DC$22)/2</f>
        <v>458.74425178051774</v>
      </c>
      <c r="DD45" s="12">
        <f>VLOOKUP($CL$2,Luokittelut!$A$36:'Luokittelut'!$MJ$47,315)*1000/DD$23</f>
        <v>526.46817605686306</v>
      </c>
      <c r="DE45" s="12">
        <f>VLOOKUP($CL$2,Luokittelut!$A$36:'Luokittelut'!$MJ$47,331)*1000/DE$24</f>
        <v>662.26071530079048</v>
      </c>
      <c r="DF45" s="12">
        <f>VLOOKUP($CL$2,Luokittelut!$A$36:'Luokittelut'!$MJ$47,347)*1000/DF$25</f>
        <v>544.8020105623724</v>
      </c>
    </row>
    <row r="46" spans="1:112" x14ac:dyDescent="0.2">
      <c r="A46" s="2" t="s">
        <v>599</v>
      </c>
      <c r="B46" s="59">
        <f>VLOOKUP($B$2,Perusaineisto2!$B$2:'Perusaineisto2'!$CS$299,27)</f>
        <v>18</v>
      </c>
      <c r="C46" s="59">
        <f>VLOOKUP($B$2,Perusaineisto2!$B$2:'Perusaineisto2'!$CS$299,28)</f>
        <v>18.5</v>
      </c>
      <c r="D46" s="59">
        <f>VLOOKUP($B$2,Perusaineisto2!$B$2:'Perusaineisto2'!$CS$299,29)</f>
        <v>18.5</v>
      </c>
      <c r="E46" s="59">
        <f>VLOOKUP($B$2,Perusaineisto2!$B$2:'Perusaineisto2'!$CS$299,30)</f>
        <v>18.5</v>
      </c>
      <c r="F46" s="59">
        <f>VLOOKUP($B$2,Perusaineisto2!$B$2:'Perusaineisto2'!$CS$299,31)</f>
        <v>19</v>
      </c>
      <c r="G46" s="59">
        <f>VLOOKUP($B$2,Perusaineisto2!$B$2:'Perusaineisto2'!$CS$299,32)</f>
        <v>19.25</v>
      </c>
      <c r="H46" s="59">
        <f>VLOOKUP($B$2,Perusaineisto2!$B$2:'Perusaineisto2'!$CS$299,33)</f>
        <v>19.25</v>
      </c>
      <c r="I46" s="59">
        <f>VLOOKUP($B$2,Perusaineisto2!$B$2:'Perusaineisto2'!$CS$299,34)</f>
        <v>19.5</v>
      </c>
      <c r="J46" s="59">
        <f>VLOOKUP($B$2,Perusaineisto2!$B$2:'Perusaineisto2'!$CS$299,35)</f>
        <v>19.75</v>
      </c>
      <c r="K46" s="59">
        <f>VLOOKUP($B$2,Perusaineisto2!$B$2:'Perusaineisto2'!$CS$299,36)</f>
        <v>19.5</v>
      </c>
      <c r="L46" s="59">
        <f>VLOOKUP($B$2,Perusaineisto2!$B$2:'Perusaineisto2'!$CS$299,37)</f>
        <v>19.75</v>
      </c>
      <c r="M46" s="59">
        <f>VLOOKUP($B$2,Perusaineisto2!$B$2:'Perusaineisto2'!$CS$299,38)</f>
        <v>19.75</v>
      </c>
      <c r="N46" s="59">
        <f>VLOOKUP($B$2,Perusaineisto2!$B$2:'Perusaineisto2'!$CS$299,39)</f>
        <v>19.75</v>
      </c>
      <c r="O46" s="59">
        <f>VLOOKUP($B$2,Perusaineisto2!$B$2:'Perusaineisto2'!$CS$299,40)</f>
        <v>19.75</v>
      </c>
      <c r="P46" s="59">
        <f>VLOOKUP($B$2,Perusaineisto2!$B$2:'Perusaineisto2'!$CS$299,41)</f>
        <v>19.75</v>
      </c>
      <c r="Q46" s="59">
        <f>VLOOKUP($B$2,Perusaineisto2!$B$2:'Perusaineisto2'!$CS$299,42)</f>
        <v>20.5</v>
      </c>
      <c r="R46" s="59">
        <f>VLOOKUP($B$2,Perusaineisto2!$B$2:'Perusaineisto2'!$CS$299,43)</f>
        <v>21</v>
      </c>
      <c r="S46" s="59">
        <f>VLOOKUP($B$2,Perusaineisto2!$B$2:'Perusaineisto2'!$CS$299,44)</f>
        <v>21.25</v>
      </c>
      <c r="T46" s="59">
        <f>VLOOKUP($B$2,Perusaineisto2!$B$3:'Perusaineisto2'!$DI$299,112)</f>
        <v>21.25</v>
      </c>
      <c r="U46" s="59">
        <f>VLOOKUP($B$2,Perusaineisto2!$B$3:'Perusaineisto2'!$DY$298,128)</f>
        <v>21.25</v>
      </c>
      <c r="V46" s="59">
        <f>VLOOKUP($B$2,Perusaineisto2!$B$3:'Perusaineisto2'!$EP$298,145)</f>
        <v>21.75</v>
      </c>
      <c r="X46" s="59">
        <f>VLOOKUP($X$2,Perusaineisto2!$B$2:'Perusaineisto2'!$CS$299,27)</f>
        <v>18</v>
      </c>
      <c r="Y46" s="59">
        <f>VLOOKUP($X$2,Perusaineisto2!$B$2:'Perusaineisto2'!$CS$299,28)</f>
        <v>18</v>
      </c>
      <c r="Z46" s="59">
        <f>VLOOKUP($X$2,Perusaineisto2!$B$2:'Perusaineisto2'!$CS$299,29)</f>
        <v>18</v>
      </c>
      <c r="AA46" s="59">
        <f>VLOOKUP($X$2,Perusaineisto2!$B$2:'Perusaineisto2'!$CS$299,30)</f>
        <v>18</v>
      </c>
      <c r="AB46" s="59">
        <f>VLOOKUP($X$2,Perusaineisto2!$B$2:'Perusaineisto2'!$CS$299,31)</f>
        <v>18.5</v>
      </c>
      <c r="AC46" s="59">
        <f>VLOOKUP($X$2,Perusaineisto2!$B$2:'Perusaineisto2'!$CS$299,32)</f>
        <v>18.5</v>
      </c>
      <c r="AD46" s="59">
        <f>VLOOKUP($X$2,Perusaineisto2!$B$2:'Perusaineisto2'!$CS$299,33)</f>
        <v>18.5</v>
      </c>
      <c r="AE46" s="59">
        <f>VLOOKUP($X$2,Perusaineisto2!$B$2:'Perusaineisto2'!$CS$299,34)</f>
        <v>19</v>
      </c>
      <c r="AF46" s="59">
        <f>VLOOKUP($X$2,Perusaineisto2!$B$2:'Perusaineisto2'!$CS$299,35)</f>
        <v>19</v>
      </c>
      <c r="AG46" s="59">
        <f>VLOOKUP($X$2,Perusaineisto2!$B$2:'Perusaineisto2'!$CS$299,36)</f>
        <v>19</v>
      </c>
      <c r="AH46" s="59">
        <f>VLOOKUP($X$2,Perusaineisto2!$B$2:'Perusaineisto2'!$CS$299,37)</f>
        <v>19.75</v>
      </c>
      <c r="AI46" s="59">
        <f>VLOOKUP($X$2,Perusaineisto2!$B$2:'Perusaineisto2'!$CS$299,38)</f>
        <v>19.75</v>
      </c>
      <c r="AJ46" s="59">
        <f>VLOOKUP($X$2,Perusaineisto2!$B$2:'Perusaineisto2'!$CS$299,39)</f>
        <v>19.75</v>
      </c>
      <c r="AK46" s="59">
        <f>VLOOKUP($X$2,Perusaineisto2!$B$2:'Perusaineisto2'!$CS$299,40)</f>
        <v>20.5</v>
      </c>
      <c r="AL46" s="59">
        <f>VLOOKUP($X$2,Perusaineisto2!$B$2:'Perusaineisto2'!$CS$299,41)</f>
        <v>21</v>
      </c>
      <c r="AM46" s="59">
        <f>VLOOKUP($X$2,Perusaineisto2!$B$2:'Perusaineisto2'!$CS$299,42)</f>
        <v>21</v>
      </c>
      <c r="AN46" s="59">
        <f>VLOOKUP($X$2,Perusaineisto2!$B$2:'Perusaineisto2'!$CS$299,43)</f>
        <v>21</v>
      </c>
      <c r="AO46" s="59">
        <f>VLOOKUP($X$2,Perusaineisto2!$B$2:'Perusaineisto2'!$CS$299,44)</f>
        <v>21.5</v>
      </c>
      <c r="AP46" s="59">
        <f>VLOOKUP($X$2,Perusaineisto2!$B$3:'Perusaineisto2'!$DI$299,112)</f>
        <v>21.5</v>
      </c>
      <c r="AQ46" s="59">
        <f>VLOOKUP($X$2,Perusaineisto2!$B$3:'Perusaineisto2'!$DY$298,128)</f>
        <v>21.5</v>
      </c>
      <c r="AR46" s="59">
        <f>VLOOKUP($X$2,Perusaineisto2!$B$3:'Perusaineisto2'!$EP$298,145)</f>
        <v>21.5</v>
      </c>
      <c r="AT46" s="59">
        <f>VLOOKUP($AT$2,Luokittelut!$A$25:'Luokittelut'!$MJ$31,240)</f>
        <v>17.951219512195124</v>
      </c>
      <c r="AU46" s="59">
        <f>VLOOKUP($AT$2,Luokittelut!$A$25:'Luokittelut'!$MJ$31,241)</f>
        <v>18.140243902439025</v>
      </c>
      <c r="AV46" s="59">
        <f>VLOOKUP($AT$2,Luokittelut!$A$25:'Luokittelut'!$MJ$31,242)</f>
        <v>18.146341463414632</v>
      </c>
      <c r="AW46" s="59">
        <f>VLOOKUP($AT$2,Luokittelut!$A$25:'Luokittelut'!$MJ$31,243)</f>
        <v>18.189024390243901</v>
      </c>
      <c r="AX46" s="59">
        <f>VLOOKUP($AT$2,Luokittelut!$A$25:'Luokittelut'!$MJ$31,244)</f>
        <v>18.310975609756099</v>
      </c>
      <c r="AY46" s="59">
        <f>VLOOKUP($AT$2,Luokittelut!$A$25:'Luokittelut'!$MJ$31,245)</f>
        <v>18.432926829268293</v>
      </c>
      <c r="AZ46" s="59">
        <f>VLOOKUP($AT$2,Luokittelut!$A$25:'Luokittelut'!$MJ$31,246)</f>
        <v>18.512195121951219</v>
      </c>
      <c r="BA46" s="59">
        <f>VLOOKUP($AT$2,Luokittelut!$A$25:'Luokittelut'!$MJ$31,247)</f>
        <v>18.689024390243901</v>
      </c>
      <c r="BB46" s="59">
        <f>VLOOKUP($AT$2,Luokittelut!$A$25:'Luokittelut'!$MJ$31,248)</f>
        <v>18.896341463414632</v>
      </c>
      <c r="BC46" s="59">
        <f>VLOOKUP($AT$2,Luokittelut!$A$25:'Luokittelut'!$MJ$31,249)</f>
        <v>18.987804878048781</v>
      </c>
      <c r="BD46" s="59">
        <f>VLOOKUP($AT$2,Luokittelut!$A$25:'Luokittelut'!$MJ$31,250)</f>
        <v>19.103658536585368</v>
      </c>
      <c r="BE46" s="59">
        <f>VLOOKUP($AT$2,Luokittelut!$A$25:'Luokittelut'!$MJ$31,251)</f>
        <v>19.329268292682926</v>
      </c>
      <c r="BF46" s="59">
        <f>VLOOKUP($AT$2,Luokittelut!$A$25:'Luokittelut'!$MJ$31,252)</f>
        <v>19.682926829268293</v>
      </c>
      <c r="BG46" s="59">
        <f>VLOOKUP($AT$2,Luokittelut!$A$25:'Luokittelut'!$MJ$31,253)</f>
        <v>19.762195121951219</v>
      </c>
      <c r="BH46" s="59">
        <f>VLOOKUP($AT$2,Luokittelut!$A$25:'Luokittelut'!$MJ$31,254)</f>
        <v>19.926829268292682</v>
      </c>
      <c r="BI46" s="193">
        <f>VLOOKUP($AT$2,Luokittelut!$A$25:'Luokittelut'!$MJ$31,255)</f>
        <v>20.195121951219512</v>
      </c>
      <c r="BJ46" s="193">
        <f>VLOOKUP($AT$2,Luokittelut!$A$25:'Luokittelut'!$MJ$31,256)</f>
        <v>20.567073170731707</v>
      </c>
      <c r="BK46" s="193">
        <f>VLOOKUP($AT$2,Luokittelut!$A$25:'Luokittelut'!$MJ$31,257)</f>
        <v>20.707317073170731</v>
      </c>
      <c r="BL46" s="59">
        <f>VLOOKUP($AT$2,Luokittelut!$A$25:'Luokittelut'!$MJ$31,316)</f>
        <v>20.73170731707317</v>
      </c>
      <c r="BM46" s="59">
        <f>VLOOKUP($AT$2,Luokittelut!$A$25:'Luokittelut'!$MJ$31,332)</f>
        <v>20.810975609756099</v>
      </c>
      <c r="BN46" s="59">
        <f>VLOOKUP($AT$2,Luokittelut!$A$25:'Luokittelut'!$MJ$31,348)</f>
        <v>20.859756097560975</v>
      </c>
      <c r="BP46" s="59">
        <f>VLOOKUP($BP$2,Luokittelut!$A$3:'Luokittelut'!$MJ$20,240)</f>
        <v>17.59090909090909</v>
      </c>
      <c r="BQ46" s="59">
        <f>VLOOKUP($BP$2,Luokittelut!$A$3:'Luokittelut'!$MJ$20,241)</f>
        <v>17.818181818181817</v>
      </c>
      <c r="BR46" s="59">
        <f>VLOOKUP($BP$2,Luokittelut!$A$3:'Luokittelut'!$MJ$20,242)</f>
        <v>17.818181818181817</v>
      </c>
      <c r="BS46" s="59">
        <f>VLOOKUP($BP$2,Luokittelut!$A$3:'Luokittelut'!$MJ$20,243)</f>
        <v>17.852272727272727</v>
      </c>
      <c r="BT46" s="59">
        <f>VLOOKUP($BP$2,Luokittelut!$A$3:'Luokittelut'!$MJ$20,244)</f>
        <v>18.03409090909091</v>
      </c>
      <c r="BU46" s="59">
        <f>VLOOKUP($BP$2,Luokittelut!$A$3:'Luokittelut'!$MJ$20,245)</f>
        <v>18.238636363636363</v>
      </c>
      <c r="BV46" s="59">
        <f>VLOOKUP($BP$2,Luokittelut!$A$3:'Luokittelut'!$MJ$20,246)</f>
        <v>18.386363636363637</v>
      </c>
      <c r="BW46" s="59">
        <f>VLOOKUP($BP$2,Luokittelut!$A$3:'Luokittelut'!$MJ$20,247)</f>
        <v>18.511363636363637</v>
      </c>
      <c r="BX46" s="59">
        <f>VLOOKUP($BP$2,Luokittelut!$A$3:'Luokittelut'!$MJ$20,248)</f>
        <v>18.761363636363637</v>
      </c>
      <c r="BY46" s="59">
        <f>VLOOKUP($BP$2,Luokittelut!$A$3:'Luokittelut'!$MJ$20,249)</f>
        <v>19</v>
      </c>
      <c r="BZ46" s="59">
        <f>VLOOKUP($BP$2,Luokittelut!$A$3:'Luokittelut'!$MJ$20,250)</f>
        <v>19.272727272727273</v>
      </c>
      <c r="CA46" s="59">
        <f>VLOOKUP($BP$2,Luokittelut!$A$3:'Luokittelut'!$MJ$20,251)</f>
        <v>19.40909090909091</v>
      </c>
      <c r="CB46" s="59">
        <f>VLOOKUP($BP$2,Luokittelut!$A$3:'Luokittelut'!$MJ$20,252)</f>
        <v>19.806818181818183</v>
      </c>
      <c r="CC46" s="59">
        <f>VLOOKUP($BP$2,Luokittelut!$A$3:'Luokittelut'!$MJ$20,253)</f>
        <v>19.897727272727273</v>
      </c>
      <c r="CD46" s="59">
        <f>VLOOKUP($BP$2,Luokittelut!$A$3:'Luokittelut'!$MJ$20,254)</f>
        <v>19.988636363636363</v>
      </c>
      <c r="CE46" s="193">
        <f>VLOOKUP($BP$2,Luokittelut!$A$3:'Luokittelut'!$MJ$20,255)</f>
        <v>20.295454545454547</v>
      </c>
      <c r="CF46" s="193">
        <f>VLOOKUP($BP$2,Luokittelut!$A$3:'Luokittelut'!$MJ$20,256)</f>
        <v>20.647727272727273</v>
      </c>
      <c r="CG46" s="193">
        <f>VLOOKUP($BP$2,Luokittelut!$A$3:'Luokittelut'!$MJ$20,257)</f>
        <v>20.96590909090909</v>
      </c>
      <c r="CH46" s="59">
        <f>VLOOKUP($BP$2,Luokittelut!$A$3:'Luokittelut'!$MJ$20,316)</f>
        <v>20.988636363636363</v>
      </c>
      <c r="CI46" s="59">
        <f>VLOOKUP($BP$2,Luokittelut!$A$3:'Luokittelut'!$MJ$20,332)</f>
        <v>21.022727272727273</v>
      </c>
      <c r="CJ46" s="59">
        <f>VLOOKUP($BP$2,Luokittelut!$A$3:'Luokittelut'!$MJ$20,348)</f>
        <v>21.147727272727273</v>
      </c>
      <c r="CL46" s="59">
        <f>VLOOKUP($CL$2,Luokittelut!$A$36:'Luokittelut'!$MJ$47,240)</f>
        <v>17.956521739130434</v>
      </c>
      <c r="CM46" s="59">
        <f>VLOOKUP($CL$2,Luokittelut!$A$36:'Luokittelut'!$MJ$47,241)</f>
        <v>18.173913043478262</v>
      </c>
      <c r="CN46" s="59">
        <f>VLOOKUP($CL$2,Luokittelut!$A$36:'Luokittelut'!$MJ$47,242)</f>
        <v>18.152173913043477</v>
      </c>
      <c r="CO46" s="59">
        <f>VLOOKUP($CL$2,Luokittelut!$A$36:'Luokittelut'!$MJ$47,243)</f>
        <v>18.217391304347824</v>
      </c>
      <c r="CP46" s="59">
        <f>VLOOKUP($CL$2,Luokittelut!$A$36:'Luokittelut'!$MJ$47,244)</f>
        <v>18.326086956521738</v>
      </c>
      <c r="CQ46" s="59">
        <f>VLOOKUP($CL$2,Luokittelut!$A$36:'Luokittelut'!$MJ$47,245)</f>
        <v>18.445652173913043</v>
      </c>
      <c r="CR46" s="59">
        <f>VLOOKUP($CL$2,Luokittelut!$A$36:'Luokittelut'!$MJ$47,246)</f>
        <v>18.521739130434781</v>
      </c>
      <c r="CS46" s="59">
        <f>VLOOKUP($CL$2,Luokittelut!$A$36:'Luokittelut'!$MJ$47,247)</f>
        <v>18.728260869565219</v>
      </c>
      <c r="CT46" s="59">
        <f>VLOOKUP($CL$2,Luokittelut!$A$36:'Luokittelut'!$MJ$47,248)</f>
        <v>18.913043478260871</v>
      </c>
      <c r="CU46" s="59">
        <f>VLOOKUP($CL$2,Luokittelut!$A$36:'Luokittelut'!$MJ$47,249)</f>
        <v>19.076086956521738</v>
      </c>
      <c r="CV46" s="59">
        <f>VLOOKUP($CL$2,Luokittelut!$A$36:'Luokittelut'!$MJ$47,250)</f>
        <v>19.271739130434781</v>
      </c>
      <c r="CW46" s="59">
        <f>VLOOKUP($CL$2,Luokittelut!$A$36:'Luokittelut'!$MJ$47,251)</f>
        <v>19.423913043478262</v>
      </c>
      <c r="CX46" s="59">
        <f>VLOOKUP($CL$2,Luokittelut!$A$36:'Luokittelut'!$MJ$47,252)</f>
        <v>19.771739130434781</v>
      </c>
      <c r="CY46" s="59">
        <f>VLOOKUP($CL$2,Luokittelut!$A$36:'Luokittelut'!$MJ$47,253)</f>
        <v>19.815217391304348</v>
      </c>
      <c r="CZ46" s="59">
        <f>VLOOKUP($CL$2,Luokittelut!$A$36:'Luokittelut'!$MJ$47,254)</f>
        <v>20.032608695652176</v>
      </c>
      <c r="DA46" s="193">
        <f>VLOOKUP($CL$2,Luokittelut!$A$36:'Luokittelut'!$MJ$47,255)</f>
        <v>20.260869565217391</v>
      </c>
      <c r="DB46" s="193">
        <f>VLOOKUP($CL$2,Luokittelut!$A$36:'Luokittelut'!$MJ$47,256)</f>
        <v>20.673913043478262</v>
      </c>
      <c r="DC46" s="193">
        <f>VLOOKUP($CL$2,Luokittelut!$A$36:'Luokittelut'!$MJ$47,257)</f>
        <v>21</v>
      </c>
      <c r="DD46" s="59">
        <f>VLOOKUP($CL$2,Luokittelut!$A$36:'Luokittelut'!$MJ$47,316)</f>
        <v>21.010869565217391</v>
      </c>
      <c r="DE46" s="59">
        <f>VLOOKUP($CL$2,Luokittelut!$A$36:'Luokittelut'!$MJ$47,332)</f>
        <v>21.086956521739129</v>
      </c>
      <c r="DF46" s="59">
        <f>VLOOKUP($CL$2,Luokittelut!$A$36:'Luokittelut'!$MJ$47,348)</f>
        <v>21.152173913043477</v>
      </c>
    </row>
    <row r="47" spans="1:112" x14ac:dyDescent="0.2">
      <c r="B47" s="11"/>
      <c r="E47" s="2"/>
    </row>
    <row r="48" spans="1:112" x14ac:dyDescent="0.2">
      <c r="A48" s="7" t="s">
        <v>439</v>
      </c>
    </row>
    <row r="50" spans="1:110" x14ac:dyDescent="0.2">
      <c r="A50" s="2" t="s">
        <v>440</v>
      </c>
      <c r="B50" s="12">
        <f>VLOOKUP($B$2,Perusaineisto!$B$3:'Perusaineisto'!$EF$321,2)</f>
        <v>6</v>
      </c>
      <c r="Z50" s="13"/>
      <c r="AI50" s="1"/>
      <c r="AJ50" s="1"/>
      <c r="AK50" s="1"/>
      <c r="AL50" s="1"/>
      <c r="AM50" s="1"/>
      <c r="AN50" s="1"/>
      <c r="AO50" s="1"/>
      <c r="AP50" s="1"/>
      <c r="AQ50" s="1"/>
      <c r="AR50" s="1"/>
      <c r="AS50" s="1"/>
      <c r="AT50" s="24"/>
      <c r="AU50" s="24"/>
      <c r="AV50" s="24"/>
      <c r="AW50" s="24"/>
      <c r="AX50" s="24"/>
      <c r="AY50" s="24"/>
      <c r="AZ50" s="24"/>
      <c r="BA50" s="24"/>
      <c r="BB50" s="24"/>
      <c r="BC50" s="24"/>
      <c r="BD50" s="24"/>
      <c r="BE50" s="24"/>
      <c r="BF50" s="24"/>
      <c r="BG50" s="24"/>
      <c r="BH50" s="24"/>
      <c r="BI50" s="44"/>
      <c r="BJ50" s="44"/>
      <c r="BK50" s="44"/>
      <c r="BL50" s="24"/>
      <c r="BM50" s="24"/>
      <c r="BN50" s="24"/>
      <c r="BO50" s="24"/>
      <c r="BP50" s="24"/>
      <c r="BQ50" s="24"/>
      <c r="BR50" s="24"/>
      <c r="BS50" s="24"/>
      <c r="BT50" s="24"/>
      <c r="BU50" s="24"/>
      <c r="BV50" s="24"/>
      <c r="BW50" s="24"/>
      <c r="BX50" s="24"/>
      <c r="BY50" s="24"/>
      <c r="BZ50" s="24"/>
      <c r="CA50" s="24"/>
      <c r="CB50" s="24"/>
      <c r="CC50" s="24"/>
      <c r="CD50" s="24"/>
      <c r="CE50" s="24"/>
      <c r="CF50" s="24"/>
      <c r="CL50" s="24"/>
      <c r="CM50" s="24"/>
      <c r="CN50" s="24"/>
      <c r="CO50" s="24"/>
      <c r="CP50" s="24"/>
      <c r="CQ50" s="24"/>
      <c r="CR50" s="24"/>
      <c r="CS50" s="24"/>
      <c r="CT50" s="24"/>
      <c r="CU50" s="24"/>
      <c r="CV50" s="24"/>
      <c r="CW50" s="24"/>
      <c r="CX50" s="24"/>
      <c r="CY50" s="24"/>
      <c r="CZ50" s="24"/>
      <c r="DA50" s="24"/>
      <c r="DB50" s="24"/>
      <c r="DC50" s="24"/>
      <c r="DD50" s="24"/>
      <c r="DE50" s="24"/>
      <c r="DF50" s="24"/>
    </row>
    <row r="51" spans="1:110" x14ac:dyDescent="0.2">
      <c r="A51" s="2" t="s">
        <v>126</v>
      </c>
      <c r="B51" s="12" t="str">
        <f>VLOOKUP($B$2,Perusaineisto!$B$3:'Perusaineisto'!$EF$321,3)</f>
        <v>Pirkanmaa</v>
      </c>
      <c r="Z51" s="13"/>
      <c r="AA51" s="12"/>
      <c r="AB51" s="12"/>
      <c r="AC51" s="12"/>
      <c r="AD51" s="12"/>
      <c r="AE51" s="12"/>
      <c r="AF51" s="12"/>
      <c r="AG51" s="12"/>
      <c r="AH51" s="12"/>
      <c r="AI51" s="12"/>
      <c r="AJ51" s="12"/>
      <c r="AK51" s="12"/>
      <c r="AL51" s="12"/>
      <c r="AM51" s="12"/>
      <c r="AN51" s="12"/>
      <c r="AO51" s="12"/>
      <c r="AP51" s="12"/>
      <c r="AQ51" s="12"/>
      <c r="AR51" s="12"/>
    </row>
    <row r="52" spans="1:110" x14ac:dyDescent="0.2">
      <c r="A52" s="2" t="s">
        <v>441</v>
      </c>
      <c r="B52" s="12">
        <f>VLOOKUP($B$2,Perusaineisto!$B$3:'Perusaineisto'!$EF$321,4)</f>
        <v>4</v>
      </c>
    </row>
    <row r="53" spans="1:110" x14ac:dyDescent="0.2">
      <c r="A53" s="2" t="s">
        <v>442</v>
      </c>
      <c r="B53" s="12" t="str">
        <f>VLOOKUP($B$2,Perusaineisto!$B$3:'Perusaineisto'!$EF$321,5)</f>
        <v>10 000-20 000 as</v>
      </c>
    </row>
    <row r="54" spans="1:110" x14ac:dyDescent="0.2">
      <c r="A54" s="2" t="s">
        <v>443</v>
      </c>
      <c r="B54" s="12" t="str">
        <f>VLOOKUP($B$2,Perusaineisto!$B$3:'Perusaineisto'!$EF$321,6)</f>
        <v>1</v>
      </c>
      <c r="C54" s="12"/>
      <c r="D54" s="12"/>
      <c r="E54" s="12"/>
      <c r="F54" s="12"/>
      <c r="G54" s="12"/>
      <c r="H54" s="12"/>
      <c r="I54" s="12"/>
      <c r="J54" s="12"/>
      <c r="K54" s="12"/>
      <c r="L54" s="12"/>
      <c r="M54" s="12"/>
      <c r="N54" s="12"/>
      <c r="O54" s="12"/>
      <c r="P54" s="12"/>
      <c r="Q54" s="12"/>
      <c r="R54" s="12"/>
      <c r="S54" s="12"/>
      <c r="T54" s="12"/>
      <c r="U54" s="12"/>
      <c r="V54" s="12"/>
      <c r="X54" s="12"/>
      <c r="Y54" s="12"/>
      <c r="Z54" s="12"/>
      <c r="AA54" s="12"/>
      <c r="AB54" s="12"/>
      <c r="AC54" s="12"/>
      <c r="AD54" s="12"/>
      <c r="AE54" s="14"/>
      <c r="AF54" s="14"/>
      <c r="AG54" s="14"/>
      <c r="AH54" s="14"/>
      <c r="AI54" s="14"/>
      <c r="AJ54" s="14"/>
      <c r="AK54" s="14"/>
      <c r="AL54" s="14"/>
      <c r="AM54" s="14"/>
      <c r="AN54" s="14"/>
      <c r="AO54" s="14"/>
      <c r="AP54" s="14"/>
      <c r="AQ54" s="14"/>
      <c r="AR54" s="14"/>
    </row>
    <row r="55" spans="1:110" x14ac:dyDescent="0.2">
      <c r="A55" s="2" t="s">
        <v>444</v>
      </c>
      <c r="B55" s="12" t="str">
        <f>VLOOKUP($B$2,Perusaineisto!$B$3:'Perusaineisto'!$EF$321,7)</f>
        <v>Kaupunkimainen kunta</v>
      </c>
      <c r="C55" s="12"/>
      <c r="D55" s="12"/>
      <c r="E55" s="12"/>
      <c r="F55" s="12"/>
      <c r="G55" s="12"/>
      <c r="H55" s="12"/>
      <c r="I55" s="12"/>
      <c r="J55" s="12"/>
      <c r="K55" s="12"/>
      <c r="L55" s="12"/>
      <c r="M55" s="12"/>
      <c r="N55" s="12"/>
      <c r="O55" s="12"/>
      <c r="P55" s="12"/>
      <c r="Q55" s="12"/>
      <c r="R55" s="12"/>
      <c r="S55" s="12"/>
      <c r="T55" s="12"/>
      <c r="U55" s="12"/>
      <c r="V55" s="12"/>
      <c r="X55" s="12"/>
      <c r="Y55" s="12"/>
      <c r="Z55" s="12"/>
      <c r="AA55" s="12"/>
      <c r="AB55" s="12"/>
      <c r="AC55" s="12"/>
      <c r="AD55" s="12"/>
      <c r="AE55" s="12"/>
      <c r="AF55" s="12"/>
      <c r="AG55" s="12"/>
      <c r="AH55" s="12"/>
      <c r="AI55" s="12"/>
      <c r="AJ55" s="12"/>
      <c r="AK55" s="12"/>
      <c r="AL55" s="12"/>
      <c r="AM55" s="12"/>
      <c r="AN55" s="12"/>
      <c r="AO55" s="12"/>
      <c r="AP55" s="12"/>
      <c r="AQ55" s="12"/>
      <c r="AR55" s="12"/>
    </row>
    <row r="56" spans="1:110" x14ac:dyDescent="0.2">
      <c r="A56" s="2" t="s">
        <v>762</v>
      </c>
      <c r="B56" s="12">
        <f>VLOOKUP($B$2,Perusaineisto!$B$3:'Perusaineisto'!$HV$321,229)</f>
        <v>230</v>
      </c>
      <c r="C56" s="12"/>
      <c r="D56" s="12"/>
      <c r="E56" s="12"/>
      <c r="F56" s="12"/>
      <c r="G56" s="12"/>
      <c r="H56" s="12"/>
      <c r="I56" s="12"/>
      <c r="J56" s="12"/>
      <c r="K56" s="12"/>
      <c r="L56" s="12"/>
      <c r="M56" s="12"/>
      <c r="N56" s="12"/>
      <c r="O56" s="12"/>
      <c r="P56" s="12"/>
      <c r="Q56" s="12"/>
      <c r="R56" s="12"/>
      <c r="S56" s="12"/>
      <c r="T56" s="12"/>
      <c r="U56" s="12"/>
      <c r="V56" s="12"/>
      <c r="X56" s="12"/>
      <c r="Y56" s="12"/>
      <c r="Z56" s="12"/>
      <c r="AA56" s="12"/>
      <c r="AB56" s="12"/>
      <c r="AC56" s="12"/>
      <c r="AD56" s="12"/>
      <c r="AE56" s="12"/>
      <c r="AF56" s="12"/>
      <c r="AG56" s="12"/>
      <c r="AH56" s="12"/>
      <c r="AI56" s="12"/>
      <c r="AJ56" s="12"/>
      <c r="AK56" s="12"/>
      <c r="AL56" s="12"/>
      <c r="AM56" s="12"/>
      <c r="AN56" s="12"/>
      <c r="AO56" s="12"/>
      <c r="AP56" s="12"/>
      <c r="AQ56" s="12"/>
      <c r="AR56" s="12"/>
    </row>
    <row r="57" spans="1:110" x14ac:dyDescent="0.2">
      <c r="A57" s="2" t="s">
        <v>749</v>
      </c>
      <c r="B57" s="12" t="str">
        <f>VLOOKUP($B$2,Perusaineisto!$B$3:'Perusaineisto'!$HW$321,230)</f>
        <v>Taajaan as, taantuva</v>
      </c>
      <c r="C57" s="12"/>
      <c r="D57" s="12"/>
      <c r="E57" s="12"/>
      <c r="F57" s="12"/>
      <c r="G57" s="12"/>
      <c r="H57" s="12"/>
      <c r="I57" s="12"/>
      <c r="J57" s="12"/>
      <c r="K57" s="12"/>
      <c r="L57" s="12"/>
      <c r="M57" s="12"/>
      <c r="N57" s="12"/>
      <c r="O57" s="12"/>
      <c r="P57" s="12"/>
      <c r="Q57" s="12"/>
      <c r="R57" s="12"/>
      <c r="S57" s="12"/>
      <c r="T57" s="12"/>
      <c r="U57" s="12"/>
      <c r="V57" s="12"/>
      <c r="X57" s="12"/>
      <c r="Y57" s="12"/>
      <c r="Z57" s="12"/>
      <c r="AA57" s="12"/>
      <c r="AB57" s="12"/>
      <c r="AC57" s="12"/>
      <c r="AD57" s="12"/>
      <c r="AE57" s="12"/>
      <c r="AF57" s="12"/>
      <c r="AG57" s="12"/>
      <c r="AH57" s="12"/>
      <c r="AI57" s="12"/>
      <c r="AJ57" s="12"/>
      <c r="AK57" s="12"/>
      <c r="AL57" s="12"/>
      <c r="AM57" s="12"/>
      <c r="AN57" s="12"/>
      <c r="AO57" s="12"/>
      <c r="AP57" s="12"/>
      <c r="AQ57" s="12"/>
      <c r="AR57" s="12"/>
    </row>
    <row r="58" spans="1:110" x14ac:dyDescent="0.2">
      <c r="C58" s="12"/>
      <c r="D58" s="12"/>
      <c r="E58" s="12"/>
      <c r="F58" s="12"/>
      <c r="G58" s="12"/>
      <c r="H58" s="12"/>
      <c r="I58" s="12"/>
      <c r="J58" s="12"/>
      <c r="K58" s="12"/>
      <c r="L58" s="12"/>
      <c r="M58" s="12"/>
      <c r="N58" s="12"/>
      <c r="O58" s="12"/>
      <c r="P58" s="12"/>
      <c r="Q58" s="12"/>
      <c r="R58" s="12"/>
      <c r="S58" s="12"/>
      <c r="T58" s="12"/>
      <c r="U58" s="12"/>
      <c r="V58" s="12"/>
      <c r="X58" s="12"/>
      <c r="Y58" s="12"/>
      <c r="Z58" s="12"/>
      <c r="AA58" s="12"/>
      <c r="AB58" s="12"/>
      <c r="AC58" s="12"/>
      <c r="AD58" s="12"/>
      <c r="AE58" s="12"/>
      <c r="AF58" s="12"/>
      <c r="AG58" s="12"/>
      <c r="AH58" s="12"/>
      <c r="AI58" s="12"/>
      <c r="AJ58" s="12"/>
      <c r="AK58" s="12"/>
      <c r="AL58" s="12"/>
      <c r="AM58" s="12"/>
      <c r="AN58" s="12"/>
      <c r="AO58" s="12"/>
      <c r="AP58" s="12"/>
      <c r="AQ58" s="12"/>
      <c r="AR58" s="12"/>
    </row>
    <row r="59" spans="1:110" s="52" customFormat="1" x14ac:dyDescent="0.2">
      <c r="A59" s="49" t="s">
        <v>445</v>
      </c>
      <c r="B59" s="50"/>
      <c r="C59" s="50"/>
      <c r="D59" s="50"/>
      <c r="E59" s="51"/>
      <c r="F59" s="51"/>
      <c r="G59" s="51"/>
      <c r="H59" s="51"/>
      <c r="I59" s="51"/>
      <c r="J59" s="51"/>
      <c r="K59" s="51"/>
      <c r="L59" s="51"/>
      <c r="M59" s="51"/>
      <c r="N59" s="51"/>
      <c r="O59" s="51"/>
      <c r="P59" s="51"/>
      <c r="Q59" s="51"/>
      <c r="R59" s="51"/>
      <c r="S59" s="51"/>
      <c r="T59" s="51"/>
      <c r="U59" s="51"/>
      <c r="V59" s="51"/>
      <c r="W59" s="51"/>
      <c r="X59" s="51"/>
      <c r="Y59" s="51"/>
      <c r="BI59" s="191"/>
      <c r="BJ59" s="191"/>
      <c r="BK59" s="191"/>
    </row>
    <row r="60" spans="1:110" s="52" customFormat="1" x14ac:dyDescent="0.2">
      <c r="A60" s="52" t="s">
        <v>684</v>
      </c>
      <c r="B60" s="50"/>
      <c r="C60" s="50"/>
      <c r="D60" s="50"/>
      <c r="E60" s="50"/>
      <c r="F60" s="50"/>
      <c r="G60" s="50"/>
      <c r="H60" s="50"/>
      <c r="I60" s="50"/>
      <c r="J60" s="50"/>
      <c r="K60" s="50"/>
      <c r="L60" s="50"/>
      <c r="M60" s="50"/>
      <c r="N60" s="50"/>
      <c r="O60" s="50"/>
      <c r="P60" s="50"/>
      <c r="Q60" s="50"/>
      <c r="R60" s="50"/>
      <c r="S60" s="50"/>
      <c r="T60" s="50"/>
      <c r="U60" s="50"/>
      <c r="V60" s="50"/>
      <c r="W60" s="50"/>
      <c r="X60" s="51"/>
      <c r="Y60" s="51"/>
      <c r="BI60" s="191"/>
      <c r="BJ60" s="191"/>
      <c r="BK60" s="191"/>
    </row>
    <row r="61" spans="1:110" s="52" customFormat="1" x14ac:dyDescent="0.2">
      <c r="A61" s="52" t="s">
        <v>685</v>
      </c>
      <c r="B61" s="53"/>
      <c r="C61" s="53"/>
      <c r="D61" s="53"/>
      <c r="BI61" s="191"/>
      <c r="BJ61" s="191"/>
      <c r="BK61" s="191"/>
    </row>
    <row r="62" spans="1:110" x14ac:dyDescent="0.2">
      <c r="B62" s="11"/>
      <c r="E62" s="2"/>
    </row>
    <row r="63" spans="1:110" x14ac:dyDescent="0.2">
      <c r="B63" s="11"/>
      <c r="C63" s="41" t="str">
        <f>B2</f>
        <v>Akaa</v>
      </c>
      <c r="E63" s="2"/>
      <c r="Y63" s="161" t="str">
        <f>X2</f>
        <v>Äänekoski</v>
      </c>
      <c r="Z63" s="11" t="str">
        <f>A27</f>
        <v>Verotulot yhteensä</v>
      </c>
      <c r="AU63" s="42" t="str">
        <f>AT2</f>
        <v>10 000-20 000 as</v>
      </c>
      <c r="AV63" s="11"/>
      <c r="BQ63" s="42" t="str">
        <f>BP2</f>
        <v>Pirkanmaa</v>
      </c>
      <c r="BR63" s="11"/>
      <c r="CM63" s="42">
        <f>CL2</f>
        <v>230</v>
      </c>
      <c r="CN63" s="11"/>
    </row>
    <row r="64" spans="1:110" x14ac:dyDescent="0.2">
      <c r="B64" s="11"/>
      <c r="C64" s="41">
        <f>C3</f>
        <v>1999</v>
      </c>
      <c r="D64" s="41">
        <f t="shared" ref="D64:V64" si="7">D3</f>
        <v>2000</v>
      </c>
      <c r="E64" s="41">
        <f t="shared" si="7"/>
        <v>2001</v>
      </c>
      <c r="F64" s="41">
        <f t="shared" si="7"/>
        <v>2002</v>
      </c>
      <c r="G64" s="41">
        <f t="shared" si="7"/>
        <v>2003</v>
      </c>
      <c r="H64" s="41">
        <f t="shared" si="7"/>
        <v>2004</v>
      </c>
      <c r="I64" s="41">
        <f t="shared" si="7"/>
        <v>2005</v>
      </c>
      <c r="J64" s="41">
        <f t="shared" si="7"/>
        <v>2006</v>
      </c>
      <c r="K64" s="41">
        <f t="shared" si="7"/>
        <v>2007</v>
      </c>
      <c r="L64" s="41">
        <f t="shared" si="7"/>
        <v>2008</v>
      </c>
      <c r="M64" s="41">
        <f t="shared" si="7"/>
        <v>2009</v>
      </c>
      <c r="N64" s="41">
        <f t="shared" si="7"/>
        <v>2010</v>
      </c>
      <c r="O64" s="41">
        <f t="shared" si="7"/>
        <v>2011</v>
      </c>
      <c r="P64" s="41">
        <f t="shared" si="7"/>
        <v>2012</v>
      </c>
      <c r="Q64" s="41">
        <f t="shared" si="7"/>
        <v>2013</v>
      </c>
      <c r="R64" s="41">
        <f t="shared" si="7"/>
        <v>2014</v>
      </c>
      <c r="S64" s="41">
        <f t="shared" si="7"/>
        <v>2015</v>
      </c>
      <c r="T64" s="41">
        <f t="shared" si="7"/>
        <v>2016</v>
      </c>
      <c r="U64" s="41">
        <f t="shared" si="7"/>
        <v>2017</v>
      </c>
      <c r="V64" s="41">
        <f t="shared" si="7"/>
        <v>2018</v>
      </c>
      <c r="Y64" s="41">
        <f>Y3</f>
        <v>1999</v>
      </c>
      <c r="Z64" s="41">
        <f t="shared" ref="Z64:AQ64" si="8">Z3</f>
        <v>2000</v>
      </c>
      <c r="AA64" s="41">
        <f t="shared" si="8"/>
        <v>2001</v>
      </c>
      <c r="AB64" s="41">
        <f t="shared" si="8"/>
        <v>2002</v>
      </c>
      <c r="AC64" s="41">
        <f t="shared" si="8"/>
        <v>2003</v>
      </c>
      <c r="AD64" s="41">
        <f t="shared" si="8"/>
        <v>2004</v>
      </c>
      <c r="AE64" s="41">
        <f t="shared" si="8"/>
        <v>2005</v>
      </c>
      <c r="AF64" s="41">
        <f t="shared" si="8"/>
        <v>2006</v>
      </c>
      <c r="AG64" s="41">
        <f t="shared" si="8"/>
        <v>2007</v>
      </c>
      <c r="AH64" s="41">
        <f t="shared" si="8"/>
        <v>2008</v>
      </c>
      <c r="AI64" s="41">
        <f t="shared" si="8"/>
        <v>2009</v>
      </c>
      <c r="AJ64" s="41">
        <f t="shared" si="8"/>
        <v>2010</v>
      </c>
      <c r="AK64" s="41">
        <f t="shared" si="8"/>
        <v>2011</v>
      </c>
      <c r="AL64" s="41">
        <f t="shared" si="8"/>
        <v>2012</v>
      </c>
      <c r="AM64" s="41">
        <f t="shared" si="8"/>
        <v>2013</v>
      </c>
      <c r="AN64" s="41">
        <f t="shared" si="8"/>
        <v>2014</v>
      </c>
      <c r="AO64" s="41">
        <f t="shared" si="8"/>
        <v>2015</v>
      </c>
      <c r="AP64" s="41">
        <f t="shared" ref="AP64:AR64" si="9">AP3</f>
        <v>2016</v>
      </c>
      <c r="AQ64" s="41">
        <f t="shared" si="8"/>
        <v>2017</v>
      </c>
      <c r="AR64" s="41">
        <f t="shared" si="9"/>
        <v>2018</v>
      </c>
      <c r="AU64" s="41">
        <f>AU3</f>
        <v>1999</v>
      </c>
      <c r="AV64" s="41">
        <f t="shared" ref="AV64:BF64" si="10">AV3</f>
        <v>2000</v>
      </c>
      <c r="AW64" s="41">
        <f t="shared" si="10"/>
        <v>2001</v>
      </c>
      <c r="AX64" s="41">
        <f t="shared" si="10"/>
        <v>2002</v>
      </c>
      <c r="AY64" s="41">
        <f t="shared" si="10"/>
        <v>2003</v>
      </c>
      <c r="AZ64" s="41">
        <f t="shared" si="10"/>
        <v>2004</v>
      </c>
      <c r="BA64" s="41">
        <f t="shared" si="10"/>
        <v>2005</v>
      </c>
      <c r="BB64" s="41">
        <f t="shared" si="10"/>
        <v>2006</v>
      </c>
      <c r="BC64" s="41">
        <f t="shared" si="10"/>
        <v>2007</v>
      </c>
      <c r="BD64" s="41">
        <f t="shared" si="10"/>
        <v>2008</v>
      </c>
      <c r="BE64" s="41">
        <f t="shared" si="10"/>
        <v>2009</v>
      </c>
      <c r="BF64" s="41">
        <f t="shared" si="10"/>
        <v>2010</v>
      </c>
      <c r="BG64" s="41"/>
      <c r="BH64" s="41"/>
      <c r="BI64" s="194"/>
      <c r="BJ64" s="194"/>
      <c r="BK64" s="194"/>
      <c r="BL64" s="41"/>
      <c r="BM64" s="41"/>
      <c r="BN64" s="41"/>
      <c r="BQ64" s="41">
        <f>BQ3</f>
        <v>1999</v>
      </c>
      <c r="BR64" s="41">
        <f t="shared" ref="BR64:CB64" si="11">BR3</f>
        <v>2000</v>
      </c>
      <c r="BS64" s="41">
        <f t="shared" si="11"/>
        <v>2001</v>
      </c>
      <c r="BT64" s="41">
        <f t="shared" si="11"/>
        <v>2002</v>
      </c>
      <c r="BU64" s="41">
        <f t="shared" si="11"/>
        <v>2003</v>
      </c>
      <c r="BV64" s="41">
        <f t="shared" si="11"/>
        <v>2004</v>
      </c>
      <c r="BW64" s="41">
        <f t="shared" si="11"/>
        <v>2005</v>
      </c>
      <c r="BX64" s="41">
        <f t="shared" si="11"/>
        <v>2006</v>
      </c>
      <c r="BY64" s="41">
        <f t="shared" si="11"/>
        <v>2007</v>
      </c>
      <c r="BZ64" s="41">
        <f t="shared" si="11"/>
        <v>2008</v>
      </c>
      <c r="CA64" s="41">
        <f t="shared" si="11"/>
        <v>2009</v>
      </c>
      <c r="CB64" s="41">
        <f t="shared" si="11"/>
        <v>2010</v>
      </c>
      <c r="CC64" s="41"/>
      <c r="CD64" s="41"/>
      <c r="CM64" s="41">
        <f>CM3</f>
        <v>1999</v>
      </c>
      <c r="CN64" s="41">
        <f t="shared" ref="CN64:CX64" si="12">CN3</f>
        <v>2000</v>
      </c>
      <c r="CO64" s="41">
        <f t="shared" si="12"/>
        <v>2001</v>
      </c>
      <c r="CP64" s="41">
        <f t="shared" si="12"/>
        <v>2002</v>
      </c>
      <c r="CQ64" s="41">
        <f t="shared" si="12"/>
        <v>2003</v>
      </c>
      <c r="CR64" s="41">
        <f t="shared" si="12"/>
        <v>2004</v>
      </c>
      <c r="CS64" s="41">
        <f t="shared" si="12"/>
        <v>2005</v>
      </c>
      <c r="CT64" s="41">
        <f t="shared" si="12"/>
        <v>2006</v>
      </c>
      <c r="CU64" s="41">
        <f t="shared" si="12"/>
        <v>2007</v>
      </c>
      <c r="CV64" s="41">
        <f t="shared" si="12"/>
        <v>2008</v>
      </c>
      <c r="CW64" s="41">
        <f t="shared" si="12"/>
        <v>2009</v>
      </c>
      <c r="CX64" s="41">
        <f t="shared" si="12"/>
        <v>2010</v>
      </c>
      <c r="CY64" s="41"/>
      <c r="CZ64" s="41"/>
      <c r="DA64" s="41"/>
      <c r="DB64" s="41"/>
      <c r="DC64" s="41"/>
      <c r="DD64" s="41"/>
      <c r="DE64" s="41"/>
      <c r="DF64" s="41"/>
    </row>
    <row r="65" spans="1:110" x14ac:dyDescent="0.2">
      <c r="A65" s="2" t="s">
        <v>518</v>
      </c>
      <c r="C65" s="40">
        <f>(C27-B27)/B27</f>
        <v>6.6348510378926764E-2</v>
      </c>
      <c r="D65" s="40">
        <f t="shared" ref="D65:N65" si="13">(D27-C27)/C27</f>
        <v>-2.0537832829159827E-2</v>
      </c>
      <c r="E65" s="40">
        <f t="shared" si="13"/>
        <v>0.16810288678959731</v>
      </c>
      <c r="F65" s="40">
        <f t="shared" si="13"/>
        <v>7.2572181349043197E-2</v>
      </c>
      <c r="G65" s="40">
        <f t="shared" si="13"/>
        <v>-6.3620905468042527E-2</v>
      </c>
      <c r="H65" s="40">
        <f t="shared" si="13"/>
        <v>1.8304973744194007E-2</v>
      </c>
      <c r="I65" s="40">
        <f t="shared" si="13"/>
        <v>4.0906296331738881E-2</v>
      </c>
      <c r="J65" s="40">
        <f t="shared" si="13"/>
        <v>7.6300898481737614E-2</v>
      </c>
      <c r="K65" s="40">
        <f t="shared" si="13"/>
        <v>4.9393319315860933E-2</v>
      </c>
      <c r="L65" s="40">
        <f t="shared" si="13"/>
        <v>8.9959267319636382E-2</v>
      </c>
      <c r="M65" s="40">
        <f t="shared" si="13"/>
        <v>9.1915419628620515E-3</v>
      </c>
      <c r="N65" s="40">
        <f t="shared" si="13"/>
        <v>-3.5078031092979265E-3</v>
      </c>
      <c r="O65" s="40">
        <f t="shared" ref="O65:P67" si="14">(O27-N27)/N27</f>
        <v>1.731146315257481E-2</v>
      </c>
      <c r="P65" s="40">
        <f t="shared" si="14"/>
        <v>5.6831790371563438E-4</v>
      </c>
      <c r="Q65" s="40">
        <f t="shared" ref="Q65" si="15">(Q27-P27)/P27</f>
        <v>0.120673076264535</v>
      </c>
      <c r="R65" s="40">
        <f t="shared" ref="R65" si="16">(R27-Q27)/Q27</f>
        <v>1.8287041968918248E-2</v>
      </c>
      <c r="S65" s="40">
        <f t="shared" ref="S65:V65" si="17">(S27-R27)/R27</f>
        <v>2.001630470351792E-2</v>
      </c>
      <c r="T65" s="40">
        <f t="shared" si="17"/>
        <v>2.5088098874016081E-2</v>
      </c>
      <c r="U65" s="40">
        <f t="shared" si="17"/>
        <v>-3.3833642693421573E-3</v>
      </c>
      <c r="V65" s="40">
        <f t="shared" si="17"/>
        <v>1.335273733696799E-2</v>
      </c>
      <c r="Y65" s="40">
        <f>(Y27-X27)/X27</f>
        <v>0.10411450714853271</v>
      </c>
      <c r="Z65" s="40">
        <f t="shared" ref="Z65:Z67" si="18">(Z27-Y27)/Y27</f>
        <v>2.8966867107425563E-3</v>
      </c>
      <c r="AA65" s="40">
        <f t="shared" ref="AA65:AA67" si="19">(AA27-Z27)/Z27</f>
        <v>0.13541597086409621</v>
      </c>
      <c r="AB65" s="40">
        <f t="shared" ref="AB65:AB67" si="20">(AB27-AA27)/AA27</f>
        <v>-9.345563762853188E-3</v>
      </c>
      <c r="AC65" s="40">
        <f t="shared" ref="AC65:AC67" si="21">(AC27-AB27)/AB27</f>
        <v>-3.8136584067709443E-2</v>
      </c>
      <c r="AD65" s="40">
        <f t="shared" ref="AD65:AD67" si="22">(AD27-AC27)/AC27</f>
        <v>-1.2574749560649185E-2</v>
      </c>
      <c r="AE65" s="40">
        <f t="shared" ref="AE65:AE67" si="23">(AE27-AD27)/AD27</f>
        <v>6.287107620130088E-3</v>
      </c>
      <c r="AF65" s="40">
        <f t="shared" ref="AF65:AF67" si="24">(AF27-AE27)/AE27</f>
        <v>3.9113275081801575E-2</v>
      </c>
      <c r="AG65" s="40">
        <f t="shared" ref="AG65:AG67" si="25">(AG27-AF27)/AF27</f>
        <v>5.2218868980512104E-2</v>
      </c>
      <c r="AH65" s="40">
        <f t="shared" ref="AH65:AH67" si="26">(AH27-AG27)/AG27</f>
        <v>0.10326625676249419</v>
      </c>
      <c r="AI65" s="40">
        <f t="shared" ref="AI65:AI67" si="27">(AI27-AH27)/AH27</f>
        <v>-2.3509105501463975E-3</v>
      </c>
      <c r="AJ65" s="40">
        <f t="shared" ref="AJ65:AJ67" si="28">(AJ27-AI27)/AI27</f>
        <v>1.281634710031559E-2</v>
      </c>
      <c r="AK65" s="40">
        <f t="shared" ref="AK65:AK67" si="29">(AK27-AJ27)/AJ27</f>
        <v>1.151135733818801E-2</v>
      </c>
      <c r="AL65" s="40">
        <f t="shared" ref="AL65:AL67" si="30">(AL27-AK27)/AK27</f>
        <v>6.0003027062033816E-2</v>
      </c>
      <c r="AM65" s="40">
        <f t="shared" ref="AM65:AM67" si="31">(AM27-AL27)/AL27</f>
        <v>9.5134666726256326E-2</v>
      </c>
      <c r="AN65" s="40">
        <f t="shared" ref="AN65:AN67" si="32">(AN27-AM27)/AM27</f>
        <v>-2.6461212743270741E-3</v>
      </c>
      <c r="AO65" s="40">
        <f t="shared" ref="AO65:AR67" si="33">(AO27-AN27)/AN27</f>
        <v>4.1999925652909408E-2</v>
      </c>
      <c r="AP65" s="40">
        <f t="shared" si="33"/>
        <v>3.2700013027865474E-2</v>
      </c>
      <c r="AQ65" s="40">
        <f t="shared" si="33"/>
        <v>4.2768650146073464E-2</v>
      </c>
      <c r="AR65" s="40">
        <f t="shared" si="33"/>
        <v>-6.1990198929102154E-3</v>
      </c>
      <c r="AU65" s="40">
        <f>(AU27-AT27)/AT27</f>
        <v>3.5884605573936051E-2</v>
      </c>
      <c r="AV65" s="40">
        <f t="shared" ref="AV65:BD65" si="34">(AV27-AU27)/AU27</f>
        <v>-5.2439874312318153E-3</v>
      </c>
      <c r="AW65" s="40">
        <f t="shared" si="34"/>
        <v>0.11375318403992241</v>
      </c>
      <c r="AX65" s="40">
        <f t="shared" si="34"/>
        <v>2.2600039648921991E-2</v>
      </c>
      <c r="AY65" s="40">
        <f t="shared" si="34"/>
        <v>-4.3417757833083818E-2</v>
      </c>
      <c r="AZ65" s="40">
        <f t="shared" si="34"/>
        <v>1.382609002573291E-2</v>
      </c>
      <c r="BA65" s="40">
        <f t="shared" si="34"/>
        <v>3.8470259420918876E-2</v>
      </c>
      <c r="BB65" s="40">
        <f t="shared" si="34"/>
        <v>6.056631893281942E-2</v>
      </c>
      <c r="BC65" s="40">
        <f t="shared" si="34"/>
        <v>6.7600137642357241E-2</v>
      </c>
      <c r="BD65" s="40">
        <f t="shared" si="34"/>
        <v>7.8975780890363154E-2</v>
      </c>
      <c r="BE65" s="40">
        <f>(BE27-BD27)/BD27</f>
        <v>7.5215862967673384E-3</v>
      </c>
      <c r="BF65" s="40">
        <f>(BF27-BE27)/BE27</f>
        <v>3.1387449885671603E-2</v>
      </c>
      <c r="BG65" s="40"/>
      <c r="BH65" s="40"/>
      <c r="BI65" s="195"/>
      <c r="BJ65" s="195"/>
      <c r="BK65" s="195"/>
      <c r="BL65" s="40"/>
      <c r="BM65" s="40"/>
      <c r="BN65" s="40"/>
      <c r="BQ65" s="40">
        <f>(BQ27-BP27)/BP27</f>
        <v>4.301330753339383E-2</v>
      </c>
      <c r="BR65" s="40">
        <f t="shared" ref="BR65:CB65" si="35">(BR27-BQ27)/BQ27</f>
        <v>2.7038036196115368E-2</v>
      </c>
      <c r="BS65" s="40">
        <f t="shared" si="35"/>
        <v>0.1109302479805728</v>
      </c>
      <c r="BT65" s="40">
        <f t="shared" si="35"/>
        <v>2.4551657221055699E-2</v>
      </c>
      <c r="BU65" s="40">
        <f t="shared" si="35"/>
        <v>-5.3170807716875067E-2</v>
      </c>
      <c r="BV65" s="40">
        <f t="shared" si="35"/>
        <v>3.2035374411316528E-2</v>
      </c>
      <c r="BW65" s="40">
        <f t="shared" si="35"/>
        <v>3.7364399830142024E-2</v>
      </c>
      <c r="BX65" s="40">
        <f t="shared" si="35"/>
        <v>6.3410104238878717E-2</v>
      </c>
      <c r="BY65" s="40">
        <f t="shared" si="35"/>
        <v>5.4735580303219566E-2</v>
      </c>
      <c r="BZ65" s="40">
        <f t="shared" si="35"/>
        <v>8.1265258393204545E-2</v>
      </c>
      <c r="CA65" s="40">
        <f t="shared" si="35"/>
        <v>-1.6801331889219032E-3</v>
      </c>
      <c r="CB65" s="40">
        <f t="shared" si="35"/>
        <v>3.5284646445814152E-2</v>
      </c>
      <c r="CC65" s="40"/>
      <c r="CD65" s="40"/>
      <c r="CM65" s="40">
        <f>(CM27-CL27)/CL27</f>
        <v>3.8899710880065053E-2</v>
      </c>
      <c r="CN65" s="40">
        <f t="shared" ref="CN65:CN67" si="36">(CN27-CM27)/CM27</f>
        <v>-6.4584767525355507E-3</v>
      </c>
      <c r="CO65" s="40">
        <f t="shared" ref="CO65:CO67" si="37">(CO27-CN27)/CN27</f>
        <v>9.346403981600325E-2</v>
      </c>
      <c r="CP65" s="40">
        <f t="shared" ref="CP65:CP67" si="38">(CP27-CO27)/CO27</f>
        <v>4.9967651670097708E-2</v>
      </c>
      <c r="CQ65" s="40">
        <f t="shared" ref="CQ65:CQ67" si="39">(CQ27-CP27)/CP27</f>
        <v>-4.064610714227556E-2</v>
      </c>
      <c r="CR65" s="40">
        <f t="shared" ref="CR65:CR67" si="40">(CR27-CQ27)/CQ27</f>
        <v>1.9418219804389809E-2</v>
      </c>
      <c r="CS65" s="40">
        <f t="shared" ref="CS65:CS67" si="41">(CS27-CR27)/CR27</f>
        <v>4.0385944286768623E-2</v>
      </c>
      <c r="CT65" s="40">
        <f t="shared" ref="CT65:CT67" si="42">(CT27-CS27)/CS27</f>
        <v>6.4394949481058367E-2</v>
      </c>
      <c r="CU65" s="40">
        <f t="shared" ref="CU65:CU67" si="43">(CU27-CT27)/CT27</f>
        <v>6.3221646435628304E-2</v>
      </c>
      <c r="CV65" s="40">
        <f t="shared" ref="CV65:CV67" si="44">(CV27-CU27)/CU27</f>
        <v>8.56748317091479E-2</v>
      </c>
      <c r="CW65" s="40">
        <f>(CW27-CV27)/CV27</f>
        <v>7.0484478861005413E-3</v>
      </c>
      <c r="CX65" s="40">
        <f>(CX27-CW27)/CW27</f>
        <v>3.2707407416577176E-2</v>
      </c>
      <c r="CY65" s="40"/>
      <c r="CZ65" s="40"/>
      <c r="DA65" s="40"/>
      <c r="DB65" s="40"/>
      <c r="DC65" s="40"/>
      <c r="DD65" s="40"/>
      <c r="DE65" s="40"/>
      <c r="DF65" s="40"/>
    </row>
    <row r="66" spans="1:110" x14ac:dyDescent="0.2">
      <c r="A66" s="2" t="s">
        <v>519</v>
      </c>
      <c r="C66" s="40">
        <f t="shared" ref="C66:N66" si="45">(C28-B28)/B28</f>
        <v>8.3859612614041332E-2</v>
      </c>
      <c r="D66" s="40">
        <f t="shared" si="45"/>
        <v>0.11798821445720353</v>
      </c>
      <c r="E66" s="40">
        <f t="shared" si="45"/>
        <v>0.12527006730601922</v>
      </c>
      <c r="F66" s="40">
        <f t="shared" si="45"/>
        <v>3.1199998598028737E-2</v>
      </c>
      <c r="G66" s="40">
        <f t="shared" si="45"/>
        <v>-8.7532803569285361E-2</v>
      </c>
      <c r="H66" s="40">
        <f t="shared" si="45"/>
        <v>0.19080101098774288</v>
      </c>
      <c r="I66" s="40">
        <f t="shared" si="45"/>
        <v>1.8149103468327391E-2</v>
      </c>
      <c r="J66" s="40">
        <f t="shared" si="45"/>
        <v>6.0933845314994822E-2</v>
      </c>
      <c r="K66" s="40">
        <f t="shared" si="45"/>
        <v>3.9687307831299867E-2</v>
      </c>
      <c r="L66" s="40">
        <f t="shared" si="45"/>
        <v>0.12770670632595346</v>
      </c>
      <c r="M66" s="40">
        <f t="shared" si="45"/>
        <v>7.348352885363893E-2</v>
      </c>
      <c r="N66" s="40">
        <f t="shared" si="45"/>
        <v>4.6759166477111272E-2</v>
      </c>
      <c r="O66" s="40">
        <f t="shared" si="14"/>
        <v>3.2381370269787463E-2</v>
      </c>
      <c r="P66" s="40">
        <f t="shared" si="14"/>
        <v>1.4087547562358077E-2</v>
      </c>
      <c r="Q66" s="40">
        <f t="shared" ref="Q66" si="46">(Q28-P28)/P28</f>
        <v>0.10021015840956998</v>
      </c>
      <c r="R66" s="40">
        <f t="shared" ref="R66" si="47">(R28-Q28)/Q28</f>
        <v>-4.7288071686512473E-2</v>
      </c>
      <c r="S66" s="40">
        <f t="shared" ref="S66:V66" si="48">(S28-R28)/R28</f>
        <v>-2.278945413351004E-2</v>
      </c>
      <c r="T66" s="40">
        <f t="shared" si="48"/>
        <v>5.3163472924073682E-2</v>
      </c>
      <c r="U66" s="40">
        <f t="shared" si="48"/>
        <v>-1.5361303715005532E-2</v>
      </c>
      <c r="V66" s="40">
        <f t="shared" si="48"/>
        <v>-9.7923950012985105E-3</v>
      </c>
      <c r="Y66" s="40">
        <f t="shared" ref="Y66:Y67" si="49">(Y28-X28)/X28</f>
        <v>-6.7544684603032352E-3</v>
      </c>
      <c r="Z66" s="40">
        <f t="shared" si="18"/>
        <v>0.11743653404964265</v>
      </c>
      <c r="AA66" s="40">
        <f t="shared" si="19"/>
        <v>5.5299494120819519E-2</v>
      </c>
      <c r="AB66" s="40">
        <f t="shared" si="20"/>
        <v>7.5548257801174107E-2</v>
      </c>
      <c r="AC66" s="40">
        <f t="shared" si="21"/>
        <v>9.1028108284361517E-2</v>
      </c>
      <c r="AD66" s="40">
        <f t="shared" si="22"/>
        <v>0.10414459554468312</v>
      </c>
      <c r="AE66" s="40">
        <f t="shared" si="23"/>
        <v>9.9797184334498482E-2</v>
      </c>
      <c r="AF66" s="40">
        <f t="shared" si="24"/>
        <v>0.13299829372910194</v>
      </c>
      <c r="AG66" s="40">
        <f t="shared" si="25"/>
        <v>0.1209511482043809</v>
      </c>
      <c r="AH66" s="40">
        <f t="shared" si="26"/>
        <v>0.14625624510790577</v>
      </c>
      <c r="AI66" s="40">
        <f t="shared" si="27"/>
        <v>0.12762309015931059</v>
      </c>
      <c r="AJ66" s="40">
        <f t="shared" si="28"/>
        <v>5.8765845741593971E-2</v>
      </c>
      <c r="AK66" s="40">
        <f t="shared" si="29"/>
        <v>1.7076591972376619E-2</v>
      </c>
      <c r="AL66" s="40">
        <f t="shared" si="30"/>
        <v>8.5148088044822601E-2</v>
      </c>
      <c r="AM66" s="40">
        <f t="shared" si="31"/>
        <v>0.10118410209576228</v>
      </c>
      <c r="AN66" s="40">
        <f t="shared" si="32"/>
        <v>-2.7702032780989625E-2</v>
      </c>
      <c r="AO66" s="40">
        <f t="shared" si="33"/>
        <v>1.4240750416304954E-2</v>
      </c>
      <c r="AP66" s="40">
        <f t="shared" si="33"/>
        <v>0.11685187043766473</v>
      </c>
      <c r="AQ66" s="40">
        <f t="shared" si="33"/>
        <v>1.6018220799785796E-2</v>
      </c>
      <c r="AR66" s="40">
        <f t="shared" si="33"/>
        <v>-1.8566202921190118E-2</v>
      </c>
      <c r="AU66" s="40">
        <f t="shared" ref="AU66:BF66" si="50">(AU28-AT28)/AT28</f>
        <v>3.9037239586461457E-2</v>
      </c>
      <c r="AV66" s="40">
        <f t="shared" si="50"/>
        <v>8.2202732053778413E-2</v>
      </c>
      <c r="AW66" s="40">
        <f t="shared" si="50"/>
        <v>0.13725269592950418</v>
      </c>
      <c r="AX66" s="40">
        <f t="shared" si="50"/>
        <v>8.1299309578139287E-2</v>
      </c>
      <c r="AY66" s="40">
        <f t="shared" si="50"/>
        <v>5.089041075684092E-2</v>
      </c>
      <c r="AZ66" s="40">
        <f t="shared" si="50"/>
        <v>6.8720277004768821E-2</v>
      </c>
      <c r="BA66" s="40">
        <f t="shared" si="50"/>
        <v>5.0263048341878711E-2</v>
      </c>
      <c r="BB66" s="40">
        <f t="shared" si="50"/>
        <v>5.9819636716427399E-2</v>
      </c>
      <c r="BC66" s="40">
        <f t="shared" si="50"/>
        <v>3.9362609004920238E-2</v>
      </c>
      <c r="BD66" s="40">
        <f t="shared" si="50"/>
        <v>0.12213447206411773</v>
      </c>
      <c r="BE66" s="40">
        <f t="shared" si="50"/>
        <v>7.1180596555484171E-2</v>
      </c>
      <c r="BF66" s="40">
        <f t="shared" si="50"/>
        <v>5.1851037230411672E-2</v>
      </c>
      <c r="BG66" s="40"/>
      <c r="BH66" s="40"/>
      <c r="BI66" s="195"/>
      <c r="BJ66" s="195"/>
      <c r="BK66" s="195"/>
      <c r="BL66" s="40"/>
      <c r="BM66" s="40"/>
      <c r="BN66" s="40"/>
      <c r="BQ66" s="40">
        <f t="shared" ref="BQ66:CB66" si="51">(BQ28-BP28)/BP28</f>
        <v>5.6508824547122576E-2</v>
      </c>
      <c r="BR66" s="40">
        <f t="shared" si="51"/>
        <v>5.2958640726854356E-2</v>
      </c>
      <c r="BS66" s="40">
        <f t="shared" si="51"/>
        <v>8.2236793191900845E-2</v>
      </c>
      <c r="BT66" s="40">
        <f t="shared" si="51"/>
        <v>8.1715176381181379E-2</v>
      </c>
      <c r="BU66" s="40">
        <f t="shared" si="51"/>
        <v>5.6652779193039328E-2</v>
      </c>
      <c r="BV66" s="40">
        <f t="shared" si="51"/>
        <v>0.10251024795369255</v>
      </c>
      <c r="BW66" s="40">
        <f t="shared" si="51"/>
        <v>7.2454404009986303E-2</v>
      </c>
      <c r="BX66" s="40">
        <f t="shared" si="51"/>
        <v>7.5012390297046275E-2</v>
      </c>
      <c r="BY66" s="40">
        <f t="shared" si="51"/>
        <v>3.5764138715286407E-2</v>
      </c>
      <c r="BZ66" s="40">
        <f t="shared" si="51"/>
        <v>0.11625577955078434</v>
      </c>
      <c r="CA66" s="40">
        <f t="shared" si="51"/>
        <v>7.448460528737702E-2</v>
      </c>
      <c r="CB66" s="40">
        <f t="shared" si="51"/>
        <v>3.2868150700848656E-2</v>
      </c>
      <c r="CC66" s="40"/>
      <c r="CD66" s="40"/>
      <c r="CM66" s="40">
        <f t="shared" ref="CM66:CM67" si="52">(CM28-CL28)/CL28</f>
        <v>3.6139870153158844E-2</v>
      </c>
      <c r="CN66" s="40">
        <f t="shared" si="36"/>
        <v>6.5678448071946657E-2</v>
      </c>
      <c r="CO66" s="40">
        <f t="shared" si="37"/>
        <v>0.15024503848931059</v>
      </c>
      <c r="CP66" s="40">
        <f t="shared" si="38"/>
        <v>9.5582700501221335E-2</v>
      </c>
      <c r="CQ66" s="40">
        <f t="shared" si="39"/>
        <v>3.1933018046437937E-2</v>
      </c>
      <c r="CR66" s="40">
        <f t="shared" si="40"/>
        <v>4.107559672150185E-2</v>
      </c>
      <c r="CS66" s="40">
        <f t="shared" si="41"/>
        <v>5.2928165654588612E-2</v>
      </c>
      <c r="CT66" s="40">
        <f t="shared" si="42"/>
        <v>5.1243383480700289E-2</v>
      </c>
      <c r="CU66" s="40">
        <f t="shared" si="43"/>
        <v>4.4465891430613608E-2</v>
      </c>
      <c r="CV66" s="40">
        <f t="shared" si="44"/>
        <v>0.1309983423531359</v>
      </c>
      <c r="CW66" s="40">
        <f t="shared" ref="CW66:CW67" si="53">(CW28-CV28)/CV28</f>
        <v>7.3133166030500851E-2</v>
      </c>
      <c r="CX66" s="40">
        <f t="shared" ref="CX66:CX67" si="54">(CX28-CW28)/CW28</f>
        <v>5.1573518101509362E-2</v>
      </c>
      <c r="CY66" s="40"/>
      <c r="CZ66" s="40"/>
      <c r="DA66" s="40"/>
      <c r="DB66" s="40"/>
      <c r="DC66" s="40"/>
      <c r="DD66" s="40"/>
      <c r="DE66" s="40"/>
      <c r="DF66" s="40"/>
    </row>
    <row r="67" spans="1:110" x14ac:dyDescent="0.2">
      <c r="A67" s="2" t="s">
        <v>520</v>
      </c>
      <c r="C67" s="40">
        <f t="shared" ref="C67:N67" si="55">(C29-B29)/B29</f>
        <v>-0.23117676476353974</v>
      </c>
      <c r="D67" s="40">
        <f t="shared" si="55"/>
        <v>-4.5325379568545092E-2</v>
      </c>
      <c r="E67" s="40">
        <f t="shared" si="55"/>
        <v>0.10763398845321348</v>
      </c>
      <c r="F67" s="40">
        <f t="shared" si="55"/>
        <v>0.10773249579050256</v>
      </c>
      <c r="G67" s="40">
        <f t="shared" si="55"/>
        <v>6.2230311724875031E-2</v>
      </c>
      <c r="H67" s="40">
        <f t="shared" si="55"/>
        <v>4.0819007272653494E-2</v>
      </c>
      <c r="I67" s="40">
        <f t="shared" si="55"/>
        <v>4.2367129848907087E-2</v>
      </c>
      <c r="J67" s="40">
        <f t="shared" si="55"/>
        <v>4.6588423750770075E-2</v>
      </c>
      <c r="K67" s="40">
        <f t="shared" si="55"/>
        <v>0.20116193634639976</v>
      </c>
      <c r="L67" s="40">
        <f t="shared" si="55"/>
        <v>0.35775651848151596</v>
      </c>
      <c r="M67" s="40">
        <f t="shared" si="55"/>
        <v>0.12857130215218748</v>
      </c>
      <c r="N67" s="40">
        <f t="shared" si="55"/>
        <v>0.41850920930424479</v>
      </c>
      <c r="O67" s="40">
        <f t="shared" si="14"/>
        <v>-0.11869135010128916</v>
      </c>
      <c r="P67" s="40">
        <f t="shared" si="14"/>
        <v>-7.4861714667115248E-2</v>
      </c>
      <c r="Q67" s="40">
        <f t="shared" ref="Q67" si="56">(Q29-P29)/P29</f>
        <v>5.6472299481418006E-2</v>
      </c>
      <c r="R67" s="40">
        <f t="shared" ref="R67" si="57">(R29-Q29)/Q29</f>
        <v>-6.8894931524843175E-2</v>
      </c>
      <c r="S67" s="40">
        <f t="shared" ref="S67:V67" si="58">(S29-R29)/R29</f>
        <v>1.4488074012719394E-3</v>
      </c>
      <c r="T67" s="40">
        <f t="shared" si="58"/>
        <v>-1.5395656465484631E-2</v>
      </c>
      <c r="U67" s="40">
        <f t="shared" si="58"/>
        <v>-1.2282609941765981E-2</v>
      </c>
      <c r="V67" s="40">
        <f t="shared" si="58"/>
        <v>-4.1481138510678361E-2</v>
      </c>
      <c r="Y67" s="40">
        <f t="shared" si="49"/>
        <v>2.8117939307692541E-3</v>
      </c>
      <c r="Z67" s="40">
        <f t="shared" si="18"/>
        <v>6.6965710631051695E-2</v>
      </c>
      <c r="AA67" s="40">
        <f t="shared" si="19"/>
        <v>5.1273748930075427E-2</v>
      </c>
      <c r="AB67" s="40">
        <f t="shared" si="20"/>
        <v>8.2310530953179622E-3</v>
      </c>
      <c r="AC67" s="40">
        <f t="shared" si="21"/>
        <v>8.6572288490742542E-4</v>
      </c>
      <c r="AD67" s="40">
        <f t="shared" si="22"/>
        <v>-4.2641974601784517E-2</v>
      </c>
      <c r="AE67" s="40">
        <f t="shared" si="23"/>
        <v>-1.5932923371710737E-2</v>
      </c>
      <c r="AF67" s="40">
        <f t="shared" si="24"/>
        <v>0.14708933362939561</v>
      </c>
      <c r="AG67" s="40">
        <f t="shared" si="25"/>
        <v>0.36856829758182946</v>
      </c>
      <c r="AH67" s="40">
        <f t="shared" si="26"/>
        <v>-3.9266008111722144E-2</v>
      </c>
      <c r="AI67" s="40">
        <f t="shared" si="27"/>
        <v>-0.1140788134334753</v>
      </c>
      <c r="AJ67" s="40">
        <f t="shared" si="28"/>
        <v>0.12250818052323</v>
      </c>
      <c r="AK67" s="40">
        <f t="shared" si="29"/>
        <v>-6.9960492378645156E-2</v>
      </c>
      <c r="AL67" s="40">
        <f t="shared" si="30"/>
        <v>1.5198032940485967E-2</v>
      </c>
      <c r="AM67" s="40">
        <f t="shared" si="31"/>
        <v>-4.0918824100586358E-2</v>
      </c>
      <c r="AN67" s="40">
        <f t="shared" si="32"/>
        <v>2.208608819851696E-2</v>
      </c>
      <c r="AO67" s="40">
        <f t="shared" si="33"/>
        <v>0.10833512027336263</v>
      </c>
      <c r="AP67" s="40">
        <f t="shared" si="33"/>
        <v>3.1156484515028303E-3</v>
      </c>
      <c r="AQ67" s="40">
        <f t="shared" si="33"/>
        <v>0.15937657568447289</v>
      </c>
      <c r="AR67" s="40">
        <f t="shared" si="33"/>
        <v>-0.1801922493225292</v>
      </c>
      <c r="AU67" s="40">
        <f t="shared" ref="AU67:BF67" si="59">(AU29-AT29)/AT29</f>
        <v>-1.5951532173855202E-2</v>
      </c>
      <c r="AV67" s="40">
        <f t="shared" si="59"/>
        <v>4.4798418364998718E-2</v>
      </c>
      <c r="AW67" s="40">
        <f t="shared" si="59"/>
        <v>3.149614235171181E-2</v>
      </c>
      <c r="AX67" s="40">
        <f t="shared" si="59"/>
        <v>4.6798976998591611E-2</v>
      </c>
      <c r="AY67" s="40">
        <f t="shared" si="59"/>
        <v>4.9081821108416565E-2</v>
      </c>
      <c r="AZ67" s="40">
        <f t="shared" si="59"/>
        <v>3.9708904994722558E-2</v>
      </c>
      <c r="BA67" s="40">
        <f t="shared" si="59"/>
        <v>5.1541635724274427E-2</v>
      </c>
      <c r="BB67" s="40">
        <f t="shared" si="59"/>
        <v>8.0639943709653106E-2</v>
      </c>
      <c r="BC67" s="40">
        <f t="shared" si="59"/>
        <v>6.2628427196622094E-2</v>
      </c>
      <c r="BD67" s="40">
        <f t="shared" si="59"/>
        <v>5.0411584517425619E-2</v>
      </c>
      <c r="BE67" s="40">
        <f t="shared" si="59"/>
        <v>0.23479140761111367</v>
      </c>
      <c r="BF67" s="40">
        <f t="shared" si="59"/>
        <v>0.16379767905167311</v>
      </c>
      <c r="BG67" s="40"/>
      <c r="BH67" s="40"/>
      <c r="BI67" s="195"/>
      <c r="BJ67" s="195"/>
      <c r="BK67" s="195"/>
      <c r="BL67" s="40"/>
      <c r="BM67" s="40"/>
      <c r="BN67" s="40"/>
      <c r="BQ67" s="40">
        <f t="shared" ref="BQ67:CB67" si="60">(BQ29-BP29)/BP29</f>
        <v>2.6851255499631424E-2</v>
      </c>
      <c r="BR67" s="40">
        <f t="shared" si="60"/>
        <v>0.16627349766138758</v>
      </c>
      <c r="BS67" s="40">
        <f t="shared" si="60"/>
        <v>7.3510491214850482E-2</v>
      </c>
      <c r="BT67" s="40">
        <f t="shared" si="60"/>
        <v>9.4332191273034452E-3</v>
      </c>
      <c r="BU67" s="40">
        <f t="shared" si="60"/>
        <v>8.9910549316509131E-2</v>
      </c>
      <c r="BV67" s="40">
        <f t="shared" si="60"/>
        <v>2.7994815829369267E-2</v>
      </c>
      <c r="BW67" s="40">
        <f t="shared" si="60"/>
        <v>-0.12913823340610384</v>
      </c>
      <c r="BX67" s="40">
        <f t="shared" si="60"/>
        <v>0.20152996117671521</v>
      </c>
      <c r="BY67" s="40">
        <f t="shared" si="60"/>
        <v>8.1924415832099584E-2</v>
      </c>
      <c r="BZ67" s="40">
        <f t="shared" si="60"/>
        <v>0.1258350142377069</v>
      </c>
      <c r="CA67" s="40">
        <f t="shared" si="60"/>
        <v>-0.23175272267764443</v>
      </c>
      <c r="CB67" s="40">
        <f t="shared" si="60"/>
        <v>3.2684113401017983E-2</v>
      </c>
      <c r="CC67" s="40"/>
      <c r="CD67" s="40"/>
      <c r="CM67" s="40">
        <f t="shared" si="52"/>
        <v>-2.3633464549335948E-2</v>
      </c>
      <c r="CN67" s="40">
        <f t="shared" si="36"/>
        <v>2.9261054557212479E-2</v>
      </c>
      <c r="CO67" s="40">
        <f t="shared" si="37"/>
        <v>4.0045588951841585E-2</v>
      </c>
      <c r="CP67" s="40">
        <f t="shared" si="38"/>
        <v>6.0243885211142018E-2</v>
      </c>
      <c r="CQ67" s="40">
        <f t="shared" si="39"/>
        <v>4.0037999652378586E-2</v>
      </c>
      <c r="CR67" s="40">
        <f t="shared" si="40"/>
        <v>3.8723444493443865E-2</v>
      </c>
      <c r="CS67" s="40">
        <f t="shared" si="41"/>
        <v>5.4002978257332121E-2</v>
      </c>
      <c r="CT67" s="40">
        <f t="shared" si="42"/>
        <v>7.6287903819218628E-2</v>
      </c>
      <c r="CU67" s="40">
        <f t="shared" si="43"/>
        <v>5.792220284315034E-2</v>
      </c>
      <c r="CV67" s="40">
        <f t="shared" si="44"/>
        <v>4.5514848957054738E-2</v>
      </c>
      <c r="CW67" s="40">
        <f t="shared" si="53"/>
        <v>0.15982360054817399</v>
      </c>
      <c r="CX67" s="40">
        <f t="shared" si="54"/>
        <v>0.26875615087574972</v>
      </c>
      <c r="CY67" s="40"/>
      <c r="CZ67" s="40"/>
      <c r="DA67" s="40"/>
      <c r="DB67" s="40"/>
      <c r="DC67" s="40"/>
      <c r="DD67" s="40"/>
      <c r="DE67" s="40"/>
      <c r="DF67" s="40"/>
    </row>
    <row r="68" spans="1:110" x14ac:dyDescent="0.2">
      <c r="A68" s="2" t="s">
        <v>521</v>
      </c>
      <c r="C68" s="40">
        <f>(C42-B42)/B42</f>
        <v>-5.3740604074798637E-2</v>
      </c>
      <c r="D68" s="40">
        <f t="shared" ref="D68:K68" si="61">(D42-C42)/C42</f>
        <v>5.0367590000258922E-2</v>
      </c>
      <c r="E68" s="40">
        <f t="shared" si="61"/>
        <v>9.62345165704383E-2</v>
      </c>
      <c r="F68" s="40">
        <f t="shared" si="61"/>
        <v>7.4423185540702624E-2</v>
      </c>
      <c r="G68" s="40">
        <f t="shared" si="61"/>
        <v>4.2483230460368747E-2</v>
      </c>
      <c r="H68" s="40">
        <f t="shared" si="61"/>
        <v>4.8600661552629314E-2</v>
      </c>
      <c r="I68" s="40">
        <f t="shared" si="61"/>
        <v>3.5226642745877071E-2</v>
      </c>
      <c r="J68" s="40">
        <f t="shared" si="61"/>
        <v>5.8429524338604884E-2</v>
      </c>
      <c r="K68" s="40">
        <f t="shared" si="61"/>
        <v>3.1751985035144509E-2</v>
      </c>
      <c r="L68" s="40">
        <f>(L42-K42)/K42</f>
        <v>0.14667432638744529</v>
      </c>
      <c r="M68" s="40">
        <f>(M42-L42)/L42</f>
        <v>4.9993704126028243E-2</v>
      </c>
      <c r="N68" s="40">
        <f>(N42-M42)/M42</f>
        <v>0.10199586682118933</v>
      </c>
      <c r="O68" s="40">
        <f>(O42-N42)/N42</f>
        <v>2.1488256461739473E-3</v>
      </c>
      <c r="P68" s="40">
        <f>(P42-O42)/O42</f>
        <v>5.6524302529684115E-2</v>
      </c>
      <c r="Q68" s="40">
        <f t="shared" ref="Q68:V68" si="62">(Q42-P42)/P42</f>
        <v>3.6644013029293605E-2</v>
      </c>
      <c r="R68" s="40">
        <f t="shared" si="62"/>
        <v>2.2115112945393523E-2</v>
      </c>
      <c r="S68" s="40">
        <f t="shared" si="62"/>
        <v>-1.8989567219557853E-2</v>
      </c>
      <c r="T68" s="40">
        <f t="shared" si="62"/>
        <v>-5.4638222175859277E-3</v>
      </c>
      <c r="U68" s="40">
        <f t="shared" si="62"/>
        <v>-1.592538599086132E-2</v>
      </c>
      <c r="V68" s="40">
        <f t="shared" si="62"/>
        <v>3.5203320984475837E-2</v>
      </c>
      <c r="Y68" s="40">
        <f>(Y42-X42)/X42</f>
        <v>5.2276769232161395E-3</v>
      </c>
      <c r="Z68" s="40">
        <f t="shared" ref="Z68" si="63">(Z42-Y42)/Y42</f>
        <v>7.7705106590971768E-2</v>
      </c>
      <c r="AA68" s="40">
        <f t="shared" ref="AA68" si="64">(AA42-Z42)/Z42</f>
        <v>7.7386968236257847E-2</v>
      </c>
      <c r="AB68" s="40">
        <f t="shared" ref="AB68" si="65">(AB42-AA42)/AA42</f>
        <v>5.3163614157153531E-2</v>
      </c>
      <c r="AC68" s="40">
        <f t="shared" ref="AC68" si="66">(AC42-AB42)/AB42</f>
        <v>6.0596070591754342E-2</v>
      </c>
      <c r="AD68" s="40">
        <f t="shared" ref="AD68" si="67">(AD42-AC42)/AC42</f>
        <v>2.9157265030786927E-2</v>
      </c>
      <c r="AE68" s="40">
        <f t="shared" ref="AE68" si="68">(AE42-AD42)/AD42</f>
        <v>4.0721440397680504E-2</v>
      </c>
      <c r="AF68" s="40">
        <f t="shared" ref="AF68" si="69">(AF42-AE42)/AE42</f>
        <v>5.3641136032379202E-2</v>
      </c>
      <c r="AG68" s="40">
        <f t="shared" ref="AG68" si="70">(AG42-AF42)/AF42</f>
        <v>5.7443631276540501E-2</v>
      </c>
      <c r="AH68" s="40">
        <f>(AH42-AG42)/AG42</f>
        <v>7.9481530820868021E-2</v>
      </c>
      <c r="AI68" s="40">
        <f>(AI42-AH42)/AH42</f>
        <v>3.2202453009814939E-2</v>
      </c>
      <c r="AJ68" s="40">
        <f>(AJ42-AI42)/AI42</f>
        <v>2.7010025505116404E-2</v>
      </c>
      <c r="AK68" s="40">
        <f>(AK42-AJ42)/AJ42</f>
        <v>4.5464185641974179E-2</v>
      </c>
      <c r="AL68" s="40">
        <f>(AL42-AK42)/AK42</f>
        <v>3.2236282820493498E-2</v>
      </c>
      <c r="AM68" s="40">
        <f t="shared" ref="AM68" si="71">(AM42-AL42)/AL42</f>
        <v>4.1930045036965256E-2</v>
      </c>
      <c r="AN68" s="40">
        <f t="shared" ref="AN68" si="72">(AN42-AM42)/AM42</f>
        <v>5.4346187829589377E-3</v>
      </c>
      <c r="AO68" s="40">
        <f t="shared" ref="AO68:AR68" si="73">(AO42-AN42)/AN42</f>
        <v>4.3645877756992094E-2</v>
      </c>
      <c r="AP68" s="40">
        <f t="shared" si="73"/>
        <v>1.966762778723222E-2</v>
      </c>
      <c r="AQ68" s="40">
        <f t="shared" si="73"/>
        <v>2.0393132218913861E-2</v>
      </c>
      <c r="AR68" s="40">
        <f t="shared" si="73"/>
        <v>1.0582006164021739E-2</v>
      </c>
      <c r="AU68" s="40">
        <f>(AU42-AT42)/AT42</f>
        <v>1.7454912224149986E-2</v>
      </c>
      <c r="AV68" s="40">
        <f t="shared" ref="AV68:BC68" si="74">(AV42-AU42)/AU42</f>
        <v>4.2658745221815786E-2</v>
      </c>
      <c r="AW68" s="40">
        <f t="shared" si="74"/>
        <v>7.4496565952491531E-2</v>
      </c>
      <c r="AX68" s="40">
        <f t="shared" si="74"/>
        <v>4.6691016458359207E-2</v>
      </c>
      <c r="AY68" s="40">
        <f t="shared" si="74"/>
        <v>5.510735123253406E-2</v>
      </c>
      <c r="AZ68" s="40">
        <f t="shared" si="74"/>
        <v>5.3926915579923247E-2</v>
      </c>
      <c r="BA68" s="40">
        <f t="shared" si="74"/>
        <v>4.7903587481658405E-2</v>
      </c>
      <c r="BB68" s="40">
        <f t="shared" si="74"/>
        <v>3.9965873820616171E-2</v>
      </c>
      <c r="BC68" s="40">
        <f t="shared" si="74"/>
        <v>4.8808700252431572E-2</v>
      </c>
      <c r="BD68" s="40">
        <f>(BD42-BC42)/BC42</f>
        <v>8.4488264655684459E-2</v>
      </c>
      <c r="BE68" s="40">
        <f>(BE42-BD42)/BD42</f>
        <v>6.8940253089296272E-2</v>
      </c>
      <c r="BF68" s="40">
        <f>(BF42-BE42)/BE42</f>
        <v>5.0399061200334293E-2</v>
      </c>
      <c r="BG68" s="40"/>
      <c r="BH68" s="40"/>
      <c r="BI68" s="195"/>
      <c r="BJ68" s="195"/>
      <c r="BK68" s="195"/>
      <c r="BL68" s="40"/>
      <c r="BM68" s="40"/>
      <c r="BN68" s="40"/>
      <c r="BQ68" s="40">
        <f>(BQ42-BP42)/BP42</f>
        <v>3.5631689998105807E-2</v>
      </c>
      <c r="BR68" s="40">
        <f t="shared" ref="BR68:BY68" si="75">(BR42-BQ42)/BQ42</f>
        <v>8.001886093424565E-2</v>
      </c>
      <c r="BS68" s="40">
        <f t="shared" si="75"/>
        <v>7.8745980700768492E-2</v>
      </c>
      <c r="BT68" s="40">
        <f t="shared" si="75"/>
        <v>3.648883485598256E-2</v>
      </c>
      <c r="BU68" s="40">
        <f t="shared" si="75"/>
        <v>5.0764118145159846E-2</v>
      </c>
      <c r="BV68" s="40">
        <f t="shared" si="75"/>
        <v>4.7391782602066071E-2</v>
      </c>
      <c r="BW68" s="40">
        <f t="shared" si="75"/>
        <v>3.7730094180642992E-2</v>
      </c>
      <c r="BX68" s="40">
        <f t="shared" si="75"/>
        <v>6.3247703145123235E-2</v>
      </c>
      <c r="BY68" s="40">
        <f t="shared" si="75"/>
        <v>4.2325009812752661E-2</v>
      </c>
      <c r="BZ68" s="40">
        <f>(BZ42-BY42)/BY42</f>
        <v>8.6629774959988304E-2</v>
      </c>
      <c r="CA68" s="40">
        <f>(CA42-BZ42)/BZ42</f>
        <v>-2.6732449817889949E-2</v>
      </c>
      <c r="CB68" s="40">
        <f>(CB42-CA42)/CA42</f>
        <v>1.4671909475231566E-2</v>
      </c>
      <c r="CC68" s="40"/>
      <c r="CD68" s="40"/>
      <c r="CM68" s="40">
        <f>(CM42-CL42)/CL42</f>
        <v>1.0139288873597992E-2</v>
      </c>
      <c r="CN68" s="40">
        <f t="shared" ref="CN68" si="76">(CN42-CM42)/CM42</f>
        <v>4.507008628270754E-2</v>
      </c>
      <c r="CO68" s="40">
        <f t="shared" ref="CO68" si="77">(CO42-CN42)/CN42</f>
        <v>7.2255081016828232E-2</v>
      </c>
      <c r="CP68" s="40">
        <f t="shared" ref="CP68" si="78">(CP42-CO42)/CO42</f>
        <v>5.0329710554824013E-2</v>
      </c>
      <c r="CQ68" s="40">
        <f t="shared" ref="CQ68" si="79">(CQ42-CP42)/CP42</f>
        <v>5.2074724449265371E-2</v>
      </c>
      <c r="CR68" s="40">
        <f t="shared" ref="CR68" si="80">(CR42-CQ42)/CQ42</f>
        <v>5.4598529057022539E-2</v>
      </c>
      <c r="CS68" s="40">
        <f t="shared" ref="CS68" si="81">(CS42-CR42)/CR42</f>
        <v>5.308557158764924E-2</v>
      </c>
      <c r="CT68" s="40">
        <f t="shared" ref="CT68" si="82">(CT42-CS42)/CS42</f>
        <v>3.6972130424858758E-2</v>
      </c>
      <c r="CU68" s="40">
        <f t="shared" ref="CU68" si="83">(CU42-CT42)/CT42</f>
        <v>4.6510051008319717E-2</v>
      </c>
      <c r="CV68" s="40">
        <f>(CV42-CU42)/CU42</f>
        <v>8.3655070393863828E-2</v>
      </c>
      <c r="CW68" s="40">
        <f>(CW42-CV42)/CV42</f>
        <v>4.696636438279847E-2</v>
      </c>
      <c r="CX68" s="40">
        <f>(CX42-CW42)/CW42</f>
        <v>6.6875198974783862E-2</v>
      </c>
      <c r="CY68" s="40"/>
      <c r="CZ68" s="40"/>
      <c r="DA68" s="40"/>
      <c r="DB68" s="40"/>
      <c r="DC68" s="40"/>
      <c r="DD68" s="40"/>
      <c r="DE68" s="40"/>
      <c r="DF68" s="40"/>
    </row>
    <row r="69" spans="1:110" x14ac:dyDescent="0.2">
      <c r="A69" s="2" t="s">
        <v>686</v>
      </c>
      <c r="C69" s="40">
        <f>((C27+C28+C29+C30)-(B27+B28+B29+B30))/(B27+B28+B29+B30)</f>
        <v>2.0589306818936209E-2</v>
      </c>
      <c r="D69" s="40">
        <f t="shared" ref="D69:V69" si="84">((D27+D28+D29+D30)-(C27+C28+C29+C30))/(C27+C28+C29+C30)</f>
        <v>1.3326760642185433E-3</v>
      </c>
      <c r="E69" s="40">
        <f t="shared" si="84"/>
        <v>0.14551775194596428</v>
      </c>
      <c r="F69" s="40">
        <f t="shared" si="84"/>
        <v>6.1215345122069838E-2</v>
      </c>
      <c r="G69" s="40">
        <f t="shared" si="84"/>
        <v>-3.3651917590945955E-2</v>
      </c>
      <c r="H69" s="40">
        <f t="shared" si="84"/>
        <v>4.3958366565640596E-2</v>
      </c>
      <c r="I69" s="40">
        <f t="shared" si="84"/>
        <v>3.6795754902304821E-2</v>
      </c>
      <c r="J69" s="40">
        <f t="shared" si="84"/>
        <v>6.3952778542697764E-2</v>
      </c>
      <c r="K69" s="40">
        <f t="shared" si="84"/>
        <v>6.8778701613615253E-2</v>
      </c>
      <c r="L69" s="40">
        <f t="shared" si="84"/>
        <v>0.14243099369349096</v>
      </c>
      <c r="M69" s="40">
        <f t="shared" si="84"/>
        <v>4.9050019580490885E-2</v>
      </c>
      <c r="N69" s="40">
        <f t="shared" si="84"/>
        <v>9.7871036359566455E-2</v>
      </c>
      <c r="O69" s="40">
        <f t="shared" si="84"/>
        <v>-1.4429916302509062E-2</v>
      </c>
      <c r="P69" s="40">
        <f t="shared" si="84"/>
        <v>6.534049898870283E-3</v>
      </c>
      <c r="Q69" s="40">
        <f t="shared" si="84"/>
        <v>7.729518014733848E-2</v>
      </c>
      <c r="R69" s="40">
        <f t="shared" si="84"/>
        <v>-1.8964034111047641E-2</v>
      </c>
      <c r="S69" s="40">
        <f t="shared" si="84"/>
        <v>3.1558288085274965E-3</v>
      </c>
      <c r="T69" s="40">
        <f t="shared" si="84"/>
        <v>2.5791460616600769E-2</v>
      </c>
      <c r="U69" s="40">
        <f t="shared" si="84"/>
        <v>-3.5185430765472194E-3</v>
      </c>
      <c r="V69" s="40">
        <f t="shared" si="84"/>
        <v>-1.9296691810403888E-3</v>
      </c>
      <c r="Y69" s="40">
        <f>((Y27+Y28+Y29+Y30)-(X27+X28+X29+X30))/(X27+X28+X29+X30)</f>
        <v>7.1940285052909919E-2</v>
      </c>
      <c r="Z69" s="40">
        <f t="shared" ref="Z69" si="85">((Z27+Z28+Z29+Z30)-(Y27+Y28+Y29+Y30))/(Y27+Y28+Y29+Y30)</f>
        <v>3.2163486280312931E-2</v>
      </c>
      <c r="AA69" s="40">
        <f t="shared" ref="AA69" si="86">((AA27+AA28+AA29+AA30)-(Z27+Z28+Z29+Z30))/(Z27+Z28+Z29+Z30)</f>
        <v>0.10218453661971763</v>
      </c>
      <c r="AB69" s="40">
        <f t="shared" ref="AB69" si="87">((AB27+AB28+AB29+AB30)-(AA27+AA28+AA29+AA30))/(AA27+AA28+AA29+AA30)</f>
        <v>9.8256636784236837E-3</v>
      </c>
      <c r="AC69" s="40">
        <f t="shared" ref="AC69" si="88">((AC27+AC28+AC29+AC30)-(AB27+AB28+AB29+AB30))/(AB27+AB28+AB29+AB30)</f>
        <v>-1.0130594222718855E-2</v>
      </c>
      <c r="AD69" s="40">
        <f t="shared" ref="AD69" si="89">((AD27+AD28+AD29+AD30)-(AC27+AC28+AC29+AC30))/(AC27+AC28+AC29+AC30)</f>
        <v>4.6653594434538249E-3</v>
      </c>
      <c r="AE69" s="40">
        <f t="shared" ref="AE69" si="90">((AE27+AE28+AE29+AE30)-(AD27+AD28+AD29+AD30))/(AD27+AD28+AD29+AD30)</f>
        <v>2.2314695029988254E-2</v>
      </c>
      <c r="AF69" s="40">
        <f t="shared" ref="AF69" si="91">((AF27+AF28+AF29+AF30)-(AE27+AE28+AE29+AE30))/(AE27+AE28+AE29+AE30)</f>
        <v>7.8706125239989086E-2</v>
      </c>
      <c r="AG69" s="40">
        <f t="shared" ref="AG69" si="92">((AG27+AG28+AG29+AG30)-(AF27+AF28+AF29+AF30))/(AF27+AF28+AF29+AF30)</f>
        <v>0.12562400841819818</v>
      </c>
      <c r="AH69" s="40">
        <f t="shared" ref="AH69" si="93">((AH27+AH28+AH29+AH30)-(AG27+AG28+AG29+AG30))/(AG27+AG28+AG29+AG30)</f>
        <v>0.18022962888267152</v>
      </c>
      <c r="AI69" s="40">
        <f t="shared" ref="AI69" si="94">((AI27+AI28+AI29+AI30)-(AH27+AH28+AH29+AH30))/(AH27+AH28+AH29+AH30)</f>
        <v>-7.3109723604973961E-2</v>
      </c>
      <c r="AJ69" s="40">
        <f t="shared" ref="AJ69" si="95">((AJ27+AJ28+AJ29+AJ30)-(AI27+AI28+AI29+AI30))/(AI27+AI28+AI29+AI30)</f>
        <v>3.9922666249665194E-2</v>
      </c>
      <c r="AK69" s="40">
        <f t="shared" ref="AK69" si="96">((AK27+AK28+AK29+AK30)-(AJ27+AJ28+AJ29+AJ30))/(AJ27+AJ28+AJ29+AJ30)</f>
        <v>-2.2982259076389732E-3</v>
      </c>
      <c r="AL69" s="40">
        <f t="shared" ref="AL69" si="97">((AL27+AL28+AL29+AL30)-(AK27+AK28+AK29+AK30))/(AK27+AK28+AK29+AK30)</f>
        <v>5.6991032411770851E-2</v>
      </c>
      <c r="AM69" s="40">
        <f t="shared" ref="AM69" si="98">((AM27+AM28+AM29+AM30)-(AL27+AL28+AL29+AL30))/(AL27+AL28+AL29+AL30)</f>
        <v>7.8985121238640696E-2</v>
      </c>
      <c r="AN69" s="40">
        <f t="shared" ref="AN69" si="99">((AN27+AN28+AN29+AN30)-(AM27+AM28+AM29+AM30))/(AM27+AM28+AM29+AM30)</f>
        <v>-4.6564218781869173E-3</v>
      </c>
      <c r="AO69" s="40">
        <f t="shared" ref="AO69:AR69" si="100">((AO27+AO28+AO29+AO30)-(AN27+AN28+AN29+AN30))/(AN27+AN28+AN29+AN30)</f>
        <v>4.9595452455765868E-2</v>
      </c>
      <c r="AP69" s="40">
        <f t="shared" si="100"/>
        <v>5.7137444147407748E-2</v>
      </c>
      <c r="AQ69" s="40">
        <f t="shared" si="100"/>
        <v>4.405691229052975E-2</v>
      </c>
      <c r="AR69" s="40">
        <f t="shared" si="100"/>
        <v>-3.5260096437645896E-2</v>
      </c>
      <c r="AU69" s="40"/>
      <c r="AV69" s="40"/>
      <c r="AW69" s="40"/>
      <c r="AX69" s="40"/>
      <c r="AY69" s="40"/>
      <c r="AZ69" s="40"/>
      <c r="BA69" s="40"/>
      <c r="BB69" s="40"/>
      <c r="BC69" s="40"/>
      <c r="BD69" s="40"/>
      <c r="BE69" s="40"/>
      <c r="BF69" s="40"/>
      <c r="BG69" s="40"/>
      <c r="BH69" s="40"/>
      <c r="BI69" s="195"/>
      <c r="BJ69" s="195"/>
      <c r="BK69" s="195"/>
      <c r="BL69" s="40"/>
      <c r="BM69" s="40"/>
      <c r="BN69" s="40"/>
      <c r="BQ69" s="40"/>
      <c r="BR69" s="40"/>
      <c r="BS69" s="40"/>
      <c r="BT69" s="40"/>
      <c r="BU69" s="40"/>
      <c r="BV69" s="40"/>
      <c r="BW69" s="40"/>
      <c r="BX69" s="40"/>
      <c r="BY69" s="40"/>
      <c r="BZ69" s="40"/>
      <c r="CA69" s="40"/>
      <c r="CB69" s="40"/>
      <c r="CC69" s="40"/>
      <c r="CD69" s="40"/>
      <c r="CM69" s="40"/>
      <c r="CN69" s="40"/>
      <c r="CO69" s="40"/>
      <c r="CP69" s="40"/>
      <c r="CQ69" s="40"/>
      <c r="CR69" s="40"/>
      <c r="CS69" s="40"/>
      <c r="CT69" s="40"/>
      <c r="CU69" s="40"/>
      <c r="CV69" s="40"/>
      <c r="CW69" s="40"/>
      <c r="CX69" s="40"/>
      <c r="CY69" s="40"/>
      <c r="CZ69" s="40"/>
      <c r="DA69" s="40"/>
      <c r="DB69" s="40"/>
      <c r="DC69" s="40"/>
      <c r="DD69" s="40"/>
      <c r="DE69" s="40"/>
      <c r="DF69" s="40"/>
    </row>
    <row r="70" spans="1:110" x14ac:dyDescent="0.2">
      <c r="C70" s="40">
        <v>0</v>
      </c>
      <c r="D70" s="40">
        <v>0</v>
      </c>
      <c r="E70" s="40">
        <v>0</v>
      </c>
      <c r="F70" s="40">
        <v>0</v>
      </c>
      <c r="G70" s="40">
        <v>0</v>
      </c>
      <c r="H70" s="40">
        <v>0</v>
      </c>
      <c r="I70" s="40">
        <v>0</v>
      </c>
      <c r="J70" s="40">
        <v>0</v>
      </c>
      <c r="K70" s="40">
        <v>0</v>
      </c>
      <c r="L70" s="40">
        <v>0</v>
      </c>
      <c r="M70" s="40">
        <v>0</v>
      </c>
      <c r="N70" s="40">
        <v>0</v>
      </c>
      <c r="O70" s="40">
        <v>0</v>
      </c>
      <c r="P70" s="40">
        <v>0</v>
      </c>
      <c r="Q70" s="40">
        <v>0</v>
      </c>
      <c r="R70" s="40">
        <v>0</v>
      </c>
      <c r="S70" s="40">
        <v>0</v>
      </c>
      <c r="T70" s="40">
        <v>0</v>
      </c>
      <c r="U70" s="40">
        <v>0</v>
      </c>
      <c r="V70" s="40">
        <v>1</v>
      </c>
      <c r="Y70" s="40">
        <v>0</v>
      </c>
      <c r="Z70" s="40">
        <v>0</v>
      </c>
      <c r="AA70" s="40">
        <v>0</v>
      </c>
      <c r="AB70" s="40">
        <v>0</v>
      </c>
      <c r="AC70" s="40">
        <v>0</v>
      </c>
      <c r="AD70" s="40">
        <v>0</v>
      </c>
      <c r="AE70" s="40">
        <v>0</v>
      </c>
      <c r="AF70" s="40">
        <v>0</v>
      </c>
      <c r="AG70" s="40">
        <v>0</v>
      </c>
      <c r="AH70" s="40">
        <v>0</v>
      </c>
      <c r="AI70" s="40">
        <v>0</v>
      </c>
      <c r="AJ70" s="40">
        <v>0</v>
      </c>
      <c r="AK70" s="40">
        <v>0</v>
      </c>
      <c r="AL70" s="40">
        <v>0</v>
      </c>
      <c r="AM70" s="40">
        <v>0</v>
      </c>
      <c r="AN70" s="40">
        <v>0</v>
      </c>
      <c r="AO70" s="40">
        <v>0</v>
      </c>
      <c r="AP70" s="40">
        <v>0</v>
      </c>
      <c r="AQ70" s="40">
        <v>0</v>
      </c>
      <c r="AR70" s="40">
        <v>0</v>
      </c>
      <c r="AU70" s="40"/>
      <c r="AV70" s="40"/>
      <c r="AW70" s="40"/>
      <c r="AX70" s="40"/>
      <c r="AY70" s="40"/>
      <c r="AZ70" s="40"/>
      <c r="BA70" s="40"/>
      <c r="BB70" s="40"/>
      <c r="BC70" s="40"/>
      <c r="BD70" s="40"/>
      <c r="BE70" s="40"/>
      <c r="BF70" s="40"/>
      <c r="BG70" s="40"/>
      <c r="BH70" s="40"/>
      <c r="BI70" s="195"/>
      <c r="BJ70" s="195"/>
      <c r="BK70" s="195"/>
      <c r="BL70" s="40"/>
      <c r="BM70" s="40"/>
      <c r="BN70" s="40"/>
      <c r="BQ70" s="40"/>
      <c r="BR70" s="40"/>
      <c r="BS70" s="40"/>
      <c r="BT70" s="40"/>
      <c r="BU70" s="40"/>
      <c r="BV70" s="40"/>
      <c r="BW70" s="40"/>
      <c r="BX70" s="40"/>
      <c r="BY70" s="40"/>
      <c r="BZ70" s="40"/>
      <c r="CA70" s="40"/>
      <c r="CB70" s="40"/>
      <c r="CC70" s="40"/>
      <c r="CD70" s="40"/>
      <c r="CM70" s="40"/>
      <c r="CN70" s="40"/>
      <c r="CO70" s="40"/>
      <c r="CP70" s="40"/>
      <c r="CQ70" s="40"/>
      <c r="CR70" s="40"/>
      <c r="CS70" s="40"/>
      <c r="CT70" s="40"/>
      <c r="CU70" s="40"/>
      <c r="CV70" s="40"/>
      <c r="CW70" s="40"/>
      <c r="CX70" s="40"/>
      <c r="CY70" s="40"/>
      <c r="CZ70" s="40"/>
      <c r="DA70" s="40"/>
      <c r="DB70" s="40"/>
      <c r="DC70" s="40"/>
      <c r="DD70" s="40"/>
      <c r="DE70" s="40"/>
      <c r="DF70" s="40"/>
    </row>
    <row r="72" spans="1:110" x14ac:dyDescent="0.2">
      <c r="B72" s="209" t="str">
        <f>B2</f>
        <v>Akaa</v>
      </c>
      <c r="C72" s="211"/>
      <c r="D72" s="211"/>
      <c r="E72" s="211"/>
      <c r="F72" s="211"/>
      <c r="G72" s="211"/>
      <c r="H72" s="211"/>
      <c r="I72" s="211"/>
      <c r="J72" s="211"/>
      <c r="K72" s="9"/>
      <c r="L72" s="9"/>
      <c r="M72" s="9"/>
      <c r="N72" s="9"/>
      <c r="O72" s="9"/>
      <c r="P72" s="9"/>
      <c r="Q72" s="9"/>
      <c r="R72" s="9"/>
      <c r="S72" s="9"/>
      <c r="T72" s="165"/>
      <c r="U72" s="168"/>
      <c r="V72" s="188"/>
      <c r="X72" s="209" t="str">
        <f>X2</f>
        <v>Äänekoski</v>
      </c>
      <c r="Y72" s="211"/>
      <c r="Z72" s="211"/>
      <c r="AA72" s="211"/>
      <c r="AB72" s="211"/>
      <c r="AC72" s="211"/>
      <c r="AD72" s="211"/>
      <c r="AE72" s="211"/>
      <c r="AF72" s="211"/>
      <c r="AG72" s="9"/>
      <c r="AH72" s="9"/>
      <c r="AI72" s="9"/>
      <c r="AJ72" s="9"/>
      <c r="AK72" s="9"/>
      <c r="AL72" s="9"/>
      <c r="AM72" s="9"/>
      <c r="AN72" s="9"/>
      <c r="AO72" s="9"/>
      <c r="AP72" s="166"/>
      <c r="AQ72" s="168"/>
      <c r="AR72" s="188"/>
    </row>
    <row r="73" spans="1:110" x14ac:dyDescent="0.2">
      <c r="B73" s="7">
        <v>1998</v>
      </c>
      <c r="C73" s="7">
        <v>1999</v>
      </c>
      <c r="D73" s="7">
        <v>2000</v>
      </c>
      <c r="E73" s="7">
        <v>2001</v>
      </c>
      <c r="F73" s="10">
        <v>2002</v>
      </c>
      <c r="G73" s="7">
        <v>2003</v>
      </c>
      <c r="H73" s="10">
        <v>2004</v>
      </c>
      <c r="I73" s="7">
        <v>2005</v>
      </c>
      <c r="J73" s="10">
        <v>2006</v>
      </c>
      <c r="K73" s="7">
        <v>2007</v>
      </c>
      <c r="L73" s="10">
        <v>2008</v>
      </c>
      <c r="M73" s="7">
        <v>2009</v>
      </c>
      <c r="N73" s="10">
        <v>2010</v>
      </c>
      <c r="O73" s="10">
        <v>2011</v>
      </c>
      <c r="P73" s="7">
        <v>2012</v>
      </c>
      <c r="Q73" s="10">
        <v>2013</v>
      </c>
      <c r="R73" s="10">
        <v>2014</v>
      </c>
      <c r="S73" s="7">
        <v>2015</v>
      </c>
      <c r="T73" s="7">
        <v>2016</v>
      </c>
      <c r="U73" s="10">
        <v>2017</v>
      </c>
      <c r="V73" s="7">
        <v>2018</v>
      </c>
      <c r="X73" s="7">
        <v>1998</v>
      </c>
      <c r="Y73" s="7">
        <v>1999</v>
      </c>
      <c r="Z73" s="7">
        <v>2000</v>
      </c>
      <c r="AA73" s="7">
        <v>2001</v>
      </c>
      <c r="AB73" s="10">
        <v>2002</v>
      </c>
      <c r="AC73" s="7">
        <v>2003</v>
      </c>
      <c r="AD73" s="10">
        <v>2004</v>
      </c>
      <c r="AE73" s="7">
        <v>2005</v>
      </c>
      <c r="AF73" s="10">
        <v>2006</v>
      </c>
      <c r="AG73" s="7">
        <v>2007</v>
      </c>
      <c r="AH73" s="7">
        <v>2008</v>
      </c>
      <c r="AI73" s="7">
        <v>2009</v>
      </c>
      <c r="AJ73" s="7">
        <v>2010</v>
      </c>
      <c r="AK73" s="7">
        <v>2011</v>
      </c>
      <c r="AL73" s="7">
        <v>2012</v>
      </c>
      <c r="AM73" s="7">
        <v>2013</v>
      </c>
      <c r="AN73" s="7">
        <v>2014</v>
      </c>
      <c r="AO73" s="7">
        <v>2015</v>
      </c>
      <c r="AP73" s="7">
        <v>2016</v>
      </c>
      <c r="AQ73" s="7">
        <v>2017</v>
      </c>
      <c r="AR73" s="7">
        <v>2018</v>
      </c>
    </row>
    <row r="74" spans="1:110" x14ac:dyDescent="0.2">
      <c r="A74" s="2" t="s">
        <v>465</v>
      </c>
      <c r="B74" s="13">
        <f>B5</f>
        <v>15857</v>
      </c>
      <c r="C74" s="12">
        <f>C6</f>
        <v>15954</v>
      </c>
      <c r="D74" s="13">
        <f>D7</f>
        <v>15945</v>
      </c>
      <c r="E74" s="12">
        <f>E8</f>
        <v>16022</v>
      </c>
      <c r="F74" s="13">
        <f>F9</f>
        <v>16117</v>
      </c>
      <c r="G74" s="12">
        <f>G10</f>
        <v>16269</v>
      </c>
      <c r="H74" s="13">
        <f>H11</f>
        <v>16324</v>
      </c>
      <c r="I74" s="12">
        <f>I12</f>
        <v>16422</v>
      </c>
      <c r="J74" s="13">
        <f>J13</f>
        <v>16586</v>
      </c>
      <c r="K74" s="13">
        <f>K14</f>
        <v>16738</v>
      </c>
      <c r="L74" s="13">
        <f>L15</f>
        <v>16837</v>
      </c>
      <c r="M74" s="13">
        <f>M16</f>
        <v>16858</v>
      </c>
      <c r="N74" s="13">
        <f>N17</f>
        <v>17012</v>
      </c>
      <c r="O74" s="13">
        <f>O18</f>
        <v>17091</v>
      </c>
      <c r="P74" s="13">
        <f>P19</f>
        <v>17134</v>
      </c>
      <c r="Q74" s="13">
        <f>Q20</f>
        <v>17108</v>
      </c>
      <c r="R74" s="13">
        <f>R21</f>
        <v>17052</v>
      </c>
      <c r="S74" s="13">
        <f>S22</f>
        <v>17043</v>
      </c>
      <c r="T74" s="13">
        <f>T23</f>
        <v>16923</v>
      </c>
      <c r="U74" s="13">
        <f>U24</f>
        <v>16769</v>
      </c>
      <c r="V74" s="13">
        <f>V25</f>
        <v>16611</v>
      </c>
      <c r="X74" s="13">
        <f>X5</f>
        <v>20975</v>
      </c>
      <c r="Y74" s="12">
        <f>Y6</f>
        <v>20898</v>
      </c>
      <c r="Z74" s="13">
        <f>Z7</f>
        <v>20713</v>
      </c>
      <c r="AA74" s="12">
        <f>AA8</f>
        <v>20543</v>
      </c>
      <c r="AB74" s="13">
        <f>AB9</f>
        <v>20425</v>
      </c>
      <c r="AC74" s="12">
        <f>AC10</f>
        <v>20457</v>
      </c>
      <c r="AD74" s="13">
        <f>AD11</f>
        <v>20384</v>
      </c>
      <c r="AE74" s="12">
        <f>AE12</f>
        <v>20345</v>
      </c>
      <c r="AF74" s="13">
        <f>AF13</f>
        <v>20341</v>
      </c>
      <c r="AG74" s="13">
        <f>AG14</f>
        <v>20404</v>
      </c>
      <c r="AH74" s="13">
        <f>AH15</f>
        <v>20325</v>
      </c>
      <c r="AI74" s="13">
        <f>AI16</f>
        <v>20243</v>
      </c>
      <c r="AJ74" s="13">
        <f>AJ17</f>
        <v>20244</v>
      </c>
      <c r="AK74" s="13">
        <f>AK18</f>
        <v>20334</v>
      </c>
      <c r="AL74" s="13">
        <f>AL19</f>
        <v>20265</v>
      </c>
      <c r="AM74" s="13">
        <f>AM20</f>
        <v>20077</v>
      </c>
      <c r="AN74" s="13">
        <f>AN21</f>
        <v>19909</v>
      </c>
      <c r="AO74" s="13">
        <f>AO22</f>
        <v>19646</v>
      </c>
      <c r="AP74" s="13">
        <f>AP23</f>
        <v>19374</v>
      </c>
      <c r="AQ74" s="13">
        <f>AQ24</f>
        <v>19144</v>
      </c>
      <c r="AR74" s="13">
        <f>AR25</f>
        <v>18851</v>
      </c>
    </row>
    <row r="75" spans="1:110" x14ac:dyDescent="0.2">
      <c r="A75" s="2" t="s">
        <v>687</v>
      </c>
      <c r="C75" s="162">
        <f>((C74-B74)/B74)*100</f>
        <v>0.6117172226776818</v>
      </c>
      <c r="D75" s="162">
        <f t="shared" ref="D75:V75" si="101">((D74-C74)/C74)*100</f>
        <v>-5.6412185031966905E-2</v>
      </c>
      <c r="E75" s="162">
        <f t="shared" si="101"/>
        <v>0.48291000313577925</v>
      </c>
      <c r="F75" s="162">
        <f t="shared" si="101"/>
        <v>0.59293471476719506</v>
      </c>
      <c r="G75" s="162">
        <f t="shared" si="101"/>
        <v>0.94310355525221812</v>
      </c>
      <c r="H75" s="162">
        <f t="shared" si="101"/>
        <v>0.33806626098715348</v>
      </c>
      <c r="I75" s="162">
        <f t="shared" si="101"/>
        <v>0.60034305317324177</v>
      </c>
      <c r="J75" s="162">
        <f t="shared" si="101"/>
        <v>0.99866033369869678</v>
      </c>
      <c r="K75" s="162">
        <f t="shared" si="101"/>
        <v>0.91643554805257454</v>
      </c>
      <c r="L75" s="162">
        <f t="shared" si="101"/>
        <v>0.5914685147568407</v>
      </c>
      <c r="M75" s="162">
        <f t="shared" si="101"/>
        <v>0.12472530735879314</v>
      </c>
      <c r="N75" s="162">
        <f t="shared" si="101"/>
        <v>0.91351287222683586</v>
      </c>
      <c r="O75" s="162">
        <f t="shared" si="101"/>
        <v>0.46437808605690101</v>
      </c>
      <c r="P75" s="162">
        <f t="shared" si="101"/>
        <v>0.25159440641273184</v>
      </c>
      <c r="Q75" s="162">
        <f t="shared" si="101"/>
        <v>-0.15174506828528073</v>
      </c>
      <c r="R75" s="162">
        <f t="shared" si="101"/>
        <v>-0.32733224222585927</v>
      </c>
      <c r="S75" s="162">
        <f t="shared" si="101"/>
        <v>-5.2779732582688248E-2</v>
      </c>
      <c r="T75" s="162">
        <f t="shared" si="101"/>
        <v>-0.70410139060024646</v>
      </c>
      <c r="U75" s="162">
        <f t="shared" si="101"/>
        <v>-0.91000413638243816</v>
      </c>
      <c r="V75" s="162">
        <f t="shared" si="101"/>
        <v>-0.94221480112111644</v>
      </c>
      <c r="Y75" s="162">
        <f>((Y74-X74)/X74)*100</f>
        <v>-0.36710369487485101</v>
      </c>
      <c r="Z75" s="162">
        <f t="shared" ref="Z75" si="102">((Z74-Y74)/Y74)*100</f>
        <v>-0.88525217724184124</v>
      </c>
      <c r="AA75" s="162">
        <f t="shared" ref="AA75" si="103">((AA74-Z74)/Z74)*100</f>
        <v>-0.82074059769227048</v>
      </c>
      <c r="AB75" s="162">
        <f t="shared" ref="AB75" si="104">((AB74-AA74)/AA74)*100</f>
        <v>-0.57440490678089862</v>
      </c>
      <c r="AC75" s="162">
        <f t="shared" ref="AC75" si="105">((AC74-AB74)/AB74)*100</f>
        <v>0.15667074663402691</v>
      </c>
      <c r="AD75" s="162">
        <f t="shared" ref="AD75" si="106">((AD74-AC74)/AC74)*100</f>
        <v>-0.3568460673608056</v>
      </c>
      <c r="AE75" s="162">
        <f t="shared" ref="AE75" si="107">((AE74-AD74)/AD74)*100</f>
        <v>-0.19132653061224489</v>
      </c>
      <c r="AF75" s="162">
        <f t="shared" ref="AF75" si="108">((AF74-AE74)/AE74)*100</f>
        <v>-1.966085033177685E-2</v>
      </c>
      <c r="AG75" s="162">
        <f t="shared" ref="AG75" si="109">((AG74-AF74)/AF74)*100</f>
        <v>0.30971928617078809</v>
      </c>
      <c r="AH75" s="162">
        <f t="shared" ref="AH75" si="110">((AH74-AG74)/AG74)*100</f>
        <v>-0.38717898451284061</v>
      </c>
      <c r="AI75" s="162">
        <f t="shared" ref="AI75" si="111">((AI74-AH74)/AH74)*100</f>
        <v>-0.40344403444034443</v>
      </c>
      <c r="AJ75" s="162">
        <f t="shared" ref="AJ75" si="112">((AJ74-AI74)/AI74)*100</f>
        <v>4.9399792520871408E-3</v>
      </c>
      <c r="AK75" s="162">
        <f t="shared" ref="AK75" si="113">((AK74-AJ74)/AJ74)*100</f>
        <v>0.44457617071724953</v>
      </c>
      <c r="AL75" s="162">
        <f t="shared" ref="AL75" si="114">((AL74-AK74)/AK74)*100</f>
        <v>-0.33933313661847153</v>
      </c>
      <c r="AM75" s="162">
        <f t="shared" ref="AM75" si="115">((AM74-AL74)/AL74)*100</f>
        <v>-0.92770787071305205</v>
      </c>
      <c r="AN75" s="162">
        <f t="shared" ref="AN75" si="116">((AN74-AM74)/AM74)*100</f>
        <v>-0.83677840314788066</v>
      </c>
      <c r="AO75" s="162">
        <f t="shared" ref="AO75:AR75" si="117">((AO74-AN74)/AN74)*100</f>
        <v>-1.3210105982219098</v>
      </c>
      <c r="AP75" s="162">
        <f t="shared" si="117"/>
        <v>-1.3845057518069837</v>
      </c>
      <c r="AQ75" s="162">
        <f t="shared" si="117"/>
        <v>-1.1871580468669352</v>
      </c>
      <c r="AR75" s="162">
        <f t="shared" si="117"/>
        <v>-1.5305056414542415</v>
      </c>
    </row>
    <row r="79" spans="1:110" x14ac:dyDescent="0.2">
      <c r="L79" s="209" t="str">
        <f>C63</f>
        <v>Akaa</v>
      </c>
      <c r="M79" s="209"/>
      <c r="N79" s="209"/>
      <c r="O79" s="209"/>
      <c r="P79" s="209"/>
      <c r="Q79" s="62"/>
      <c r="R79" s="62"/>
      <c r="S79" s="62"/>
      <c r="T79" s="164"/>
      <c r="U79" s="167"/>
      <c r="V79" s="187"/>
    </row>
    <row r="80" spans="1:110" x14ac:dyDescent="0.2">
      <c r="B80" s="176">
        <v>1998</v>
      </c>
      <c r="C80" s="176">
        <f t="shared" ref="C80:K80" si="118">C64</f>
        <v>1999</v>
      </c>
      <c r="D80" s="176">
        <f t="shared" si="118"/>
        <v>2000</v>
      </c>
      <c r="E80" s="176">
        <f t="shared" si="118"/>
        <v>2001</v>
      </c>
      <c r="F80" s="176">
        <f t="shared" si="118"/>
        <v>2002</v>
      </c>
      <c r="G80" s="176">
        <f t="shared" si="118"/>
        <v>2003</v>
      </c>
      <c r="H80" s="176">
        <f t="shared" si="118"/>
        <v>2004</v>
      </c>
      <c r="I80" s="176">
        <f t="shared" si="118"/>
        <v>2005</v>
      </c>
      <c r="J80" s="176">
        <f t="shared" si="118"/>
        <v>2006</v>
      </c>
      <c r="K80" s="176">
        <f t="shared" si="118"/>
        <v>2007</v>
      </c>
      <c r="L80" s="176">
        <f>L64</f>
        <v>2008</v>
      </c>
      <c r="M80" s="176">
        <f>M64</f>
        <v>2009</v>
      </c>
      <c r="N80" s="176">
        <f>N64</f>
        <v>2010</v>
      </c>
      <c r="O80" s="176">
        <f>O64</f>
        <v>2011</v>
      </c>
      <c r="P80" s="176">
        <f>P64</f>
        <v>2012</v>
      </c>
      <c r="Q80" s="176">
        <f t="shared" ref="Q80:V80" si="119">Q64</f>
        <v>2013</v>
      </c>
      <c r="R80" s="176">
        <f t="shared" si="119"/>
        <v>2014</v>
      </c>
      <c r="S80" s="176">
        <f t="shared" si="119"/>
        <v>2015</v>
      </c>
      <c r="T80" s="176">
        <f t="shared" si="119"/>
        <v>2016</v>
      </c>
      <c r="U80" s="176">
        <f t="shared" si="119"/>
        <v>2017</v>
      </c>
      <c r="V80" s="176">
        <f t="shared" si="119"/>
        <v>2018</v>
      </c>
    </row>
    <row r="81" spans="1:22" x14ac:dyDescent="0.2">
      <c r="A81" s="2" t="s">
        <v>600</v>
      </c>
      <c r="B81" s="13">
        <f t="shared" ref="B81:K81" si="120">(B27+B28+B29+B30)-B42</f>
        <v>144.04072956602249</v>
      </c>
      <c r="C81" s="13">
        <f t="shared" si="120"/>
        <v>374.87915330093165</v>
      </c>
      <c r="D81" s="13">
        <f t="shared" si="120"/>
        <v>233.13133963365271</v>
      </c>
      <c r="E81" s="13">
        <f t="shared" si="120"/>
        <v>417.22480226861262</v>
      </c>
      <c r="F81" s="13">
        <f t="shared" si="120"/>
        <v>398.64739095365121</v>
      </c>
      <c r="G81" s="13">
        <f t="shared" si="120"/>
        <v>111.99213227610744</v>
      </c>
      <c r="H81" s="13">
        <f t="shared" si="120"/>
        <v>99.546679735359248</v>
      </c>
      <c r="I81" s="13">
        <f t="shared" si="120"/>
        <v>109.36548532456482</v>
      </c>
      <c r="J81" s="13">
        <f t="shared" si="120"/>
        <v>138.79175208006745</v>
      </c>
      <c r="K81" s="13">
        <f t="shared" si="120"/>
        <v>307.50388337913591</v>
      </c>
      <c r="L81" s="13">
        <f>(L27+L28+L29+L30)-L42</f>
        <v>332.48203361644028</v>
      </c>
      <c r="M81" s="13">
        <f>(M27+M28+M29+M30)-M42</f>
        <v>343.99098350931399</v>
      </c>
      <c r="N81" s="13">
        <f>(N27+N28+N29+N30)-N42</f>
        <v>355.63131906889248</v>
      </c>
      <c r="O81" s="13">
        <f>(O27+O28+O29+O30)-O42</f>
        <v>252.9401439354051</v>
      </c>
      <c r="P81" s="13">
        <f>(P27+P28+P29+P30)-P42</f>
        <v>-40.212443095600065</v>
      </c>
      <c r="Q81" s="13">
        <f t="shared" ref="Q81:V81" si="121">(Q27+Q28+Q29+Q30)-Q42</f>
        <v>209.96025251344417</v>
      </c>
      <c r="R81" s="13">
        <f t="shared" si="121"/>
        <v>-59.3478770818665</v>
      </c>
      <c r="S81" s="13">
        <f t="shared" si="121"/>
        <v>86.663146159713506</v>
      </c>
      <c r="T81" s="13">
        <f t="shared" si="121"/>
        <v>291.31950599775519</v>
      </c>
      <c r="U81" s="13">
        <f t="shared" si="121"/>
        <v>370.2069294531575</v>
      </c>
      <c r="V81" s="13">
        <f t="shared" si="121"/>
        <v>134.12798747817669</v>
      </c>
    </row>
    <row r="82" spans="1:22" x14ac:dyDescent="0.2">
      <c r="A82" s="2" t="s">
        <v>438</v>
      </c>
      <c r="L82" s="13">
        <f>L39</f>
        <v>1775.0193027261389</v>
      </c>
      <c r="M82" s="13">
        <f>M39</f>
        <v>1809.4673152212599</v>
      </c>
      <c r="N82" s="13">
        <f>N39</f>
        <v>1863.508111920997</v>
      </c>
      <c r="O82" s="13">
        <f>O39</f>
        <v>1991.164940612018</v>
      </c>
      <c r="P82" s="13">
        <f>P39</f>
        <v>2288.0238123030231</v>
      </c>
      <c r="Q82" s="13"/>
      <c r="R82" s="13"/>
      <c r="S82" s="13"/>
      <c r="T82" s="13"/>
      <c r="U82" s="13"/>
      <c r="V82" s="13"/>
    </row>
    <row r="83" spans="1:22" x14ac:dyDescent="0.2">
      <c r="A83" s="2" t="str">
        <f>A43</f>
        <v>Tilikauden yli/alijäämä</v>
      </c>
      <c r="L83" s="13">
        <f>L43</f>
        <v>100.43356892558057</v>
      </c>
      <c r="M83" s="13">
        <f>M43</f>
        <v>114.7229801874481</v>
      </c>
      <c r="N83" s="13">
        <f>N43</f>
        <v>131.96567129085352</v>
      </c>
      <c r="O83" s="13">
        <f>O43</f>
        <v>16.967994851091216</v>
      </c>
      <c r="P83" s="13">
        <f>P43</f>
        <v>-212.61818606279911</v>
      </c>
      <c r="Q83" s="13"/>
      <c r="R83" s="13"/>
      <c r="S83" s="13"/>
      <c r="T83" s="13"/>
      <c r="U83" s="13"/>
      <c r="V83" s="13"/>
    </row>
    <row r="84" spans="1:22" x14ac:dyDescent="0.2">
      <c r="A84" s="2" t="str">
        <f>A45</f>
        <v>Kertynyt yli/alijäämä</v>
      </c>
      <c r="N84" s="13">
        <f>N45</f>
        <v>184.81072184340465</v>
      </c>
      <c r="O84" s="13">
        <f>O45</f>
        <v>200.92446316774911</v>
      </c>
      <c r="P84" s="13">
        <f>P45</f>
        <v>-12.197968950624489</v>
      </c>
      <c r="Q84" s="13"/>
      <c r="R84" s="13"/>
      <c r="S84" s="13"/>
      <c r="T84" s="13"/>
      <c r="U84" s="13"/>
      <c r="V84" s="13"/>
    </row>
    <row r="85" spans="1:22" x14ac:dyDescent="0.2">
      <c r="A85" s="2" t="str">
        <f>A46</f>
        <v>Tuloveroprosentti</v>
      </c>
      <c r="N85" s="60">
        <f>N46</f>
        <v>19.75</v>
      </c>
      <c r="O85" s="60"/>
      <c r="P85" s="60">
        <f>P46</f>
        <v>19.75</v>
      </c>
      <c r="Q85" s="60"/>
      <c r="R85" s="60"/>
      <c r="S85" s="60"/>
      <c r="T85" s="60"/>
      <c r="U85" s="60"/>
      <c r="V85" s="60"/>
    </row>
  </sheetData>
  <mergeCells count="11">
    <mergeCell ref="CL1:DF1"/>
    <mergeCell ref="CL2:DF2"/>
    <mergeCell ref="L79:P79"/>
    <mergeCell ref="BP1:CJ1"/>
    <mergeCell ref="BP2:CJ2"/>
    <mergeCell ref="AT1:BN1"/>
    <mergeCell ref="AT2:BN2"/>
    <mergeCell ref="X1:AR1"/>
    <mergeCell ref="B2:V2"/>
    <mergeCell ref="B72:J72"/>
    <mergeCell ref="X72:AF72"/>
  </mergeCells>
  <phoneticPr fontId="13" type="noConversion"/>
  <pageMargins left="0.75" right="0.75" top="1" bottom="1" header="0.4921259845" footer="0.4921259845"/>
  <pageSetup paperSize="9" orientation="portrait" r:id="rId1"/>
  <headerFooter alignWithMargins="0"/>
  <ignoredErrors>
    <ignoredError sqref="Q28:S28"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6</vt:i4>
      </vt:variant>
    </vt:vector>
  </HeadingPairs>
  <TitlesOfParts>
    <vt:vector size="6" baseType="lpstr">
      <vt:lpstr>Luokittelut</vt:lpstr>
      <vt:lpstr>Perusaineisto</vt:lpstr>
      <vt:lpstr>Perusaineisto2</vt:lpstr>
      <vt:lpstr>KUNNAN VALINTA</vt:lpstr>
      <vt:lpstr>Info</vt:lpstr>
      <vt:lpstr>Laskelma</vt:lpstr>
    </vt:vector>
  </TitlesOfParts>
  <Company>Sisäasiainministeriö</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mollmark</dc:creator>
  <cp:lastModifiedBy>Martikainen Anu</cp:lastModifiedBy>
  <cp:lastPrinted>2013-06-26T10:26:13Z</cp:lastPrinted>
  <dcterms:created xsi:type="dcterms:W3CDTF">2006-08-04T09:20:43Z</dcterms:created>
  <dcterms:modified xsi:type="dcterms:W3CDTF">2019-11-05T11:34:42Z</dcterms:modified>
</cp:coreProperties>
</file>